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LVRECC\Rate Case 2020-00338\COS, Rev Req &amp; Rates\"/>
    </mc:Choice>
  </mc:AlternateContent>
  <xr:revisionPtr revIDLastSave="0" documentId="13_ncr:1_{EE717461-647C-4CFF-BA32-96444EC7B055}" xr6:coauthVersionLast="46" xr6:coauthVersionMax="46" xr10:uidLastSave="{00000000-0000-0000-0000-000000000000}"/>
  <bookViews>
    <workbookView xWindow="-108" yWindow="-108" windowWidth="23256" windowHeight="12576" tabRatio="701" activeTab="1" xr2:uid="{00000000-000D-0000-FFFF-FFFF00000000}"/>
  </bookViews>
  <sheets>
    <sheet name="RevReq" sheetId="35" r:id="rId1"/>
    <sheet name="Adj List" sheetId="48" r:id="rId2"/>
    <sheet name="Adj BS" sheetId="50" r:id="rId3"/>
    <sheet name="Adj IS" sheetId="36" r:id="rId4"/>
    <sheet name="1.01 FAC" sheetId="6" r:id="rId5"/>
    <sheet name="1.02 ES" sheetId="17" r:id="rId6"/>
    <sheet name="1.03 RC" sheetId="28" r:id="rId7"/>
    <sheet name="1.04 CUST" sheetId="33" r:id="rId8"/>
    <sheet name="1.05 GTCC" sheetId="31" r:id="rId9"/>
    <sheet name="1.06 Health" sheetId="56" r:id="rId10"/>
    <sheet name="1.07 Depr" sheetId="39" r:id="rId11"/>
    <sheet name="1.08 AdsDonat" sheetId="59" r:id="rId12"/>
    <sheet name="1.09 Dir" sheetId="55" r:id="rId13"/>
    <sheet name="1.10 Life Insur" sheetId="58" r:id="rId14"/>
    <sheet name="PSC1-12 Int" sheetId="60" r:id="rId15"/>
    <sheet name="PSC1-14-Wages" sheetId="61" r:id="rId16"/>
    <sheet name="PSC1-16-PayrTx" sheetId="62" r:id="rId17"/>
    <sheet name="PSC1-18-Prof" sheetId="63" r:id="rId18"/>
  </sheets>
  <definedNames>
    <definedName name="_xlnm.Print_Area" localSheetId="4">'1.01 FAC'!$A$1:$H$34</definedName>
    <definedName name="_xlnm.Print_Area" localSheetId="5">'1.02 ES'!$A$1:$H$34</definedName>
    <definedName name="_xlnm.Print_Area" localSheetId="6">'1.03 RC'!$A$1:$E$26</definedName>
    <definedName name="_xlnm.Print_Area" localSheetId="7">'1.04 CUST'!$A$1:$J$59</definedName>
    <definedName name="_xlnm.Print_Area" localSheetId="8">'1.05 GTCC'!$A$1:$F$21</definedName>
    <definedName name="_xlnm.Print_Area" localSheetId="9">'1.06 Health'!$A$1:$G$25</definedName>
    <definedName name="_xlnm.Print_Area" localSheetId="10">'1.07 Depr'!$A$1:$J$56</definedName>
    <definedName name="_xlnm.Print_Area" localSheetId="11">'1.08 AdsDonat'!$A$1:$F$23</definedName>
    <definedName name="_xlnm.Print_Area" localSheetId="12">'1.09 Dir'!$A$1:$K$26</definedName>
    <definedName name="_xlnm.Print_Area" localSheetId="13">'1.10 Life Insur'!$A$1:$H$65</definedName>
    <definedName name="_xlnm.Print_Area" localSheetId="2">'Adj BS'!$A$1:$F$68</definedName>
    <definedName name="_xlnm.Print_Area" localSheetId="3">'Adj IS'!$A$1:$U$47</definedName>
    <definedName name="_xlnm.Print_Area" localSheetId="1">'Adj List'!$A$1:$G$23</definedName>
    <definedName name="_xlnm.Print_Area" localSheetId="14">'PSC1-12 Int'!$A$1:$J$44</definedName>
    <definedName name="_xlnm.Print_Area" localSheetId="15">'PSC1-14-Wages'!$A$1:$Z$82</definedName>
    <definedName name="_xlnm.Print_Area" localSheetId="16">'PSC1-16-PayrTx'!$A$1:$O$91</definedName>
    <definedName name="_xlnm.Print_Area" localSheetId="17">'PSC1-18-Prof'!$A$1:$J$51</definedName>
    <definedName name="_xlnm.Print_Area" localSheetId="0">RevReq!$A$1:$G$68</definedName>
    <definedName name="_xlnm.Print_Titles" localSheetId="7">'1.04 CUST'!$1:$11</definedName>
    <definedName name="_xlnm.Print_Titles" localSheetId="11">'1.08 AdsDonat'!$1:$7</definedName>
    <definedName name="_xlnm.Print_Titles" localSheetId="13">'1.10 Life Insur'!$1:$11</definedName>
    <definedName name="_xlnm.Print_Titles" localSheetId="15">'PSC1-14-Wages'!$1:$7</definedName>
    <definedName name="_xlnm.Print_Titles" localSheetId="16">'PSC1-16-PayrTx'!$1:$7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36" l="1"/>
  <c r="M28" i="36"/>
  <c r="O23" i="36"/>
  <c r="N23" i="36"/>
  <c r="P4" i="36"/>
  <c r="O4" i="36"/>
  <c r="N4" i="36"/>
  <c r="M4" i="36"/>
  <c r="P6" i="36"/>
  <c r="O6" i="36"/>
  <c r="N6" i="36"/>
  <c r="M6" i="36"/>
  <c r="E20" i="48"/>
  <c r="E19" i="48"/>
  <c r="E18" i="48"/>
  <c r="F44" i="63"/>
  <c r="I43" i="63"/>
  <c r="I14" i="63"/>
  <c r="I44" i="63" s="1"/>
  <c r="A12" i="63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35" i="63" s="1"/>
  <c r="A36" i="63" s="1"/>
  <c r="A37" i="63" s="1"/>
  <c r="A38" i="63" s="1"/>
  <c r="A39" i="63" s="1"/>
  <c r="A40" i="63" s="1"/>
  <c r="A41" i="63" s="1"/>
  <c r="A42" i="63" s="1"/>
  <c r="A43" i="63" s="1"/>
  <c r="A44" i="63" s="1"/>
  <c r="A45" i="63" s="1"/>
  <c r="A46" i="63" s="1"/>
  <c r="A47" i="63" s="1"/>
  <c r="A48" i="63" s="1"/>
  <c r="A11" i="63"/>
  <c r="H88" i="62"/>
  <c r="H84" i="62"/>
  <c r="O67" i="62"/>
  <c r="E64" i="62"/>
  <c r="D64" i="62"/>
  <c r="E63" i="62"/>
  <c r="D63" i="62"/>
  <c r="E62" i="62"/>
  <c r="D62" i="62"/>
  <c r="D61" i="62"/>
  <c r="D60" i="62"/>
  <c r="D59" i="62"/>
  <c r="D58" i="62"/>
  <c r="D57" i="62"/>
  <c r="D56" i="62"/>
  <c r="D55" i="62"/>
  <c r="D54" i="62"/>
  <c r="E53" i="62"/>
  <c r="D53" i="62"/>
  <c r="D52" i="62"/>
  <c r="D51" i="62"/>
  <c r="E50" i="62"/>
  <c r="D50" i="62"/>
  <c r="D49" i="62"/>
  <c r="D48" i="62"/>
  <c r="E47" i="62"/>
  <c r="D47" i="62"/>
  <c r="D46" i="62"/>
  <c r="D45" i="62"/>
  <c r="D44" i="62"/>
  <c r="D43" i="62"/>
  <c r="D42" i="62"/>
  <c r="E41" i="62"/>
  <c r="D41" i="62"/>
  <c r="E40" i="62"/>
  <c r="D40" i="62"/>
  <c r="E39" i="62"/>
  <c r="D39" i="62"/>
  <c r="D38" i="62"/>
  <c r="D37" i="62"/>
  <c r="D36" i="62"/>
  <c r="D35" i="62"/>
  <c r="D34" i="62"/>
  <c r="E33" i="62"/>
  <c r="D33" i="62"/>
  <c r="E32" i="62"/>
  <c r="D32" i="62"/>
  <c r="D31" i="62"/>
  <c r="D30" i="62"/>
  <c r="D29" i="62"/>
  <c r="D28" i="62"/>
  <c r="D27" i="62"/>
  <c r="D26" i="62"/>
  <c r="D25" i="62"/>
  <c r="D24" i="62"/>
  <c r="D23" i="62"/>
  <c r="A23" i="62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0" i="62" s="1"/>
  <c r="A61" i="62" s="1"/>
  <c r="A62" i="62" s="1"/>
  <c r="A63" i="62" s="1"/>
  <c r="A64" i="62" s="1"/>
  <c r="A65" i="62" s="1"/>
  <c r="A66" i="62" s="1"/>
  <c r="A67" i="62" s="1"/>
  <c r="A68" i="62" s="1"/>
  <c r="A69" i="62" s="1"/>
  <c r="A70" i="62" s="1"/>
  <c r="A71" i="62" s="1"/>
  <c r="E22" i="62"/>
  <c r="D22" i="62"/>
  <c r="D21" i="62"/>
  <c r="D20" i="62"/>
  <c r="A20" i="62"/>
  <c r="A21" i="62" s="1"/>
  <c r="A22" i="62" s="1"/>
  <c r="E19" i="62"/>
  <c r="D19" i="62"/>
  <c r="D18" i="62"/>
  <c r="D17" i="62"/>
  <c r="A17" i="62"/>
  <c r="A18" i="62" s="1"/>
  <c r="A19" i="62" s="1"/>
  <c r="D16" i="62"/>
  <c r="C16" i="62"/>
  <c r="G11" i="62"/>
  <c r="H11" i="62" s="1"/>
  <c r="I11" i="62" s="1"/>
  <c r="J11" i="62" s="1"/>
  <c r="K11" i="62" s="1"/>
  <c r="L11" i="62" s="1"/>
  <c r="M11" i="62" s="1"/>
  <c r="N11" i="62" s="1"/>
  <c r="O11" i="62" s="1"/>
  <c r="D11" i="62"/>
  <c r="E11" i="62" s="1"/>
  <c r="L79" i="61"/>
  <c r="L78" i="61"/>
  <c r="K80" i="61" s="1"/>
  <c r="K76" i="61"/>
  <c r="K82" i="61" s="1"/>
  <c r="O61" i="61"/>
  <c r="N61" i="61"/>
  <c r="M61" i="61"/>
  <c r="L61" i="61"/>
  <c r="J61" i="61"/>
  <c r="I61" i="61"/>
  <c r="H61" i="61"/>
  <c r="X60" i="61"/>
  <c r="F64" i="62" s="1"/>
  <c r="W60" i="61"/>
  <c r="V60" i="61"/>
  <c r="U60" i="61"/>
  <c r="T60" i="61"/>
  <c r="P60" i="61"/>
  <c r="W59" i="61"/>
  <c r="X59" i="61" s="1"/>
  <c r="V59" i="61"/>
  <c r="U59" i="61"/>
  <c r="T59" i="61"/>
  <c r="P59" i="61"/>
  <c r="X58" i="61"/>
  <c r="F62" i="62" s="1"/>
  <c r="W58" i="61"/>
  <c r="V58" i="61"/>
  <c r="U58" i="61"/>
  <c r="T58" i="61"/>
  <c r="P58" i="61"/>
  <c r="X57" i="61"/>
  <c r="F61" i="62" s="1"/>
  <c r="W57" i="61"/>
  <c r="V57" i="61"/>
  <c r="U57" i="61"/>
  <c r="T57" i="61"/>
  <c r="P57" i="61"/>
  <c r="Z57" i="61" s="1"/>
  <c r="W56" i="61"/>
  <c r="V56" i="61"/>
  <c r="U56" i="61"/>
  <c r="T56" i="61"/>
  <c r="X56" i="61" s="1"/>
  <c r="P56" i="61"/>
  <c r="W55" i="61"/>
  <c r="V55" i="61"/>
  <c r="U55" i="61"/>
  <c r="T55" i="61"/>
  <c r="X55" i="61" s="1"/>
  <c r="P55" i="61"/>
  <c r="W54" i="61"/>
  <c r="V54" i="61"/>
  <c r="U54" i="61"/>
  <c r="T54" i="61"/>
  <c r="X54" i="61" s="1"/>
  <c r="P54" i="61"/>
  <c r="W53" i="61"/>
  <c r="V53" i="61"/>
  <c r="U53" i="61"/>
  <c r="T53" i="61"/>
  <c r="X53" i="61" s="1"/>
  <c r="P53" i="61"/>
  <c r="W52" i="61"/>
  <c r="V52" i="61"/>
  <c r="X52" i="61" s="1"/>
  <c r="U52" i="61"/>
  <c r="T52" i="61"/>
  <c r="P52" i="61"/>
  <c r="W51" i="61"/>
  <c r="X51" i="61" s="1"/>
  <c r="V51" i="61"/>
  <c r="U51" i="61"/>
  <c r="T51" i="61"/>
  <c r="P51" i="61"/>
  <c r="X50" i="61"/>
  <c r="F54" i="62" s="1"/>
  <c r="I54" i="62" s="1"/>
  <c r="J54" i="62" s="1"/>
  <c r="W50" i="61"/>
  <c r="V50" i="61"/>
  <c r="U50" i="61"/>
  <c r="T50" i="61"/>
  <c r="P50" i="61"/>
  <c r="Z49" i="61"/>
  <c r="X49" i="61"/>
  <c r="F53" i="62" s="1"/>
  <c r="W49" i="61"/>
  <c r="V49" i="61"/>
  <c r="U49" i="61"/>
  <c r="T49" i="61"/>
  <c r="P49" i="61"/>
  <c r="W48" i="61"/>
  <c r="V48" i="61"/>
  <c r="U48" i="61"/>
  <c r="T48" i="61"/>
  <c r="X48" i="61" s="1"/>
  <c r="P48" i="61"/>
  <c r="W47" i="61"/>
  <c r="V47" i="61"/>
  <c r="U47" i="61"/>
  <c r="T47" i="61"/>
  <c r="X47" i="61" s="1"/>
  <c r="P47" i="61"/>
  <c r="W46" i="61"/>
  <c r="V46" i="61"/>
  <c r="U46" i="61"/>
  <c r="T46" i="61"/>
  <c r="X46" i="61" s="1"/>
  <c r="P46" i="61"/>
  <c r="W45" i="61"/>
  <c r="V45" i="61"/>
  <c r="U45" i="61"/>
  <c r="T45" i="61"/>
  <c r="X45" i="61" s="1"/>
  <c r="P45" i="61"/>
  <c r="W44" i="61"/>
  <c r="V44" i="61"/>
  <c r="X44" i="61" s="1"/>
  <c r="U44" i="61"/>
  <c r="T44" i="61"/>
  <c r="P44" i="61"/>
  <c r="W43" i="61"/>
  <c r="X43" i="61" s="1"/>
  <c r="V43" i="61"/>
  <c r="U43" i="61"/>
  <c r="T43" i="61"/>
  <c r="P43" i="61"/>
  <c r="X42" i="61"/>
  <c r="F46" i="62" s="1"/>
  <c r="W42" i="61"/>
  <c r="V42" i="61"/>
  <c r="U42" i="61"/>
  <c r="T42" i="61"/>
  <c r="P42" i="61"/>
  <c r="Z41" i="61"/>
  <c r="X41" i="61"/>
  <c r="F45" i="62" s="1"/>
  <c r="W41" i="61"/>
  <c r="V41" i="61"/>
  <c r="U41" i="61"/>
  <c r="T41" i="61"/>
  <c r="P41" i="61"/>
  <c r="W40" i="61"/>
  <c r="V40" i="61"/>
  <c r="U40" i="61"/>
  <c r="T40" i="61"/>
  <c r="X40" i="61" s="1"/>
  <c r="P40" i="61"/>
  <c r="W39" i="61"/>
  <c r="V39" i="61"/>
  <c r="U39" i="61"/>
  <c r="T39" i="61"/>
  <c r="X39" i="61" s="1"/>
  <c r="P39" i="61"/>
  <c r="W38" i="61"/>
  <c r="V38" i="61"/>
  <c r="U38" i="61"/>
  <c r="T38" i="61"/>
  <c r="X38" i="61" s="1"/>
  <c r="P38" i="61"/>
  <c r="W37" i="61"/>
  <c r="V37" i="61"/>
  <c r="U37" i="61"/>
  <c r="T37" i="61"/>
  <c r="X37" i="61" s="1"/>
  <c r="P37" i="61"/>
  <c r="W36" i="61"/>
  <c r="V36" i="61"/>
  <c r="X36" i="61" s="1"/>
  <c r="U36" i="61"/>
  <c r="T36" i="61"/>
  <c r="P36" i="61"/>
  <c r="W35" i="61"/>
  <c r="X35" i="61" s="1"/>
  <c r="V35" i="61"/>
  <c r="U35" i="61"/>
  <c r="T35" i="61"/>
  <c r="P35" i="61"/>
  <c r="X34" i="61"/>
  <c r="F38" i="62" s="1"/>
  <c r="W34" i="61"/>
  <c r="V34" i="61"/>
  <c r="U34" i="61"/>
  <c r="T34" i="61"/>
  <c r="P34" i="61"/>
  <c r="Z33" i="61"/>
  <c r="X33" i="61"/>
  <c r="F37" i="62" s="1"/>
  <c r="W33" i="61"/>
  <c r="V33" i="61"/>
  <c r="U33" i="61"/>
  <c r="T33" i="61"/>
  <c r="P33" i="61"/>
  <c r="W32" i="61"/>
  <c r="V32" i="61"/>
  <c r="U32" i="61"/>
  <c r="T32" i="61"/>
  <c r="X32" i="61" s="1"/>
  <c r="P32" i="61"/>
  <c r="W31" i="61"/>
  <c r="V31" i="61"/>
  <c r="U31" i="61"/>
  <c r="T31" i="61"/>
  <c r="X31" i="61" s="1"/>
  <c r="P31" i="61"/>
  <c r="W30" i="61"/>
  <c r="V30" i="61"/>
  <c r="U30" i="61"/>
  <c r="T30" i="61"/>
  <c r="X30" i="61" s="1"/>
  <c r="P30" i="61"/>
  <c r="W29" i="61"/>
  <c r="V29" i="61"/>
  <c r="U29" i="61"/>
  <c r="T29" i="61"/>
  <c r="X29" i="61" s="1"/>
  <c r="P29" i="61"/>
  <c r="W28" i="61"/>
  <c r="V28" i="61"/>
  <c r="X28" i="61" s="1"/>
  <c r="U28" i="61"/>
  <c r="T28" i="61"/>
  <c r="P28" i="61"/>
  <c r="W27" i="61"/>
  <c r="X27" i="61" s="1"/>
  <c r="V27" i="61"/>
  <c r="U27" i="61"/>
  <c r="T27" i="61"/>
  <c r="P27" i="61"/>
  <c r="X26" i="61"/>
  <c r="F30" i="62" s="1"/>
  <c r="I30" i="62" s="1"/>
  <c r="J30" i="62" s="1"/>
  <c r="W26" i="61"/>
  <c r="V26" i="61"/>
  <c r="U26" i="61"/>
  <c r="T26" i="61"/>
  <c r="P26" i="61"/>
  <c r="Z25" i="61"/>
  <c r="X25" i="61"/>
  <c r="F29" i="62" s="1"/>
  <c r="W25" i="61"/>
  <c r="V25" i="61"/>
  <c r="U25" i="61"/>
  <c r="T25" i="61"/>
  <c r="P25" i="61"/>
  <c r="W24" i="61"/>
  <c r="V24" i="61"/>
  <c r="U24" i="61"/>
  <c r="T24" i="61"/>
  <c r="X24" i="61" s="1"/>
  <c r="P24" i="61"/>
  <c r="W23" i="61"/>
  <c r="V23" i="61"/>
  <c r="U23" i="61"/>
  <c r="T23" i="61"/>
  <c r="X23" i="61" s="1"/>
  <c r="P23" i="61"/>
  <c r="W22" i="61"/>
  <c r="V22" i="61"/>
  <c r="U22" i="61"/>
  <c r="T22" i="61"/>
  <c r="X22" i="61" s="1"/>
  <c r="P22" i="61"/>
  <c r="W21" i="61"/>
  <c r="V21" i="61"/>
  <c r="U21" i="61"/>
  <c r="T21" i="61"/>
  <c r="X21" i="61" s="1"/>
  <c r="P21" i="61"/>
  <c r="W20" i="61"/>
  <c r="V20" i="61"/>
  <c r="V61" i="61" s="1"/>
  <c r="U20" i="61"/>
  <c r="T20" i="61"/>
  <c r="P20" i="61"/>
  <c r="W19" i="61"/>
  <c r="X19" i="61" s="1"/>
  <c r="V19" i="61"/>
  <c r="U19" i="61"/>
  <c r="T19" i="61"/>
  <c r="P19" i="61"/>
  <c r="X18" i="61"/>
  <c r="F22" i="62" s="1"/>
  <c r="I22" i="62" s="1"/>
  <c r="J22" i="62" s="1"/>
  <c r="W18" i="61"/>
  <c r="V18" i="61"/>
  <c r="U18" i="61"/>
  <c r="T18" i="61"/>
  <c r="P18" i="61"/>
  <c r="Z17" i="61"/>
  <c r="X17" i="61"/>
  <c r="F21" i="62" s="1"/>
  <c r="W17" i="61"/>
  <c r="V17" i="61"/>
  <c r="U17" i="61"/>
  <c r="U61" i="61" s="1"/>
  <c r="T17" i="61"/>
  <c r="P17" i="61"/>
  <c r="A17" i="6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A45" i="61" s="1"/>
  <c r="A46" i="61" s="1"/>
  <c r="A47" i="61" s="1"/>
  <c r="A48" i="61" s="1"/>
  <c r="A49" i="61" s="1"/>
  <c r="A50" i="61" s="1"/>
  <c r="A51" i="61" s="1"/>
  <c r="A52" i="61" s="1"/>
  <c r="A53" i="61" s="1"/>
  <c r="A54" i="61" s="1"/>
  <c r="A55" i="61" s="1"/>
  <c r="A56" i="61" s="1"/>
  <c r="A57" i="61" s="1"/>
  <c r="A58" i="61" s="1"/>
  <c r="A59" i="61" s="1"/>
  <c r="A60" i="61" s="1"/>
  <c r="A61" i="61" s="1"/>
  <c r="A62" i="61" s="1"/>
  <c r="A63" i="61" s="1"/>
  <c r="A71" i="61" s="1"/>
  <c r="A72" i="61" s="1"/>
  <c r="A73" i="61" s="1"/>
  <c r="A74" i="61" s="1"/>
  <c r="A75" i="61" s="1"/>
  <c r="A76" i="61" s="1"/>
  <c r="A78" i="61" s="1"/>
  <c r="A79" i="61" s="1"/>
  <c r="A80" i="61" s="1"/>
  <c r="A82" i="61" s="1"/>
  <c r="X16" i="61"/>
  <c r="F20" i="62" s="1"/>
  <c r="K20" i="62" s="1"/>
  <c r="L20" i="62" s="1"/>
  <c r="W16" i="61"/>
  <c r="T16" i="61"/>
  <c r="P16" i="61"/>
  <c r="A16" i="61"/>
  <c r="W15" i="61"/>
  <c r="X15" i="61" s="1"/>
  <c r="T15" i="61"/>
  <c r="P15" i="61"/>
  <c r="A15" i="61"/>
  <c r="X14" i="61"/>
  <c r="F18" i="62" s="1"/>
  <c r="W14" i="61"/>
  <c r="T14" i="61"/>
  <c r="P14" i="61"/>
  <c r="A14" i="61"/>
  <c r="W13" i="61"/>
  <c r="X13" i="61" s="1"/>
  <c r="T13" i="61"/>
  <c r="P13" i="61"/>
  <c r="C13" i="61"/>
  <c r="C17" i="62" s="1"/>
  <c r="A13" i="61"/>
  <c r="W12" i="61"/>
  <c r="W61" i="61" s="1"/>
  <c r="T12" i="61"/>
  <c r="T61" i="61" s="1"/>
  <c r="P12" i="61"/>
  <c r="P61" i="61" s="1"/>
  <c r="D10" i="61"/>
  <c r="F10" i="61" s="1"/>
  <c r="H10" i="61" s="1"/>
  <c r="I10" i="61" s="1"/>
  <c r="J10" i="61" s="1"/>
  <c r="L10" i="61" s="1"/>
  <c r="M10" i="61" s="1"/>
  <c r="N10" i="61" s="1"/>
  <c r="O10" i="61" s="1"/>
  <c r="P10" i="61" s="1"/>
  <c r="R10" i="61" s="1"/>
  <c r="T10" i="61" s="1"/>
  <c r="U10" i="61" s="1"/>
  <c r="V10" i="61" s="1"/>
  <c r="W10" i="61" s="1"/>
  <c r="X10" i="61" s="1"/>
  <c r="Z10" i="61" s="1"/>
  <c r="F41" i="62" l="1"/>
  <c r="Z37" i="61"/>
  <c r="F50" i="62"/>
  <c r="Z46" i="61"/>
  <c r="F59" i="62"/>
  <c r="Z55" i="61"/>
  <c r="F28" i="62"/>
  <c r="Z24" i="61"/>
  <c r="F39" i="62"/>
  <c r="Z35" i="61"/>
  <c r="F63" i="62"/>
  <c r="Z59" i="61"/>
  <c r="F31" i="62"/>
  <c r="Z27" i="61"/>
  <c r="K29" i="62"/>
  <c r="L29" i="62" s="1"/>
  <c r="I29" i="62"/>
  <c r="J29" i="62" s="1"/>
  <c r="G29" i="62"/>
  <c r="H29" i="62" s="1"/>
  <c r="M29" i="62"/>
  <c r="N29" i="62" s="1"/>
  <c r="F57" i="62"/>
  <c r="Z53" i="61"/>
  <c r="K18" i="62"/>
  <c r="L18" i="62" s="1"/>
  <c r="G18" i="62"/>
  <c r="H18" i="62" s="1"/>
  <c r="I18" i="62"/>
  <c r="J18" i="62" s="1"/>
  <c r="M18" i="62"/>
  <c r="N18" i="62" s="1"/>
  <c r="K21" i="62"/>
  <c r="L21" i="62" s="1"/>
  <c r="I21" i="62"/>
  <c r="J21" i="62" s="1"/>
  <c r="M21" i="62"/>
  <c r="N21" i="62" s="1"/>
  <c r="G21" i="62"/>
  <c r="H21" i="62" s="1"/>
  <c r="F26" i="62"/>
  <c r="Z22" i="61"/>
  <c r="M74" i="61"/>
  <c r="M79" i="61"/>
  <c r="M71" i="61"/>
  <c r="M76" i="61" s="1"/>
  <c r="M73" i="61"/>
  <c r="M78" i="61"/>
  <c r="M75" i="61"/>
  <c r="M72" i="61"/>
  <c r="F32" i="62"/>
  <c r="Z28" i="61"/>
  <c r="F43" i="62"/>
  <c r="Z39" i="61"/>
  <c r="F19" i="62"/>
  <c r="Z15" i="61"/>
  <c r="F23" i="62"/>
  <c r="Z19" i="61"/>
  <c r="F49" i="62"/>
  <c r="Z45" i="61"/>
  <c r="M53" i="62"/>
  <c r="N53" i="62" s="1"/>
  <c r="K53" i="62"/>
  <c r="L53" i="62" s="1"/>
  <c r="I53" i="62"/>
  <c r="J53" i="62" s="1"/>
  <c r="G53" i="62"/>
  <c r="H53" i="62" s="1"/>
  <c r="F56" i="62"/>
  <c r="Z52" i="61"/>
  <c r="F58" i="62"/>
  <c r="Z54" i="61"/>
  <c r="F17" i="62"/>
  <c r="Z13" i="61"/>
  <c r="F27" i="62"/>
  <c r="Z23" i="61"/>
  <c r="F36" i="62"/>
  <c r="Z32" i="61"/>
  <c r="Z43" i="61"/>
  <c r="F47" i="62"/>
  <c r="M61" i="62"/>
  <c r="N61" i="62" s="1"/>
  <c r="K61" i="62"/>
  <c r="L61" i="62" s="1"/>
  <c r="I61" i="62"/>
  <c r="J61" i="62" s="1"/>
  <c r="G61" i="62"/>
  <c r="H61" i="62" s="1"/>
  <c r="F35" i="62"/>
  <c r="Z31" i="61"/>
  <c r="Z40" i="61"/>
  <c r="F44" i="62"/>
  <c r="F55" i="62"/>
  <c r="Z51" i="61"/>
  <c r="F48" i="62"/>
  <c r="Z44" i="61"/>
  <c r="F25" i="62"/>
  <c r="Z21" i="61"/>
  <c r="F34" i="62"/>
  <c r="Z30" i="61"/>
  <c r="F52" i="62"/>
  <c r="Z48" i="61"/>
  <c r="F33" i="62"/>
  <c r="Z29" i="61"/>
  <c r="F40" i="62"/>
  <c r="Z36" i="61"/>
  <c r="F42" i="62"/>
  <c r="Z38" i="61"/>
  <c r="F51" i="62"/>
  <c r="Z47" i="61"/>
  <c r="F60" i="62"/>
  <c r="Z56" i="61"/>
  <c r="Z60" i="61"/>
  <c r="M38" i="62"/>
  <c r="N38" i="62" s="1"/>
  <c r="K38" i="62"/>
  <c r="L38" i="62" s="1"/>
  <c r="I38" i="62"/>
  <c r="J38" i="62" s="1"/>
  <c r="Z14" i="61"/>
  <c r="X12" i="61"/>
  <c r="G30" i="62"/>
  <c r="H30" i="62" s="1"/>
  <c r="G38" i="62"/>
  <c r="H38" i="62" s="1"/>
  <c r="O38" i="62" s="1"/>
  <c r="C14" i="61"/>
  <c r="Z18" i="61"/>
  <c r="Z26" i="61"/>
  <c r="X20" i="61"/>
  <c r="K64" i="62"/>
  <c r="L64" i="62" s="1"/>
  <c r="I64" i="62"/>
  <c r="J64" i="62" s="1"/>
  <c r="G64" i="62"/>
  <c r="H64" i="62" s="1"/>
  <c r="M64" i="62"/>
  <c r="N64" i="62" s="1"/>
  <c r="I20" i="62"/>
  <c r="J20" i="62" s="1"/>
  <c r="G20" i="62"/>
  <c r="H20" i="62" s="1"/>
  <c r="M20" i="62"/>
  <c r="N20" i="62" s="1"/>
  <c r="G22" i="62"/>
  <c r="H22" i="62" s="1"/>
  <c r="O22" i="62" s="1"/>
  <c r="M30" i="62"/>
  <c r="N30" i="62" s="1"/>
  <c r="K30" i="62"/>
  <c r="L30" i="62" s="1"/>
  <c r="Z16" i="61"/>
  <c r="K37" i="62"/>
  <c r="L37" i="62" s="1"/>
  <c r="I37" i="62"/>
  <c r="J37" i="62" s="1"/>
  <c r="G37" i="62"/>
  <c r="H37" i="62" s="1"/>
  <c r="M37" i="62"/>
  <c r="N37" i="62" s="1"/>
  <c r="G45" i="62"/>
  <c r="H45" i="62" s="1"/>
  <c r="O45" i="62" s="1"/>
  <c r="M45" i="62"/>
  <c r="N45" i="62" s="1"/>
  <c r="K45" i="62"/>
  <c r="L45" i="62" s="1"/>
  <c r="I45" i="62"/>
  <c r="J45" i="62" s="1"/>
  <c r="K46" i="62"/>
  <c r="L46" i="62" s="1"/>
  <c r="I46" i="62"/>
  <c r="J46" i="62" s="1"/>
  <c r="G46" i="62"/>
  <c r="H46" i="62" s="1"/>
  <c r="M46" i="62"/>
  <c r="N46" i="62" s="1"/>
  <c r="G54" i="62"/>
  <c r="H54" i="62" s="1"/>
  <c r="O54" i="62" s="1"/>
  <c r="M54" i="62"/>
  <c r="N54" i="62" s="1"/>
  <c r="K54" i="62"/>
  <c r="L54" i="62" s="1"/>
  <c r="G62" i="62"/>
  <c r="H62" i="62" s="1"/>
  <c r="M62" i="62"/>
  <c r="N62" i="62" s="1"/>
  <c r="K62" i="62"/>
  <c r="L62" i="62" s="1"/>
  <c r="I62" i="62"/>
  <c r="J62" i="62" s="1"/>
  <c r="F46" i="63"/>
  <c r="F48" i="63" s="1"/>
  <c r="M22" i="62"/>
  <c r="N22" i="62" s="1"/>
  <c r="K22" i="62"/>
  <c r="L22" i="62" s="1"/>
  <c r="Z34" i="61"/>
  <c r="Z42" i="61"/>
  <c r="Z50" i="61"/>
  <c r="Z58" i="61"/>
  <c r="F24" i="62" l="1"/>
  <c r="Z20" i="61"/>
  <c r="M44" i="62"/>
  <c r="N44" i="62" s="1"/>
  <c r="K44" i="62"/>
  <c r="L44" i="62" s="1"/>
  <c r="I44" i="62"/>
  <c r="J44" i="62" s="1"/>
  <c r="G44" i="62"/>
  <c r="H44" i="62" s="1"/>
  <c r="O44" i="62" s="1"/>
  <c r="M47" i="62"/>
  <c r="N47" i="62" s="1"/>
  <c r="K47" i="62"/>
  <c r="L47" i="62" s="1"/>
  <c r="I47" i="62"/>
  <c r="J47" i="62" s="1"/>
  <c r="G47" i="62"/>
  <c r="H47" i="62" s="1"/>
  <c r="G28" i="62"/>
  <c r="H28" i="62" s="1"/>
  <c r="M28" i="62"/>
  <c r="N28" i="62" s="1"/>
  <c r="I28" i="62"/>
  <c r="J28" i="62" s="1"/>
  <c r="K28" i="62"/>
  <c r="L28" i="62" s="1"/>
  <c r="O46" i="62"/>
  <c r="O37" i="62"/>
  <c r="O20" i="62"/>
  <c r="G42" i="62"/>
  <c r="H42" i="62" s="1"/>
  <c r="M42" i="62"/>
  <c r="N42" i="62" s="1"/>
  <c r="K42" i="62"/>
  <c r="L42" i="62" s="1"/>
  <c r="I42" i="62"/>
  <c r="J42" i="62" s="1"/>
  <c r="G34" i="62"/>
  <c r="H34" i="62" s="1"/>
  <c r="O34" i="62" s="1"/>
  <c r="M34" i="62"/>
  <c r="N34" i="62" s="1"/>
  <c r="K34" i="62"/>
  <c r="L34" i="62" s="1"/>
  <c r="I34" i="62"/>
  <c r="J34" i="62" s="1"/>
  <c r="K58" i="62"/>
  <c r="L58" i="62" s="1"/>
  <c r="I58" i="62"/>
  <c r="J58" i="62" s="1"/>
  <c r="G58" i="62"/>
  <c r="H58" i="62" s="1"/>
  <c r="O58" i="62" s="1"/>
  <c r="M58" i="62"/>
  <c r="N58" i="62" s="1"/>
  <c r="K49" i="62"/>
  <c r="L49" i="62" s="1"/>
  <c r="I49" i="62"/>
  <c r="J49" i="62" s="1"/>
  <c r="G49" i="62"/>
  <c r="H49" i="62" s="1"/>
  <c r="O49" i="62" s="1"/>
  <c r="M49" i="62"/>
  <c r="N49" i="62" s="1"/>
  <c r="K32" i="62"/>
  <c r="L32" i="62" s="1"/>
  <c r="I32" i="62"/>
  <c r="J32" i="62" s="1"/>
  <c r="G32" i="62"/>
  <c r="H32" i="62" s="1"/>
  <c r="O32" i="62" s="1"/>
  <c r="M32" i="62"/>
  <c r="N32" i="62" s="1"/>
  <c r="O18" i="62"/>
  <c r="K55" i="62"/>
  <c r="L55" i="62" s="1"/>
  <c r="I55" i="62"/>
  <c r="J55" i="62" s="1"/>
  <c r="G55" i="62"/>
  <c r="H55" i="62" s="1"/>
  <c r="M55" i="62"/>
  <c r="N55" i="62" s="1"/>
  <c r="I26" i="62"/>
  <c r="J26" i="62" s="1"/>
  <c r="G26" i="62"/>
  <c r="H26" i="62" s="1"/>
  <c r="M26" i="62"/>
  <c r="N26" i="62" s="1"/>
  <c r="K26" i="62"/>
  <c r="L26" i="62" s="1"/>
  <c r="I31" i="62"/>
  <c r="J31" i="62" s="1"/>
  <c r="G31" i="62"/>
  <c r="H31" i="62" s="1"/>
  <c r="O31" i="62" s="1"/>
  <c r="M31" i="62"/>
  <c r="N31" i="62" s="1"/>
  <c r="K31" i="62"/>
  <c r="L31" i="62" s="1"/>
  <c r="G59" i="62"/>
  <c r="H59" i="62" s="1"/>
  <c r="M59" i="62"/>
  <c r="N59" i="62" s="1"/>
  <c r="K59" i="62"/>
  <c r="L59" i="62" s="1"/>
  <c r="I59" i="62"/>
  <c r="J59" i="62" s="1"/>
  <c r="I43" i="62"/>
  <c r="J43" i="62" s="1"/>
  <c r="G43" i="62"/>
  <c r="H43" i="62" s="1"/>
  <c r="O43" i="62" s="1"/>
  <c r="M43" i="62"/>
  <c r="N43" i="62" s="1"/>
  <c r="K43" i="62"/>
  <c r="L43" i="62" s="1"/>
  <c r="C18" i="62"/>
  <c r="C15" i="61"/>
  <c r="I40" i="62"/>
  <c r="J40" i="62" s="1"/>
  <c r="G40" i="62"/>
  <c r="H40" i="62" s="1"/>
  <c r="M40" i="62"/>
  <c r="N40" i="62" s="1"/>
  <c r="K40" i="62"/>
  <c r="L40" i="62" s="1"/>
  <c r="G25" i="62"/>
  <c r="H25" i="62" s="1"/>
  <c r="M25" i="62"/>
  <c r="N25" i="62" s="1"/>
  <c r="K25" i="62"/>
  <c r="L25" i="62" s="1"/>
  <c r="I25" i="62"/>
  <c r="J25" i="62" s="1"/>
  <c r="K35" i="62"/>
  <c r="L35" i="62" s="1"/>
  <c r="I35" i="62"/>
  <c r="J35" i="62" s="1"/>
  <c r="G35" i="62"/>
  <c r="H35" i="62" s="1"/>
  <c r="M35" i="62"/>
  <c r="N35" i="62" s="1"/>
  <c r="G36" i="62"/>
  <c r="H36" i="62" s="1"/>
  <c r="M36" i="62"/>
  <c r="N36" i="62" s="1"/>
  <c r="K36" i="62"/>
  <c r="L36" i="62" s="1"/>
  <c r="I36" i="62"/>
  <c r="J36" i="62" s="1"/>
  <c r="M56" i="62"/>
  <c r="N56" i="62" s="1"/>
  <c r="K56" i="62"/>
  <c r="L56" i="62" s="1"/>
  <c r="I56" i="62"/>
  <c r="J56" i="62" s="1"/>
  <c r="G56" i="62"/>
  <c r="H56" i="62" s="1"/>
  <c r="O56" i="62" s="1"/>
  <c r="I23" i="62"/>
  <c r="J23" i="62" s="1"/>
  <c r="G23" i="62"/>
  <c r="H23" i="62" s="1"/>
  <c r="M23" i="62"/>
  <c r="N23" i="62" s="1"/>
  <c r="K23" i="62"/>
  <c r="L23" i="62" s="1"/>
  <c r="O21" i="62"/>
  <c r="G51" i="62"/>
  <c r="H51" i="62" s="1"/>
  <c r="M51" i="62"/>
  <c r="N51" i="62" s="1"/>
  <c r="K51" i="62"/>
  <c r="L51" i="62" s="1"/>
  <c r="I51" i="62"/>
  <c r="J51" i="62" s="1"/>
  <c r="O62" i="62"/>
  <c r="O61" i="62"/>
  <c r="O53" i="62"/>
  <c r="M80" i="61"/>
  <c r="I57" i="62"/>
  <c r="J57" i="62" s="1"/>
  <c r="G57" i="62"/>
  <c r="H57" i="62" s="1"/>
  <c r="M57" i="62"/>
  <c r="N57" i="62" s="1"/>
  <c r="K57" i="62"/>
  <c r="L57" i="62" s="1"/>
  <c r="I63" i="62"/>
  <c r="J63" i="62" s="1"/>
  <c r="G63" i="62"/>
  <c r="H63" i="62" s="1"/>
  <c r="M63" i="62"/>
  <c r="N63" i="62" s="1"/>
  <c r="K63" i="62"/>
  <c r="L63" i="62" s="1"/>
  <c r="M50" i="62"/>
  <c r="N50" i="62" s="1"/>
  <c r="K50" i="62"/>
  <c r="L50" i="62" s="1"/>
  <c r="I50" i="62"/>
  <c r="J50" i="62" s="1"/>
  <c r="G50" i="62"/>
  <c r="H50" i="62" s="1"/>
  <c r="I17" i="62"/>
  <c r="J17" i="62" s="1"/>
  <c r="M17" i="62"/>
  <c r="N17" i="62" s="1"/>
  <c r="G17" i="62"/>
  <c r="H17" i="62" s="1"/>
  <c r="O17" i="62" s="1"/>
  <c r="K17" i="62"/>
  <c r="L17" i="62" s="1"/>
  <c r="O64" i="62"/>
  <c r="O30" i="62"/>
  <c r="I60" i="62"/>
  <c r="J60" i="62" s="1"/>
  <c r="G60" i="62"/>
  <c r="H60" i="62" s="1"/>
  <c r="M60" i="62"/>
  <c r="N60" i="62" s="1"/>
  <c r="K60" i="62"/>
  <c r="L60" i="62" s="1"/>
  <c r="M33" i="62"/>
  <c r="N33" i="62" s="1"/>
  <c r="K33" i="62"/>
  <c r="L33" i="62" s="1"/>
  <c r="I33" i="62"/>
  <c r="J33" i="62" s="1"/>
  <c r="G33" i="62"/>
  <c r="H33" i="62" s="1"/>
  <c r="G48" i="62"/>
  <c r="H48" i="62" s="1"/>
  <c r="O48" i="62" s="1"/>
  <c r="M48" i="62"/>
  <c r="N48" i="62" s="1"/>
  <c r="K48" i="62"/>
  <c r="L48" i="62" s="1"/>
  <c r="I48" i="62"/>
  <c r="J48" i="62" s="1"/>
  <c r="M27" i="62"/>
  <c r="N27" i="62" s="1"/>
  <c r="K27" i="62"/>
  <c r="L27" i="62" s="1"/>
  <c r="I27" i="62"/>
  <c r="J27" i="62" s="1"/>
  <c r="G27" i="62"/>
  <c r="H27" i="62" s="1"/>
  <c r="M19" i="62"/>
  <c r="N19" i="62" s="1"/>
  <c r="K19" i="62"/>
  <c r="L19" i="62" s="1"/>
  <c r="I19" i="62"/>
  <c r="J19" i="62" s="1"/>
  <c r="G19" i="62"/>
  <c r="H19" i="62" s="1"/>
  <c r="K52" i="62"/>
  <c r="L52" i="62" s="1"/>
  <c r="I52" i="62"/>
  <c r="J52" i="62" s="1"/>
  <c r="G52" i="62"/>
  <c r="H52" i="62" s="1"/>
  <c r="O52" i="62" s="1"/>
  <c r="M52" i="62"/>
  <c r="N52" i="62" s="1"/>
  <c r="F16" i="62"/>
  <c r="X61" i="61"/>
  <c r="Z12" i="61"/>
  <c r="Z61" i="61" s="1"/>
  <c r="Z63" i="61" s="1"/>
  <c r="M82" i="61"/>
  <c r="O29" i="62"/>
  <c r="G39" i="62"/>
  <c r="H39" i="62" s="1"/>
  <c r="M39" i="62"/>
  <c r="N39" i="62" s="1"/>
  <c r="K39" i="62"/>
  <c r="L39" i="62" s="1"/>
  <c r="I39" i="62"/>
  <c r="J39" i="62" s="1"/>
  <c r="K41" i="62"/>
  <c r="L41" i="62" s="1"/>
  <c r="I41" i="62"/>
  <c r="J41" i="62" s="1"/>
  <c r="G41" i="62"/>
  <c r="H41" i="62" s="1"/>
  <c r="M41" i="62"/>
  <c r="N41" i="62" s="1"/>
  <c r="F65" i="62" l="1"/>
  <c r="M16" i="62"/>
  <c r="I16" i="62"/>
  <c r="G16" i="62"/>
  <c r="K16" i="62"/>
  <c r="O27" i="62"/>
  <c r="O33" i="62"/>
  <c r="O57" i="62"/>
  <c r="O35" i="62"/>
  <c r="O39" i="62"/>
  <c r="C19" i="62"/>
  <c r="C16" i="61"/>
  <c r="O26" i="62"/>
  <c r="O40" i="62"/>
  <c r="O19" i="62"/>
  <c r="O63" i="62"/>
  <c r="O59" i="62"/>
  <c r="O28" i="62"/>
  <c r="P79" i="61"/>
  <c r="P71" i="61"/>
  <c r="P73" i="61"/>
  <c r="P74" i="61"/>
  <c r="P78" i="61"/>
  <c r="P80" i="61" s="1"/>
  <c r="P75" i="61"/>
  <c r="P72" i="61"/>
  <c r="O23" i="62"/>
  <c r="O42" i="62"/>
  <c r="O47" i="62"/>
  <c r="O51" i="62"/>
  <c r="O41" i="62"/>
  <c r="O60" i="62"/>
  <c r="O50" i="62"/>
  <c r="O36" i="62"/>
  <c r="O25" i="62"/>
  <c r="O55" i="62"/>
  <c r="K24" i="62"/>
  <c r="L24" i="62" s="1"/>
  <c r="I24" i="62"/>
  <c r="J24" i="62" s="1"/>
  <c r="G24" i="62"/>
  <c r="H24" i="62" s="1"/>
  <c r="M24" i="62"/>
  <c r="N24" i="62" s="1"/>
  <c r="O24" i="62" l="1"/>
  <c r="P76" i="61"/>
  <c r="P82" i="61" s="1"/>
  <c r="K65" i="62"/>
  <c r="L16" i="62"/>
  <c r="L65" i="62" s="1"/>
  <c r="L69" i="62" s="1"/>
  <c r="L71" i="62" s="1"/>
  <c r="C20" i="62"/>
  <c r="C17" i="61"/>
  <c r="G65" i="62"/>
  <c r="H16" i="62"/>
  <c r="I65" i="62"/>
  <c r="J16" i="62"/>
  <c r="J65" i="62" s="1"/>
  <c r="J69" i="62" s="1"/>
  <c r="J71" i="62" s="1"/>
  <c r="M65" i="62"/>
  <c r="N16" i="62"/>
  <c r="N65" i="62" s="1"/>
  <c r="N69" i="62" s="1"/>
  <c r="N71" i="62" s="1"/>
  <c r="C21" i="62" l="1"/>
  <c r="C18" i="61"/>
  <c r="H65" i="62"/>
  <c r="H69" i="62" s="1"/>
  <c r="O16" i="62"/>
  <c r="O65" i="62" s="1"/>
  <c r="H71" i="62" l="1"/>
  <c r="O69" i="62"/>
  <c r="O71" i="62" s="1"/>
  <c r="C22" i="62"/>
  <c r="C19" i="61"/>
  <c r="C20" i="61" l="1"/>
  <c r="C23" i="62"/>
  <c r="I83" i="62"/>
  <c r="I82" i="62"/>
  <c r="I81" i="62"/>
  <c r="I80" i="62"/>
  <c r="I87" i="62"/>
  <c r="I79" i="62"/>
  <c r="I84" i="62" s="1"/>
  <c r="I86" i="62"/>
  <c r="I88" i="62" l="1"/>
  <c r="I90" i="62" s="1"/>
  <c r="C24" i="62"/>
  <c r="C21" i="61"/>
  <c r="C25" i="62" l="1"/>
  <c r="C22" i="61"/>
  <c r="C23" i="61" l="1"/>
  <c r="C26" i="62"/>
  <c r="C27" i="62" l="1"/>
  <c r="C24" i="61"/>
  <c r="C28" i="62" l="1"/>
  <c r="C25" i="61"/>
  <c r="C26" i="61" l="1"/>
  <c r="C29" i="62"/>
  <c r="C30" i="62" l="1"/>
  <c r="C27" i="61"/>
  <c r="C31" i="62" l="1"/>
  <c r="C28" i="61"/>
  <c r="C32" i="62" l="1"/>
  <c r="C29" i="61"/>
  <c r="C33" i="62" l="1"/>
  <c r="C30" i="61"/>
  <c r="C34" i="62" l="1"/>
  <c r="C31" i="61"/>
  <c r="C35" i="62" l="1"/>
  <c r="C32" i="61"/>
  <c r="C36" i="62" l="1"/>
  <c r="C33" i="61"/>
  <c r="C37" i="62" l="1"/>
  <c r="C34" i="61"/>
  <c r="C38" i="62" l="1"/>
  <c r="C35" i="61"/>
  <c r="C39" i="62" l="1"/>
  <c r="C36" i="61"/>
  <c r="E17" i="48"/>
  <c r="H44" i="60"/>
  <c r="E44" i="60"/>
  <c r="I43" i="60"/>
  <c r="J43" i="60" s="1"/>
  <c r="F43" i="60"/>
  <c r="I42" i="60"/>
  <c r="J42" i="60" s="1"/>
  <c r="F42" i="60"/>
  <c r="I41" i="60"/>
  <c r="J41" i="60" s="1"/>
  <c r="F41" i="60"/>
  <c r="I40" i="60"/>
  <c r="J40" i="60" s="1"/>
  <c r="F40" i="60"/>
  <c r="I39" i="60"/>
  <c r="J39" i="60" s="1"/>
  <c r="F39" i="60"/>
  <c r="I38" i="60"/>
  <c r="J38" i="60" s="1"/>
  <c r="F38" i="60"/>
  <c r="I37" i="60"/>
  <c r="J37" i="60" s="1"/>
  <c r="F37" i="60"/>
  <c r="I36" i="60"/>
  <c r="J36" i="60" s="1"/>
  <c r="F36" i="60"/>
  <c r="I35" i="60"/>
  <c r="J35" i="60" s="1"/>
  <c r="F35" i="60"/>
  <c r="I34" i="60"/>
  <c r="J34" i="60" s="1"/>
  <c r="F34" i="60"/>
  <c r="I33" i="60"/>
  <c r="J33" i="60" s="1"/>
  <c r="F33" i="60"/>
  <c r="I32" i="60"/>
  <c r="J32" i="60" s="1"/>
  <c r="F32" i="60"/>
  <c r="I31" i="60"/>
  <c r="J31" i="60" s="1"/>
  <c r="F31" i="60"/>
  <c r="I30" i="60"/>
  <c r="J30" i="60" s="1"/>
  <c r="F30" i="60"/>
  <c r="I29" i="60"/>
  <c r="J29" i="60" s="1"/>
  <c r="F29" i="60"/>
  <c r="I28" i="60"/>
  <c r="J28" i="60" s="1"/>
  <c r="F28" i="60"/>
  <c r="I27" i="60"/>
  <c r="J27" i="60" s="1"/>
  <c r="F27" i="60"/>
  <c r="I26" i="60"/>
  <c r="J26" i="60" s="1"/>
  <c r="F26" i="60"/>
  <c r="I25" i="60"/>
  <c r="J25" i="60" s="1"/>
  <c r="F25" i="60"/>
  <c r="I24" i="60"/>
  <c r="J24" i="60" s="1"/>
  <c r="F24" i="60"/>
  <c r="I23" i="60"/>
  <c r="J23" i="60" s="1"/>
  <c r="G23" i="60"/>
  <c r="F23" i="60"/>
  <c r="I22" i="60"/>
  <c r="J22" i="60" s="1"/>
  <c r="G22" i="60"/>
  <c r="F22" i="60"/>
  <c r="J21" i="60"/>
  <c r="I21" i="60"/>
  <c r="G21" i="60"/>
  <c r="F21" i="60"/>
  <c r="I20" i="60"/>
  <c r="J20" i="60" s="1"/>
  <c r="G20" i="60"/>
  <c r="F20" i="60"/>
  <c r="I19" i="60"/>
  <c r="J19" i="60" s="1"/>
  <c r="G19" i="60"/>
  <c r="F19" i="60"/>
  <c r="I18" i="60"/>
  <c r="J18" i="60" s="1"/>
  <c r="F18" i="60"/>
  <c r="I17" i="60"/>
  <c r="J17" i="60" s="1"/>
  <c r="G17" i="60"/>
  <c r="F17" i="60"/>
  <c r="J16" i="60"/>
  <c r="I16" i="60"/>
  <c r="G16" i="60"/>
  <c r="F16" i="60"/>
  <c r="G15" i="60"/>
  <c r="I15" i="60" s="1"/>
  <c r="J15" i="60" s="1"/>
  <c r="F15" i="60"/>
  <c r="G14" i="60"/>
  <c r="I14" i="60" s="1"/>
  <c r="J14" i="60" s="1"/>
  <c r="F14" i="60"/>
  <c r="I13" i="60"/>
  <c r="J13" i="60" s="1"/>
  <c r="G13" i="60"/>
  <c r="F13" i="60"/>
  <c r="J12" i="60"/>
  <c r="I12" i="60"/>
  <c r="F12" i="60"/>
  <c r="J11" i="60"/>
  <c r="I11" i="60"/>
  <c r="G11" i="60"/>
  <c r="F11" i="60"/>
  <c r="I10" i="60"/>
  <c r="G10" i="60"/>
  <c r="F10" i="60"/>
  <c r="J10" i="60" s="1"/>
  <c r="I9" i="60"/>
  <c r="J9" i="60" s="1"/>
  <c r="G9" i="60"/>
  <c r="F9" i="60"/>
  <c r="I8" i="60"/>
  <c r="J8" i="60" s="1"/>
  <c r="G8" i="60"/>
  <c r="F8" i="60"/>
  <c r="J7" i="60"/>
  <c r="I7" i="60"/>
  <c r="G7" i="60"/>
  <c r="F7" i="60"/>
  <c r="A7" i="60"/>
  <c r="A8" i="60" s="1"/>
  <c r="A9" i="60" s="1"/>
  <c r="A10" i="60" s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A31" i="60" s="1"/>
  <c r="A32" i="60" s="1"/>
  <c r="A33" i="60" s="1"/>
  <c r="A34" i="60" s="1"/>
  <c r="A35" i="60" s="1"/>
  <c r="A36" i="60" s="1"/>
  <c r="A37" i="60" s="1"/>
  <c r="A38" i="60" s="1"/>
  <c r="A39" i="60" s="1"/>
  <c r="A40" i="60" s="1"/>
  <c r="A41" i="60" s="1"/>
  <c r="A42" i="60" s="1"/>
  <c r="A43" i="60" s="1"/>
  <c r="A44" i="60" s="1"/>
  <c r="I6" i="60"/>
  <c r="I44" i="60" s="1"/>
  <c r="G6" i="60"/>
  <c r="F6" i="60"/>
  <c r="F44" i="60" s="1"/>
  <c r="C40" i="62" l="1"/>
  <c r="C37" i="61"/>
  <c r="J6" i="60"/>
  <c r="J44" i="60" s="1"/>
  <c r="C41" i="62" l="1"/>
  <c r="C38" i="61"/>
  <c r="E20" i="35"/>
  <c r="E25" i="35"/>
  <c r="G20" i="48"/>
  <c r="G19" i="48"/>
  <c r="G18" i="48"/>
  <c r="G17" i="48"/>
  <c r="F62" i="35"/>
  <c r="C42" i="62" l="1"/>
  <c r="C39" i="61"/>
  <c r="A9" i="50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F43" i="50"/>
  <c r="B3" i="56"/>
  <c r="B4" i="58"/>
  <c r="B5" i="58"/>
  <c r="B4" i="56"/>
  <c r="A4" i="28"/>
  <c r="A5" i="17"/>
  <c r="C43" i="62" l="1"/>
  <c r="C40" i="61"/>
  <c r="G67" i="35"/>
  <c r="G9" i="35"/>
  <c r="C44" i="62" l="1"/>
  <c r="C41" i="61"/>
  <c r="E14" i="48"/>
  <c r="C45" i="62" l="1"/>
  <c r="C42" i="61"/>
  <c r="A16" i="59"/>
  <c r="A17" i="59" s="1"/>
  <c r="A18" i="59" s="1"/>
  <c r="A19" i="59" s="1"/>
  <c r="A20" i="59" s="1"/>
  <c r="A13" i="59"/>
  <c r="A14" i="59" s="1"/>
  <c r="A15" i="59" s="1"/>
  <c r="A4" i="59"/>
  <c r="A3" i="59"/>
  <c r="F16" i="59"/>
  <c r="F20" i="59" s="1"/>
  <c r="C46" i="62" l="1"/>
  <c r="C43" i="61"/>
  <c r="E16" i="48"/>
  <c r="E12" i="48"/>
  <c r="C47" i="62" l="1"/>
  <c r="C44" i="61"/>
  <c r="A56" i="58"/>
  <c r="A57" i="58" s="1"/>
  <c r="A58" i="58" s="1"/>
  <c r="A59" i="58" s="1"/>
  <c r="A60" i="58" s="1"/>
  <c r="A61" i="58" s="1"/>
  <c r="A62" i="58" s="1"/>
  <c r="A63" i="58" s="1"/>
  <c r="A13" i="58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C55" i="58"/>
  <c r="E54" i="58"/>
  <c r="G54" i="58" s="1"/>
  <c r="E53" i="58"/>
  <c r="E52" i="58"/>
  <c r="G52" i="58" s="1"/>
  <c r="E51" i="58"/>
  <c r="E50" i="58"/>
  <c r="G50" i="58" s="1"/>
  <c r="E49" i="58"/>
  <c r="E48" i="58"/>
  <c r="G48" i="58" s="1"/>
  <c r="E47" i="58"/>
  <c r="E46" i="58"/>
  <c r="G46" i="58" s="1"/>
  <c r="E45" i="58"/>
  <c r="E44" i="58"/>
  <c r="G44" i="58" s="1"/>
  <c r="E43" i="58"/>
  <c r="E42" i="58"/>
  <c r="G42" i="58" s="1"/>
  <c r="E41" i="58"/>
  <c r="E40" i="58"/>
  <c r="G40" i="58" s="1"/>
  <c r="F39" i="58"/>
  <c r="E39" i="58"/>
  <c r="G39" i="58" s="1"/>
  <c r="E38" i="58"/>
  <c r="G38" i="58" s="1"/>
  <c r="E37" i="58"/>
  <c r="G37" i="58" s="1"/>
  <c r="E36" i="58"/>
  <c r="G36" i="58" s="1"/>
  <c r="E35" i="58"/>
  <c r="G35" i="58" s="1"/>
  <c r="E34" i="58"/>
  <c r="G34" i="58" s="1"/>
  <c r="E33" i="58"/>
  <c r="G33" i="58" s="1"/>
  <c r="E32" i="58"/>
  <c r="G32" i="58" s="1"/>
  <c r="E31" i="58"/>
  <c r="G31" i="58" s="1"/>
  <c r="E30" i="58"/>
  <c r="G30" i="58" s="1"/>
  <c r="F29" i="58"/>
  <c r="E29" i="58"/>
  <c r="G29" i="58" s="1"/>
  <c r="E28" i="58"/>
  <c r="G28" i="58" s="1"/>
  <c r="E27" i="58"/>
  <c r="G27" i="58" s="1"/>
  <c r="E26" i="58"/>
  <c r="G26" i="58" s="1"/>
  <c r="E25" i="58"/>
  <c r="G25" i="58" s="1"/>
  <c r="E24" i="58"/>
  <c r="G24" i="58" s="1"/>
  <c r="E23" i="58"/>
  <c r="G23" i="58" s="1"/>
  <c r="E22" i="58"/>
  <c r="G22" i="58" s="1"/>
  <c r="E21" i="58"/>
  <c r="G21" i="58" s="1"/>
  <c r="E20" i="58"/>
  <c r="G20" i="58" s="1"/>
  <c r="E19" i="58"/>
  <c r="G19" i="58" s="1"/>
  <c r="E18" i="58"/>
  <c r="G18" i="58" s="1"/>
  <c r="E17" i="58"/>
  <c r="G17" i="58" s="1"/>
  <c r="E16" i="58"/>
  <c r="G16" i="58" s="1"/>
  <c r="E15" i="58"/>
  <c r="G15" i="58" s="1"/>
  <c r="E14" i="58"/>
  <c r="G14" i="58" s="1"/>
  <c r="E13" i="58"/>
  <c r="G13" i="58" s="1"/>
  <c r="E12" i="58"/>
  <c r="G12" i="58" s="1"/>
  <c r="C48" i="62" l="1"/>
  <c r="C45" i="61"/>
  <c r="F23" i="58"/>
  <c r="F31" i="58"/>
  <c r="F25" i="58"/>
  <c r="H31" i="58"/>
  <c r="F19" i="58"/>
  <c r="H19" i="58" s="1"/>
  <c r="G43" i="58"/>
  <c r="F43" i="58"/>
  <c r="G51" i="58"/>
  <c r="F51" i="58"/>
  <c r="G49" i="58"/>
  <c r="F49" i="58"/>
  <c r="F13" i="58"/>
  <c r="H13" i="58" s="1"/>
  <c r="F35" i="58"/>
  <c r="H35" i="58" s="1"/>
  <c r="F27" i="58"/>
  <c r="H27" i="58" s="1"/>
  <c r="G45" i="58"/>
  <c r="F45" i="58"/>
  <c r="G53" i="58"/>
  <c r="F53" i="58"/>
  <c r="H25" i="58"/>
  <c r="G41" i="58"/>
  <c r="F41" i="58"/>
  <c r="F15" i="58"/>
  <c r="H15" i="58" s="1"/>
  <c r="F21" i="58"/>
  <c r="H21" i="58" s="1"/>
  <c r="F37" i="58"/>
  <c r="H37" i="58" s="1"/>
  <c r="F17" i="58"/>
  <c r="H17" i="58" s="1"/>
  <c r="H23" i="58"/>
  <c r="F33" i="58"/>
  <c r="H33" i="58" s="1"/>
  <c r="H39" i="58"/>
  <c r="H29" i="58"/>
  <c r="G47" i="58"/>
  <c r="F47" i="58"/>
  <c r="H59" i="58"/>
  <c r="F12" i="58"/>
  <c r="H12" i="58" s="1"/>
  <c r="F14" i="58"/>
  <c r="H14" i="58" s="1"/>
  <c r="F16" i="58"/>
  <c r="H16" i="58" s="1"/>
  <c r="F18" i="58"/>
  <c r="H18" i="58" s="1"/>
  <c r="F20" i="58"/>
  <c r="H20" i="58" s="1"/>
  <c r="F22" i="58"/>
  <c r="H22" i="58" s="1"/>
  <c r="F24" i="58"/>
  <c r="H24" i="58" s="1"/>
  <c r="F26" i="58"/>
  <c r="H26" i="58" s="1"/>
  <c r="F28" i="58"/>
  <c r="H28" i="58" s="1"/>
  <c r="F30" i="58"/>
  <c r="H30" i="58" s="1"/>
  <c r="F32" i="58"/>
  <c r="H32" i="58" s="1"/>
  <c r="F34" i="58"/>
  <c r="H34" i="58" s="1"/>
  <c r="F36" i="58"/>
  <c r="H36" i="58" s="1"/>
  <c r="F38" i="58"/>
  <c r="H38" i="58" s="1"/>
  <c r="F40" i="58"/>
  <c r="H40" i="58" s="1"/>
  <c r="F42" i="58"/>
  <c r="H42" i="58" s="1"/>
  <c r="F44" i="58"/>
  <c r="H44" i="58" s="1"/>
  <c r="F46" i="58"/>
  <c r="H46" i="58" s="1"/>
  <c r="F48" i="58"/>
  <c r="H48" i="58" s="1"/>
  <c r="F50" i="58"/>
  <c r="H50" i="58" s="1"/>
  <c r="F52" i="58"/>
  <c r="H52" i="58" s="1"/>
  <c r="F54" i="58"/>
  <c r="H54" i="58" s="1"/>
  <c r="C49" i="62" l="1"/>
  <c r="C46" i="61"/>
  <c r="H45" i="58"/>
  <c r="H43" i="58"/>
  <c r="H51" i="58"/>
  <c r="H47" i="58"/>
  <c r="H53" i="58"/>
  <c r="H49" i="58"/>
  <c r="H41" i="58"/>
  <c r="H55" i="58" s="1"/>
  <c r="H57" i="58" s="1"/>
  <c r="H61" i="58" s="1"/>
  <c r="H63" i="58" s="1"/>
  <c r="C50" i="62" l="1"/>
  <c r="C47" i="61"/>
  <c r="A14" i="56"/>
  <c r="A15" i="56" s="1"/>
  <c r="A16" i="56" s="1"/>
  <c r="A17" i="56" s="1"/>
  <c r="A18" i="56" s="1"/>
  <c r="A19" i="56" s="1"/>
  <c r="A20" i="56" s="1"/>
  <c r="A21" i="56" s="1"/>
  <c r="A13" i="56"/>
  <c r="A12" i="56"/>
  <c r="F18" i="56"/>
  <c r="C18" i="56"/>
  <c r="F17" i="56"/>
  <c r="C17" i="56"/>
  <c r="E17" i="56" s="1"/>
  <c r="C14" i="56"/>
  <c r="G13" i="56"/>
  <c r="E13" i="56"/>
  <c r="G12" i="56"/>
  <c r="E12" i="56"/>
  <c r="C51" i="62" l="1"/>
  <c r="C48" i="61"/>
  <c r="G14" i="56"/>
  <c r="G18" i="56"/>
  <c r="E14" i="56"/>
  <c r="E18" i="56"/>
  <c r="E19" i="56" s="1"/>
  <c r="G17" i="56"/>
  <c r="C19" i="56"/>
  <c r="G19" i="56"/>
  <c r="C49" i="61" l="1"/>
  <c r="C52" i="62"/>
  <c r="G21" i="56"/>
  <c r="C53" i="62" l="1"/>
  <c r="C50" i="61"/>
  <c r="E23" i="35"/>
  <c r="E15" i="48"/>
  <c r="J17" i="55"/>
  <c r="I17" i="55"/>
  <c r="H17" i="55"/>
  <c r="G17" i="55"/>
  <c r="F17" i="55"/>
  <c r="E17" i="55"/>
  <c r="D17" i="55"/>
  <c r="C17" i="55"/>
  <c r="K17" i="55" s="1"/>
  <c r="K22" i="55" s="1"/>
  <c r="K24" i="55" s="1"/>
  <c r="K16" i="55"/>
  <c r="K15" i="55"/>
  <c r="K14" i="55"/>
  <c r="K13" i="55"/>
  <c r="K12" i="55"/>
  <c r="K11" i="55"/>
  <c r="K10" i="55"/>
  <c r="C54" i="62" l="1"/>
  <c r="C51" i="61"/>
  <c r="F53" i="39"/>
  <c r="F47" i="39"/>
  <c r="F48" i="39"/>
  <c r="F49" i="39"/>
  <c r="F50" i="39"/>
  <c r="F46" i="39"/>
  <c r="C52" i="61" l="1"/>
  <c r="C55" i="62"/>
  <c r="A13" i="39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12" i="39"/>
  <c r="I33" i="39"/>
  <c r="I34" i="39" s="1"/>
  <c r="J25" i="39"/>
  <c r="J26" i="39"/>
  <c r="J27" i="39"/>
  <c r="J28" i="39"/>
  <c r="J29" i="39"/>
  <c r="J30" i="39"/>
  <c r="J31" i="39"/>
  <c r="J32" i="39"/>
  <c r="J24" i="39"/>
  <c r="I20" i="39"/>
  <c r="C56" i="62" l="1"/>
  <c r="C53" i="61"/>
  <c r="J33" i="39"/>
  <c r="J34" i="39" s="1"/>
  <c r="C57" i="62" l="1"/>
  <c r="C54" i="61"/>
  <c r="D41" i="35"/>
  <c r="C61" i="35"/>
  <c r="C58" i="62" l="1"/>
  <c r="C55" i="61"/>
  <c r="D9" i="35"/>
  <c r="C11" i="35"/>
  <c r="D10" i="35"/>
  <c r="C59" i="62" l="1"/>
  <c r="C56" i="61"/>
  <c r="D11" i="35"/>
  <c r="A4" i="39"/>
  <c r="A3" i="39"/>
  <c r="C60" i="62" l="1"/>
  <c r="C57" i="61"/>
  <c r="F61" i="50"/>
  <c r="F63" i="50"/>
  <c r="F19" i="50"/>
  <c r="F17" i="50"/>
  <c r="E21" i="50"/>
  <c r="D21" i="50"/>
  <c r="F14" i="50"/>
  <c r="E12" i="50"/>
  <c r="C61" i="62" l="1"/>
  <c r="C58" i="61"/>
  <c r="L6" i="36"/>
  <c r="K6" i="36"/>
  <c r="J6" i="36"/>
  <c r="I6" i="36"/>
  <c r="H6" i="36"/>
  <c r="G6" i="36"/>
  <c r="F6" i="36"/>
  <c r="E6" i="36"/>
  <c r="D6" i="36"/>
  <c r="C6" i="36"/>
  <c r="U18" i="36"/>
  <c r="U19" i="36"/>
  <c r="U20" i="36"/>
  <c r="U21" i="36"/>
  <c r="U22" i="36"/>
  <c r="F41" i="35"/>
  <c r="G41" i="35" s="1"/>
  <c r="F61" i="35"/>
  <c r="D61" i="35"/>
  <c r="F51" i="35"/>
  <c r="D51" i="35"/>
  <c r="C62" i="62" l="1"/>
  <c r="C59" i="61"/>
  <c r="F51" i="39"/>
  <c r="F54" i="39" s="1"/>
  <c r="F56" i="39" s="1"/>
  <c r="E51" i="39"/>
  <c r="E56" i="39" s="1"/>
  <c r="H37" i="39"/>
  <c r="J37" i="39" s="1"/>
  <c r="I40" i="39"/>
  <c r="F33" i="39"/>
  <c r="E33" i="39"/>
  <c r="H32" i="39"/>
  <c r="H31" i="39"/>
  <c r="H30" i="39"/>
  <c r="H29" i="39"/>
  <c r="H27" i="39"/>
  <c r="H26" i="39"/>
  <c r="H28" i="39"/>
  <c r="H25" i="39"/>
  <c r="H24" i="39"/>
  <c r="F20" i="39"/>
  <c r="E20" i="39"/>
  <c r="H19" i="39"/>
  <c r="J19" i="39" s="1"/>
  <c r="H18" i="39"/>
  <c r="J18" i="39" s="1"/>
  <c r="H17" i="39"/>
  <c r="J17" i="39" s="1"/>
  <c r="H16" i="39"/>
  <c r="J16" i="39" s="1"/>
  <c r="H15" i="39"/>
  <c r="J15" i="39" s="1"/>
  <c r="H14" i="39"/>
  <c r="J14" i="39" s="1"/>
  <c r="H13" i="39"/>
  <c r="J13" i="39" s="1"/>
  <c r="H12" i="39"/>
  <c r="J12" i="39" s="1"/>
  <c r="C63" i="62" l="1"/>
  <c r="C60" i="61"/>
  <c r="J20" i="39"/>
  <c r="F34" i="39"/>
  <c r="F40" i="39" s="1"/>
  <c r="H20" i="39"/>
  <c r="E34" i="39"/>
  <c r="E40" i="39" s="1"/>
  <c r="H33" i="39"/>
  <c r="G48" i="39"/>
  <c r="G47" i="39"/>
  <c r="G49" i="39"/>
  <c r="G50" i="39"/>
  <c r="G46" i="39"/>
  <c r="G53" i="39"/>
  <c r="G54" i="39" s="1"/>
  <c r="C64" i="62" l="1"/>
  <c r="C65" i="62" s="1"/>
  <c r="C61" i="61"/>
  <c r="G51" i="39"/>
  <c r="J38" i="39" s="1"/>
  <c r="H34" i="39"/>
  <c r="H40" i="39" s="1"/>
  <c r="J40" i="39" l="1"/>
  <c r="G56" i="39"/>
  <c r="K23" i="36"/>
  <c r="D56" i="35" l="1"/>
  <c r="D15" i="35"/>
  <c r="F15" i="35" s="1"/>
  <c r="G15" i="35" s="1"/>
  <c r="D16" i="35"/>
  <c r="F16" i="35" s="1"/>
  <c r="G16" i="35" s="1"/>
  <c r="D17" i="35"/>
  <c r="F17" i="35" s="1"/>
  <c r="G17" i="35" s="1"/>
  <c r="D18" i="35"/>
  <c r="F18" i="35" s="1"/>
  <c r="G18" i="35" s="1"/>
  <c r="D19" i="35"/>
  <c r="F19" i="35" s="1"/>
  <c r="G19" i="35" s="1"/>
  <c r="D20" i="35"/>
  <c r="D23" i="35"/>
  <c r="D24" i="35"/>
  <c r="F24" i="35" s="1"/>
  <c r="G24" i="35" s="1"/>
  <c r="D25" i="35"/>
  <c r="D26" i="35"/>
  <c r="F26" i="35" s="1"/>
  <c r="G26" i="35" s="1"/>
  <c r="D27" i="35"/>
  <c r="F27" i="35" s="1"/>
  <c r="G27" i="35" s="1"/>
  <c r="D33" i="35"/>
  <c r="F33" i="35" s="1"/>
  <c r="G33" i="35" s="1"/>
  <c r="D34" i="35"/>
  <c r="F34" i="35" s="1"/>
  <c r="G34" i="35" s="1"/>
  <c r="D35" i="35"/>
  <c r="F35" i="35" s="1"/>
  <c r="G35" i="35" s="1"/>
  <c r="D36" i="35"/>
  <c r="D37" i="35"/>
  <c r="F37" i="35" s="1"/>
  <c r="G37" i="35" s="1"/>
  <c r="D46" i="35"/>
  <c r="D50" i="35"/>
  <c r="D62" i="35"/>
  <c r="D14" i="35"/>
  <c r="F25" i="35" l="1"/>
  <c r="G25" i="35" s="1"/>
  <c r="G47" i="35" s="1"/>
  <c r="D52" i="35"/>
  <c r="D21" i="35"/>
  <c r="D29" i="35" s="1"/>
  <c r="D31" i="35" s="1"/>
  <c r="D39" i="35" l="1"/>
  <c r="D54" i="35" s="1"/>
  <c r="D42" i="35"/>
  <c r="D53" i="35"/>
  <c r="H11" i="36" l="1"/>
  <c r="F10" i="35"/>
  <c r="G10" i="35" s="1"/>
  <c r="D43" i="35"/>
  <c r="D44" i="35"/>
  <c r="D57" i="35"/>
  <c r="B1" i="36"/>
  <c r="A1" i="50"/>
  <c r="F14" i="31"/>
  <c r="A4" i="31"/>
  <c r="A3" i="31"/>
  <c r="A5" i="33"/>
  <c r="A4" i="33"/>
  <c r="A3" i="28"/>
  <c r="A4" i="17"/>
  <c r="A5" i="6"/>
  <c r="A4" i="6"/>
  <c r="D58" i="35" l="1"/>
  <c r="D64" i="35" s="1"/>
  <c r="D59" i="35" l="1"/>
  <c r="D65" i="35" s="1"/>
  <c r="F47" i="35"/>
  <c r="C14" i="17" l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14" i="6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A1" i="48"/>
  <c r="C62" i="35" l="1"/>
  <c r="C56" i="35"/>
  <c r="C52" i="35"/>
  <c r="C47" i="35"/>
  <c r="D47" i="35" s="1"/>
  <c r="C21" i="35" l="1"/>
  <c r="F67" i="50" l="1"/>
  <c r="F66" i="50"/>
  <c r="F62" i="50"/>
  <c r="F60" i="50"/>
  <c r="F59" i="50"/>
  <c r="F58" i="50"/>
  <c r="F56" i="50"/>
  <c r="F53" i="50"/>
  <c r="F52" i="50"/>
  <c r="F51" i="50"/>
  <c r="F50" i="50"/>
  <c r="F49" i="50"/>
  <c r="F46" i="50"/>
  <c r="F45" i="50"/>
  <c r="F44" i="50"/>
  <c r="F42" i="50"/>
  <c r="F41" i="50"/>
  <c r="F36" i="50"/>
  <c r="F35" i="50"/>
  <c r="F32" i="50"/>
  <c r="F31" i="50"/>
  <c r="F30" i="50"/>
  <c r="F29" i="50"/>
  <c r="F28" i="50"/>
  <c r="F27" i="50"/>
  <c r="F26" i="50"/>
  <c r="F25" i="50"/>
  <c r="F24" i="50"/>
  <c r="F23" i="50"/>
  <c r="F20" i="50"/>
  <c r="F18" i="50"/>
  <c r="F16" i="50"/>
  <c r="F15" i="50"/>
  <c r="F11" i="50"/>
  <c r="F9" i="50"/>
  <c r="F8" i="50"/>
  <c r="E64" i="50"/>
  <c r="E54" i="50"/>
  <c r="E47" i="50"/>
  <c r="E33" i="50"/>
  <c r="E38" i="50" s="1"/>
  <c r="D64" i="50"/>
  <c r="D54" i="50"/>
  <c r="D47" i="50"/>
  <c r="D33" i="50"/>
  <c r="E68" i="50" l="1"/>
  <c r="F21" i="50"/>
  <c r="D68" i="50"/>
  <c r="F64" i="50"/>
  <c r="F54" i="50"/>
  <c r="F47" i="50"/>
  <c r="F33" i="50"/>
  <c r="D10" i="50"/>
  <c r="D12" i="50" s="1"/>
  <c r="D38" i="50" l="1"/>
  <c r="F10" i="50"/>
  <c r="F68" i="50"/>
  <c r="F12" i="50" l="1"/>
  <c r="F38" i="50" s="1"/>
  <c r="A8" i="50"/>
  <c r="D6" i="50"/>
  <c r="E6" i="50" s="1"/>
  <c r="C7" i="35"/>
  <c r="D5" i="48" l="1"/>
  <c r="E5" i="48" s="1"/>
  <c r="F5" i="48" s="1"/>
  <c r="G5" i="48" s="1"/>
  <c r="B16" i="48"/>
  <c r="B15" i="48"/>
  <c r="B14" i="48"/>
  <c r="B13" i="48"/>
  <c r="B12" i="48"/>
  <c r="B11" i="48"/>
  <c r="B10" i="48"/>
  <c r="B9" i="48"/>
  <c r="B8" i="48"/>
  <c r="H23" i="36" l="1"/>
  <c r="U39" i="36" l="1"/>
  <c r="U37" i="36"/>
  <c r="U35" i="36"/>
  <c r="U30" i="36"/>
  <c r="U29" i="36"/>
  <c r="T44" i="36" l="1"/>
  <c r="T40" i="36"/>
  <c r="T24" i="36"/>
  <c r="T31" i="36" s="1"/>
  <c r="T45" i="36" l="1"/>
  <c r="T47" i="36" s="1"/>
  <c r="T33" i="36"/>
  <c r="T42" i="36" s="1"/>
  <c r="T48" i="36" l="1"/>
  <c r="A9" i="35" l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U27" i="36" l="1"/>
  <c r="L28" i="36" l="1"/>
  <c r="E13" i="48" l="1"/>
  <c r="I26" i="36" l="1"/>
  <c r="U26" i="36" s="1"/>
  <c r="F23" i="35"/>
  <c r="G23" i="35" s="1"/>
  <c r="U28" i="36"/>
  <c r="A12" i="28" l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E13" i="28" l="1"/>
  <c r="R40" i="36" l="1"/>
  <c r="S40" i="36"/>
  <c r="Q40" i="36"/>
  <c r="P40" i="36"/>
  <c r="N40" i="36"/>
  <c r="M40" i="36"/>
  <c r="M46" i="36" s="1"/>
  <c r="L40" i="36"/>
  <c r="L46" i="36" s="1"/>
  <c r="K40" i="36"/>
  <c r="K46" i="36" s="1"/>
  <c r="J40" i="36"/>
  <c r="J46" i="36" s="1"/>
  <c r="I40" i="36"/>
  <c r="I46" i="36" s="1"/>
  <c r="H40" i="36"/>
  <c r="H46" i="36" s="1"/>
  <c r="F40" i="36"/>
  <c r="F46" i="36" s="1"/>
  <c r="E40" i="36"/>
  <c r="E46" i="36" s="1"/>
  <c r="D40" i="36"/>
  <c r="D46" i="36" s="1"/>
  <c r="C40" i="36"/>
  <c r="C46" i="36" s="1"/>
  <c r="P24" i="36"/>
  <c r="P31" i="36" s="1"/>
  <c r="O24" i="36"/>
  <c r="O31" i="36" s="1"/>
  <c r="L24" i="36"/>
  <c r="L31" i="36" s="1"/>
  <c r="L45" i="36" s="1"/>
  <c r="K24" i="36"/>
  <c r="K31" i="36" s="1"/>
  <c r="K45" i="36" s="1"/>
  <c r="H24" i="36"/>
  <c r="H31" i="36" s="1"/>
  <c r="H45" i="36" s="1"/>
  <c r="G24" i="36"/>
  <c r="G31" i="36" s="1"/>
  <c r="G45" i="36" s="1"/>
  <c r="P12" i="36"/>
  <c r="O12" i="36"/>
  <c r="N12" i="36"/>
  <c r="M12" i="36"/>
  <c r="L12" i="36"/>
  <c r="K12" i="36"/>
  <c r="J12" i="36"/>
  <c r="I12" i="36"/>
  <c r="H12" i="36"/>
  <c r="G12" i="36"/>
  <c r="E12" i="36"/>
  <c r="A8" i="36"/>
  <c r="A9" i="36" s="1"/>
  <c r="A10" i="36" s="1"/>
  <c r="A11" i="36" s="1"/>
  <c r="A12" i="36" s="1"/>
  <c r="A13" i="36" s="1"/>
  <c r="A14" i="36" s="1"/>
  <c r="G44" i="36" l="1"/>
  <c r="K44" i="36"/>
  <c r="K47" i="36" s="1"/>
  <c r="H44" i="36"/>
  <c r="H47" i="36" s="1"/>
  <c r="L44" i="36"/>
  <c r="L47" i="36" s="1"/>
  <c r="E44" i="36"/>
  <c r="I44" i="36"/>
  <c r="M44" i="36"/>
  <c r="P45" i="36"/>
  <c r="O44" i="36"/>
  <c r="J44" i="36"/>
  <c r="N44" i="36"/>
  <c r="G16" i="48"/>
  <c r="P44" i="36"/>
  <c r="H33" i="36"/>
  <c r="H42" i="36" s="1"/>
  <c r="L33" i="36"/>
  <c r="L42" i="36" s="1"/>
  <c r="P33" i="36"/>
  <c r="P42" i="36" s="1"/>
  <c r="A15" i="36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G33" i="36"/>
  <c r="K33" i="36"/>
  <c r="K42" i="36" s="1"/>
  <c r="O33" i="36"/>
  <c r="H48" i="36" l="1"/>
  <c r="G15" i="48"/>
  <c r="G12" i="48"/>
  <c r="L48" i="36"/>
  <c r="P47" i="36"/>
  <c r="P48" i="36" s="1"/>
  <c r="K48" i="36"/>
  <c r="A34" i="36"/>
  <c r="A35" i="36" s="1"/>
  <c r="A37" i="36" s="1"/>
  <c r="A38" i="36" s="1"/>
  <c r="A39" i="36" s="1"/>
  <c r="A40" i="36" s="1"/>
  <c r="A41" i="36" s="1"/>
  <c r="A42" i="36" s="1"/>
  <c r="C29" i="35" l="1"/>
  <c r="J44" i="33"/>
  <c r="G56" i="33"/>
  <c r="F39" i="33" s="1"/>
  <c r="G35" i="33"/>
  <c r="H35" i="33"/>
  <c r="I35" i="33"/>
  <c r="F35" i="33"/>
  <c r="C53" i="35" l="1"/>
  <c r="C48" i="35"/>
  <c r="D48" i="35" s="1"/>
  <c r="C31" i="35"/>
  <c r="C42" i="35" s="1"/>
  <c r="G39" i="33"/>
  <c r="C39" i="35" l="1"/>
  <c r="H39" i="33"/>
  <c r="C49" i="35" l="1"/>
  <c r="D49" i="35" s="1"/>
  <c r="C54" i="35"/>
  <c r="C44" i="35"/>
  <c r="C43" i="35"/>
  <c r="I39" i="33"/>
  <c r="C57" i="35" l="1"/>
  <c r="C58" i="35"/>
  <c r="C59" i="35" l="1"/>
  <c r="C65" i="35" s="1"/>
  <c r="D68" i="35" s="1"/>
  <c r="C64" i="35"/>
  <c r="G25" i="33"/>
  <c r="G27" i="33" s="1"/>
  <c r="H25" i="33"/>
  <c r="H27" i="33" s="1"/>
  <c r="I25" i="33"/>
  <c r="I30" i="33" s="1"/>
  <c r="F25" i="33"/>
  <c r="F27" i="33" s="1"/>
  <c r="F30" i="33" l="1"/>
  <c r="F31" i="33" s="1"/>
  <c r="F40" i="33" s="1"/>
  <c r="H30" i="33"/>
  <c r="H31" i="33" s="1"/>
  <c r="G30" i="33"/>
  <c r="G31" i="33" s="1"/>
  <c r="I27" i="33"/>
  <c r="I31" i="33" s="1"/>
  <c r="H40" i="33" l="1"/>
  <c r="H36" i="33"/>
  <c r="G36" i="33"/>
  <c r="G40" i="33"/>
  <c r="J31" i="33"/>
  <c r="F36" i="33"/>
  <c r="I36" i="33"/>
  <c r="I40" i="33"/>
  <c r="E15" i="28"/>
  <c r="E17" i="28" s="1"/>
  <c r="E21" i="28" s="1"/>
  <c r="E23" i="28" s="1"/>
  <c r="E9" i="48" s="1"/>
  <c r="E23" i="36" l="1"/>
  <c r="G9" i="48"/>
  <c r="M24" i="36"/>
  <c r="M31" i="36" s="1"/>
  <c r="J40" i="33"/>
  <c r="J36" i="33"/>
  <c r="F18" i="31"/>
  <c r="G46" i="33" l="1"/>
  <c r="G48" i="33" s="1"/>
  <c r="E10" i="48"/>
  <c r="F15" i="36" s="1"/>
  <c r="F46" i="33"/>
  <c r="F48" i="33" s="1"/>
  <c r="D10" i="48"/>
  <c r="M45" i="36"/>
  <c r="M47" i="36" s="1"/>
  <c r="E24" i="36"/>
  <c r="E31" i="36" s="1"/>
  <c r="F11" i="48"/>
  <c r="S24" i="36"/>
  <c r="S31" i="36" s="1"/>
  <c r="N24" i="36"/>
  <c r="N31" i="36" s="1"/>
  <c r="M33" i="36"/>
  <c r="M42" i="36" s="1"/>
  <c r="I24" i="36"/>
  <c r="U11" i="36" l="1"/>
  <c r="E9" i="35"/>
  <c r="U16" i="36"/>
  <c r="E14" i="35"/>
  <c r="J46" i="33"/>
  <c r="J48" i="33" s="1"/>
  <c r="F9" i="36"/>
  <c r="G10" i="48"/>
  <c r="U15" i="36"/>
  <c r="F24" i="36"/>
  <c r="F31" i="36" s="1"/>
  <c r="F45" i="36" s="1"/>
  <c r="J23" i="36"/>
  <c r="F20" i="35"/>
  <c r="G20" i="35" s="1"/>
  <c r="G11" i="48"/>
  <c r="G38" i="36"/>
  <c r="E36" i="35"/>
  <c r="E45" i="36"/>
  <c r="E47" i="36" s="1"/>
  <c r="E33" i="36"/>
  <c r="E42" i="36" s="1"/>
  <c r="G14" i="48"/>
  <c r="S45" i="36"/>
  <c r="I31" i="36"/>
  <c r="I45" i="36" s="1"/>
  <c r="I47" i="36" s="1"/>
  <c r="S12" i="36"/>
  <c r="N45" i="36"/>
  <c r="N47" i="36" s="1"/>
  <c r="N33" i="36"/>
  <c r="N42" i="36" s="1"/>
  <c r="M48" i="36"/>
  <c r="O40" i="36"/>
  <c r="O45" i="36" s="1"/>
  <c r="E11" i="35" l="1"/>
  <c r="D29" i="48" s="1"/>
  <c r="F9" i="35"/>
  <c r="U9" i="36"/>
  <c r="F12" i="36"/>
  <c r="G40" i="36"/>
  <c r="U40" i="36" s="1"/>
  <c r="U38" i="36"/>
  <c r="E48" i="36"/>
  <c r="F36" i="35"/>
  <c r="G36" i="35" s="1"/>
  <c r="F29" i="48"/>
  <c r="J24" i="36"/>
  <c r="J31" i="36" s="1"/>
  <c r="U23" i="36"/>
  <c r="I33" i="36"/>
  <c r="S44" i="36"/>
  <c r="S47" i="36" s="1"/>
  <c r="S33" i="36"/>
  <c r="S42" i="36" s="1"/>
  <c r="N48" i="36"/>
  <c r="O42" i="36"/>
  <c r="O47" i="36"/>
  <c r="F33" i="36" l="1"/>
  <c r="F42" i="36" s="1"/>
  <c r="F44" i="36"/>
  <c r="F47" i="36" s="1"/>
  <c r="F32" i="48"/>
  <c r="J45" i="36"/>
  <c r="J47" i="36" s="1"/>
  <c r="J33" i="36"/>
  <c r="J42" i="36" s="1"/>
  <c r="G46" i="36"/>
  <c r="G42" i="36"/>
  <c r="F23" i="48"/>
  <c r="W40" i="36" s="1"/>
  <c r="G13" i="48"/>
  <c r="I42" i="36"/>
  <c r="S48" i="36"/>
  <c r="O48" i="36"/>
  <c r="F33" i="48" l="1"/>
  <c r="F30" i="48"/>
  <c r="F48" i="36"/>
  <c r="J48" i="36"/>
  <c r="U46" i="36"/>
  <c r="W46" i="36" s="1"/>
  <c r="G47" i="36"/>
  <c r="G48" i="36" s="1"/>
  <c r="F52" i="35"/>
  <c r="I48" i="36"/>
  <c r="F25" i="6"/>
  <c r="H25" i="17" l="1"/>
  <c r="H27" i="17" s="1"/>
  <c r="H31" i="17" s="1"/>
  <c r="F25" i="17"/>
  <c r="F27" i="17" s="1"/>
  <c r="F31" i="17" s="1"/>
  <c r="H25" i="6"/>
  <c r="H27" i="6" s="1"/>
  <c r="H31" i="6" s="1"/>
  <c r="E7" i="48" s="1"/>
  <c r="C17" i="36" s="1"/>
  <c r="C24" i="36" s="1"/>
  <c r="C31" i="36" s="1"/>
  <c r="C45" i="36" s="1"/>
  <c r="F27" i="6"/>
  <c r="F31" i="6" s="1"/>
  <c r="D7" i="48" s="1"/>
  <c r="C10" i="36" l="1"/>
  <c r="C12" i="36" s="1"/>
  <c r="G7" i="48"/>
  <c r="R12" i="36"/>
  <c r="D8" i="48"/>
  <c r="D10" i="36" s="1"/>
  <c r="D12" i="36" s="1"/>
  <c r="D44" i="36" s="1"/>
  <c r="R24" i="36"/>
  <c r="R31" i="36" s="1"/>
  <c r="R33" i="36" s="1"/>
  <c r="R42" i="36" s="1"/>
  <c r="E8" i="48"/>
  <c r="R44" i="36"/>
  <c r="Q24" i="36"/>
  <c r="Q12" i="36"/>
  <c r="U10" i="36" l="1"/>
  <c r="C44" i="36"/>
  <c r="C47" i="36" s="1"/>
  <c r="C33" i="36"/>
  <c r="C42" i="36" s="1"/>
  <c r="D17" i="36"/>
  <c r="R45" i="36"/>
  <c r="G8" i="48"/>
  <c r="R47" i="36"/>
  <c r="R48" i="36" s="1"/>
  <c r="Q31" i="36"/>
  <c r="Q33" i="36" s="1"/>
  <c r="U12" i="36"/>
  <c r="Q44" i="36"/>
  <c r="C48" i="36" l="1"/>
  <c r="D32" i="48"/>
  <c r="F14" i="35"/>
  <c r="G14" i="35" s="1"/>
  <c r="G21" i="35" s="1"/>
  <c r="G29" i="35" s="1"/>
  <c r="G48" i="35" s="1"/>
  <c r="E21" i="35"/>
  <c r="E29" i="35" s="1"/>
  <c r="E29" i="48" s="1"/>
  <c r="D24" i="36"/>
  <c r="U17" i="36"/>
  <c r="U44" i="36"/>
  <c r="D23" i="48"/>
  <c r="D30" i="48" s="1"/>
  <c r="Q42" i="36"/>
  <c r="Q45" i="36"/>
  <c r="E23" i="48"/>
  <c r="E30" i="48" l="1"/>
  <c r="D33" i="48"/>
  <c r="E31" i="35"/>
  <c r="E39" i="35" s="1"/>
  <c r="G29" i="48" s="1"/>
  <c r="W44" i="36"/>
  <c r="D31" i="36"/>
  <c r="U24" i="36"/>
  <c r="W12" i="36"/>
  <c r="E27" i="48"/>
  <c r="F56" i="35"/>
  <c r="F11" i="35"/>
  <c r="G23" i="48"/>
  <c r="Q47" i="36"/>
  <c r="G30" i="48" l="1"/>
  <c r="D45" i="36"/>
  <c r="D33" i="36"/>
  <c r="U31" i="36"/>
  <c r="Q48" i="36"/>
  <c r="D42" i="36" l="1"/>
  <c r="U42" i="36" s="1"/>
  <c r="U33" i="36"/>
  <c r="D47" i="36"/>
  <c r="U45" i="36"/>
  <c r="W45" i="36" s="1"/>
  <c r="W31" i="36"/>
  <c r="E32" i="48"/>
  <c r="E33" i="48" s="1"/>
  <c r="F21" i="35"/>
  <c r="D48" i="36" l="1"/>
  <c r="U47" i="36"/>
  <c r="W42" i="36"/>
  <c r="G32" i="48"/>
  <c r="G33" i="48" s="1"/>
  <c r="F29" i="35"/>
  <c r="F48" i="35" s="1"/>
  <c r="U48" i="36" l="1"/>
  <c r="W47" i="36"/>
  <c r="F53" i="35"/>
  <c r="F31" i="35"/>
  <c r="F39" i="35" s="1"/>
  <c r="F54" i="35" l="1"/>
  <c r="F58" i="35" s="1"/>
  <c r="F42" i="35"/>
  <c r="F49" i="35"/>
  <c r="F44" i="35"/>
  <c r="F43" i="35"/>
  <c r="F64" i="35" l="1"/>
  <c r="F57" i="35"/>
  <c r="F59" i="35"/>
  <c r="F65" i="35" l="1"/>
  <c r="B7" i="48"/>
  <c r="G11" i="35" l="1"/>
  <c r="G31" i="35" s="1"/>
  <c r="G39" i="35" l="1"/>
  <c r="G75" i="35" s="1"/>
  <c r="G42" i="35"/>
  <c r="G68" i="35" l="1"/>
  <c r="G43" i="35"/>
  <c r="G44" i="35"/>
  <c r="G49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Frasure</author>
  </authors>
  <commentList>
    <comment ref="E14" authorId="0" shapeId="0" xr:uid="{F76F67BE-E887-46D9-A7E3-5380CFC35A09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  <comment ref="E43" authorId="0" shapeId="0" xr:uid="{8AD49F2E-175D-446E-BBFA-524DFCB7425D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  <comment ref="E45" authorId="0" shapeId="0" xr:uid="{82940F0A-3CD8-44BA-B626-AB71F884099A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</commentList>
</comments>
</file>

<file path=xl/sharedStrings.xml><?xml version="1.0" encoding="utf-8"?>
<sst xmlns="http://schemas.openxmlformats.org/spreadsheetml/2006/main" count="807" uniqueCount="429">
  <si>
    <t>Line</t>
  </si>
  <si>
    <t>Description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</si>
  <si>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</si>
  <si>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</si>
  <si>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</si>
  <si>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</si>
  <si>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</si>
  <si>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</si>
  <si>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</si>
  <si>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</si>
  <si>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</si>
  <si>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</si>
  <si>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</si>
  <si>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</si>
  <si>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TOTAL</t>
  </si>
  <si>
    <t>Adjustment</t>
  </si>
  <si>
    <t>Year</t>
  </si>
  <si>
    <t>Month</t>
  </si>
  <si>
    <t>(1)</t>
  </si>
  <si>
    <t>(3)</t>
  </si>
  <si>
    <t>(2)</t>
  </si>
  <si>
    <t>#</t>
  </si>
  <si>
    <t>Subtotal</t>
  </si>
  <si>
    <t>Revenue</t>
  </si>
  <si>
    <t>Expense</t>
  </si>
  <si>
    <t>(4)</t>
  </si>
  <si>
    <t>Reference Schedule:  1.02</t>
  </si>
  <si>
    <t>Reference Schedule:  1.01</t>
  </si>
  <si>
    <t>Reference Schedule:  1.08</t>
  </si>
  <si>
    <t>Depreciation</t>
  </si>
  <si>
    <t>Donations</t>
  </si>
  <si>
    <t>Rate Case Expenses</t>
  </si>
  <si>
    <t>G&amp;T Capital Credits</t>
  </si>
  <si>
    <t xml:space="preserve">Revenue </t>
  </si>
  <si>
    <t>Total Cost of Electric Service</t>
  </si>
  <si>
    <t>Non-Operating Margins - Interest</t>
  </si>
  <si>
    <t>Non-Operating Margins - Other</t>
  </si>
  <si>
    <t>Test Year Amount</t>
  </si>
  <si>
    <t>Pro Forma Year Amount</t>
  </si>
  <si>
    <t>This adjustment removes the FAC revenues and expenses from the test period.</t>
  </si>
  <si>
    <t>This adjustment removes the Envionmental Surcharge revenues and expenses from the test period.</t>
  </si>
  <si>
    <t>Item</t>
  </si>
  <si>
    <t>Account</t>
  </si>
  <si>
    <t>Total Amount</t>
  </si>
  <si>
    <t>Amortization Period (Years)</t>
  </si>
  <si>
    <t>Total</t>
  </si>
  <si>
    <t>Annual Amortization Amount</t>
  </si>
  <si>
    <t>This adjustment estimates the rate case costs amortized over a 3 year period, consistent with standard Commission practice.</t>
  </si>
  <si>
    <t>This adjustment removes the G&amp;T Capital Credits from the test period, consistent with Commission practice.</t>
  </si>
  <si>
    <t>East Kentucky Power Cooperative</t>
  </si>
  <si>
    <t>Year-End Customers</t>
  </si>
  <si>
    <t>(5)</t>
  </si>
  <si>
    <t>(6)</t>
  </si>
  <si>
    <t>(7)</t>
  </si>
  <si>
    <t>(8)</t>
  </si>
  <si>
    <t>Average</t>
  </si>
  <si>
    <t>Total kWh</t>
  </si>
  <si>
    <t>Average kWh</t>
  </si>
  <si>
    <t>Year-End kWh Adjustment</t>
  </si>
  <si>
    <t>Current Base Rate Revenue</t>
  </si>
  <si>
    <t>Average Revenue per kWh</t>
  </si>
  <si>
    <t>Year End Revenue Adj</t>
  </si>
  <si>
    <t>Revenue Adjustment</t>
  </si>
  <si>
    <t>Expense Adjustment</t>
  </si>
  <si>
    <t>Year End Expense Adj</t>
  </si>
  <si>
    <t>Total Purchased Power Expense</t>
  </si>
  <si>
    <t>Less Environmental Surcharge</t>
  </si>
  <si>
    <t>Less Fuel Adjustment Clause</t>
  </si>
  <si>
    <t>Adjusted Purchased Power Expense</t>
  </si>
  <si>
    <t>Total Purchased Power kWh</t>
  </si>
  <si>
    <t>End of Period Increase over Avg</t>
  </si>
  <si>
    <t>For Expense Adjustment:</t>
  </si>
  <si>
    <t>Less DLC &amp; Green Power Charges</t>
  </si>
  <si>
    <t>Avg Adj Purchase Exp per kWh</t>
  </si>
  <si>
    <t>Net Rev</t>
  </si>
  <si>
    <t>Interest on LTD</t>
  </si>
  <si>
    <t>TIER</t>
  </si>
  <si>
    <t>GTCC</t>
  </si>
  <si>
    <t>Operating Revenues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</si>
  <si>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</si>
  <si>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</si>
  <si>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</si>
  <si>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</si>
  <si>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</si>
  <si>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</si>
  <si>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</si>
  <si>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</si>
  <si>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</si>
  <si>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</si>
  <si>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</si>
  <si>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- Other</t>
  </si>
  <si>
    <t>Other Deductions</t>
  </si>
  <si>
    <t>Utility Operating Margins</t>
  </si>
  <si>
    <t>Other Capital Credits</t>
  </si>
  <si>
    <t>Net Margins</t>
  </si>
  <si>
    <t>TIER excluding GTCC</t>
  </si>
  <si>
    <t>OTIER</t>
  </si>
  <si>
    <t>Rate</t>
  </si>
  <si>
    <t>Operating Revenues:</t>
  </si>
  <si>
    <t xml:space="preserve">        FAC &amp; ES</t>
  </si>
  <si>
    <t>Services</t>
  </si>
  <si>
    <t>Total Revenues</t>
  </si>
  <si>
    <t xml:space="preserve">        Base Rates</t>
  </si>
  <si>
    <t xml:space="preserve">    Total Operating Expenses</t>
  </si>
  <si>
    <t>Total Non-Operating Margins</t>
  </si>
  <si>
    <t>Interest on Long Term Debt</t>
  </si>
  <si>
    <t>Interest Expense - Other</t>
  </si>
  <si>
    <t>Base Rates</t>
  </si>
  <si>
    <t>FAC &amp; ES</t>
  </si>
  <si>
    <t>Other Electric Revenue</t>
  </si>
  <si>
    <t>Distribution - Operations</t>
  </si>
  <si>
    <t>Distribution - Maintenance</t>
  </si>
  <si>
    <t>Consumer Accounts</t>
  </si>
  <si>
    <t>Sales</t>
  </si>
  <si>
    <t>Administrative and General</t>
  </si>
  <si>
    <t>Legal - Goss Samford PLLC</t>
  </si>
  <si>
    <t>Consulting - Catalyst Consulting LLC</t>
  </si>
  <si>
    <t>Actual Test Yr</t>
  </si>
  <si>
    <t>Pro Forma Test Yr</t>
  </si>
  <si>
    <t>Expense Adj</t>
  </si>
  <si>
    <t>Revenue Adj</t>
  </si>
  <si>
    <t>Net Adj</t>
  </si>
  <si>
    <t>Check</t>
  </si>
  <si>
    <t>Reference Schedule:  1.05</t>
  </si>
  <si>
    <t>Reference Schedule:  1.04</t>
  </si>
  <si>
    <t>Reference Schedule:  1.03</t>
  </si>
  <si>
    <t>Reference Schedule:  1.09</t>
  </si>
  <si>
    <t>Environmental Surcharge</t>
  </si>
  <si>
    <t>Stores</t>
  </si>
  <si>
    <t>Transportation</t>
  </si>
  <si>
    <t>Meters</t>
  </si>
  <si>
    <t>Administrative &amp; General</t>
  </si>
  <si>
    <t>580-589</t>
  </si>
  <si>
    <t>Operations</t>
  </si>
  <si>
    <t>590-598</t>
  </si>
  <si>
    <t>Maintenance</t>
  </si>
  <si>
    <t>901-905</t>
  </si>
  <si>
    <t>920-935</t>
  </si>
  <si>
    <t>Pro Forma Adj</t>
  </si>
  <si>
    <t>A</t>
  </si>
  <si>
    <t>B</t>
  </si>
  <si>
    <t>Alloc</t>
  </si>
  <si>
    <t>Labor $</t>
  </si>
  <si>
    <t>Test Yr Ending Bal</t>
  </si>
  <si>
    <t>Normalized Expense</t>
  </si>
  <si>
    <t>Test Year Expense</t>
  </si>
  <si>
    <t>Acct #</t>
  </si>
  <si>
    <t>Fully Depr Items</t>
  </si>
  <si>
    <t>Distribution Plant</t>
  </si>
  <si>
    <t>Station equipment</t>
  </si>
  <si>
    <t>Poles, towers &amp; fixtures</t>
  </si>
  <si>
    <t>Overhead conductors &amp; devices</t>
  </si>
  <si>
    <t>Underground conductor &amp; devices</t>
  </si>
  <si>
    <t>Line transformers</t>
  </si>
  <si>
    <t>Installations on customer premises</t>
  </si>
  <si>
    <t>Land</t>
  </si>
  <si>
    <t>Structures and improvements</t>
  </si>
  <si>
    <t>Office furn and eqt</t>
  </si>
  <si>
    <t>Tools, shop and garage</t>
  </si>
  <si>
    <t>Communications</t>
  </si>
  <si>
    <t>Miscellaneous</t>
  </si>
  <si>
    <t>General Plant</t>
  </si>
  <si>
    <t>Transporation Charged to Clearing</t>
  </si>
  <si>
    <t>Allocation of Clearing to O&amp;M</t>
  </si>
  <si>
    <t>Depr $</t>
  </si>
  <si>
    <t>Distribution &amp; General Subtotal</t>
  </si>
  <si>
    <t>Total Operating Revenue</t>
  </si>
  <si>
    <t>Total Sales of Electric Energy</t>
  </si>
  <si>
    <t>Cash Receipts from Lenders</t>
  </si>
  <si>
    <t>Pro Forma Amount</t>
  </si>
  <si>
    <t>Donations, Promotional Advertising, &amp; Dues</t>
  </si>
  <si>
    <t>Variance</t>
  </si>
  <si>
    <t>Summary of Pro Forma Adjustments</t>
  </si>
  <si>
    <t>Fuel Adjustment Clause</t>
  </si>
  <si>
    <t>Non-Operating Income</t>
  </si>
  <si>
    <t>Net Margin</t>
  </si>
  <si>
    <t>This adjustment adjusts the test year expenses and revenues to reflect the number of customers at the end of the test year.</t>
  </si>
  <si>
    <t>Reference Schedule</t>
  </si>
  <si>
    <t>Summary of Adjustments to Test Year Statement of Operations</t>
  </si>
  <si>
    <t>Summary of Adjustments to Test Year Balance Sheet</t>
  </si>
  <si>
    <t>Assets and Other Debits</t>
  </si>
  <si>
    <t>Total Utility Plant in Service</t>
  </si>
  <si>
    <t>Construction Work in Progress</t>
  </si>
  <si>
    <t>Total Utility Plant</t>
  </si>
  <si>
    <t>Accum Provision for Depr and Amort</t>
  </si>
  <si>
    <t>Net Utility Plant</t>
  </si>
  <si>
    <t>Investment in Assoc Org - Patr Capital</t>
  </si>
  <si>
    <t>Investment in Assoc Org - Other Gen Fnd</t>
  </si>
  <si>
    <t>Investment in Assoc Org - Non Gen Fnd</t>
  </si>
  <si>
    <t>Other Investment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</si>
  <si>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</si>
  <si>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</si>
  <si>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</si>
  <si>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</si>
  <si>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</si>
  <si>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Other (Net)</t>
  </si>
  <si>
    <t>Accts Receivable - Sales Energy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</si>
  <si>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</si>
  <si>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</si>
  <si>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</si>
  <si>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</si>
  <si>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</si>
  <si>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</si>
  <si>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</si>
  <si>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</si>
  <si>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</si>
  <si>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</si>
  <si>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</si>
  <si>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Current Year</t>
  </si>
  <si>
    <t>Non-Operating Margins</t>
  </si>
  <si>
    <t>Other Margins &amp; Equities</t>
  </si>
  <si>
    <t>Total Margins &amp; Equities</t>
  </si>
  <si>
    <t>Long Term Debt - RUS (Net)</t>
  </si>
  <si>
    <t>Long Term Debt - FFB - RUS GUAR</t>
  </si>
  <si>
    <t>Long Term Debt - Other - RUS GUAR</t>
  </si>
  <si>
    <t>Long Term Debt - Other (Net)</t>
  </si>
  <si>
    <t>Long Term Debt - RUS -Econ Dev - Net</t>
  </si>
  <si>
    <t>Total Long Term Debt</t>
  </si>
  <si>
    <t>Accum Operating Provisions</t>
  </si>
  <si>
    <t>Notes Payable</t>
  </si>
  <si>
    <t>Accounts Payable</t>
  </si>
  <si>
    <t>Consumer Deposits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</si>
  <si>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</si>
  <si>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</si>
  <si>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</si>
  <si>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</si>
  <si>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</si>
  <si>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Pro Forma Adjs</t>
  </si>
  <si>
    <t>Statement of Operations &amp; Revenue Requirement</t>
  </si>
  <si>
    <t>Income(Loss) from Equity Investments</t>
  </si>
  <si>
    <t>29a</t>
  </si>
  <si>
    <t>Income(Loss) from Equity Invstmts</t>
  </si>
  <si>
    <t>For the 12 Months Ended December 31, 2019</t>
  </si>
  <si>
    <t>Target TIER</t>
  </si>
  <si>
    <t>Margins at Target TIER</t>
  </si>
  <si>
    <t>Revenue Requirement</t>
  </si>
  <si>
    <t>Revenue Deficiency (Excess)</t>
  </si>
  <si>
    <t>Target OTIER</t>
  </si>
  <si>
    <t>Margins at Target OTIER</t>
  </si>
  <si>
    <t>Needed Sales of Electric  Energy</t>
  </si>
  <si>
    <t>Increase</t>
  </si>
  <si>
    <t>Cap on Increase</t>
  </si>
  <si>
    <t>Capped Increase Amount</t>
  </si>
  <si>
    <t xml:space="preserve">Permissible Increase </t>
  </si>
  <si>
    <t>Life Insurance Premiums</t>
  </si>
  <si>
    <t xml:space="preserve">Test Period </t>
  </si>
  <si>
    <t>Depreciation Expense Normalization</t>
  </si>
  <si>
    <t>Actual Test Year</t>
  </si>
  <si>
    <t>Test Year w FAC Roll-In</t>
  </si>
  <si>
    <t>Directors Expense</t>
  </si>
  <si>
    <t>Year-End Customer Normalization</t>
  </si>
  <si>
    <t>This adjustment removes charitable donations, promotional advertising expenses, and other applicable items from the revenue requirement consistent with standard Commission practices.</t>
  </si>
  <si>
    <t>A+B</t>
  </si>
  <si>
    <t>Balance Sheet Accounts</t>
  </si>
  <si>
    <t>This adjustment normalizes depreciation expenses by replacing test year actual expenses with test year end balances, less any fully depreciated items, at approved depreciation rates.</t>
  </si>
  <si>
    <t>907-912</t>
  </si>
  <si>
    <t>Capital</t>
  </si>
  <si>
    <t>Pro Forma Adjustments</t>
  </si>
  <si>
    <t>Checks</t>
  </si>
  <si>
    <t>Sum from Rev Req page</t>
  </si>
  <si>
    <t>Sum from Adj IS page</t>
  </si>
  <si>
    <t>Var from Adj List</t>
  </si>
  <si>
    <t>Non Oper Adj</t>
  </si>
  <si>
    <t xml:space="preserve">Reference Schedule &gt;     </t>
  </si>
  <si>
    <t xml:space="preserve">Item  &gt;     </t>
  </si>
  <si>
    <t>Proposed Rates</t>
  </si>
  <si>
    <t>Increase $</t>
  </si>
  <si>
    <t>Increase %</t>
  </si>
  <si>
    <t>Investment in Subsidiary Companies</t>
  </si>
  <si>
    <t>Investment in Economic Development Projects</t>
  </si>
  <si>
    <t>Special Funds</t>
  </si>
  <si>
    <t>Current Maturities LTD</t>
  </si>
  <si>
    <t>Current Maturities LTD - Econ Dev</t>
  </si>
  <si>
    <t>Revenue Change from FAC Roll-In:</t>
  </si>
  <si>
    <t>Reference Schedule:  1.07</t>
  </si>
  <si>
    <t>LICKING VALLEY R.E.C.C.</t>
  </si>
  <si>
    <t>Power Operated Equipment</t>
  </si>
  <si>
    <t>Tools &amp; Work Equipment - small</t>
  </si>
  <si>
    <t>Laboratory Equipment</t>
  </si>
  <si>
    <t>Residential A</t>
  </si>
  <si>
    <t>Small Commercial B</t>
  </si>
  <si>
    <t>Large Commercial LP</t>
  </si>
  <si>
    <t>Large Comm Rate LPR</t>
  </si>
  <si>
    <t>Licking Valley R.E.C.C.</t>
  </si>
  <si>
    <t>Directors Expenses</t>
  </si>
  <si>
    <t>Williams</t>
  </si>
  <si>
    <t>Cundiff</t>
  </si>
  <si>
    <t>Holbrook</t>
  </si>
  <si>
    <t>Jones</t>
  </si>
  <si>
    <t>Hill</t>
  </si>
  <si>
    <t>Porter</t>
  </si>
  <si>
    <t>Howard</t>
  </si>
  <si>
    <t>Stacy</t>
  </si>
  <si>
    <t>NRECA Director Training</t>
  </si>
  <si>
    <t>EKPC Committee Meetings</t>
  </si>
  <si>
    <t>R E Magazine</t>
  </si>
  <si>
    <t>KEC Board &amp; Committee Meetings</t>
  </si>
  <si>
    <t>KEC Annual Meeting</t>
  </si>
  <si>
    <t>Christmas Gifts</t>
  </si>
  <si>
    <t>NRECA AD &amp; D Insurance</t>
  </si>
  <si>
    <t>This adjustment removes certain Director expenses consistent with recent Commission orders and standard Commission practices.</t>
  </si>
  <si>
    <t>Health Insurance Premiums</t>
  </si>
  <si>
    <t>Option</t>
  </si>
  <si>
    <t>Total Cost $</t>
  </si>
  <si>
    <t>Employee %</t>
  </si>
  <si>
    <t>Employee $</t>
  </si>
  <si>
    <t>Utility %</t>
  </si>
  <si>
    <t>Utility $</t>
  </si>
  <si>
    <t>Normalized Test Year</t>
  </si>
  <si>
    <t>Employee</t>
  </si>
  <si>
    <t>Employee &amp; Family</t>
  </si>
  <si>
    <t>Pro Forma Year</t>
  </si>
  <si>
    <t>This adjustment normalizes utility contributions to employee premiums for medical insurance to account for employee contribution amounts instituted after the test period.</t>
  </si>
  <si>
    <t>C</t>
  </si>
  <si>
    <t>D</t>
  </si>
  <si>
    <t>E</t>
  </si>
  <si>
    <t>F</t>
  </si>
  <si>
    <t>G</t>
  </si>
  <si>
    <t>Donations, Advertising &amp; Dues</t>
  </si>
  <si>
    <t>Life Insurance</t>
  </si>
  <si>
    <t>(D * 2)</t>
  </si>
  <si>
    <t>((F-E)/F)*B</t>
  </si>
  <si>
    <t>Empl #</t>
  </si>
  <si>
    <t>Total Premium</t>
  </si>
  <si>
    <t>Ending 2019 Rate</t>
  </si>
  <si>
    <t>Ending 2019 Salary</t>
  </si>
  <si>
    <t>Lesser of $50k or Salary</t>
  </si>
  <si>
    <t>Coverage - 2x Salary</t>
  </si>
  <si>
    <t>Amount to Exclude</t>
  </si>
  <si>
    <t>Allowed Total</t>
  </si>
  <si>
    <t>This adjustment removes Life insurance premiums for coverage above the lesser of an employee's annual salary or $50,000 from the test period.</t>
  </si>
  <si>
    <t>Reference Schedule:  1.06</t>
  </si>
  <si>
    <t>Reference Schedule:  1.10</t>
  </si>
  <si>
    <t>Annual Meeting</t>
  </si>
  <si>
    <t>Membership Dues</t>
  </si>
  <si>
    <t>Cushion</t>
  </si>
  <si>
    <t>Operating Margins - Prior Years</t>
  </si>
  <si>
    <t>Long Term Interest</t>
  </si>
  <si>
    <t>PSC 1-12</t>
  </si>
  <si>
    <t>PSC 1-14</t>
  </si>
  <si>
    <t>Wages &amp; Salaries</t>
  </si>
  <si>
    <t>PSC 1-16</t>
  </si>
  <si>
    <t>Payroll Taxes</t>
  </si>
  <si>
    <t>PSC 1-18</t>
  </si>
  <si>
    <t>Professional Services</t>
  </si>
  <si>
    <t xml:space="preserve">Licking Valley Long Term Debt </t>
  </si>
  <si>
    <t>Interest Adjustment</t>
  </si>
  <si>
    <t>Lender</t>
  </si>
  <si>
    <t>ID</t>
  </si>
  <si>
    <t>Balance</t>
  </si>
  <si>
    <t>Interest</t>
  </si>
  <si>
    <t>RUS</t>
  </si>
  <si>
    <t>FFB</t>
  </si>
  <si>
    <t>CFC</t>
  </si>
  <si>
    <t>Ref Sched</t>
  </si>
  <si>
    <t>LICKING VALLEY RECC</t>
  </si>
  <si>
    <t>Hours Worked</t>
  </si>
  <si>
    <t>Actual Test Year Wages</t>
  </si>
  <si>
    <t>Current Wage Rate</t>
  </si>
  <si>
    <t>Pro Forma Wages at 2,080 Hours</t>
  </si>
  <si>
    <t>Pro Forma Adjustment</t>
  </si>
  <si>
    <t>Count</t>
  </si>
  <si>
    <t>Actual ID</t>
  </si>
  <si>
    <t>Note</t>
  </si>
  <si>
    <t>Regular</t>
  </si>
  <si>
    <t>Overtime</t>
  </si>
  <si>
    <t>Vac P.Out</t>
  </si>
  <si>
    <t>Other</t>
  </si>
  <si>
    <t>&lt; Hide &gt;</t>
  </si>
  <si>
    <t xml:space="preserve"> </t>
  </si>
  <si>
    <t>Total Expensed + Capitalized</t>
  </si>
  <si>
    <t>NOTES:</t>
  </si>
  <si>
    <t>- No longer employed</t>
  </si>
  <si>
    <t>- Hired after 2019</t>
  </si>
  <si>
    <t>This adjustment normalizes wages and salaries to account for changes due to wage increases, promotions, retirements, terminations, or new hires for standard year of 2,080 hours.</t>
  </si>
  <si>
    <t>Labor Expense Summary</t>
  </si>
  <si>
    <t>907-910</t>
  </si>
  <si>
    <t xml:space="preserve">Expense Adjustment &gt; </t>
  </si>
  <si>
    <t>*</t>
  </si>
  <si>
    <t>101-120</t>
  </si>
  <si>
    <t>Utility Plant</t>
  </si>
  <si>
    <t>231-283</t>
  </si>
  <si>
    <t>Current &amp; Accrued Liabilities</t>
  </si>
  <si>
    <t>Social Security</t>
  </si>
  <si>
    <t>Medicare</t>
  </si>
  <si>
    <t>Federal Unemployment</t>
  </si>
  <si>
    <t>State Unemployment</t>
  </si>
  <si>
    <t>Normalized</t>
  </si>
  <si>
    <t>Up To</t>
  </si>
  <si>
    <t>At</t>
  </si>
  <si>
    <t>All</t>
  </si>
  <si>
    <t>(6)+(8)+</t>
  </si>
  <si>
    <t>Wages</t>
  </si>
  <si>
    <t>(10)+(12)</t>
  </si>
  <si>
    <t>Employee ID</t>
  </si>
  <si>
    <t>Total Difference</t>
  </si>
  <si>
    <t xml:space="preserve">A - </t>
  </si>
  <si>
    <t>No longer employed</t>
  </si>
  <si>
    <t>B -</t>
  </si>
  <si>
    <t>Hired after 2019</t>
  </si>
  <si>
    <t>This adjustment normalizes test year payroll taxes for FICA, Medicare, FUTA and SUTA based on most recent effective rates.</t>
  </si>
  <si>
    <t>Allocation to Accounts</t>
  </si>
  <si>
    <t>Professional Service Fees</t>
  </si>
  <si>
    <t>To Be</t>
  </si>
  <si>
    <t>Date</t>
  </si>
  <si>
    <t>Amount</t>
  </si>
  <si>
    <t>Removed</t>
  </si>
  <si>
    <t>NRECA</t>
  </si>
  <si>
    <t>NRECA Insurance AD&amp;D</t>
  </si>
  <si>
    <t>Gregory D. Allen</t>
  </si>
  <si>
    <t>Attorney Fee</t>
  </si>
  <si>
    <t>Alan M. Zumstein</t>
  </si>
  <si>
    <t>Audit</t>
  </si>
  <si>
    <t>Rural Coop Credit Union</t>
  </si>
  <si>
    <t>Christmas Gift</t>
  </si>
  <si>
    <t>990 &amp; Property Tax Return</t>
  </si>
  <si>
    <t>Rural Electric Magazine</t>
  </si>
  <si>
    <t>KY Electric Coops</t>
  </si>
  <si>
    <t>911 Ordinance</t>
  </si>
  <si>
    <t>Legal Report Service</t>
  </si>
  <si>
    <t>Jones, Nale &amp; Mattingly PLC</t>
  </si>
  <si>
    <t>EBCA</t>
  </si>
  <si>
    <t>ECBA Member</t>
  </si>
  <si>
    <t>American Express</t>
  </si>
  <si>
    <t>This adjustment removes certain outside professional services costs from the test period, consistent with Commission practice.</t>
  </si>
  <si>
    <t>PSC1-14</t>
  </si>
  <si>
    <t>PSC1-16</t>
  </si>
  <si>
    <t>PSC1-18</t>
  </si>
  <si>
    <t>&lt; Note changes are treated as A&amp;G for convenience of modeling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</si>
</sst>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_(* #,##0.00000_);_(* \(#,##0.00000\);_(* &quot;-&quot;??_);_(@_)"/>
    <numFmt numFmtId="168" formatCode="0.0%"/>
    <numFmt numFmtId="169" formatCode="\(#\)"/>
    <numFmt numFmtId="170" formatCode="_(* #,##0.0_);_(* \(#,##0.0\);_(* &quot;-&quot;??_);_(@_)"/>
    <numFmt numFmtId="171" formatCode="m/d/yy;@"/>
    <numFmt numFmtId="172" formatCode="0.000%"/>
    <numFmt numFmtId="173" formatCode="###,###,###,###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sz val="12"/>
      <name val="P-TIMES"/>
    </font>
    <font>
      <sz val="11"/>
      <name val="P-TIMES"/>
    </font>
    <font>
      <u/>
      <sz val="11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FF33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rgb="FF7030A0"/>
      <name val="Arial"/>
      <family val="2"/>
    </font>
    <font>
      <sz val="10"/>
      <color rgb="FF0000CC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0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26" fillId="0" borderId="0" applyNumberFormat="0" applyFill="0" applyBorder="0" applyAlignment="0" applyProtection="0"/>
  </cellStyleXfs>
  <cellXfs count="39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4" fillId="0" borderId="0" xfId="3" applyFont="1" applyAlignment="1">
      <alignment horizontal="right"/>
    </xf>
    <xf numFmtId="0" fontId="5" fillId="0" borderId="0" xfId="3" applyFont="1"/>
    <xf numFmtId="0" fontId="4" fillId="0" borderId="0" xfId="3" applyFont="1" applyAlignme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164" fontId="5" fillId="0" borderId="0" xfId="1" applyNumberFormat="1" applyFont="1"/>
    <xf numFmtId="0" fontId="5" fillId="0" borderId="0" xfId="0" applyFont="1" applyAlignment="1">
      <alignment horizontal="left"/>
    </xf>
    <xf numFmtId="0" fontId="5" fillId="0" borderId="3" xfId="0" applyFont="1" applyBorder="1"/>
    <xf numFmtId="164" fontId="5" fillId="0" borderId="3" xfId="1" applyNumberFormat="1" applyFont="1" applyBorder="1"/>
    <xf numFmtId="0" fontId="5" fillId="0" borderId="0" xfId="0" applyFont="1" applyBorder="1"/>
    <xf numFmtId="164" fontId="5" fillId="0" borderId="0" xfId="1" applyNumberFormat="1" applyFont="1" applyBorder="1"/>
    <xf numFmtId="164" fontId="5" fillId="0" borderId="0" xfId="1" applyNumberFormat="1" applyFont="1" applyFill="1" applyBorder="1"/>
    <xf numFmtId="0" fontId="5" fillId="0" borderId="2" xfId="0" applyFont="1" applyBorder="1"/>
    <xf numFmtId="164" fontId="5" fillId="0" borderId="2" xfId="0" applyNumberFormat="1" applyFont="1" applyBorder="1"/>
    <xf numFmtId="164" fontId="5" fillId="0" borderId="2" xfId="1" applyNumberFormat="1" applyFont="1" applyBorder="1"/>
    <xf numFmtId="165" fontId="5" fillId="0" borderId="0" xfId="2" applyNumberFormat="1" applyFont="1"/>
    <xf numFmtId="165" fontId="5" fillId="0" borderId="0" xfId="2" applyNumberFormat="1" applyFont="1" applyFill="1"/>
    <xf numFmtId="0" fontId="5" fillId="0" borderId="0" xfId="0" applyFont="1" applyFill="1"/>
    <xf numFmtId="43" fontId="5" fillId="0" borderId="0" xfId="2" applyFont="1"/>
    <xf numFmtId="2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65" fontId="5" fillId="0" borderId="0" xfId="2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164" fontId="5" fillId="0" borderId="3" xfId="1" applyNumberFormat="1" applyFont="1" applyFill="1" applyBorder="1"/>
    <xf numFmtId="165" fontId="2" fillId="0" borderId="0" xfId="2" applyNumberFormat="1" applyFont="1" applyFill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 applyProtection="1"/>
    <xf numFmtId="164" fontId="2" fillId="0" borderId="0" xfId="1" applyNumberFormat="1" applyFont="1" applyBorder="1" applyProtection="1"/>
    <xf numFmtId="168" fontId="2" fillId="0" borderId="0" xfId="5" applyNumberFormat="1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9" fontId="2" fillId="0" borderId="1" xfId="0" quotePrefix="1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3" fillId="0" borderId="0" xfId="0" applyFont="1" applyAlignment="1" applyProtection="1">
      <alignment horizontal="left"/>
    </xf>
    <xf numFmtId="164" fontId="2" fillId="0" borderId="0" xfId="1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" xfId="0" applyFont="1" applyBorder="1"/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168" fontId="2" fillId="0" borderId="2" xfId="5" applyNumberFormat="1" applyFont="1" applyBorder="1" applyProtection="1"/>
    <xf numFmtId="0" fontId="13" fillId="0" borderId="0" xfId="0" applyFont="1" applyAlignment="1" applyProtection="1">
      <alignment horizontal="right" wrapText="1"/>
    </xf>
    <xf numFmtId="41" fontId="2" fillId="0" borderId="0" xfId="0" applyNumberFormat="1" applyFont="1" applyBorder="1" applyProtection="1"/>
    <xf numFmtId="168" fontId="2" fillId="0" borderId="0" xfId="0" applyNumberFormat="1" applyFont="1" applyBorder="1" applyProtection="1"/>
    <xf numFmtId="164" fontId="2" fillId="0" borderId="7" xfId="1" applyNumberFormat="1" applyFont="1" applyBorder="1" applyAlignment="1" applyProtection="1">
      <alignment horizontal="center"/>
    </xf>
    <xf numFmtId="37" fontId="7" fillId="0" borderId="0" xfId="4" applyNumberFormat="1" applyFont="1" applyFill="1" applyProtection="1"/>
    <xf numFmtId="0" fontId="5" fillId="0" borderId="0" xfId="0" applyFont="1" applyFill="1" applyAlignment="1">
      <alignment horizontal="center"/>
    </xf>
    <xf numFmtId="0" fontId="2" fillId="0" borderId="3" xfId="0" applyFont="1" applyFill="1" applyBorder="1"/>
    <xf numFmtId="165" fontId="2" fillId="0" borderId="2" xfId="2" applyNumberFormat="1" applyFont="1" applyFill="1" applyBorder="1"/>
    <xf numFmtId="0" fontId="5" fillId="0" borderId="3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wrapText="1"/>
    </xf>
    <xf numFmtId="169" fontId="2" fillId="0" borderId="0" xfId="0" quotePrefix="1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165" fontId="2" fillId="0" borderId="3" xfId="2" applyNumberFormat="1" applyFont="1" applyFill="1" applyBorder="1"/>
    <xf numFmtId="0" fontId="8" fillId="0" borderId="0" xfId="0" applyFont="1" applyFill="1" applyAlignment="1">
      <alignment horizontal="right"/>
    </xf>
    <xf numFmtId="0" fontId="5" fillId="0" borderId="2" xfId="0" applyFont="1" applyFill="1" applyBorder="1"/>
    <xf numFmtId="0" fontId="0" fillId="0" borderId="0" xfId="0" applyFill="1" applyAlignment="1">
      <alignment horizontal="center"/>
    </xf>
    <xf numFmtId="0" fontId="7" fillId="0" borderId="0" xfId="4" applyFont="1" applyFill="1" applyAlignment="1">
      <alignment horizontal="centerContinuous"/>
    </xf>
    <xf numFmtId="0" fontId="7" fillId="0" borderId="0" xfId="4" applyFont="1" applyFill="1" applyAlignment="1">
      <alignment horizontal="right"/>
    </xf>
    <xf numFmtId="0" fontId="7" fillId="0" borderId="0" xfId="4" applyFont="1" applyFill="1"/>
    <xf numFmtId="0" fontId="11" fillId="0" borderId="0" xfId="4" applyFont="1" applyFill="1"/>
    <xf numFmtId="0" fontId="7" fillId="0" borderId="0" xfId="4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2" fontId="7" fillId="0" borderId="0" xfId="4" applyNumberFormat="1" applyFont="1" applyFill="1" applyAlignment="1">
      <alignment horizontal="center"/>
    </xf>
    <xf numFmtId="0" fontId="12" fillId="0" borderId="0" xfId="4" applyFont="1" applyFill="1" applyAlignment="1">
      <alignment horizontal="centerContinuous"/>
    </xf>
    <xf numFmtId="0" fontId="7" fillId="0" borderId="1" xfId="4" applyFont="1" applyFill="1" applyBorder="1" applyAlignment="1">
      <alignment horizontal="center" wrapText="1"/>
    </xf>
    <xf numFmtId="0" fontId="11" fillId="0" borderId="1" xfId="4" applyFont="1" applyFill="1" applyBorder="1" applyAlignment="1">
      <alignment horizontal="center" wrapText="1"/>
    </xf>
    <xf numFmtId="0" fontId="12" fillId="0" borderId="0" xfId="4" applyFont="1" applyFill="1"/>
    <xf numFmtId="165" fontId="7" fillId="0" borderId="0" xfId="2" applyNumberFormat="1" applyFont="1" applyFill="1"/>
    <xf numFmtId="37" fontId="7" fillId="0" borderId="1" xfId="4" applyNumberFormat="1" applyFont="1" applyFill="1" applyBorder="1" applyProtection="1"/>
    <xf numFmtId="0" fontId="7" fillId="0" borderId="5" xfId="4" applyFont="1" applyFill="1" applyBorder="1"/>
    <xf numFmtId="37" fontId="7" fillId="0" borderId="5" xfId="4" applyNumberFormat="1" applyFont="1" applyFill="1" applyBorder="1" applyProtection="1"/>
    <xf numFmtId="37" fontId="7" fillId="0" borderId="0" xfId="4" applyNumberFormat="1" applyFont="1" applyFill="1" applyAlignment="1" applyProtection="1">
      <alignment horizontal="right"/>
    </xf>
    <xf numFmtId="0" fontId="7" fillId="0" borderId="6" xfId="4" applyFont="1" applyFill="1" applyBorder="1"/>
    <xf numFmtId="37" fontId="7" fillId="0" borderId="6" xfId="4" applyNumberFormat="1" applyFont="1" applyFill="1" applyBorder="1" applyProtection="1"/>
    <xf numFmtId="37" fontId="7" fillId="0" borderId="0" xfId="4" applyNumberFormat="1" applyFont="1" applyFill="1"/>
    <xf numFmtId="0" fontId="18" fillId="0" borderId="0" xfId="4" applyFont="1" applyFill="1" applyAlignment="1">
      <alignment horizontal="centerContinuous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5" fillId="0" borderId="2" xfId="2" applyNumberFormat="1" applyFont="1" applyBorder="1" applyAlignment="1">
      <alignment vertical="center"/>
    </xf>
    <xf numFmtId="168" fontId="2" fillId="0" borderId="0" xfId="5" applyNumberFormat="1" applyFont="1" applyFill="1" applyBorder="1" applyProtection="1"/>
    <xf numFmtId="168" fontId="2" fillId="0" borderId="3" xfId="5" applyNumberFormat="1" applyFont="1" applyFill="1" applyBorder="1" applyProtection="1"/>
    <xf numFmtId="0" fontId="5" fillId="0" borderId="0" xfId="0" applyFont="1" applyFill="1" applyBorder="1"/>
    <xf numFmtId="0" fontId="0" fillId="0" borderId="0" xfId="0" applyFont="1" applyFill="1"/>
    <xf numFmtId="0" fontId="14" fillId="0" borderId="1" xfId="0" applyFont="1" applyFill="1" applyBorder="1" applyAlignment="1">
      <alignment horizontal="center"/>
    </xf>
    <xf numFmtId="169" fontId="14" fillId="0" borderId="1" xfId="0" quotePrefix="1" applyNumberFormat="1" applyFont="1" applyBorder="1" applyAlignment="1">
      <alignment horizontal="center"/>
    </xf>
    <xf numFmtId="0" fontId="17" fillId="0" borderId="0" xfId="0" applyFont="1" applyFill="1"/>
    <xf numFmtId="0" fontId="4" fillId="0" borderId="0" xfId="0" applyFont="1" applyFill="1" applyAlignment="1"/>
    <xf numFmtId="165" fontId="2" fillId="0" borderId="0" xfId="2" applyNumberFormat="1" applyFont="1" applyProtection="1"/>
    <xf numFmtId="0" fontId="19" fillId="0" borderId="0" xfId="0" applyFont="1" applyFill="1" applyAlignment="1">
      <alignment horizontal="left"/>
    </xf>
    <xf numFmtId="0" fontId="19" fillId="0" borderId="0" xfId="0" applyFont="1" applyFill="1"/>
    <xf numFmtId="165" fontId="4" fillId="0" borderId="0" xfId="2" applyNumberFormat="1" applyFont="1" applyFill="1" applyAlignment="1"/>
    <xf numFmtId="165" fontId="4" fillId="0" borderId="0" xfId="2" applyNumberFormat="1" applyFont="1" applyFill="1" applyAlignment="1">
      <alignment horizontal="center"/>
    </xf>
    <xf numFmtId="165" fontId="2" fillId="0" borderId="3" xfId="2" applyNumberFormat="1" applyFont="1" applyBorder="1" applyProtection="1"/>
    <xf numFmtId="165" fontId="0" fillId="0" borderId="0" xfId="2" applyNumberFormat="1" applyFont="1" applyFill="1"/>
    <xf numFmtId="165" fontId="2" fillId="0" borderId="0" xfId="2" applyNumberFormat="1" applyFont="1" applyBorder="1" applyProtection="1"/>
    <xf numFmtId="165" fontId="2" fillId="0" borderId="2" xfId="2" applyNumberFormat="1" applyFont="1" applyBorder="1" applyProtection="1"/>
    <xf numFmtId="0" fontId="14" fillId="0" borderId="0" xfId="0" applyFont="1" applyFill="1" applyAlignment="1"/>
    <xf numFmtId="165" fontId="20" fillId="0" borderId="0" xfId="0" applyNumberFormat="1" applyFont="1" applyFill="1"/>
    <xf numFmtId="165" fontId="2" fillId="0" borderId="8" xfId="2" applyNumberFormat="1" applyFont="1" applyFill="1" applyBorder="1"/>
    <xf numFmtId="43" fontId="2" fillId="0" borderId="0" xfId="2" applyNumberFormat="1" applyFont="1" applyFill="1"/>
    <xf numFmtId="0" fontId="20" fillId="0" borderId="0" xfId="0" applyFont="1" applyFill="1"/>
    <xf numFmtId="10" fontId="2" fillId="0" borderId="0" xfId="5" applyNumberFormat="1" applyFont="1" applyFill="1"/>
    <xf numFmtId="165" fontId="2" fillId="0" borderId="0" xfId="2" applyNumberFormat="1" applyFont="1" applyFill="1" applyBorder="1"/>
    <xf numFmtId="10" fontId="2" fillId="0" borderId="0" xfId="5" applyNumberFormat="1" applyFont="1" applyFill="1" applyBorder="1"/>
    <xf numFmtId="165" fontId="2" fillId="0" borderId="3" xfId="0" applyNumberFormat="1" applyFont="1" applyFill="1" applyBorder="1"/>
    <xf numFmtId="0" fontId="21" fillId="0" borderId="0" xfId="0" applyFont="1" applyFill="1"/>
    <xf numFmtId="0" fontId="2" fillId="0" borderId="1" xfId="0" applyFont="1" applyFill="1" applyBorder="1"/>
    <xf numFmtId="10" fontId="2" fillId="0" borderId="1" xfId="0" applyNumberFormat="1" applyFont="1" applyFill="1" applyBorder="1"/>
    <xf numFmtId="0" fontId="14" fillId="0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2" fillId="0" borderId="3" xfId="1" applyNumberFormat="1" applyFont="1" applyBorder="1" applyAlignment="1" applyProtection="1">
      <alignment horizontal="center"/>
    </xf>
    <xf numFmtId="164" fontId="2" fillId="0" borderId="2" xfId="1" applyNumberFormat="1" applyFont="1" applyBorder="1" applyAlignment="1" applyProtection="1">
      <alignment horizontal="center"/>
    </xf>
    <xf numFmtId="0" fontId="14" fillId="0" borderId="0" xfId="0" applyFont="1" applyFill="1" applyAlignment="1">
      <alignment horizontal="center"/>
    </xf>
    <xf numFmtId="43" fontId="2" fillId="0" borderId="0" xfId="2" applyFont="1" applyBorder="1" applyAlignment="1" applyProtection="1">
      <alignment horizontal="left"/>
    </xf>
    <xf numFmtId="43" fontId="2" fillId="0" borderId="0" xfId="2" applyFont="1" applyBorder="1" applyAlignment="1" applyProtection="1">
      <alignment horizontal="center"/>
    </xf>
    <xf numFmtId="41" fontId="2" fillId="0" borderId="0" xfId="0" applyNumberFormat="1" applyFont="1" applyFill="1" applyBorder="1" applyProtection="1"/>
    <xf numFmtId="43" fontId="2" fillId="0" borderId="8" xfId="2" applyFont="1" applyBorder="1" applyAlignment="1" applyProtection="1">
      <alignment horizontal="left"/>
    </xf>
    <xf numFmtId="0" fontId="2" fillId="0" borderId="8" xfId="0" applyFont="1" applyBorder="1" applyProtection="1"/>
    <xf numFmtId="41" fontId="2" fillId="0" borderId="8" xfId="0" applyNumberFormat="1" applyFont="1" applyBorder="1" applyProtection="1"/>
    <xf numFmtId="10" fontId="2" fillId="0" borderId="8" xfId="0" applyNumberFormat="1" applyFont="1" applyFill="1" applyBorder="1" applyProtection="1"/>
    <xf numFmtId="165" fontId="2" fillId="0" borderId="0" xfId="2" applyNumberFormat="1" applyFont="1" applyFill="1" applyAlignment="1">
      <alignment horizontal="right"/>
    </xf>
    <xf numFmtId="43" fontId="2" fillId="2" borderId="0" xfId="2" applyNumberFormat="1" applyFont="1" applyFill="1"/>
    <xf numFmtId="165" fontId="2" fillId="2" borderId="0" xfId="2" applyNumberFormat="1" applyFont="1" applyFill="1"/>
    <xf numFmtId="0" fontId="20" fillId="2" borderId="0" xfId="0" applyFont="1" applyFill="1"/>
    <xf numFmtId="165" fontId="2" fillId="2" borderId="3" xfId="0" applyNumberFormat="1" applyFont="1" applyFill="1" applyBorder="1"/>
    <xf numFmtId="10" fontId="2" fillId="2" borderId="1" xfId="0" applyNumberFormat="1" applyFont="1" applyFill="1" applyBorder="1"/>
    <xf numFmtId="0" fontId="7" fillId="0" borderId="1" xfId="4" applyFont="1" applyFill="1" applyBorder="1" applyAlignment="1">
      <alignment horizontal="right" vertical="center"/>
    </xf>
    <xf numFmtId="37" fontId="5" fillId="0" borderId="0" xfId="0" applyNumberFormat="1" applyFont="1"/>
    <xf numFmtId="10" fontId="2" fillId="0" borderId="0" xfId="0" applyNumberFormat="1" applyFont="1" applyFill="1" applyBorder="1"/>
    <xf numFmtId="164" fontId="2" fillId="0" borderId="0" xfId="1" applyNumberFormat="1" applyFont="1" applyFill="1" applyBorder="1"/>
    <xf numFmtId="0" fontId="22" fillId="0" borderId="0" xfId="0" applyFont="1" applyFill="1" applyAlignment="1">
      <alignment horizontal="right"/>
    </xf>
    <xf numFmtId="43" fontId="20" fillId="0" borderId="0" xfId="2" applyFont="1" applyFill="1"/>
    <xf numFmtId="0" fontId="2" fillId="0" borderId="0" xfId="0" applyFont="1" applyFill="1" applyAlignment="1">
      <alignment horizontal="center"/>
    </xf>
    <xf numFmtId="0" fontId="23" fillId="0" borderId="0" xfId="0" applyFont="1" applyFill="1"/>
    <xf numFmtId="0" fontId="13" fillId="0" borderId="0" xfId="0" applyFont="1" applyFill="1"/>
    <xf numFmtId="43" fontId="20" fillId="0" borderId="0" xfId="0" applyNumberFormat="1" applyFont="1" applyFill="1"/>
    <xf numFmtId="0" fontId="2" fillId="0" borderId="8" xfId="0" applyFont="1" applyFill="1" applyBorder="1"/>
    <xf numFmtId="0" fontId="2" fillId="0" borderId="2" xfId="0" applyFont="1" applyFill="1" applyBorder="1"/>
    <xf numFmtId="0" fontId="20" fillId="0" borderId="0" xfId="0" applyFont="1" applyFill="1" applyAlignment="1">
      <alignment horizontal="center"/>
    </xf>
    <xf numFmtId="164" fontId="2" fillId="0" borderId="0" xfId="1" applyNumberFormat="1" applyFont="1" applyFill="1"/>
    <xf numFmtId="165" fontId="2" fillId="2" borderId="0" xfId="0" applyNumberFormat="1" applyFont="1" applyFill="1"/>
    <xf numFmtId="0" fontId="2" fillId="2" borderId="0" xfId="0" applyFont="1" applyFill="1"/>
    <xf numFmtId="165" fontId="2" fillId="0" borderId="3" xfId="2" applyNumberFormat="1" applyFont="1" applyBorder="1"/>
    <xf numFmtId="165" fontId="2" fillId="0" borderId="0" xfId="2" applyNumberFormat="1" applyFont="1" applyBorder="1"/>
    <xf numFmtId="164" fontId="2" fillId="0" borderId="0" xfId="1" applyNumberFormat="1" applyFont="1" applyBorder="1"/>
    <xf numFmtId="165" fontId="2" fillId="0" borderId="0" xfId="0" applyNumberFormat="1" applyFont="1"/>
    <xf numFmtId="164" fontId="2" fillId="0" borderId="0" xfId="1" applyNumberFormat="1" applyFont="1"/>
    <xf numFmtId="166" fontId="2" fillId="0" borderId="0" xfId="1" applyNumberFormat="1" applyFont="1" applyBorder="1"/>
    <xf numFmtId="167" fontId="2" fillId="0" borderId="0" xfId="2" applyNumberFormat="1" applyFont="1" applyBorder="1"/>
    <xf numFmtId="170" fontId="2" fillId="0" borderId="0" xfId="0" applyNumberFormat="1" applyFont="1"/>
    <xf numFmtId="164" fontId="2" fillId="0" borderId="4" xfId="1" applyNumberFormat="1" applyFont="1" applyBorder="1"/>
    <xf numFmtId="0" fontId="2" fillId="0" borderId="4" xfId="0" applyFont="1" applyBorder="1"/>
    <xf numFmtId="164" fontId="14" fillId="0" borderId="1" xfId="1" applyNumberFormat="1" applyFont="1" applyBorder="1" applyAlignment="1">
      <alignment horizontal="right"/>
    </xf>
    <xf numFmtId="164" fontId="2" fillId="0" borderId="0" xfId="0" applyNumberFormat="1" applyFont="1"/>
    <xf numFmtId="164" fontId="2" fillId="0" borderId="2" xfId="1" applyNumberFormat="1" applyFont="1" applyBorder="1"/>
    <xf numFmtId="0" fontId="14" fillId="0" borderId="1" xfId="0" applyFont="1" applyBorder="1"/>
    <xf numFmtId="0" fontId="14" fillId="0" borderId="0" xfId="3" applyFont="1" applyAlignment="1">
      <alignment horizontal="right"/>
    </xf>
    <xf numFmtId="0" fontId="2" fillId="0" borderId="0" xfId="3" applyFont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10" fontId="2" fillId="0" borderId="0" xfId="5" applyNumberFormat="1" applyFont="1"/>
    <xf numFmtId="0" fontId="2" fillId="0" borderId="3" xfId="0" applyFont="1" applyBorder="1" applyAlignment="1">
      <alignment horizontal="right"/>
    </xf>
    <xf numFmtId="41" fontId="2" fillId="0" borderId="3" xfId="0" applyNumberFormat="1" applyFont="1" applyBorder="1"/>
    <xf numFmtId="41" fontId="2" fillId="0" borderId="3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41" fontId="2" fillId="0" borderId="8" xfId="0" applyNumberFormat="1" applyFont="1" applyBorder="1"/>
    <xf numFmtId="0" fontId="2" fillId="0" borderId="0" xfId="0" applyFont="1" applyBorder="1" applyAlignment="1">
      <alignment horizontal="right"/>
    </xf>
    <xf numFmtId="41" fontId="2" fillId="0" borderId="0" xfId="0" applyNumberFormat="1" applyFont="1" applyBorder="1"/>
    <xf numFmtId="164" fontId="2" fillId="0" borderId="8" xfId="1" applyNumberFormat="1" applyFont="1" applyBorder="1"/>
    <xf numFmtId="41" fontId="2" fillId="0" borderId="2" xfId="0" applyNumberFormat="1" applyFont="1" applyBorder="1"/>
    <xf numFmtId="41" fontId="14" fillId="0" borderId="2" xfId="0" applyNumberFormat="1" applyFont="1" applyBorder="1"/>
    <xf numFmtId="0" fontId="5" fillId="0" borderId="0" xfId="0" applyFont="1" applyAlignment="1">
      <alignment horizontal="left" vertical="top" wrapText="1"/>
    </xf>
    <xf numFmtId="164" fontId="5" fillId="0" borderId="0" xfId="0" applyNumberFormat="1" applyFont="1"/>
    <xf numFmtId="0" fontId="4" fillId="0" borderId="0" xfId="3" applyFont="1"/>
    <xf numFmtId="0" fontId="9" fillId="0" borderId="0" xfId="0" applyFont="1"/>
    <xf numFmtId="0" fontId="4" fillId="0" borderId="1" xfId="0" applyFont="1" applyBorder="1" applyAlignment="1">
      <alignment horizontal="center"/>
    </xf>
    <xf numFmtId="0" fontId="25" fillId="0" borderId="0" xfId="0" applyFont="1"/>
    <xf numFmtId="44" fontId="5" fillId="0" borderId="0" xfId="1" applyFont="1"/>
    <xf numFmtId="44" fontId="25" fillId="0" borderId="0" xfId="1" applyFont="1"/>
    <xf numFmtId="44" fontId="5" fillId="0" borderId="3" xfId="1" applyFont="1" applyBorder="1"/>
    <xf numFmtId="44" fontId="5" fillId="0" borderId="0" xfId="2" applyNumberFormat="1" applyFont="1" applyBorder="1"/>
    <xf numFmtId="44" fontId="5" fillId="0" borderId="2" xfId="2" applyNumberFormat="1" applyFont="1" applyBorder="1"/>
    <xf numFmtId="43" fontId="25" fillId="0" borderId="0" xfId="2" applyFont="1"/>
    <xf numFmtId="171" fontId="14" fillId="0" borderId="0" xfId="0" quotePrefix="1" applyNumberFormat="1" applyFont="1" applyAlignment="1">
      <alignment horizontal="center" wrapText="1"/>
    </xf>
    <xf numFmtId="0" fontId="14" fillId="0" borderId="0" xfId="0" quotePrefix="1" applyFont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0" xfId="0" applyFont="1"/>
    <xf numFmtId="171" fontId="6" fillId="0" borderId="0" xfId="0" applyNumberFormat="1" applyFont="1" applyAlignment="1">
      <alignment horizontal="left"/>
    </xf>
    <xf numFmtId="171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 wrapText="1"/>
    </xf>
    <xf numFmtId="165" fontId="2" fillId="0" borderId="0" xfId="2" applyNumberFormat="1" applyFont="1" applyFill="1" applyAlignment="1"/>
    <xf numFmtId="10" fontId="2" fillId="0" borderId="0" xfId="5" applyNumberFormat="1" applyFont="1" applyFill="1" applyAlignment="1"/>
    <xf numFmtId="165" fontId="2" fillId="0" borderId="1" xfId="2" applyNumberFormat="1" applyFont="1" applyFill="1" applyBorder="1" applyAlignment="1"/>
    <xf numFmtId="10" fontId="2" fillId="0" borderId="1" xfId="5" applyNumberFormat="1" applyFont="1" applyFill="1" applyBorder="1" applyAlignment="1"/>
    <xf numFmtId="165" fontId="2" fillId="0" borderId="3" xfId="2" applyNumberFormat="1" applyFont="1" applyFill="1" applyBorder="1" applyAlignment="1">
      <alignment horizontal="right"/>
    </xf>
    <xf numFmtId="165" fontId="2" fillId="0" borderId="3" xfId="2" applyNumberFormat="1" applyFont="1" applyFill="1" applyBorder="1" applyAlignment="1"/>
    <xf numFmtId="10" fontId="2" fillId="0" borderId="3" xfId="2" applyNumberFormat="1" applyFont="1" applyFill="1" applyBorder="1" applyAlignment="1"/>
    <xf numFmtId="10" fontId="2" fillId="0" borderId="0" xfId="2" applyNumberFormat="1" applyFont="1" applyFill="1"/>
    <xf numFmtId="165" fontId="6" fillId="0" borderId="0" xfId="2" applyNumberFormat="1" applyFont="1" applyFill="1" applyAlignment="1"/>
    <xf numFmtId="0" fontId="6" fillId="0" borderId="0" xfId="0" applyFont="1" applyAlignment="1">
      <alignment horizontal="left"/>
    </xf>
    <xf numFmtId="0" fontId="14" fillId="0" borderId="2" xfId="0" applyFont="1" applyBorder="1"/>
    <xf numFmtId="165" fontId="2" fillId="0" borderId="2" xfId="2" applyNumberFormat="1" applyFont="1" applyFill="1" applyBorder="1" applyAlignment="1">
      <alignment horizontal="right"/>
    </xf>
    <xf numFmtId="165" fontId="2" fillId="0" borderId="2" xfId="2" applyNumberFormat="1" applyFont="1" applyFill="1" applyBorder="1" applyAlignment="1"/>
    <xf numFmtId="44" fontId="2" fillId="0" borderId="0" xfId="1" applyFont="1"/>
    <xf numFmtId="0" fontId="5" fillId="0" borderId="1" xfId="0" applyFont="1" applyBorder="1"/>
    <xf numFmtId="164" fontId="2" fillId="0" borderId="3" xfId="1" applyNumberFormat="1" applyFont="1" applyFill="1" applyBorder="1"/>
    <xf numFmtId="10" fontId="2" fillId="0" borderId="0" xfId="0" applyNumberFormat="1" applyFont="1" applyFill="1" applyAlignment="1">
      <alignment horizontal="right"/>
    </xf>
    <xf numFmtId="164" fontId="24" fillId="0" borderId="0" xfId="1" applyNumberFormat="1" applyFont="1" applyFill="1" applyAlignment="1">
      <alignment horizontal="center"/>
    </xf>
    <xf numFmtId="165" fontId="2" fillId="0" borderId="0" xfId="2" applyNumberFormat="1" applyFont="1" applyFill="1" applyProtection="1"/>
    <xf numFmtId="164" fontId="2" fillId="0" borderId="3" xfId="1" applyNumberFormat="1" applyFont="1" applyBorder="1"/>
    <xf numFmtId="164" fontId="2" fillId="0" borderId="2" xfId="0" applyNumberFormat="1" applyFont="1" applyBorder="1"/>
    <xf numFmtId="165" fontId="2" fillId="0" borderId="0" xfId="2" applyNumberFormat="1" applyFont="1"/>
    <xf numFmtId="0" fontId="14" fillId="0" borderId="0" xfId="0" applyFont="1" applyBorder="1"/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right"/>
    </xf>
    <xf numFmtId="0" fontId="14" fillId="0" borderId="0" xfId="3" applyFont="1"/>
    <xf numFmtId="0" fontId="14" fillId="0" borderId="1" xfId="0" quotePrefix="1" applyFont="1" applyBorder="1" applyAlignment="1">
      <alignment horizontal="left"/>
    </xf>
    <xf numFmtId="0" fontId="14" fillId="0" borderId="1" xfId="0" quotePrefix="1" applyFont="1" applyBorder="1" applyAlignment="1">
      <alignment horizontal="center"/>
    </xf>
    <xf numFmtId="165" fontId="2" fillId="0" borderId="1" xfId="2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9" fontId="20" fillId="0" borderId="0" xfId="0" applyNumberFormat="1" applyFont="1"/>
    <xf numFmtId="0" fontId="13" fillId="0" borderId="0" xfId="9" applyFont="1"/>
    <xf numFmtId="0" fontId="27" fillId="0" borderId="0" xfId="0" applyFont="1" applyAlignment="1">
      <alignment horizontal="right"/>
    </xf>
    <xf numFmtId="0" fontId="27" fillId="0" borderId="0" xfId="0" applyFont="1"/>
    <xf numFmtId="10" fontId="2" fillId="0" borderId="0" xfId="5" applyNumberFormat="1" applyFont="1" applyBorder="1" applyProtection="1"/>
    <xf numFmtId="10" fontId="2" fillId="0" borderId="0" xfId="0" applyNumberFormat="1" applyFont="1" applyFill="1" applyBorder="1" applyProtection="1"/>
    <xf numFmtId="0" fontId="2" fillId="0" borderId="0" xfId="3" applyFont="1" applyAlignment="1">
      <alignment horizontal="left"/>
    </xf>
    <xf numFmtId="0" fontId="14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4" fontId="2" fillId="0" borderId="0" xfId="0" applyNumberFormat="1" applyFont="1"/>
    <xf numFmtId="44" fontId="2" fillId="0" borderId="0" xfId="1" applyFont="1" applyFill="1"/>
    <xf numFmtId="43" fontId="2" fillId="0" borderId="0" xfId="2" applyFont="1"/>
    <xf numFmtId="44" fontId="2" fillId="0" borderId="3" xfId="1" applyFont="1" applyBorder="1"/>
    <xf numFmtId="44" fontId="14" fillId="0" borderId="3" xfId="0" applyNumberFormat="1" applyFont="1" applyBorder="1"/>
    <xf numFmtId="0" fontId="2" fillId="0" borderId="0" xfId="0" applyFont="1" applyAlignment="1">
      <alignment horizontal="right"/>
    </xf>
    <xf numFmtId="0" fontId="14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4" applyFont="1" applyFill="1" applyAlignment="1">
      <alignment horizontal="center"/>
    </xf>
    <xf numFmtId="0" fontId="4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14" fillId="0" borderId="0" xfId="3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4" fontId="4" fillId="0" borderId="7" xfId="1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right" wrapText="1"/>
    </xf>
    <xf numFmtId="165" fontId="5" fillId="0" borderId="0" xfId="2" quotePrefix="1" applyNumberFormat="1" applyFont="1" applyBorder="1" applyAlignment="1">
      <alignment horizontal="right"/>
    </xf>
    <xf numFmtId="172" fontId="5" fillId="0" borderId="0" xfId="5" applyNumberFormat="1" applyFont="1" applyBorder="1"/>
    <xf numFmtId="165" fontId="5" fillId="0" borderId="0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64" fontId="4" fillId="0" borderId="2" xfId="1" applyNumberFormat="1" applyFont="1" applyBorder="1"/>
    <xf numFmtId="43" fontId="5" fillId="0" borderId="0" xfId="0" applyNumberFormat="1" applyFont="1"/>
    <xf numFmtId="2" fontId="5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wrapText="1"/>
    </xf>
    <xf numFmtId="0" fontId="2" fillId="5" borderId="0" xfId="3" applyFont="1" applyFill="1" applyAlignment="1">
      <alignment horizontal="center"/>
    </xf>
    <xf numFmtId="169" fontId="2" fillId="4" borderId="1" xfId="0" quotePrefix="1" applyNumberFormat="1" applyFont="1" applyFill="1" applyBorder="1" applyAlignment="1">
      <alignment horizontal="center"/>
    </xf>
    <xf numFmtId="43" fontId="2" fillId="0" borderId="0" xfId="2" applyFont="1" applyFill="1"/>
    <xf numFmtId="41" fontId="2" fillId="0" borderId="0" xfId="2" applyNumberFormat="1" applyFont="1" applyFill="1"/>
    <xf numFmtId="2" fontId="2" fillId="0" borderId="0" xfId="0" applyNumberFormat="1" applyFont="1"/>
    <xf numFmtId="37" fontId="2" fillId="0" borderId="0" xfId="0" applyNumberFormat="1" applyFont="1"/>
    <xf numFmtId="0" fontId="29" fillId="5" borderId="0" xfId="3" applyFont="1" applyFill="1" applyAlignment="1">
      <alignment horizontal="center"/>
    </xf>
    <xf numFmtId="164" fontId="29" fillId="0" borderId="0" xfId="1" applyNumberFormat="1" applyFont="1"/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2" applyNumberFormat="1" applyFont="1" applyBorder="1"/>
    <xf numFmtId="165" fontId="2" fillId="5" borderId="0" xfId="2" applyNumberFormat="1" applyFont="1" applyFill="1"/>
    <xf numFmtId="165" fontId="2" fillId="5" borderId="0" xfId="2" applyNumberFormat="1" applyFont="1" applyFill="1" applyAlignment="1">
      <alignment horizontal="center" wrapText="1"/>
    </xf>
    <xf numFmtId="165" fontId="2" fillId="5" borderId="0" xfId="2" applyNumberFormat="1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5" borderId="0" xfId="2" applyFont="1" applyFill="1" applyAlignment="1">
      <alignment vertical="center"/>
    </xf>
    <xf numFmtId="0" fontId="2" fillId="5" borderId="0" xfId="0" applyFont="1" applyFill="1" applyAlignment="1">
      <alignment horizontal="center" vertical="center" wrapText="1"/>
    </xf>
    <xf numFmtId="0" fontId="2" fillId="5" borderId="0" xfId="3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2" fillId="0" borderId="0" xfId="0" quotePrefix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164" fontId="2" fillId="0" borderId="0" xfId="1" applyNumberFormat="1" applyFont="1" applyFill="1" applyBorder="1" applyProtection="1"/>
    <xf numFmtId="0" fontId="14" fillId="0" borderId="3" xfId="0" applyFont="1" applyBorder="1" applyAlignment="1">
      <alignment horizontal="left"/>
    </xf>
    <xf numFmtId="164" fontId="2" fillId="0" borderId="3" xfId="1" applyNumberFormat="1" applyFont="1" applyFill="1" applyBorder="1" applyAlignment="1" applyProtection="1">
      <alignment horizontal="center"/>
    </xf>
    <xf numFmtId="10" fontId="2" fillId="0" borderId="3" xfId="5" applyNumberFormat="1" applyFont="1" applyBorder="1" applyProtection="1"/>
    <xf numFmtId="164" fontId="14" fillId="0" borderId="7" xfId="0" applyNumberFormat="1" applyFont="1" applyBorder="1"/>
    <xf numFmtId="164" fontId="2" fillId="0" borderId="0" xfId="1" applyNumberFormat="1" applyFont="1" applyFill="1" applyBorder="1" applyAlignment="1" applyProtection="1">
      <alignment horizontal="center"/>
    </xf>
    <xf numFmtId="164" fontId="2" fillId="0" borderId="3" xfId="0" applyNumberFormat="1" applyFont="1" applyBorder="1"/>
    <xf numFmtId="0" fontId="2" fillId="0" borderId="2" xfId="0" applyFont="1" applyBorder="1" applyAlignment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164" fontId="2" fillId="0" borderId="2" xfId="1" applyNumberFormat="1" applyFont="1" applyBorder="1" applyAlignment="1" applyProtection="1"/>
    <xf numFmtId="164" fontId="30" fillId="0" borderId="0" xfId="1" applyNumberFormat="1" applyFont="1" applyBorder="1" applyProtection="1"/>
    <xf numFmtId="168" fontId="2" fillId="0" borderId="0" xfId="5" applyNumberFormat="1" applyFont="1" applyBorder="1"/>
    <xf numFmtId="164" fontId="2" fillId="0" borderId="0" xfId="1" applyNumberFormat="1" applyFont="1" applyBorder="1" applyAlignment="1" applyProtection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4" xfId="0" quotePrefix="1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6" fontId="2" fillId="0" borderId="15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6" fontId="2" fillId="0" borderId="0" xfId="0" applyNumberFormat="1" applyFont="1" applyAlignment="1">
      <alignment horizontal="center"/>
    </xf>
    <xf numFmtId="6" fontId="2" fillId="0" borderId="14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169" fontId="2" fillId="0" borderId="11" xfId="0" quotePrefix="1" applyNumberFormat="1" applyFont="1" applyBorder="1" applyAlignment="1">
      <alignment horizontal="center"/>
    </xf>
    <xf numFmtId="169" fontId="2" fillId="0" borderId="8" xfId="0" quotePrefix="1" applyNumberFormat="1" applyFont="1" applyBorder="1" applyAlignment="1">
      <alignment horizontal="center"/>
    </xf>
    <xf numFmtId="169" fontId="2" fillId="0" borderId="12" xfId="0" quotePrefix="1" applyNumberFormat="1" applyFont="1" applyBorder="1" applyAlignment="1">
      <alignment horizontal="center"/>
    </xf>
    <xf numFmtId="169" fontId="2" fillId="0" borderId="7" xfId="0" quotePrefix="1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168" fontId="2" fillId="0" borderId="0" xfId="5" applyNumberFormat="1" applyFont="1"/>
    <xf numFmtId="14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1" fontId="2" fillId="0" borderId="0" xfId="2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5" fontId="2" fillId="0" borderId="8" xfId="2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38" fontId="2" fillId="0" borderId="0" xfId="2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2" applyNumberFormat="1" applyFont="1" applyBorder="1" applyAlignment="1">
      <alignment horizontal="right"/>
    </xf>
    <xf numFmtId="0" fontId="14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14" fillId="0" borderId="0" xfId="0" applyFont="1"/>
    <xf numFmtId="10" fontId="2" fillId="0" borderId="3" xfId="5" applyNumberFormat="1" applyFont="1" applyBorder="1"/>
    <xf numFmtId="165" fontId="14" fillId="0" borderId="7" xfId="2" applyNumberFormat="1" applyFont="1" applyBorder="1"/>
    <xf numFmtId="165" fontId="2" fillId="0" borderId="2" xfId="2" applyNumberFormat="1" applyFont="1" applyBorder="1"/>
    <xf numFmtId="10" fontId="2" fillId="0" borderId="2" xfId="5" applyNumberFormat="1" applyFont="1" applyBorder="1"/>
    <xf numFmtId="0" fontId="33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quotePrefix="1" applyFont="1" applyAlignment="1">
      <alignment horizontal="left"/>
    </xf>
    <xf numFmtId="173" fontId="5" fillId="0" borderId="0" xfId="0" quotePrefix="1" applyNumberFormat="1" applyFont="1"/>
    <xf numFmtId="43" fontId="5" fillId="0" borderId="0" xfId="2" applyFont="1" applyFill="1"/>
    <xf numFmtId="173" fontId="5" fillId="0" borderId="0" xfId="0" applyNumberFormat="1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73" fontId="5" fillId="0" borderId="3" xfId="0" applyNumberFormat="1" applyFont="1" applyBorder="1"/>
    <xf numFmtId="43" fontId="5" fillId="0" borderId="3" xfId="2" applyFont="1" applyFill="1" applyBorder="1"/>
    <xf numFmtId="0" fontId="5" fillId="0" borderId="2" xfId="0" applyFont="1" applyBorder="1" applyAlignment="1">
      <alignment horizontal="center"/>
    </xf>
    <xf numFmtId="164" fontId="4" fillId="0" borderId="20" xfId="1" applyNumberFormat="1" applyFont="1" applyFill="1" applyBorder="1"/>
    <xf numFmtId="0" fontId="2" fillId="0" borderId="0" xfId="3" applyFont="1" applyAlignment="1">
      <alignment horizontal="right"/>
    </xf>
    <xf numFmtId="2" fontId="7" fillId="3" borderId="0" xfId="4" applyNumberFormat="1" applyFont="1" applyFill="1" applyAlignment="1">
      <alignment horizontal="center"/>
    </xf>
    <xf numFmtId="0" fontId="7" fillId="3" borderId="0" xfId="4" applyFont="1" applyFill="1" applyAlignment="1">
      <alignment horizontal="center"/>
    </xf>
    <xf numFmtId="0" fontId="7" fillId="3" borderId="1" xfId="4" applyFont="1" applyFill="1" applyBorder="1" applyAlignment="1">
      <alignment horizontal="center" wrapText="1"/>
    </xf>
  </cellXfs>
  <cellStyles count="10">
    <cellStyle name="Comma" xfId="2" builtinId="3"/>
    <cellStyle name="Comma 2" xfId="6" xr:uid="{00000000-0005-0000-0000-000001000000}"/>
    <cellStyle name="Currency" xfId="1" builtinId="4"/>
    <cellStyle name="Currency 2" xfId="7" xr:uid="{00000000-0005-0000-0000-000003000000}"/>
    <cellStyle name="Hyperlink" xfId="9" builtinId="8"/>
    <cellStyle name="Normal" xfId="0" builtinId="0"/>
    <cellStyle name="Normal 2" xfId="3" xr:uid="{00000000-0005-0000-0000-000005000000}"/>
    <cellStyle name="Normal 3" xfId="4" xr:uid="{00000000-0005-0000-0000-000006000000}"/>
    <cellStyle name="Normal 4" xfId="8" xr:uid="{00000000-0005-0000-0000-000007000000}"/>
    <cellStyle name="Percent" xfId="5" builtinId="5"/>
  </cellStyles>
  <dxfs count="16"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CC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  <pageSetUpPr fitToPage="1"/>
  </sheetPr>
  <dimension ref="A1:J75"/>
  <sheetViews>
    <sheetView topLeftCell="A7" zoomScale="75" zoomScaleNormal="75" workbookViewId="0">
      <selection activeCell="I51" sqref="I51"/>
    </sheetView>
  </sheetViews>
  <sheetFormatPr defaultColWidth="9.109375" defaultRowHeight="14.4"/>
  <cols>
    <col min="1" max="1" width="9.109375" style="155"/>
    <col min="2" max="2" width="37.33203125" style="117" customWidth="1"/>
    <col min="3" max="3" width="12.44140625" style="117" customWidth="1"/>
    <col min="4" max="5" width="13.109375" style="117" customWidth="1"/>
    <col min="6" max="7" width="13.44140625" style="117" customWidth="1"/>
    <col min="8" max="8" width="9.109375" style="117"/>
    <col min="9" max="9" width="14.33203125" style="117" bestFit="1" customWidth="1"/>
    <col min="10" max="10" width="11.33203125" style="117" bestFit="1" customWidth="1"/>
    <col min="11" max="16384" width="9.109375" style="117"/>
  </cols>
  <sheetData>
    <row r="1" spans="1:10">
      <c r="A1" s="113" t="s">
        <v>275</v>
      </c>
      <c r="B1" s="113"/>
      <c r="C1" s="113"/>
      <c r="D1" s="113"/>
      <c r="E1" s="113"/>
      <c r="F1" s="113"/>
      <c r="G1" s="113"/>
      <c r="I1" s="148"/>
    </row>
    <row r="2" spans="1:10">
      <c r="A2" s="113" t="s">
        <v>228</v>
      </c>
      <c r="B2" s="113"/>
      <c r="C2" s="113"/>
      <c r="D2" s="113"/>
      <c r="E2" s="113"/>
      <c r="F2" s="113"/>
      <c r="G2" s="113"/>
      <c r="I2" s="148"/>
    </row>
    <row r="3" spans="1:10">
      <c r="A3" s="113" t="s">
        <v>232</v>
      </c>
      <c r="B3" s="113"/>
      <c r="C3" s="113"/>
      <c r="D3" s="113"/>
      <c r="E3" s="113"/>
      <c r="F3" s="113"/>
      <c r="G3" s="113"/>
      <c r="I3" s="148"/>
    </row>
    <row r="4" spans="1:10">
      <c r="A4" s="129"/>
      <c r="B4" s="38"/>
      <c r="C4" s="38"/>
      <c r="D4" s="38"/>
      <c r="E4" s="38"/>
      <c r="F4" s="38"/>
      <c r="G4" s="38"/>
      <c r="I4" s="148"/>
    </row>
    <row r="5" spans="1:10">
      <c r="A5" s="149"/>
      <c r="B5" s="38"/>
      <c r="C5" s="129"/>
      <c r="I5" s="148"/>
    </row>
    <row r="6" spans="1:10" ht="41.25" customHeight="1">
      <c r="A6" s="129" t="s">
        <v>0</v>
      </c>
      <c r="B6" s="129" t="s">
        <v>1</v>
      </c>
      <c r="C6" s="125" t="s">
        <v>247</v>
      </c>
      <c r="D6" s="125" t="s">
        <v>248</v>
      </c>
      <c r="E6" s="125" t="s">
        <v>257</v>
      </c>
      <c r="F6" s="125" t="s">
        <v>118</v>
      </c>
      <c r="G6" s="125" t="s">
        <v>265</v>
      </c>
      <c r="I6" s="148"/>
    </row>
    <row r="7" spans="1:10" s="150" customFormat="1">
      <c r="A7" s="100" t="s">
        <v>21</v>
      </c>
      <c r="B7" s="101">
        <v>1</v>
      </c>
      <c r="C7" s="101">
        <f>B7+1</f>
        <v>2</v>
      </c>
      <c r="D7" s="101" t="s">
        <v>19</v>
      </c>
      <c r="E7" s="101" t="s">
        <v>25</v>
      </c>
      <c r="F7" s="101" t="s">
        <v>51</v>
      </c>
      <c r="G7" s="101" t="s">
        <v>52</v>
      </c>
      <c r="H7" s="117"/>
      <c r="I7" s="148"/>
      <c r="J7" s="117"/>
    </row>
    <row r="8" spans="1:10">
      <c r="A8" s="149">
        <v>1</v>
      </c>
      <c r="B8" s="151" t="s">
        <v>78</v>
      </c>
      <c r="C8" s="114"/>
      <c r="D8" s="114"/>
      <c r="E8" s="114"/>
      <c r="F8" s="114"/>
      <c r="G8" s="114"/>
      <c r="I8" s="148"/>
    </row>
    <row r="9" spans="1:10">
      <c r="A9" s="149">
        <f>A8+1</f>
        <v>2</v>
      </c>
      <c r="B9" s="38" t="s">
        <v>167</v>
      </c>
      <c r="C9" s="35">
        <v>26901103.819999997</v>
      </c>
      <c r="D9" s="35">
        <f>C9+D72</f>
        <v>26507588.777839996</v>
      </c>
      <c r="E9" s="35">
        <f>'1.04 CUST'!F48+'1.01 FAC'!F31+'1.02 ES'!F31</f>
        <v>-1382632.4300000002</v>
      </c>
      <c r="F9" s="35">
        <f>D9+E9</f>
        <v>25124956.347839996</v>
      </c>
      <c r="G9" s="35">
        <f>F9+D67</f>
        <v>25720516.347839996</v>
      </c>
      <c r="I9" s="148"/>
    </row>
    <row r="10" spans="1:10">
      <c r="A10" s="149">
        <f t="shared" ref="A10:A68" si="0">A9+1</f>
        <v>3</v>
      </c>
      <c r="B10" s="38" t="s">
        <v>109</v>
      </c>
      <c r="C10" s="35">
        <v>411158.49000000209</v>
      </c>
      <c r="D10" s="35">
        <f>C10</f>
        <v>411158.49000000209</v>
      </c>
      <c r="E10" s="35">
        <v>0</v>
      </c>
      <c r="F10" s="35">
        <f>D10+E10</f>
        <v>411158.49000000209</v>
      </c>
      <c r="G10" s="35">
        <f>F10</f>
        <v>411158.49000000209</v>
      </c>
    </row>
    <row r="11" spans="1:10">
      <c r="A11" s="149">
        <f t="shared" si="0"/>
        <v>4</v>
      </c>
      <c r="B11" s="61" t="s">
        <v>166</v>
      </c>
      <c r="C11" s="69">
        <f>SUM(C9:C10)</f>
        <v>27312262.309999999</v>
      </c>
      <c r="D11" s="69">
        <f>SUM(D9:D10)</f>
        <v>26918747.267839998</v>
      </c>
      <c r="E11" s="69">
        <f>SUM(E9:E10)</f>
        <v>-1382632.4300000002</v>
      </c>
      <c r="F11" s="69">
        <f>SUM(F9:F10)</f>
        <v>25536114.837839998</v>
      </c>
      <c r="G11" s="69">
        <f>SUM(G9:G10)</f>
        <v>26131674.837839998</v>
      </c>
      <c r="I11" s="152"/>
      <c r="J11" s="152"/>
    </row>
    <row r="12" spans="1:10">
      <c r="A12" s="149">
        <f t="shared" si="0"/>
        <v>5</v>
      </c>
      <c r="B12" s="38"/>
      <c r="C12" s="35"/>
      <c r="D12" s="35"/>
      <c r="E12" s="35"/>
      <c r="F12" s="35"/>
      <c r="G12" s="35"/>
      <c r="I12" s="152"/>
    </row>
    <row r="13" spans="1:10">
      <c r="A13" s="149">
        <f t="shared" si="0"/>
        <v>6</v>
      </c>
      <c r="B13" s="151" t="s">
        <v>79</v>
      </c>
      <c r="C13" s="35"/>
      <c r="D13" s="35"/>
      <c r="E13" s="35"/>
      <c r="F13" s="35"/>
      <c r="G13" s="35"/>
    </row>
    <row r="14" spans="1:10">
      <c r="A14" s="149">
        <f t="shared" si="0"/>
        <v>7</v>
      </c>
      <c r="B14" s="38" t="s">
        <v>80</v>
      </c>
      <c r="C14" s="35">
        <v>17295450</v>
      </c>
      <c r="D14" s="35">
        <f>C14</f>
        <v>17295450</v>
      </c>
      <c r="E14" s="35">
        <f>'1.04 CUST'!G48+'1.01 FAC'!H31+'1.02 ES'!H31</f>
        <v>-1351759.38</v>
      </c>
      <c r="F14" s="35">
        <f t="shared" ref="F14:F20" si="1">D14+E14</f>
        <v>15943690.620000001</v>
      </c>
      <c r="G14" s="35">
        <f>F14</f>
        <v>15943690.620000001</v>
      </c>
    </row>
    <row r="15" spans="1:10">
      <c r="A15" s="149">
        <f t="shared" si="0"/>
        <v>8</v>
      </c>
      <c r="B15" s="38" t="s">
        <v>81</v>
      </c>
      <c r="C15" s="35">
        <v>1675700</v>
      </c>
      <c r="D15" s="35">
        <f t="shared" ref="D15:D50" si="2">C15</f>
        <v>1675700</v>
      </c>
      <c r="E15" s="35">
        <v>0</v>
      </c>
      <c r="F15" s="35">
        <f t="shared" si="1"/>
        <v>1675700</v>
      </c>
      <c r="G15" s="35">
        <f t="shared" ref="G15:G20" si="3">F15</f>
        <v>1675700</v>
      </c>
    </row>
    <row r="16" spans="1:10">
      <c r="A16" s="149">
        <f t="shared" si="0"/>
        <v>9</v>
      </c>
      <c r="B16" s="38" t="s">
        <v>82</v>
      </c>
      <c r="C16" s="35">
        <v>2673625</v>
      </c>
      <c r="D16" s="35">
        <f t="shared" si="2"/>
        <v>2673625</v>
      </c>
      <c r="E16" s="35">
        <v>0</v>
      </c>
      <c r="F16" s="35">
        <f t="shared" si="1"/>
        <v>2673625</v>
      </c>
      <c r="G16" s="35">
        <f t="shared" si="3"/>
        <v>2673625</v>
      </c>
    </row>
    <row r="17" spans="1:10">
      <c r="A17" s="149">
        <f t="shared" si="0"/>
        <v>10</v>
      </c>
      <c r="B17" s="38" t="s">
        <v>83</v>
      </c>
      <c r="C17" s="35">
        <v>818498</v>
      </c>
      <c r="D17" s="35">
        <f t="shared" si="2"/>
        <v>818498</v>
      </c>
      <c r="E17" s="35">
        <v>0</v>
      </c>
      <c r="F17" s="35">
        <f t="shared" si="1"/>
        <v>818498</v>
      </c>
      <c r="G17" s="35">
        <f t="shared" si="3"/>
        <v>818498</v>
      </c>
    </row>
    <row r="18" spans="1:10">
      <c r="A18" s="149">
        <f t="shared" si="0"/>
        <v>11</v>
      </c>
      <c r="B18" s="38" t="s">
        <v>84</v>
      </c>
      <c r="C18" s="35">
        <v>28218</v>
      </c>
      <c r="D18" s="35">
        <f t="shared" si="2"/>
        <v>28218</v>
      </c>
      <c r="E18" s="35">
        <v>0</v>
      </c>
      <c r="F18" s="35">
        <f t="shared" si="1"/>
        <v>28218</v>
      </c>
      <c r="G18" s="35">
        <f t="shared" si="3"/>
        <v>28218</v>
      </c>
    </row>
    <row r="19" spans="1:10">
      <c r="A19" s="149">
        <f t="shared" si="0"/>
        <v>12</v>
      </c>
      <c r="B19" s="38" t="s">
        <v>85</v>
      </c>
      <c r="C19" s="35">
        <v>14659</v>
      </c>
      <c r="D19" s="35">
        <f t="shared" si="2"/>
        <v>14659</v>
      </c>
      <c r="E19" s="35">
        <v>0</v>
      </c>
      <c r="F19" s="35">
        <f t="shared" si="1"/>
        <v>14659</v>
      </c>
      <c r="G19" s="35">
        <f t="shared" si="3"/>
        <v>14659</v>
      </c>
    </row>
    <row r="20" spans="1:10">
      <c r="A20" s="149">
        <f t="shared" si="0"/>
        <v>13</v>
      </c>
      <c r="B20" s="38" t="s">
        <v>86</v>
      </c>
      <c r="C20" s="35">
        <v>1189629</v>
      </c>
      <c r="D20" s="35">
        <f t="shared" si="2"/>
        <v>1189629</v>
      </c>
      <c r="E20" s="35">
        <f>'1.08 AdsDonat'!F20+'1.09 Dir'!K24+'1.03 RC'!E23+'1.06 Health'!G21+'1.10 Life Insur'!H63+'Adj List'!E20+'Adj List'!E18+'Adj List'!E19</f>
        <v>-226319.83004697191</v>
      </c>
      <c r="F20" s="35">
        <f t="shared" si="1"/>
        <v>963309.16995302809</v>
      </c>
      <c r="G20" s="35">
        <f t="shared" si="3"/>
        <v>963309.16995302809</v>
      </c>
    </row>
    <row r="21" spans="1:10">
      <c r="A21" s="149">
        <f t="shared" si="0"/>
        <v>14</v>
      </c>
      <c r="B21" s="61" t="s">
        <v>87</v>
      </c>
      <c r="C21" s="69">
        <f>SUM(C14:C20)</f>
        <v>23695779</v>
      </c>
      <c r="D21" s="69">
        <f>SUM(D14:D20)</f>
        <v>23695779</v>
      </c>
      <c r="E21" s="69">
        <f>SUM(E14:E20)</f>
        <v>-1578079.2100469717</v>
      </c>
      <c r="F21" s="69">
        <f>SUM(F14:F20)</f>
        <v>22117699.789953031</v>
      </c>
      <c r="G21" s="69">
        <f>SUM(G14:G20)</f>
        <v>22117699.789953031</v>
      </c>
    </row>
    <row r="22" spans="1:10">
      <c r="A22" s="149">
        <f t="shared" si="0"/>
        <v>15</v>
      </c>
      <c r="C22" s="35"/>
      <c r="D22" s="35"/>
      <c r="E22" s="35"/>
      <c r="F22" s="35"/>
      <c r="G22" s="35"/>
    </row>
    <row r="23" spans="1:10">
      <c r="A23" s="149">
        <f t="shared" si="0"/>
        <v>16</v>
      </c>
      <c r="B23" s="38" t="s">
        <v>88</v>
      </c>
      <c r="C23" s="35">
        <v>2597183</v>
      </c>
      <c r="D23" s="35">
        <f t="shared" si="2"/>
        <v>2597183</v>
      </c>
      <c r="E23" s="35">
        <f>'1.07 Depr'!J40</f>
        <v>5873.1199999999662</v>
      </c>
      <c r="F23" s="35">
        <f t="shared" ref="F23:F27" si="4">D23+E23</f>
        <v>2603056.12</v>
      </c>
      <c r="G23" s="35">
        <f>F23</f>
        <v>2603056.12</v>
      </c>
    </row>
    <row r="24" spans="1:10">
      <c r="A24" s="149">
        <f t="shared" si="0"/>
        <v>17</v>
      </c>
      <c r="B24" s="38" t="s">
        <v>89</v>
      </c>
      <c r="C24" s="35">
        <v>37061</v>
      </c>
      <c r="D24" s="35">
        <f t="shared" si="2"/>
        <v>37061</v>
      </c>
      <c r="E24" s="35">
        <v>0</v>
      </c>
      <c r="F24" s="35">
        <f t="shared" si="4"/>
        <v>37061</v>
      </c>
      <c r="G24" s="35">
        <f t="shared" ref="G24:G27" si="5">F24</f>
        <v>37061</v>
      </c>
    </row>
    <row r="25" spans="1:10">
      <c r="A25" s="149">
        <f t="shared" si="0"/>
        <v>18</v>
      </c>
      <c r="B25" s="38" t="s">
        <v>75</v>
      </c>
      <c r="C25" s="35">
        <v>912037</v>
      </c>
      <c r="D25" s="35">
        <f t="shared" si="2"/>
        <v>912037</v>
      </c>
      <c r="E25" s="35">
        <f>'Adj List'!E17</f>
        <v>-42241.307463800033</v>
      </c>
      <c r="F25" s="35">
        <f t="shared" si="4"/>
        <v>869795.69253619993</v>
      </c>
      <c r="G25" s="35">
        <f t="shared" si="5"/>
        <v>869795.69253619993</v>
      </c>
    </row>
    <row r="26" spans="1:10">
      <c r="A26" s="149">
        <f t="shared" si="0"/>
        <v>19</v>
      </c>
      <c r="B26" s="38" t="s">
        <v>90</v>
      </c>
      <c r="C26" s="35">
        <v>144463</v>
      </c>
      <c r="D26" s="35">
        <f t="shared" si="2"/>
        <v>144463</v>
      </c>
      <c r="E26" s="35">
        <v>0</v>
      </c>
      <c r="F26" s="35">
        <f t="shared" si="4"/>
        <v>144463</v>
      </c>
      <c r="G26" s="35">
        <f t="shared" si="5"/>
        <v>144463</v>
      </c>
    </row>
    <row r="27" spans="1:10">
      <c r="A27" s="149">
        <f t="shared" si="0"/>
        <v>20</v>
      </c>
      <c r="B27" s="38" t="s">
        <v>91</v>
      </c>
      <c r="C27" s="35">
        <v>41372</v>
      </c>
      <c r="D27" s="35">
        <f t="shared" si="2"/>
        <v>41372</v>
      </c>
      <c r="E27" s="35">
        <v>0</v>
      </c>
      <c r="F27" s="35">
        <f t="shared" si="4"/>
        <v>41372</v>
      </c>
      <c r="G27" s="35">
        <f t="shared" si="5"/>
        <v>41372</v>
      </c>
    </row>
    <row r="28" spans="1:10">
      <c r="A28" s="149">
        <f t="shared" si="0"/>
        <v>21</v>
      </c>
      <c r="C28" s="35"/>
      <c r="D28" s="35"/>
      <c r="E28" s="35"/>
      <c r="F28" s="35"/>
      <c r="G28" s="35"/>
    </row>
    <row r="29" spans="1:10">
      <c r="A29" s="149">
        <f t="shared" si="0"/>
        <v>22</v>
      </c>
      <c r="B29" s="153" t="s">
        <v>34</v>
      </c>
      <c r="C29" s="115">
        <f>SUM(C21:C27)</f>
        <v>27427895</v>
      </c>
      <c r="D29" s="115">
        <f>SUM(D21:D27)</f>
        <v>27427895</v>
      </c>
      <c r="E29" s="115">
        <f>SUM(E21:E27)</f>
        <v>-1614447.3975107719</v>
      </c>
      <c r="F29" s="115">
        <f>SUM(F21:F27)</f>
        <v>25813447.602489233</v>
      </c>
      <c r="G29" s="115">
        <f>SUM(G21:G27)</f>
        <v>25813447.602489233</v>
      </c>
      <c r="I29" s="114"/>
      <c r="J29" s="114"/>
    </row>
    <row r="30" spans="1:10">
      <c r="A30" s="149">
        <f t="shared" si="0"/>
        <v>23</v>
      </c>
      <c r="C30" s="35"/>
      <c r="D30" s="35"/>
      <c r="E30" s="35"/>
      <c r="F30" s="35"/>
      <c r="G30" s="35"/>
    </row>
    <row r="31" spans="1:10" ht="15" thickBot="1">
      <c r="A31" s="149">
        <f t="shared" si="0"/>
        <v>24</v>
      </c>
      <c r="B31" s="154" t="s">
        <v>92</v>
      </c>
      <c r="C31" s="62">
        <f>C11-C29</f>
        <v>-115632.69000000134</v>
      </c>
      <c r="D31" s="62">
        <f>D11-D29</f>
        <v>-509147.73216000199</v>
      </c>
      <c r="E31" s="62">
        <f>E11-E29</f>
        <v>231814.9675107717</v>
      </c>
      <c r="F31" s="62">
        <f>F11-F29</f>
        <v>-277332.76464923471</v>
      </c>
      <c r="G31" s="62">
        <f>G11-G29</f>
        <v>318227.23535076529</v>
      </c>
      <c r="I31" s="114"/>
    </row>
    <row r="32" spans="1:10" ht="15" thickTop="1">
      <c r="A32" s="149">
        <f t="shared" si="0"/>
        <v>25</v>
      </c>
      <c r="C32" s="35"/>
      <c r="D32" s="35"/>
      <c r="E32" s="35"/>
      <c r="F32" s="35"/>
      <c r="G32" s="35"/>
    </row>
    <row r="33" spans="1:7">
      <c r="A33" s="149">
        <f t="shared" si="0"/>
        <v>26</v>
      </c>
      <c r="B33" s="38" t="s">
        <v>35</v>
      </c>
      <c r="C33" s="35">
        <v>33083</v>
      </c>
      <c r="D33" s="35">
        <f t="shared" si="2"/>
        <v>33083</v>
      </c>
      <c r="E33" s="35">
        <v>0</v>
      </c>
      <c r="F33" s="35">
        <f t="shared" ref="F33:F37" si="6">D33+E33</f>
        <v>33083</v>
      </c>
      <c r="G33" s="35">
        <f>F33</f>
        <v>33083</v>
      </c>
    </row>
    <row r="34" spans="1:7">
      <c r="A34" s="149">
        <f t="shared" si="0"/>
        <v>27</v>
      </c>
      <c r="B34" s="38" t="s">
        <v>229</v>
      </c>
      <c r="C34" s="35">
        <v>0</v>
      </c>
      <c r="D34" s="35">
        <f t="shared" si="2"/>
        <v>0</v>
      </c>
      <c r="E34" s="35">
        <v>0</v>
      </c>
      <c r="F34" s="35">
        <f t="shared" si="6"/>
        <v>0</v>
      </c>
      <c r="G34" s="35">
        <f t="shared" ref="G34:G37" si="7">F34</f>
        <v>0</v>
      </c>
    </row>
    <row r="35" spans="1:7">
      <c r="A35" s="149">
        <f t="shared" si="0"/>
        <v>28</v>
      </c>
      <c r="B35" s="38" t="s">
        <v>36</v>
      </c>
      <c r="C35" s="35">
        <v>0</v>
      </c>
      <c r="D35" s="35">
        <f t="shared" si="2"/>
        <v>0</v>
      </c>
      <c r="E35" s="35">
        <v>0</v>
      </c>
      <c r="F35" s="35">
        <f t="shared" si="6"/>
        <v>0</v>
      </c>
      <c r="G35" s="35">
        <f t="shared" si="7"/>
        <v>0</v>
      </c>
    </row>
    <row r="36" spans="1:7">
      <c r="A36" s="149">
        <f t="shared" si="0"/>
        <v>29</v>
      </c>
      <c r="B36" s="38" t="s">
        <v>32</v>
      </c>
      <c r="C36" s="35">
        <v>989382</v>
      </c>
      <c r="D36" s="35">
        <f t="shared" si="2"/>
        <v>989382</v>
      </c>
      <c r="E36" s="35">
        <f>'Adj List'!F11</f>
        <v>-989382</v>
      </c>
      <c r="F36" s="137">
        <f t="shared" si="6"/>
        <v>0</v>
      </c>
      <c r="G36" s="137">
        <f t="shared" si="7"/>
        <v>0</v>
      </c>
    </row>
    <row r="37" spans="1:7">
      <c r="A37" s="149">
        <f t="shared" si="0"/>
        <v>30</v>
      </c>
      <c r="B37" s="38" t="s">
        <v>93</v>
      </c>
      <c r="C37" s="35">
        <v>50026</v>
      </c>
      <c r="D37" s="35">
        <f t="shared" si="2"/>
        <v>50026</v>
      </c>
      <c r="E37" s="35">
        <v>0</v>
      </c>
      <c r="F37" s="35">
        <f t="shared" si="6"/>
        <v>50026</v>
      </c>
      <c r="G37" s="35">
        <f t="shared" si="7"/>
        <v>50026</v>
      </c>
    </row>
    <row r="38" spans="1:7">
      <c r="A38" s="149">
        <f t="shared" si="0"/>
        <v>31</v>
      </c>
      <c r="B38" s="38"/>
      <c r="C38" s="35"/>
      <c r="D38" s="35"/>
      <c r="E38" s="35"/>
      <c r="F38" s="35"/>
      <c r="G38" s="35"/>
    </row>
    <row r="39" spans="1:7" ht="15" thickBot="1">
      <c r="A39" s="149">
        <f t="shared" si="0"/>
        <v>32</v>
      </c>
      <c r="B39" s="154" t="s">
        <v>94</v>
      </c>
      <c r="C39" s="62">
        <f>C31+SUM(C33:C37)</f>
        <v>956858.30999999866</v>
      </c>
      <c r="D39" s="62">
        <f>D31+SUM(D33:D37)</f>
        <v>563343.26783999801</v>
      </c>
      <c r="E39" s="62">
        <f>E31+SUM(E33:E37)</f>
        <v>-757567.0324892283</v>
      </c>
      <c r="F39" s="62">
        <f>F31+SUM(F33:F37)</f>
        <v>-194223.76464923471</v>
      </c>
      <c r="G39" s="62">
        <f>G31+SUM(G33:G37)</f>
        <v>401336.23535076529</v>
      </c>
    </row>
    <row r="40" spans="1:7" ht="15" thickTop="1">
      <c r="A40" s="149">
        <f t="shared" si="0"/>
        <v>33</v>
      </c>
      <c r="B40" s="38"/>
      <c r="C40" s="35"/>
      <c r="D40" s="35"/>
      <c r="E40" s="35"/>
      <c r="F40" s="35"/>
      <c r="G40" s="35"/>
    </row>
    <row r="41" spans="1:7">
      <c r="A41" s="149">
        <f t="shared" si="0"/>
        <v>34</v>
      </c>
      <c r="B41" s="38" t="s">
        <v>168</v>
      </c>
      <c r="C41" s="35">
        <v>12016</v>
      </c>
      <c r="D41" s="35">
        <f>C41</f>
        <v>12016</v>
      </c>
      <c r="E41" s="35">
        <v>0</v>
      </c>
      <c r="F41" s="35">
        <f t="shared" ref="F41:G41" si="8">D41+E41</f>
        <v>12016</v>
      </c>
      <c r="G41" s="35">
        <f t="shared" si="8"/>
        <v>12016</v>
      </c>
    </row>
    <row r="42" spans="1:7">
      <c r="A42" s="149">
        <f t="shared" si="0"/>
        <v>35</v>
      </c>
      <c r="B42" s="38" t="s">
        <v>96</v>
      </c>
      <c r="C42" s="116">
        <f>(C31+C41+C25)/C25</f>
        <v>0.88638981751836676</v>
      </c>
      <c r="D42" s="116">
        <f>(D31+D41+D25)/D25</f>
        <v>0.45492153042036454</v>
      </c>
      <c r="E42" s="138"/>
      <c r="F42" s="116">
        <f>(F31+F41+F25)/F25</f>
        <v>0.69496656867130613</v>
      </c>
      <c r="G42" s="116">
        <f>(G31+G41+G25)/G25</f>
        <v>1.3796790880716174</v>
      </c>
    </row>
    <row r="43" spans="1:7">
      <c r="A43" s="149">
        <f t="shared" si="0"/>
        <v>36</v>
      </c>
      <c r="B43" s="38" t="s">
        <v>76</v>
      </c>
      <c r="C43" s="116">
        <f>(C39+C25)/C25</f>
        <v>2.0491441794576302</v>
      </c>
      <c r="D43" s="116">
        <f>(D39+D25)/D25</f>
        <v>1.6176758923596279</v>
      </c>
      <c r="E43" s="138"/>
      <c r="F43" s="116">
        <f>(F39+F25)/F25</f>
        <v>0.77670185502654543</v>
      </c>
      <c r="G43" s="116">
        <f>(G39+G25)/G25</f>
        <v>1.4614143744268566</v>
      </c>
    </row>
    <row r="44" spans="1:7">
      <c r="A44" s="149">
        <f t="shared" si="0"/>
        <v>37</v>
      </c>
      <c r="B44" s="38" t="s">
        <v>95</v>
      </c>
      <c r="C44" s="116">
        <f>(C25+C39-C36)/C25</f>
        <v>0.9643395059630242</v>
      </c>
      <c r="D44" s="116">
        <f>(D25+D39-D36)/D25</f>
        <v>0.53287121886502198</v>
      </c>
      <c r="E44" s="138"/>
      <c r="F44" s="116">
        <f>(F25+F39-F36)/F25</f>
        <v>0.77670185502654543</v>
      </c>
      <c r="G44" s="116">
        <f>(G25+G39-G36)/G25</f>
        <v>1.4614143744268566</v>
      </c>
    </row>
    <row r="45" spans="1:7" ht="14.25" customHeight="1">
      <c r="A45" s="149">
        <f t="shared" si="0"/>
        <v>38</v>
      </c>
      <c r="B45" s="38"/>
    </row>
    <row r="46" spans="1:7" hidden="1">
      <c r="A46" s="149"/>
      <c r="B46" s="38" t="s">
        <v>233</v>
      </c>
      <c r="C46" s="116">
        <v>2</v>
      </c>
      <c r="D46" s="116">
        <f t="shared" si="2"/>
        <v>2</v>
      </c>
      <c r="E46" s="116"/>
      <c r="F46" s="116">
        <v>3</v>
      </c>
      <c r="G46" s="116">
        <v>4</v>
      </c>
    </row>
    <row r="47" spans="1:7" hidden="1">
      <c r="A47" s="149"/>
      <c r="B47" s="38" t="s">
        <v>234</v>
      </c>
      <c r="C47" s="35">
        <f>C46*C25-C25</f>
        <v>912037</v>
      </c>
      <c r="D47" s="35">
        <f t="shared" si="2"/>
        <v>912037</v>
      </c>
      <c r="E47" s="35"/>
      <c r="F47" s="35">
        <f>F46*F25-F25</f>
        <v>1739591.3850723999</v>
      </c>
      <c r="G47" s="35">
        <f>G46*G25-G25</f>
        <v>2609387.0776085998</v>
      </c>
    </row>
    <row r="48" spans="1:7" hidden="1">
      <c r="A48" s="149"/>
      <c r="B48" s="38" t="s">
        <v>235</v>
      </c>
      <c r="C48" s="35">
        <f>C29+C47</f>
        <v>28339932</v>
      </c>
      <c r="D48" s="35">
        <f t="shared" si="2"/>
        <v>28339932</v>
      </c>
      <c r="E48" s="35"/>
      <c r="F48" s="35">
        <f>F29+F47</f>
        <v>27553038.987561632</v>
      </c>
      <c r="G48" s="35">
        <f>G29+G47</f>
        <v>28422834.680097833</v>
      </c>
    </row>
    <row r="49" spans="1:7" hidden="1">
      <c r="A49" s="149"/>
      <c r="B49" s="38" t="s">
        <v>236</v>
      </c>
      <c r="C49" s="35">
        <f>C47-C39</f>
        <v>-44821.309999998659</v>
      </c>
      <c r="D49" s="35">
        <f t="shared" si="2"/>
        <v>-44821.309999998659</v>
      </c>
      <c r="E49" s="35"/>
      <c r="F49" s="35">
        <f>F47-F39</f>
        <v>1933815.1497216346</v>
      </c>
      <c r="G49" s="35">
        <f>G47-G39</f>
        <v>2208050.8422578345</v>
      </c>
    </row>
    <row r="50" spans="1:7" hidden="1">
      <c r="A50" s="149"/>
      <c r="B50" s="38"/>
      <c r="C50" s="35"/>
      <c r="D50" s="35">
        <f t="shared" si="2"/>
        <v>0</v>
      </c>
      <c r="E50" s="35"/>
      <c r="F50" s="35"/>
      <c r="G50" s="35"/>
    </row>
    <row r="51" spans="1:7">
      <c r="A51" s="149">
        <f>A45+1</f>
        <v>39</v>
      </c>
      <c r="B51" s="38" t="s">
        <v>237</v>
      </c>
      <c r="C51" s="116">
        <v>1.85</v>
      </c>
      <c r="D51" s="116">
        <f>C51</f>
        <v>1.85</v>
      </c>
      <c r="E51" s="138"/>
      <c r="F51" s="116">
        <f>C51</f>
        <v>1.85</v>
      </c>
      <c r="G51" s="138"/>
    </row>
    <row r="52" spans="1:7">
      <c r="A52" s="149">
        <f t="shared" si="0"/>
        <v>40</v>
      </c>
      <c r="B52" s="38" t="s">
        <v>238</v>
      </c>
      <c r="C52" s="35">
        <f>C51*C25-C25-C41+SUM(C33:C37)</f>
        <v>1835706.4500000002</v>
      </c>
      <c r="D52" s="35">
        <f>D51*D25-D25-D41+SUM(D33:D37)</f>
        <v>1835706.4500000002</v>
      </c>
      <c r="E52" s="139"/>
      <c r="F52" s="35">
        <f>F51*F25-F25-F41+SUM(F33:F37)</f>
        <v>810419.33865577006</v>
      </c>
      <c r="G52" s="139"/>
    </row>
    <row r="53" spans="1:7">
      <c r="A53" s="149">
        <f t="shared" si="0"/>
        <v>41</v>
      </c>
      <c r="B53" s="38" t="s">
        <v>235</v>
      </c>
      <c r="C53" s="35">
        <f>C29+C52</f>
        <v>29263601.449999999</v>
      </c>
      <c r="D53" s="35">
        <f>D29+D52</f>
        <v>29263601.449999999</v>
      </c>
      <c r="E53" s="139"/>
      <c r="F53" s="35">
        <f>F29+F52</f>
        <v>26623866.941145003</v>
      </c>
      <c r="G53" s="139"/>
    </row>
    <row r="54" spans="1:7">
      <c r="A54" s="149">
        <f t="shared" si="0"/>
        <v>42</v>
      </c>
      <c r="B54" s="38" t="s">
        <v>236</v>
      </c>
      <c r="C54" s="35">
        <f>C52-C39</f>
        <v>878848.14000000153</v>
      </c>
      <c r="D54" s="35">
        <f>D52-D39</f>
        <v>1272363.1821600022</v>
      </c>
      <c r="E54" s="139"/>
      <c r="F54" s="35">
        <f>F52-F39</f>
        <v>1004643.1033050048</v>
      </c>
      <c r="G54" s="139"/>
    </row>
    <row r="55" spans="1:7">
      <c r="A55" s="149">
        <f t="shared" si="0"/>
        <v>43</v>
      </c>
      <c r="E55" s="35"/>
      <c r="G55" s="35"/>
    </row>
    <row r="56" spans="1:7">
      <c r="A56" s="149">
        <f t="shared" si="0"/>
        <v>44</v>
      </c>
      <c r="B56" s="38" t="s">
        <v>167</v>
      </c>
      <c r="C56" s="35">
        <f>C9</f>
        <v>26901103.819999997</v>
      </c>
      <c r="D56" s="35">
        <f>D9</f>
        <v>26507588.777839996</v>
      </c>
      <c r="E56" s="138"/>
      <c r="F56" s="35">
        <f>F9</f>
        <v>25124956.347839996</v>
      </c>
      <c r="G56" s="138"/>
    </row>
    <row r="57" spans="1:7">
      <c r="A57" s="149">
        <f t="shared" si="0"/>
        <v>45</v>
      </c>
      <c r="B57" s="38" t="s">
        <v>239</v>
      </c>
      <c r="C57" s="35">
        <f>C56+C54</f>
        <v>27779951.959999997</v>
      </c>
      <c r="D57" s="35">
        <f>D56+D54</f>
        <v>27779951.959999997</v>
      </c>
      <c r="E57" s="138"/>
      <c r="F57" s="35">
        <f>F56+F54</f>
        <v>26129599.451145001</v>
      </c>
      <c r="G57" s="138"/>
    </row>
    <row r="58" spans="1:7">
      <c r="A58" s="149">
        <f t="shared" si="0"/>
        <v>46</v>
      </c>
      <c r="B58" s="39" t="s">
        <v>240</v>
      </c>
      <c r="C58" s="119">
        <f>C54</f>
        <v>878848.14000000153</v>
      </c>
      <c r="D58" s="119">
        <f>D54</f>
        <v>1272363.1821600022</v>
      </c>
      <c r="E58" s="138"/>
      <c r="F58" s="119">
        <f>F54</f>
        <v>1004643.1033050048</v>
      </c>
      <c r="G58" s="138"/>
    </row>
    <row r="59" spans="1:7">
      <c r="A59" s="149">
        <f t="shared" si="0"/>
        <v>47</v>
      </c>
      <c r="B59" s="39" t="s">
        <v>240</v>
      </c>
      <c r="C59" s="120">
        <f>C58/C56</f>
        <v>3.266959400181229E-2</v>
      </c>
      <c r="D59" s="120">
        <f>D58/D56</f>
        <v>4.7999959288024016E-2</v>
      </c>
      <c r="E59" s="140"/>
      <c r="F59" s="120">
        <f>F58/F56</f>
        <v>3.9985864627835439E-2</v>
      </c>
      <c r="G59" s="140"/>
    </row>
    <row r="60" spans="1:7">
      <c r="A60" s="149">
        <f t="shared" si="0"/>
        <v>48</v>
      </c>
      <c r="E60" s="116"/>
      <c r="G60" s="116"/>
    </row>
    <row r="61" spans="1:7">
      <c r="A61" s="149">
        <f t="shared" si="0"/>
        <v>49</v>
      </c>
      <c r="B61" s="38" t="s">
        <v>241</v>
      </c>
      <c r="C61" s="118">
        <f>0.75%*3</f>
        <v>2.2499999999999999E-2</v>
      </c>
      <c r="D61" s="118">
        <f>C61</f>
        <v>2.2499999999999999E-2</v>
      </c>
      <c r="E61" s="139"/>
      <c r="F61" s="118">
        <f>C61</f>
        <v>2.2499999999999999E-2</v>
      </c>
      <c r="G61" s="139"/>
    </row>
    <row r="62" spans="1:7">
      <c r="A62" s="149">
        <f t="shared" si="0"/>
        <v>50</v>
      </c>
      <c r="B62" s="38" t="s">
        <v>242</v>
      </c>
      <c r="C62" s="35">
        <f>C61*C9</f>
        <v>605274.83594999986</v>
      </c>
      <c r="D62" s="35">
        <f>D61*D9</f>
        <v>596420.74750139983</v>
      </c>
      <c r="E62" s="139"/>
      <c r="F62" s="35">
        <f>F61*D9</f>
        <v>596420.74750139983</v>
      </c>
      <c r="G62" s="139"/>
    </row>
    <row r="63" spans="1:7">
      <c r="A63" s="149">
        <f t="shared" si="0"/>
        <v>51</v>
      </c>
    </row>
    <row r="64" spans="1:7">
      <c r="A64" s="149">
        <f t="shared" si="0"/>
        <v>52</v>
      </c>
      <c r="B64" s="61" t="s">
        <v>243</v>
      </c>
      <c r="C64" s="121">
        <f>MIN(C58,C62)</f>
        <v>605274.83594999986</v>
      </c>
      <c r="D64" s="121">
        <f>MIN(D58,D62)</f>
        <v>596420.74750139983</v>
      </c>
      <c r="E64" s="141"/>
      <c r="F64" s="121">
        <f>MIN(F58,F62)</f>
        <v>596420.74750139983</v>
      </c>
      <c r="G64" s="141"/>
    </row>
    <row r="65" spans="1:7">
      <c r="A65" s="149">
        <f t="shared" si="0"/>
        <v>53</v>
      </c>
      <c r="B65" s="123" t="s">
        <v>243</v>
      </c>
      <c r="C65" s="124">
        <f>MIN(C59,C61)</f>
        <v>2.2499999999999999E-2</v>
      </c>
      <c r="D65" s="124">
        <f>MIN(D59,D61)</f>
        <v>2.2499999999999999E-2</v>
      </c>
      <c r="E65" s="142"/>
      <c r="F65" s="124">
        <f>MIN(F59,F61)</f>
        <v>2.2499999999999999E-2</v>
      </c>
      <c r="G65" s="142"/>
    </row>
    <row r="66" spans="1:7">
      <c r="A66" s="149">
        <f t="shared" si="0"/>
        <v>54</v>
      </c>
      <c r="B66" s="122"/>
    </row>
    <row r="67" spans="1:7">
      <c r="A67" s="149">
        <f t="shared" si="0"/>
        <v>55</v>
      </c>
      <c r="B67" s="38" t="s">
        <v>266</v>
      </c>
      <c r="D67" s="146">
        <v>595560</v>
      </c>
      <c r="G67" s="146">
        <f>D67</f>
        <v>595560</v>
      </c>
    </row>
    <row r="68" spans="1:7">
      <c r="A68" s="149">
        <f t="shared" si="0"/>
        <v>56</v>
      </c>
      <c r="B68" s="38" t="s">
        <v>267</v>
      </c>
      <c r="D68" s="230">
        <f>C65</f>
        <v>2.2499999999999999E-2</v>
      </c>
      <c r="G68" s="145">
        <f>G67/D9</f>
        <v>2.2467528261109908E-2</v>
      </c>
    </row>
    <row r="70" spans="1:7">
      <c r="F70" s="114"/>
      <c r="G70" s="114"/>
    </row>
    <row r="72" spans="1:7">
      <c r="C72" s="147" t="s">
        <v>273</v>
      </c>
      <c r="D72" s="231">
        <v>-393515.04215999914</v>
      </c>
    </row>
    <row r="75" spans="1:7">
      <c r="F75" s="117" t="s">
        <v>335</v>
      </c>
      <c r="G75" s="114">
        <f>F54-G67</f>
        <v>409083.10330500477</v>
      </c>
    </row>
  </sheetData>
  <printOptions horizontalCentered="1"/>
  <pageMargins left="0.7" right="0.7" top="0.75" bottom="0.75" header="0.3" footer="0.3"/>
  <pageSetup scale="72" orientation="portrait" r:id="rId1"/>
  <headerFooter>
    <oddFooter>&amp;R&amp;"Times New Roman,Regular"&amp;12Exhibit JW-2
Page &amp;P of &amp;N</oddFooter>
  </headerFooter>
  <ignoredErrors>
    <ignoredError sqref="C44 G42" evalError="1"/>
    <ignoredError sqref="F21 F29 F31 D45:D50 D55 D60 D63" formula="1"/>
    <ignoredError sqref="D7:E7 F7:G7 K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086-5E72-4431-A250-46687C36EB62}">
  <sheetPr>
    <pageSetUpPr fitToPage="1"/>
  </sheetPr>
  <dimension ref="A1:L27"/>
  <sheetViews>
    <sheetView zoomScale="75" zoomScaleNormal="75" workbookViewId="0">
      <selection activeCell="B7" sqref="B7:H7"/>
    </sheetView>
  </sheetViews>
  <sheetFormatPr defaultRowHeight="14.4"/>
  <cols>
    <col min="1" max="1" width="4.44140625" style="237" customWidth="1"/>
    <col min="2" max="2" width="22.109375" style="238" customWidth="1"/>
    <col min="3" max="3" width="12.77734375" style="239" customWidth="1"/>
    <col min="4" max="7" width="12.77734375" style="238" customWidth="1"/>
    <col min="8" max="9" width="8.88671875" style="238"/>
    <col min="10" max="10" width="7.88671875" style="238" bestFit="1" customWidth="1"/>
    <col min="11" max="11" width="8.44140625" style="238" bestFit="1" customWidth="1"/>
    <col min="12" max="12" width="9.44140625" style="238" bestFit="1" customWidth="1"/>
    <col min="13" max="13" width="10.5546875" style="238" bestFit="1" customWidth="1"/>
    <col min="14" max="16384" width="8.88671875" style="238"/>
  </cols>
  <sheetData>
    <row r="1" spans="1:12">
      <c r="D1" s="173"/>
      <c r="G1" s="173" t="s">
        <v>331</v>
      </c>
    </row>
    <row r="2" spans="1:12">
      <c r="E2" s="173"/>
    </row>
    <row r="3" spans="1:12">
      <c r="B3" s="272" t="str">
        <f>RevReq!A1</f>
        <v>LICKING VALLEY R.E.C.C.</v>
      </c>
      <c r="C3" s="272"/>
      <c r="D3" s="272"/>
      <c r="E3" s="272"/>
      <c r="F3" s="272"/>
      <c r="G3" s="272"/>
      <c r="H3" s="240"/>
      <c r="I3" s="240"/>
    </row>
    <row r="4" spans="1:12">
      <c r="B4" s="272" t="str">
        <f>RevReq!A3</f>
        <v>For the 12 Months Ended December 31, 2019</v>
      </c>
      <c r="C4" s="272"/>
      <c r="D4" s="272"/>
      <c r="E4" s="272"/>
      <c r="F4" s="272"/>
      <c r="G4" s="272"/>
    </row>
    <row r="6" spans="1:12">
      <c r="B6" s="269" t="s">
        <v>301</v>
      </c>
      <c r="C6" s="269"/>
      <c r="D6" s="269"/>
      <c r="E6" s="269"/>
      <c r="F6" s="269"/>
      <c r="G6" s="269"/>
      <c r="H6" s="174"/>
    </row>
    <row r="8" spans="1:12" ht="15" customHeight="1">
      <c r="B8" s="206" t="s">
        <v>302</v>
      </c>
      <c r="C8" s="207" t="s">
        <v>303</v>
      </c>
      <c r="D8" s="208" t="s">
        <v>304</v>
      </c>
      <c r="E8" s="208" t="s">
        <v>305</v>
      </c>
      <c r="F8" s="208" t="s">
        <v>306</v>
      </c>
      <c r="G8" s="208" t="s">
        <v>307</v>
      </c>
      <c r="H8" s="3"/>
    </row>
    <row r="9" spans="1:12">
      <c r="A9" s="241" t="s">
        <v>21</v>
      </c>
      <c r="B9" s="242" t="s">
        <v>18</v>
      </c>
      <c r="C9" s="242" t="s">
        <v>20</v>
      </c>
      <c r="D9" s="242" t="s">
        <v>19</v>
      </c>
      <c r="E9" s="242" t="s">
        <v>25</v>
      </c>
      <c r="F9" s="242" t="s">
        <v>51</v>
      </c>
      <c r="G9" s="242" t="s">
        <v>52</v>
      </c>
      <c r="H9" s="3"/>
    </row>
    <row r="10" spans="1:12">
      <c r="B10" s="3"/>
      <c r="C10" s="182"/>
      <c r="D10" s="3"/>
      <c r="E10" s="3"/>
      <c r="F10" s="3"/>
      <c r="G10" s="209"/>
      <c r="H10" s="3"/>
    </row>
    <row r="11" spans="1:12">
      <c r="B11" s="210" t="s">
        <v>308</v>
      </c>
      <c r="C11" s="211"/>
      <c r="D11" s="1"/>
      <c r="E11" s="212"/>
      <c r="F11" s="213"/>
      <c r="G11" s="209"/>
      <c r="H11" s="3"/>
    </row>
    <row r="12" spans="1:12">
      <c r="A12" s="237">
        <f>1</f>
        <v>1</v>
      </c>
      <c r="B12" s="3" t="s">
        <v>309</v>
      </c>
      <c r="C12" s="137">
        <v>107565</v>
      </c>
      <c r="D12" s="215">
        <v>0</v>
      </c>
      <c r="E12" s="214">
        <f>C12*D12</f>
        <v>0</v>
      </c>
      <c r="F12" s="215">
        <v>1</v>
      </c>
      <c r="G12" s="214">
        <f>C12*F12</f>
        <v>107565</v>
      </c>
      <c r="H12" s="3"/>
    </row>
    <row r="13" spans="1:12">
      <c r="A13" s="237">
        <f>A12+1</f>
        <v>2</v>
      </c>
      <c r="B13" s="3" t="s">
        <v>310</v>
      </c>
      <c r="C13" s="243">
        <v>516877</v>
      </c>
      <c r="D13" s="217">
        <v>0.1037</v>
      </c>
      <c r="E13" s="216">
        <f>C13*D13</f>
        <v>53600.144899999999</v>
      </c>
      <c r="F13" s="217">
        <v>0.89629999999999999</v>
      </c>
      <c r="G13" s="216">
        <f>C13*F13</f>
        <v>463276.85509999999</v>
      </c>
      <c r="H13" s="3"/>
    </row>
    <row r="14" spans="1:12">
      <c r="A14" s="237">
        <f t="shared" ref="A14:A21" si="0">A13+1</f>
        <v>3</v>
      </c>
      <c r="B14" s="51" t="s">
        <v>45</v>
      </c>
      <c r="C14" s="218">
        <f>SUM(C12:C13)</f>
        <v>624442</v>
      </c>
      <c r="D14" s="219"/>
      <c r="E14" s="219">
        <f>SUM(E12:E13)</f>
        <v>53600.144899999999</v>
      </c>
      <c r="F14" s="220"/>
      <c r="G14" s="219">
        <f>SUM(G12:G13)</f>
        <v>570841.85510000004</v>
      </c>
      <c r="H14" s="3"/>
    </row>
    <row r="15" spans="1:12">
      <c r="A15" s="237">
        <f t="shared" si="0"/>
        <v>4</v>
      </c>
      <c r="B15" s="3"/>
      <c r="C15" s="137"/>
      <c r="D15" s="35"/>
      <c r="E15" s="35"/>
      <c r="F15" s="221"/>
      <c r="G15" s="222"/>
      <c r="H15" s="3"/>
    </row>
    <row r="16" spans="1:12">
      <c r="A16" s="237">
        <f t="shared" si="0"/>
        <v>5</v>
      </c>
      <c r="B16" s="223" t="s">
        <v>311</v>
      </c>
      <c r="C16" s="137"/>
      <c r="D16" s="35"/>
      <c r="E16" s="35"/>
      <c r="F16" s="221"/>
      <c r="G16" s="222"/>
      <c r="H16" s="3"/>
      <c r="L16" s="244"/>
    </row>
    <row r="17" spans="1:12">
      <c r="A17" s="237">
        <f t="shared" si="0"/>
        <v>6</v>
      </c>
      <c r="B17" s="3" t="s">
        <v>309</v>
      </c>
      <c r="C17" s="137">
        <f>C12</f>
        <v>107565</v>
      </c>
      <c r="D17" s="215">
        <v>0.1037</v>
      </c>
      <c r="E17" s="214">
        <f>C17*D17</f>
        <v>11154.4905</v>
      </c>
      <c r="F17" s="215">
        <f>1-D17</f>
        <v>0.89629999999999999</v>
      </c>
      <c r="G17" s="214">
        <f>C17*F17</f>
        <v>96410.5095</v>
      </c>
      <c r="H17" s="3"/>
      <c r="L17" s="245"/>
    </row>
    <row r="18" spans="1:12">
      <c r="A18" s="237">
        <f t="shared" si="0"/>
        <v>7</v>
      </c>
      <c r="B18" s="3" t="s">
        <v>310</v>
      </c>
      <c r="C18" s="137">
        <f>C13</f>
        <v>516877</v>
      </c>
      <c r="D18" s="217">
        <v>0.1037</v>
      </c>
      <c r="E18" s="216">
        <f>C18*D18</f>
        <v>53600.144899999999</v>
      </c>
      <c r="F18" s="215">
        <f t="shared" ref="F18" si="1">1-D18</f>
        <v>0.89629999999999999</v>
      </c>
      <c r="G18" s="216">
        <f>C18*F18</f>
        <v>463276.85509999999</v>
      </c>
      <c r="H18" s="3"/>
      <c r="L18" s="245"/>
    </row>
    <row r="19" spans="1:12">
      <c r="A19" s="237">
        <f t="shared" si="0"/>
        <v>8</v>
      </c>
      <c r="B19" s="51" t="s">
        <v>45</v>
      </c>
      <c r="C19" s="218">
        <f>SUM(C17:C18)</f>
        <v>624442</v>
      </c>
      <c r="D19" s="219"/>
      <c r="E19" s="219">
        <f>SUM(E17:E18)</f>
        <v>64754.635399999999</v>
      </c>
      <c r="F19" s="219"/>
      <c r="G19" s="219">
        <f>SUM(G17:G18)</f>
        <v>559687.36459999997</v>
      </c>
      <c r="H19" s="3"/>
      <c r="L19" s="162"/>
    </row>
    <row r="20" spans="1:12">
      <c r="A20" s="237">
        <f t="shared" si="0"/>
        <v>9</v>
      </c>
      <c r="B20" s="3"/>
      <c r="C20" s="137"/>
      <c r="D20" s="35"/>
      <c r="E20" s="35"/>
      <c r="F20" s="35"/>
      <c r="G20" s="35"/>
      <c r="H20" s="3"/>
    </row>
    <row r="21" spans="1:12" ht="15" thickBot="1">
      <c r="A21" s="237">
        <f t="shared" si="0"/>
        <v>10</v>
      </c>
      <c r="B21" s="224" t="s">
        <v>15</v>
      </c>
      <c r="C21" s="225"/>
      <c r="D21" s="62"/>
      <c r="E21" s="62"/>
      <c r="F21" s="62"/>
      <c r="G21" s="226">
        <f>G19-G14</f>
        <v>-11154.490500000073</v>
      </c>
      <c r="H21" s="3"/>
    </row>
    <row r="22" spans="1:12" ht="15" thickTop="1"/>
    <row r="24" spans="1:12" ht="33.6" customHeight="1">
      <c r="B24" s="273" t="s">
        <v>312</v>
      </c>
      <c r="C24" s="273"/>
      <c r="D24" s="273"/>
      <c r="E24" s="273"/>
      <c r="F24" s="273"/>
      <c r="G24" s="273"/>
    </row>
    <row r="25" spans="1:12">
      <c r="B25" s="246"/>
      <c r="C25" s="247"/>
      <c r="D25" s="248"/>
      <c r="E25" s="248"/>
      <c r="F25" s="248"/>
      <c r="G25" s="248"/>
    </row>
    <row r="26" spans="1:12">
      <c r="B26" s="3"/>
      <c r="C26" s="247"/>
      <c r="D26" s="248"/>
      <c r="E26" s="248"/>
      <c r="F26" s="248"/>
      <c r="G26" s="248"/>
    </row>
    <row r="27" spans="1:12">
      <c r="B27" s="3"/>
      <c r="C27" s="247"/>
      <c r="D27" s="248"/>
      <c r="E27" s="248"/>
      <c r="F27" s="248"/>
      <c r="G27" s="248"/>
    </row>
  </sheetData>
  <mergeCells count="4">
    <mergeCell ref="B3:G3"/>
    <mergeCell ref="B4:G4"/>
    <mergeCell ref="B6:G6"/>
    <mergeCell ref="B24:G24"/>
  </mergeCells>
  <printOptions horizontalCentered="1"/>
  <pageMargins left="0.7" right="0.7" top="0.75" bottom="0.75" header="0.3" footer="0.3"/>
  <pageSetup scale="99" orientation="portrait" r:id="rId1"/>
  <headerFooter>
    <oddFooter>&amp;R&amp;"Times New Roman,Regular"Exhibit JW-2
Page &amp;P of &amp;N</oddFooter>
  </headerFooter>
  <ignoredErrors>
    <ignoredError sqref="B9:G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Y60"/>
  <sheetViews>
    <sheetView topLeftCell="A40" zoomScale="75" zoomScaleNormal="75" workbookViewId="0">
      <selection activeCell="B7" sqref="B7:H7"/>
    </sheetView>
  </sheetViews>
  <sheetFormatPr defaultColWidth="9.109375" defaultRowHeight="13.2"/>
  <cols>
    <col min="1" max="1" width="5.88671875" style="3" customWidth="1"/>
    <col min="2" max="2" width="2.33203125" style="3" customWidth="1"/>
    <col min="3" max="3" width="9.33203125" style="3" customWidth="1"/>
    <col min="4" max="4" width="30.5546875" style="3" bestFit="1" customWidth="1"/>
    <col min="5" max="5" width="12.33203125" style="3" customWidth="1"/>
    <col min="6" max="9" width="10.33203125" style="3" bestFit="1" customWidth="1"/>
    <col min="10" max="10" width="11.5546875" style="3" customWidth="1"/>
    <col min="11" max="16384" width="9.109375" style="3"/>
  </cols>
  <sheetData>
    <row r="1" spans="1:13">
      <c r="G1" s="173"/>
      <c r="J1" s="173" t="s">
        <v>274</v>
      </c>
    </row>
    <row r="2" spans="1:13" ht="20.25" customHeight="1">
      <c r="G2" s="173"/>
    </row>
    <row r="3" spans="1:13">
      <c r="A3" s="272" t="str">
        <f>RevReq!A1</f>
        <v>LICKING VALLEY R.E.C.C.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3">
      <c r="A4" s="272" t="str">
        <f>RevReq!A3</f>
        <v>For the 12 Months Ended December 31, 2019</v>
      </c>
      <c r="B4" s="272"/>
      <c r="C4" s="272"/>
      <c r="D4" s="272"/>
      <c r="E4" s="272"/>
      <c r="F4" s="272"/>
      <c r="G4" s="272"/>
      <c r="H4" s="272"/>
      <c r="I4" s="272"/>
      <c r="J4" s="272"/>
    </row>
    <row r="6" spans="1:13" s="174" customFormat="1" ht="15" customHeight="1">
      <c r="A6" s="271" t="s">
        <v>29</v>
      </c>
      <c r="B6" s="271"/>
      <c r="C6" s="271"/>
      <c r="D6" s="271"/>
      <c r="E6" s="271"/>
      <c r="F6" s="271"/>
      <c r="G6" s="271"/>
      <c r="H6" s="271"/>
      <c r="I6" s="271"/>
      <c r="J6" s="271"/>
    </row>
    <row r="8" spans="1:13" s="179" customFormat="1" ht="38.25" customHeight="1">
      <c r="A8" s="179" t="s">
        <v>0</v>
      </c>
      <c r="C8" s="179" t="s">
        <v>146</v>
      </c>
      <c r="D8" s="179" t="s">
        <v>1</v>
      </c>
      <c r="E8" s="179" t="s">
        <v>143</v>
      </c>
      <c r="F8" s="179" t="s">
        <v>147</v>
      </c>
      <c r="G8" s="179" t="s">
        <v>97</v>
      </c>
      <c r="H8" s="179" t="s">
        <v>144</v>
      </c>
      <c r="I8" s="179" t="s">
        <v>145</v>
      </c>
      <c r="J8" s="179" t="s">
        <v>138</v>
      </c>
    </row>
    <row r="9" spans="1:13">
      <c r="A9" s="175" t="s">
        <v>21</v>
      </c>
      <c r="B9" s="1"/>
      <c r="C9" s="176" t="s">
        <v>18</v>
      </c>
      <c r="D9" s="176" t="s">
        <v>20</v>
      </c>
      <c r="E9" s="176" t="s">
        <v>19</v>
      </c>
      <c r="F9" s="176" t="s">
        <v>25</v>
      </c>
      <c r="G9" s="176" t="s">
        <v>51</v>
      </c>
      <c r="H9" s="176" t="s">
        <v>52</v>
      </c>
      <c r="I9" s="176" t="s">
        <v>53</v>
      </c>
      <c r="J9" s="176" t="s">
        <v>54</v>
      </c>
    </row>
    <row r="10" spans="1:13">
      <c r="A10" s="1"/>
      <c r="B10" s="1"/>
    </row>
    <row r="11" spans="1:13">
      <c r="A11" s="1">
        <v>1</v>
      </c>
      <c r="B11" s="1"/>
      <c r="C11" s="180" t="s">
        <v>148</v>
      </c>
    </row>
    <row r="12" spans="1:13">
      <c r="A12" s="29">
        <f>A11+1</f>
        <v>2</v>
      </c>
      <c r="B12" s="29"/>
      <c r="C12" s="131">
        <v>362</v>
      </c>
      <c r="D12" s="40" t="s">
        <v>149</v>
      </c>
      <c r="E12" s="56">
        <v>31442</v>
      </c>
      <c r="F12" s="132">
        <v>0</v>
      </c>
      <c r="G12" s="249">
        <v>6.6699999999999995E-2</v>
      </c>
      <c r="H12" s="56">
        <f t="shared" ref="H12:H19" si="0">ROUND(((+E12-F12)*G12),2)</f>
        <v>2097.1799999999998</v>
      </c>
      <c r="I12" s="56">
        <v>2097</v>
      </c>
      <c r="J12" s="56">
        <f t="shared" ref="J12:J19" si="1">H12-I12</f>
        <v>0.17999999999983629</v>
      </c>
      <c r="M12" s="181"/>
    </row>
    <row r="13" spans="1:13">
      <c r="A13" s="29">
        <f t="shared" ref="A13:A56" si="2">A12+1</f>
        <v>3</v>
      </c>
      <c r="B13" s="29"/>
      <c r="C13" s="131">
        <v>364</v>
      </c>
      <c r="D13" s="40" t="s">
        <v>150</v>
      </c>
      <c r="E13" s="56">
        <v>25252522</v>
      </c>
      <c r="F13" s="132">
        <v>0</v>
      </c>
      <c r="G13" s="249">
        <v>3.9300000000000002E-2</v>
      </c>
      <c r="H13" s="56">
        <f t="shared" si="0"/>
        <v>992424.11</v>
      </c>
      <c r="I13" s="56">
        <v>978740</v>
      </c>
      <c r="J13" s="56">
        <f t="shared" si="1"/>
        <v>13684.109999999986</v>
      </c>
      <c r="M13" s="181"/>
    </row>
    <row r="14" spans="1:13">
      <c r="A14" s="29">
        <f t="shared" si="2"/>
        <v>4</v>
      </c>
      <c r="B14" s="29"/>
      <c r="C14" s="131">
        <v>365</v>
      </c>
      <c r="D14" s="40" t="s">
        <v>151</v>
      </c>
      <c r="E14" s="56">
        <v>21563395</v>
      </c>
      <c r="F14" s="132">
        <v>0</v>
      </c>
      <c r="G14" s="249">
        <v>2.5000000000000001E-2</v>
      </c>
      <c r="H14" s="56">
        <f t="shared" si="0"/>
        <v>539084.88</v>
      </c>
      <c r="I14" s="56">
        <v>531855</v>
      </c>
      <c r="J14" s="56">
        <f t="shared" si="1"/>
        <v>7229.8800000000047</v>
      </c>
      <c r="M14" s="181"/>
    </row>
    <row r="15" spans="1:13">
      <c r="A15" s="29">
        <f t="shared" si="2"/>
        <v>5</v>
      </c>
      <c r="B15" s="29"/>
      <c r="C15" s="131">
        <v>367</v>
      </c>
      <c r="D15" s="40" t="s">
        <v>152</v>
      </c>
      <c r="E15" s="56">
        <v>698523</v>
      </c>
      <c r="F15" s="132">
        <v>0</v>
      </c>
      <c r="G15" s="249">
        <v>2.5000000000000001E-2</v>
      </c>
      <c r="H15" s="56">
        <f t="shared" si="0"/>
        <v>17463.080000000002</v>
      </c>
      <c r="I15" s="56">
        <v>17003</v>
      </c>
      <c r="J15" s="56">
        <f t="shared" si="1"/>
        <v>460.08000000000175</v>
      </c>
      <c r="M15" s="181"/>
    </row>
    <row r="16" spans="1:13">
      <c r="A16" s="29">
        <f t="shared" si="2"/>
        <v>6</v>
      </c>
      <c r="B16" s="29"/>
      <c r="C16" s="131">
        <v>368</v>
      </c>
      <c r="D16" s="40" t="s">
        <v>153</v>
      </c>
      <c r="E16" s="56">
        <v>8975622</v>
      </c>
      <c r="F16" s="132">
        <v>0</v>
      </c>
      <c r="G16" s="249">
        <v>2.5000000000000001E-2</v>
      </c>
      <c r="H16" s="56">
        <f t="shared" si="0"/>
        <v>224390.55</v>
      </c>
      <c r="I16" s="56">
        <v>223712</v>
      </c>
      <c r="J16" s="56">
        <f t="shared" si="1"/>
        <v>678.54999999998836</v>
      </c>
      <c r="M16" s="181"/>
    </row>
    <row r="17" spans="1:16">
      <c r="A17" s="29">
        <f t="shared" si="2"/>
        <v>7</v>
      </c>
      <c r="B17" s="2"/>
      <c r="C17" s="131">
        <v>369</v>
      </c>
      <c r="D17" s="40" t="s">
        <v>100</v>
      </c>
      <c r="E17" s="56">
        <v>6684791</v>
      </c>
      <c r="F17" s="132">
        <v>0</v>
      </c>
      <c r="G17" s="249">
        <v>3.4299999999999997E-2</v>
      </c>
      <c r="H17" s="56">
        <f t="shared" si="0"/>
        <v>229288.33</v>
      </c>
      <c r="I17" s="56">
        <v>225383</v>
      </c>
      <c r="J17" s="56">
        <f t="shared" si="1"/>
        <v>3905.3299999999872</v>
      </c>
      <c r="M17" s="181"/>
    </row>
    <row r="18" spans="1:16">
      <c r="A18" s="29">
        <f t="shared" si="2"/>
        <v>8</v>
      </c>
      <c r="B18" s="2"/>
      <c r="C18" s="131">
        <v>370</v>
      </c>
      <c r="D18" s="40" t="s">
        <v>130</v>
      </c>
      <c r="E18" s="56">
        <v>5654148</v>
      </c>
      <c r="F18" s="132">
        <v>0</v>
      </c>
      <c r="G18" s="249">
        <v>6.6699999999999995E-2</v>
      </c>
      <c r="H18" s="56">
        <f t="shared" si="0"/>
        <v>377131.67</v>
      </c>
      <c r="I18" s="56">
        <v>382998</v>
      </c>
      <c r="J18" s="56">
        <f t="shared" si="1"/>
        <v>-5866.3300000000163</v>
      </c>
      <c r="M18" s="181"/>
    </row>
    <row r="19" spans="1:16">
      <c r="A19" s="29">
        <f t="shared" si="2"/>
        <v>9</v>
      </c>
      <c r="B19" s="2"/>
      <c r="C19" s="131">
        <v>371</v>
      </c>
      <c r="D19" s="40" t="s">
        <v>154</v>
      </c>
      <c r="E19" s="56">
        <v>2777013</v>
      </c>
      <c r="F19" s="132">
        <v>0</v>
      </c>
      <c r="G19" s="249">
        <v>3.9100000000000003E-2</v>
      </c>
      <c r="H19" s="56">
        <f t="shared" si="0"/>
        <v>108581.21</v>
      </c>
      <c r="I19" s="56">
        <v>106013</v>
      </c>
      <c r="J19" s="56">
        <f t="shared" si="1"/>
        <v>2568.2100000000064</v>
      </c>
      <c r="M19" s="181"/>
    </row>
    <row r="20" spans="1:16">
      <c r="A20" s="29">
        <f t="shared" si="2"/>
        <v>10</v>
      </c>
      <c r="B20" s="2"/>
      <c r="C20" s="2"/>
      <c r="D20" s="182" t="s">
        <v>22</v>
      </c>
      <c r="E20" s="183">
        <f>SUM(E12:E19)</f>
        <v>71637456</v>
      </c>
      <c r="F20" s="184">
        <f>SUM(F12:F19)</f>
        <v>0</v>
      </c>
      <c r="G20" s="183"/>
      <c r="H20" s="183">
        <f>SUM(H12:H19)</f>
        <v>2490461.0100000002</v>
      </c>
      <c r="I20" s="183">
        <f>SUM(I12:I19)</f>
        <v>2467801</v>
      </c>
      <c r="J20" s="183">
        <f>SUM(J12:J19)</f>
        <v>22660.009999999958</v>
      </c>
    </row>
    <row r="21" spans="1:16">
      <c r="A21" s="29">
        <f t="shared" si="2"/>
        <v>11</v>
      </c>
      <c r="B21" s="2"/>
      <c r="C21" s="2"/>
      <c r="D21" s="2"/>
      <c r="E21" s="2"/>
      <c r="F21" s="2"/>
      <c r="G21" s="2"/>
      <c r="H21" s="2"/>
      <c r="I21" s="2"/>
      <c r="J21" s="2"/>
    </row>
    <row r="22" spans="1:16">
      <c r="A22" s="29">
        <f t="shared" si="2"/>
        <v>12</v>
      </c>
      <c r="B22" s="2"/>
      <c r="C22" s="185" t="s">
        <v>161</v>
      </c>
      <c r="D22" s="2"/>
      <c r="E22" s="2"/>
      <c r="F22" s="2"/>
      <c r="G22" s="2"/>
      <c r="H22" s="2"/>
      <c r="I22" s="2"/>
      <c r="J22" s="2"/>
    </row>
    <row r="23" spans="1:16">
      <c r="A23" s="29">
        <f t="shared" si="2"/>
        <v>13</v>
      </c>
      <c r="B23" s="2"/>
      <c r="C23" s="130">
        <v>389</v>
      </c>
      <c r="D23" s="40" t="s">
        <v>155</v>
      </c>
      <c r="E23" s="56">
        <v>0</v>
      </c>
      <c r="F23" s="56"/>
      <c r="G23" s="57"/>
      <c r="H23" s="56"/>
      <c r="I23" s="56"/>
      <c r="J23" s="161"/>
    </row>
    <row r="24" spans="1:16">
      <c r="A24" s="29">
        <f t="shared" si="2"/>
        <v>14</v>
      </c>
      <c r="B24" s="2"/>
      <c r="C24" s="130">
        <v>390</v>
      </c>
      <c r="D24" s="40" t="s">
        <v>156</v>
      </c>
      <c r="E24" s="56">
        <v>1537689</v>
      </c>
      <c r="F24" s="132">
        <v>136062</v>
      </c>
      <c r="G24" s="250">
        <v>0.03</v>
      </c>
      <c r="H24" s="56">
        <f>ROUND(((+E24-F24)*G24),2)</f>
        <v>42048.81</v>
      </c>
      <c r="I24" s="56">
        <v>42049</v>
      </c>
      <c r="J24" s="56">
        <f t="shared" ref="J24" si="3">H24-I24</f>
        <v>-0.19000000000232831</v>
      </c>
      <c r="M24" s="181"/>
    </row>
    <row r="25" spans="1:16">
      <c r="A25" s="29">
        <f t="shared" si="2"/>
        <v>15</v>
      </c>
      <c r="B25" s="2"/>
      <c r="C25" s="130">
        <v>391</v>
      </c>
      <c r="D25" s="40" t="s">
        <v>157</v>
      </c>
      <c r="E25" s="56">
        <v>828588</v>
      </c>
      <c r="F25" s="132">
        <v>95555</v>
      </c>
      <c r="G25" s="250">
        <v>0.06</v>
      </c>
      <c r="H25" s="56">
        <f t="shared" ref="H25:H32" si="4">ROUND(((+E25-F25)*G25),2)</f>
        <v>43981.98</v>
      </c>
      <c r="I25" s="56">
        <v>43102</v>
      </c>
      <c r="J25" s="56">
        <f t="shared" ref="J25:J32" si="5">H25-I25</f>
        <v>879.9800000000032</v>
      </c>
      <c r="M25" s="181"/>
      <c r="P25" s="181"/>
    </row>
    <row r="26" spans="1:16">
      <c r="A26" s="29">
        <f t="shared" si="2"/>
        <v>16</v>
      </c>
      <c r="B26" s="2"/>
      <c r="C26" s="130">
        <v>393</v>
      </c>
      <c r="D26" s="40" t="s">
        <v>128</v>
      </c>
      <c r="E26" s="56">
        <v>70566</v>
      </c>
      <c r="F26" s="132">
        <v>70566</v>
      </c>
      <c r="G26" s="250">
        <v>0.06</v>
      </c>
      <c r="H26" s="56">
        <f t="shared" si="4"/>
        <v>0</v>
      </c>
      <c r="I26" s="56">
        <v>3458</v>
      </c>
      <c r="J26" s="56">
        <f t="shared" si="5"/>
        <v>-3458</v>
      </c>
      <c r="M26" s="181"/>
    </row>
    <row r="27" spans="1:16">
      <c r="A27" s="29">
        <f t="shared" si="2"/>
        <v>17</v>
      </c>
      <c r="B27" s="2"/>
      <c r="C27" s="130">
        <v>394</v>
      </c>
      <c r="D27" s="40" t="s">
        <v>158</v>
      </c>
      <c r="E27" s="56">
        <v>102776</v>
      </c>
      <c r="F27" s="132">
        <v>102776</v>
      </c>
      <c r="G27" s="250">
        <v>0.1</v>
      </c>
      <c r="H27" s="56">
        <f t="shared" si="4"/>
        <v>0</v>
      </c>
      <c r="I27" s="56">
        <v>8211</v>
      </c>
      <c r="J27" s="56">
        <f t="shared" si="5"/>
        <v>-8211</v>
      </c>
      <c r="M27" s="181"/>
    </row>
    <row r="28" spans="1:16">
      <c r="A28" s="29">
        <f t="shared" si="2"/>
        <v>18</v>
      </c>
      <c r="B28" s="2"/>
      <c r="C28" s="130">
        <v>395</v>
      </c>
      <c r="D28" s="40" t="s">
        <v>278</v>
      </c>
      <c r="E28" s="56">
        <v>165786</v>
      </c>
      <c r="F28" s="132">
        <v>135974</v>
      </c>
      <c r="G28" s="250">
        <v>0.06</v>
      </c>
      <c r="H28" s="132">
        <f>ROUND(((+E28-F28)*G28),2)</f>
        <v>1788.72</v>
      </c>
      <c r="I28" s="56">
        <v>7995</v>
      </c>
      <c r="J28" s="56">
        <f t="shared" si="5"/>
        <v>-6206.28</v>
      </c>
      <c r="M28" s="181"/>
      <c r="P28" s="181"/>
    </row>
    <row r="29" spans="1:16">
      <c r="A29" s="29">
        <f t="shared" si="2"/>
        <v>19</v>
      </c>
      <c r="B29" s="2"/>
      <c r="C29" s="130">
        <v>396.1</v>
      </c>
      <c r="D29" s="40" t="s">
        <v>276</v>
      </c>
      <c r="E29" s="56">
        <v>137177</v>
      </c>
      <c r="F29" s="132">
        <v>137177</v>
      </c>
      <c r="G29" s="250">
        <v>0.11</v>
      </c>
      <c r="H29" s="56">
        <f t="shared" si="4"/>
        <v>0</v>
      </c>
      <c r="I29" s="56">
        <v>10969</v>
      </c>
      <c r="J29" s="56">
        <f t="shared" si="5"/>
        <v>-10969</v>
      </c>
      <c r="M29" s="181"/>
    </row>
    <row r="30" spans="1:16">
      <c r="A30" s="29">
        <f t="shared" si="2"/>
        <v>20</v>
      </c>
      <c r="B30" s="2"/>
      <c r="C30" s="130">
        <v>396.2</v>
      </c>
      <c r="D30" s="40" t="s">
        <v>277</v>
      </c>
      <c r="E30" s="56">
        <v>44518</v>
      </c>
      <c r="F30" s="132">
        <v>33942</v>
      </c>
      <c r="G30" s="250">
        <v>0.06</v>
      </c>
      <c r="H30" s="56">
        <f t="shared" si="4"/>
        <v>634.55999999999995</v>
      </c>
      <c r="I30" s="56">
        <v>1922</v>
      </c>
      <c r="J30" s="56">
        <f t="shared" si="5"/>
        <v>-1287.44</v>
      </c>
      <c r="M30" s="181"/>
    </row>
    <row r="31" spans="1:16">
      <c r="A31" s="29">
        <f t="shared" si="2"/>
        <v>21</v>
      </c>
      <c r="B31" s="2"/>
      <c r="C31" s="130">
        <v>397</v>
      </c>
      <c r="D31" s="40" t="s">
        <v>159</v>
      </c>
      <c r="E31" s="56">
        <v>270253</v>
      </c>
      <c r="F31" s="132">
        <v>270253</v>
      </c>
      <c r="G31" s="250">
        <v>0.08</v>
      </c>
      <c r="H31" s="56">
        <f t="shared" si="4"/>
        <v>0</v>
      </c>
      <c r="I31" s="56">
        <v>3168</v>
      </c>
      <c r="J31" s="56">
        <f t="shared" si="5"/>
        <v>-3168</v>
      </c>
      <c r="M31" s="181"/>
    </row>
    <row r="32" spans="1:16">
      <c r="A32" s="29">
        <f t="shared" si="2"/>
        <v>22</v>
      </c>
      <c r="B32" s="2"/>
      <c r="C32" s="130">
        <v>398</v>
      </c>
      <c r="D32" s="40" t="s">
        <v>160</v>
      </c>
      <c r="E32" s="56">
        <v>107271</v>
      </c>
      <c r="F32" s="132">
        <v>107271</v>
      </c>
      <c r="G32" s="250">
        <v>0.08</v>
      </c>
      <c r="H32" s="56">
        <f t="shared" si="4"/>
        <v>0</v>
      </c>
      <c r="I32" s="56">
        <v>8508</v>
      </c>
      <c r="J32" s="56">
        <f t="shared" si="5"/>
        <v>-8508</v>
      </c>
      <c r="M32" s="181"/>
    </row>
    <row r="33" spans="1:25">
      <c r="A33" s="29">
        <f t="shared" si="2"/>
        <v>23</v>
      </c>
      <c r="B33" s="2"/>
      <c r="C33" s="2"/>
      <c r="D33" s="182" t="s">
        <v>22</v>
      </c>
      <c r="E33" s="183">
        <f>SUM(E23:E32)</f>
        <v>3264624</v>
      </c>
      <c r="F33" s="184">
        <f>SUM(F23:F32)</f>
        <v>1089576</v>
      </c>
      <c r="G33" s="183"/>
      <c r="H33" s="183">
        <f>SUM(H23:H32)</f>
        <v>88454.07</v>
      </c>
      <c r="I33" s="183">
        <f t="shared" ref="I33:J33" si="6">SUM(I23:I32)</f>
        <v>129382</v>
      </c>
      <c r="J33" s="183">
        <f t="shared" si="6"/>
        <v>-40927.929999999993</v>
      </c>
    </row>
    <row r="34" spans="1:25">
      <c r="A34" s="29">
        <f t="shared" si="2"/>
        <v>24</v>
      </c>
      <c r="B34" s="2"/>
      <c r="C34" s="186" t="s">
        <v>139</v>
      </c>
      <c r="D34" s="187" t="s">
        <v>165</v>
      </c>
      <c r="E34" s="188">
        <f>E20+E33</f>
        <v>74902080</v>
      </c>
      <c r="F34" s="188">
        <f>F20+F33</f>
        <v>1089576</v>
      </c>
      <c r="G34" s="188"/>
      <c r="H34" s="188">
        <f>H20+H33</f>
        <v>2578915.08</v>
      </c>
      <c r="I34" s="188">
        <f t="shared" ref="I34:J34" si="7">I20+I33</f>
        <v>2597183</v>
      </c>
      <c r="J34" s="188">
        <f t="shared" si="7"/>
        <v>-18267.920000000035</v>
      </c>
    </row>
    <row r="35" spans="1:25">
      <c r="A35" s="29">
        <f t="shared" si="2"/>
        <v>25</v>
      </c>
      <c r="B35" s="2"/>
      <c r="C35" s="2"/>
      <c r="D35" s="189"/>
      <c r="E35" s="190"/>
      <c r="F35" s="190"/>
      <c r="G35" s="190"/>
      <c r="H35" s="190"/>
      <c r="I35" s="190"/>
      <c r="J35" s="190"/>
    </row>
    <row r="36" spans="1:25">
      <c r="A36" s="29">
        <f t="shared" si="2"/>
        <v>26</v>
      </c>
      <c r="B36" s="2"/>
      <c r="C36" s="185" t="s">
        <v>162</v>
      </c>
      <c r="D36" s="2"/>
      <c r="E36" s="190"/>
      <c r="F36" s="190"/>
      <c r="G36" s="190"/>
      <c r="H36" s="190"/>
      <c r="I36" s="190"/>
      <c r="J36" s="190"/>
    </row>
    <row r="37" spans="1:25">
      <c r="A37" s="29">
        <f t="shared" si="2"/>
        <v>27</v>
      </c>
      <c r="B37" s="2"/>
      <c r="C37" s="130">
        <v>392</v>
      </c>
      <c r="D37" s="40" t="s">
        <v>129</v>
      </c>
      <c r="E37" s="56">
        <v>2654991</v>
      </c>
      <c r="F37" s="56">
        <v>1116246</v>
      </c>
      <c r="G37" s="250">
        <v>0.16</v>
      </c>
      <c r="H37" s="56">
        <f>ROUND(((+E37-F37)*G37),2)</f>
        <v>246199.2</v>
      </c>
      <c r="I37" s="56">
        <v>209703</v>
      </c>
      <c r="J37" s="161">
        <f>H37-I37</f>
        <v>36496.200000000012</v>
      </c>
      <c r="M37" s="181"/>
    </row>
    <row r="38" spans="1:25">
      <c r="A38" s="29">
        <f t="shared" si="2"/>
        <v>28</v>
      </c>
      <c r="B38" s="2"/>
      <c r="C38" s="133" t="s">
        <v>140</v>
      </c>
      <c r="D38" s="134" t="s">
        <v>163</v>
      </c>
      <c r="E38" s="135"/>
      <c r="F38" s="135"/>
      <c r="G38" s="136"/>
      <c r="H38" s="135"/>
      <c r="I38" s="135"/>
      <c r="J38" s="191">
        <f>G51</f>
        <v>24141.040000000001</v>
      </c>
      <c r="M38" s="181"/>
    </row>
    <row r="39" spans="1:25">
      <c r="A39" s="29">
        <f t="shared" si="2"/>
        <v>29</v>
      </c>
      <c r="B39" s="2"/>
      <c r="C39" s="2"/>
      <c r="D39" s="2"/>
      <c r="E39" s="2"/>
      <c r="F39" s="2"/>
      <c r="G39" s="2"/>
      <c r="H39" s="2"/>
      <c r="I39" s="2"/>
      <c r="J39" s="2"/>
    </row>
    <row r="40" spans="1:25" ht="13.8" thickBot="1">
      <c r="A40" s="29">
        <f t="shared" si="2"/>
        <v>30</v>
      </c>
      <c r="B40" s="2"/>
      <c r="C40" s="4" t="s">
        <v>252</v>
      </c>
      <c r="D40" s="4" t="s">
        <v>14</v>
      </c>
      <c r="E40" s="192">
        <f>E34+E37</f>
        <v>77557071</v>
      </c>
      <c r="F40" s="192">
        <f>F34+F37</f>
        <v>2205822</v>
      </c>
      <c r="G40" s="4"/>
      <c r="H40" s="192">
        <f>H34+H37</f>
        <v>2825114.2800000003</v>
      </c>
      <c r="I40" s="192">
        <f>I34+I37</f>
        <v>2806886</v>
      </c>
      <c r="J40" s="193">
        <f>J38+J34</f>
        <v>5873.1199999999662</v>
      </c>
    </row>
    <row r="41" spans="1:25" ht="13.8" thickTop="1">
      <c r="A41" s="29">
        <f t="shared" si="2"/>
        <v>31</v>
      </c>
      <c r="B41" s="2"/>
      <c r="C41" s="2"/>
      <c r="D41" s="2"/>
      <c r="E41" s="2"/>
      <c r="F41" s="2"/>
      <c r="G41" s="2"/>
      <c r="H41" s="2"/>
      <c r="I41" s="2"/>
      <c r="J41" s="2"/>
    </row>
    <row r="42" spans="1:25" ht="29.25" customHeight="1">
      <c r="A42" s="29">
        <f t="shared" si="2"/>
        <v>32</v>
      </c>
      <c r="B42" s="47"/>
      <c r="C42" s="273" t="s">
        <v>254</v>
      </c>
      <c r="D42" s="273"/>
      <c r="E42" s="273"/>
      <c r="F42" s="273"/>
      <c r="G42" s="273"/>
      <c r="H42" s="273"/>
      <c r="I42" s="273"/>
      <c r="J42" s="273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5">
      <c r="A43" s="29">
        <f t="shared" si="2"/>
        <v>33</v>
      </c>
      <c r="B43" s="2"/>
      <c r="C43" s="2"/>
      <c r="D43" s="2"/>
      <c r="E43" s="2"/>
      <c r="F43" s="2"/>
      <c r="G43" s="2"/>
      <c r="H43" s="2"/>
      <c r="I43" s="2"/>
      <c r="J43" s="2"/>
    </row>
    <row r="44" spans="1:25">
      <c r="A44" s="29">
        <f t="shared" si="2"/>
        <v>34</v>
      </c>
      <c r="B44" s="2"/>
      <c r="C44" s="48" t="s">
        <v>163</v>
      </c>
      <c r="D44" s="37"/>
      <c r="E44" s="55" t="s">
        <v>142</v>
      </c>
      <c r="F44" s="55" t="s">
        <v>141</v>
      </c>
      <c r="G44" s="55" t="s">
        <v>164</v>
      </c>
      <c r="H44" s="2"/>
      <c r="I44" s="2"/>
    </row>
    <row r="45" spans="1:25">
      <c r="A45" s="29">
        <f t="shared" si="2"/>
        <v>35</v>
      </c>
      <c r="B45" s="2"/>
      <c r="C45" s="36"/>
      <c r="D45" s="37"/>
      <c r="E45" s="36"/>
      <c r="F45" s="36"/>
      <c r="G45" s="36"/>
      <c r="H45" s="2"/>
      <c r="I45" s="2"/>
    </row>
    <row r="46" spans="1:25">
      <c r="A46" s="29">
        <f t="shared" si="2"/>
        <v>36</v>
      </c>
      <c r="B46" s="2"/>
      <c r="C46" s="50" t="s">
        <v>132</v>
      </c>
      <c r="D46" s="40" t="s">
        <v>133</v>
      </c>
      <c r="E46" s="41">
        <v>897329.48</v>
      </c>
      <c r="F46" s="96">
        <f>E46/E$56</f>
        <v>0.19312569120256107</v>
      </c>
      <c r="G46" s="41">
        <f>ROUND(F46*$J$37,2)</f>
        <v>7048.35</v>
      </c>
      <c r="H46" s="2"/>
      <c r="I46" s="2"/>
    </row>
    <row r="47" spans="1:25">
      <c r="A47" s="29">
        <f t="shared" si="2"/>
        <v>37</v>
      </c>
      <c r="B47" s="2"/>
      <c r="C47" s="50" t="s">
        <v>134</v>
      </c>
      <c r="D47" s="40" t="s">
        <v>135</v>
      </c>
      <c r="E47" s="41">
        <v>999701.99</v>
      </c>
      <c r="F47" s="96">
        <f t="shared" ref="F47:F50" si="8">E47/E$56</f>
        <v>0.21515858123297787</v>
      </c>
      <c r="G47" s="41">
        <f>ROUND(F47*$J$37,2)</f>
        <v>7852.47</v>
      </c>
      <c r="H47" s="2"/>
    </row>
    <row r="48" spans="1:25">
      <c r="A48" s="29">
        <f t="shared" si="2"/>
        <v>38</v>
      </c>
      <c r="B48" s="2"/>
      <c r="C48" s="50" t="s">
        <v>136</v>
      </c>
      <c r="D48" s="40" t="s">
        <v>112</v>
      </c>
      <c r="E48" s="41">
        <v>427663.98000000004</v>
      </c>
      <c r="F48" s="96">
        <f t="shared" si="8"/>
        <v>9.2043004917143997E-2</v>
      </c>
      <c r="G48" s="41">
        <f>ROUND(F48*$J$37,2)</f>
        <v>3359.22</v>
      </c>
      <c r="H48" s="2"/>
    </row>
    <row r="49" spans="1:10">
      <c r="A49" s="29">
        <f t="shared" si="2"/>
        <v>39</v>
      </c>
      <c r="B49" s="2"/>
      <c r="C49" s="50" t="s">
        <v>255</v>
      </c>
      <c r="D49" s="40" t="s">
        <v>84</v>
      </c>
      <c r="E49" s="41">
        <v>53395.79</v>
      </c>
      <c r="F49" s="96">
        <f t="shared" si="8"/>
        <v>1.1491987147303796E-2</v>
      </c>
      <c r="G49" s="41">
        <f>ROUND(F49*$J$37,2)</f>
        <v>419.41</v>
      </c>
      <c r="H49" s="2"/>
    </row>
    <row r="50" spans="1:10">
      <c r="A50" s="29">
        <f t="shared" si="2"/>
        <v>40</v>
      </c>
      <c r="B50" s="2"/>
      <c r="C50" s="50" t="s">
        <v>137</v>
      </c>
      <c r="D50" s="40" t="s">
        <v>131</v>
      </c>
      <c r="E50" s="41">
        <v>695317.75999999989</v>
      </c>
      <c r="F50" s="96">
        <f t="shared" si="8"/>
        <v>0.14964817940163569</v>
      </c>
      <c r="G50" s="41">
        <f>ROUND(F50*$J$37,2)</f>
        <v>5461.59</v>
      </c>
      <c r="H50" s="2"/>
    </row>
    <row r="51" spans="1:10">
      <c r="A51" s="29">
        <f t="shared" si="2"/>
        <v>41</v>
      </c>
      <c r="B51" s="2"/>
      <c r="C51" s="43"/>
      <c r="D51" s="51" t="s">
        <v>22</v>
      </c>
      <c r="E51" s="58">
        <f>SUM(E46:E50)</f>
        <v>3073409</v>
      </c>
      <c r="F51" s="97">
        <f>SUM(F46:F50)</f>
        <v>0.66146744390162238</v>
      </c>
      <c r="G51" s="58">
        <f>SUM(G46:G50)</f>
        <v>24141.040000000001</v>
      </c>
      <c r="H51" s="2"/>
    </row>
    <row r="52" spans="1:10">
      <c r="A52" s="29">
        <f t="shared" si="2"/>
        <v>42</v>
      </c>
      <c r="B52" s="2"/>
      <c r="C52" s="50"/>
      <c r="D52" s="40"/>
      <c r="E52" s="49"/>
      <c r="F52" s="96"/>
      <c r="G52" s="49"/>
      <c r="H52" s="2"/>
    </row>
    <row r="53" spans="1:10">
      <c r="A53" s="29">
        <f t="shared" si="2"/>
        <v>43</v>
      </c>
      <c r="B53" s="2"/>
      <c r="C53" s="50" t="s">
        <v>256</v>
      </c>
      <c r="D53" s="40" t="s">
        <v>253</v>
      </c>
      <c r="E53" s="41">
        <v>1572940.6099999999</v>
      </c>
      <c r="F53" s="96">
        <f t="shared" ref="F53" si="9">E53/E$56</f>
        <v>0.33853255609837762</v>
      </c>
      <c r="G53" s="41">
        <f>ROUND(F53*$J$37,2)</f>
        <v>12355.15</v>
      </c>
      <c r="H53" s="2"/>
    </row>
    <row r="54" spans="1:10">
      <c r="A54" s="29">
        <f t="shared" si="2"/>
        <v>44</v>
      </c>
      <c r="B54" s="2"/>
      <c r="C54" s="43"/>
      <c r="D54" s="51" t="s">
        <v>22</v>
      </c>
      <c r="E54" s="127"/>
      <c r="F54" s="97">
        <f>SUM(F53:F53)</f>
        <v>0.33853255609837762</v>
      </c>
      <c r="G54" s="127">
        <f>SUM(G53:G53)</f>
        <v>12355.15</v>
      </c>
      <c r="H54" s="2"/>
    </row>
    <row r="55" spans="1:10">
      <c r="A55" s="29">
        <f t="shared" si="2"/>
        <v>45</v>
      </c>
      <c r="B55" s="2"/>
      <c r="C55" s="50"/>
      <c r="D55" s="40"/>
      <c r="E55" s="49"/>
      <c r="F55" s="42"/>
      <c r="G55" s="49"/>
      <c r="H55" s="2"/>
    </row>
    <row r="56" spans="1:10" ht="13.8" thickBot="1">
      <c r="A56" s="29">
        <f t="shared" si="2"/>
        <v>46</v>
      </c>
      <c r="B56" s="2"/>
      <c r="C56" s="52"/>
      <c r="D56" s="53" t="s">
        <v>45</v>
      </c>
      <c r="E56" s="128">
        <f>E53+E51</f>
        <v>4646349.6099999994</v>
      </c>
      <c r="F56" s="54">
        <f>F51+F54</f>
        <v>1</v>
      </c>
      <c r="G56" s="128">
        <f>G54+G51</f>
        <v>36496.19</v>
      </c>
      <c r="H56" s="2"/>
    </row>
    <row r="57" spans="1:10" ht="13.8" thickTop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>
      <c r="A60" s="2"/>
      <c r="B60" s="2"/>
      <c r="C60" s="2"/>
      <c r="D60" s="2"/>
      <c r="E60" s="2"/>
      <c r="F60" s="2"/>
      <c r="G60" s="2"/>
      <c r="H60" s="2"/>
      <c r="I60" s="2"/>
      <c r="J60" s="2"/>
    </row>
  </sheetData>
  <mergeCells count="4">
    <mergeCell ref="C42:J42"/>
    <mergeCell ref="A3:J3"/>
    <mergeCell ref="A4:J4"/>
    <mergeCell ref="A6:J6"/>
  </mergeCells>
  <printOptions horizontalCentered="1"/>
  <pageMargins left="1" right="0.75" top="0.75" bottom="0.5" header="0.5" footer="0.5"/>
  <pageSetup scale="75" orientation="portrait" r:id="rId1"/>
  <headerFooter alignWithMargins="0">
    <oddFooter>&amp;RRevised Exhibit JW-2
Page &amp;P of &amp;N</oddFooter>
  </headerFooter>
  <ignoredErrors>
    <ignoredError sqref="C9:J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EED36-1B5F-48DE-AD5E-B293EB996D7D}">
  <dimension ref="A1:I23"/>
  <sheetViews>
    <sheetView zoomScale="75" zoomScaleNormal="75" workbookViewId="0">
      <selection activeCell="B7" sqref="B7:H7"/>
    </sheetView>
  </sheetViews>
  <sheetFormatPr defaultColWidth="9.109375" defaultRowHeight="13.2"/>
  <cols>
    <col min="1" max="1" width="5.88671875" style="11" customWidth="1"/>
    <col min="2" max="2" width="3.33203125" style="11" customWidth="1"/>
    <col min="3" max="3" width="12.5546875" style="11" customWidth="1"/>
    <col min="4" max="4" width="17.33203125" style="11" customWidth="1"/>
    <col min="5" max="5" width="10.109375" style="11" bestFit="1" customWidth="1"/>
    <col min="6" max="6" width="16.6640625" style="3" customWidth="1"/>
    <col min="7" max="7" width="12.109375" style="11" customWidth="1"/>
    <col min="8" max="8" width="12" style="11" customWidth="1"/>
    <col min="9" max="15" width="9.109375" style="11"/>
    <col min="16" max="16" width="16.6640625" style="11" bestFit="1" customWidth="1"/>
    <col min="17" max="16384" width="9.109375" style="11"/>
  </cols>
  <sheetData>
    <row r="1" spans="1:9">
      <c r="F1" s="173" t="s">
        <v>28</v>
      </c>
    </row>
    <row r="2" spans="1:9" ht="20.25" customHeight="1">
      <c r="H2" s="6"/>
    </row>
    <row r="3" spans="1:9">
      <c r="A3" s="268" t="str">
        <f>RevReq!A1</f>
        <v>LICKING VALLEY R.E.C.C.</v>
      </c>
      <c r="B3" s="268"/>
      <c r="C3" s="268"/>
      <c r="D3" s="268"/>
      <c r="E3" s="268"/>
      <c r="F3" s="268"/>
      <c r="G3" s="196"/>
      <c r="H3" s="196"/>
    </row>
    <row r="4" spans="1:9">
      <c r="A4" s="268" t="str">
        <f>RevReq!A3</f>
        <v>For the 12 Months Ended December 31, 2019</v>
      </c>
      <c r="B4" s="268"/>
      <c r="C4" s="268"/>
      <c r="D4" s="268"/>
      <c r="E4" s="268"/>
      <c r="F4" s="268"/>
      <c r="G4" s="196"/>
      <c r="H4" s="196"/>
    </row>
    <row r="6" spans="1:9" s="7" customFormat="1" ht="15" customHeight="1">
      <c r="A6" s="269" t="s">
        <v>170</v>
      </c>
      <c r="B6" s="269"/>
      <c r="C6" s="269"/>
      <c r="D6" s="269"/>
      <c r="E6" s="269"/>
      <c r="F6" s="269"/>
      <c r="G6" s="11"/>
      <c r="H6" s="209"/>
    </row>
    <row r="7" spans="1:9">
      <c r="A7" s="3"/>
      <c r="B7" s="3"/>
      <c r="C7" s="3"/>
      <c r="D7" s="3"/>
      <c r="E7" s="3"/>
    </row>
    <row r="8" spans="1:9">
      <c r="A8" s="10" t="s">
        <v>0</v>
      </c>
      <c r="C8" s="10" t="s">
        <v>41</v>
      </c>
      <c r="E8" s="10" t="s">
        <v>42</v>
      </c>
      <c r="F8" s="1" t="s">
        <v>24</v>
      </c>
    </row>
    <row r="9" spans="1:9">
      <c r="A9" s="126" t="s">
        <v>21</v>
      </c>
      <c r="C9" s="13" t="s">
        <v>18</v>
      </c>
      <c r="D9" s="228"/>
      <c r="E9" s="13" t="s">
        <v>20</v>
      </c>
      <c r="F9" s="176" t="s">
        <v>19</v>
      </c>
    </row>
    <row r="10" spans="1:9">
      <c r="A10" s="10"/>
    </row>
    <row r="11" spans="1:9">
      <c r="A11" s="10"/>
      <c r="C11" s="3"/>
    </row>
    <row r="12" spans="1:9">
      <c r="A12" s="10">
        <v>1</v>
      </c>
      <c r="C12" s="3" t="s">
        <v>30</v>
      </c>
      <c r="E12" s="178">
        <v>426</v>
      </c>
      <c r="F12" s="163">
        <v>8672</v>
      </c>
    </row>
    <row r="13" spans="1:9">
      <c r="A13" s="10">
        <f>A12+1</f>
        <v>2</v>
      </c>
      <c r="C13" s="11" t="s">
        <v>334</v>
      </c>
      <c r="E13" s="178">
        <v>930.2</v>
      </c>
      <c r="F13" s="163">
        <v>60785.2</v>
      </c>
    </row>
    <row r="14" spans="1:9">
      <c r="A14" s="10">
        <f t="shared" ref="A14:A20" si="0">A13+1</f>
        <v>3</v>
      </c>
      <c r="C14" s="11" t="s">
        <v>333</v>
      </c>
      <c r="E14" s="178">
        <v>930.3</v>
      </c>
      <c r="F14" s="163">
        <v>10567.759999999998</v>
      </c>
    </row>
    <row r="15" spans="1:9">
      <c r="A15" s="10">
        <f t="shared" si="0"/>
        <v>4</v>
      </c>
      <c r="C15" s="11" t="s">
        <v>160</v>
      </c>
      <c r="E15" s="178">
        <v>930.4</v>
      </c>
      <c r="F15" s="163">
        <v>105447.91999999998</v>
      </c>
      <c r="I15" s="27"/>
    </row>
    <row r="16" spans="1:9">
      <c r="A16" s="10">
        <f t="shared" si="0"/>
        <v>5</v>
      </c>
      <c r="C16" s="51" t="s">
        <v>37</v>
      </c>
      <c r="D16" s="16"/>
      <c r="E16" s="51"/>
      <c r="F16" s="229">
        <f>SUM(F12:F15)</f>
        <v>185472.87999999998</v>
      </c>
      <c r="I16" s="27"/>
    </row>
    <row r="17" spans="1:8">
      <c r="A17" s="10">
        <f t="shared" si="0"/>
        <v>6</v>
      </c>
      <c r="C17" s="3"/>
      <c r="E17" s="3"/>
      <c r="F17" s="170"/>
    </row>
    <row r="18" spans="1:8">
      <c r="A18" s="10">
        <f t="shared" si="0"/>
        <v>7</v>
      </c>
      <c r="C18" s="3" t="s">
        <v>38</v>
      </c>
      <c r="F18" s="163">
        <v>0</v>
      </c>
    </row>
    <row r="19" spans="1:8">
      <c r="A19" s="10">
        <f t="shared" si="0"/>
        <v>8</v>
      </c>
      <c r="C19" s="3"/>
      <c r="F19" s="170"/>
    </row>
    <row r="20" spans="1:8" ht="13.8" thickBot="1">
      <c r="A20" s="10">
        <f t="shared" si="0"/>
        <v>9</v>
      </c>
      <c r="C20" s="4" t="s">
        <v>15</v>
      </c>
      <c r="D20" s="21"/>
      <c r="E20" s="21"/>
      <c r="F20" s="171">
        <f>ROUND(F18-F16,2)</f>
        <v>-185472.88</v>
      </c>
    </row>
    <row r="21" spans="1:8" ht="13.8" thickTop="1">
      <c r="E21" s="10"/>
    </row>
    <row r="23" spans="1:8" ht="42" customHeight="1">
      <c r="B23" s="270" t="s">
        <v>251</v>
      </c>
      <c r="C23" s="270"/>
      <c r="D23" s="270"/>
      <c r="E23" s="270"/>
      <c r="F23" s="270"/>
      <c r="G23" s="9"/>
      <c r="H23" s="9"/>
    </row>
  </sheetData>
  <mergeCells count="4">
    <mergeCell ref="A3:F3"/>
    <mergeCell ref="A4:F4"/>
    <mergeCell ref="A6:F6"/>
    <mergeCell ref="B23:F23"/>
  </mergeCells>
  <printOptions horizontalCentered="1"/>
  <pageMargins left="1" right="0.75" top="0.75" bottom="0.5" header="0.5" footer="0.5"/>
  <pageSetup fitToHeight="4" orientation="portrait" r:id="rId1"/>
  <headerFooter alignWithMargins="0">
    <oddFooter>&amp;RRevised Exhibit JW-2
Page &amp;P of &amp;N</oddFooter>
  </headerFooter>
  <ignoredErrors>
    <ignoredError sqref="C9:F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C8C3C-855C-472D-A7A9-F19AB4B262B8}">
  <sheetPr>
    <pageSetUpPr fitToPage="1"/>
  </sheetPr>
  <dimension ref="A1:N35"/>
  <sheetViews>
    <sheetView zoomScale="75" zoomScaleNormal="75" zoomScaleSheetLayoutView="75" workbookViewId="0">
      <selection activeCell="B7" sqref="B7:H7"/>
    </sheetView>
  </sheetViews>
  <sheetFormatPr defaultColWidth="9.109375" defaultRowHeight="13.8"/>
  <cols>
    <col min="1" max="1" width="5.33203125" style="199" customWidth="1"/>
    <col min="2" max="2" width="30.6640625" style="199" bestFit="1" customWidth="1"/>
    <col min="3" max="3" width="10.6640625" style="199" bestFit="1" customWidth="1"/>
    <col min="4" max="6" width="10.44140625" style="199" bestFit="1" customWidth="1"/>
    <col min="7" max="7" width="10.6640625" style="199" bestFit="1" customWidth="1"/>
    <col min="8" max="8" width="9" style="199" bestFit="1" customWidth="1"/>
    <col min="9" max="9" width="11.33203125" style="199" customWidth="1"/>
    <col min="10" max="10" width="10.6640625" style="199" bestFit="1" customWidth="1"/>
    <col min="11" max="11" width="13.6640625" style="199" customWidth="1"/>
    <col min="12" max="12" width="9.88671875" style="199" bestFit="1" customWidth="1"/>
    <col min="13" max="16384" width="9.109375" style="199"/>
  </cols>
  <sheetData>
    <row r="1" spans="1:13" s="11" customFormat="1" ht="13.2">
      <c r="K1" s="6" t="s">
        <v>126</v>
      </c>
    </row>
    <row r="2" spans="1:13" s="11" customFormat="1" ht="13.2"/>
    <row r="3" spans="1:13" s="11" customFormat="1" ht="13.2"/>
    <row r="4" spans="1:13" s="11" customFormat="1" ht="13.2">
      <c r="A4" s="268" t="s">
        <v>283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</row>
    <row r="5" spans="1:13" s="11" customFormat="1" ht="13.2">
      <c r="A5" s="268" t="s">
        <v>232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</row>
    <row r="6" spans="1:13" s="11" customFormat="1" ht="13.2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3" s="11" customFormat="1" ht="13.2">
      <c r="A7" s="269" t="s">
        <v>284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3" s="11" customFormat="1" ht="13.2"/>
    <row r="9" spans="1:13">
      <c r="A9" s="197" t="s">
        <v>21</v>
      </c>
      <c r="B9" s="198" t="s">
        <v>41</v>
      </c>
      <c r="C9" s="198" t="s">
        <v>285</v>
      </c>
      <c r="D9" s="198" t="s">
        <v>286</v>
      </c>
      <c r="E9" s="198" t="s">
        <v>287</v>
      </c>
      <c r="F9" s="198" t="s">
        <v>288</v>
      </c>
      <c r="G9" s="198" t="s">
        <v>289</v>
      </c>
      <c r="H9" s="198" t="s">
        <v>290</v>
      </c>
      <c r="I9" s="198" t="s">
        <v>291</v>
      </c>
      <c r="J9" s="198" t="s">
        <v>292</v>
      </c>
      <c r="K9" s="198" t="s">
        <v>45</v>
      </c>
    </row>
    <row r="10" spans="1:13">
      <c r="A10" s="15">
        <v>1</v>
      </c>
      <c r="B10" s="10" t="s">
        <v>293</v>
      </c>
      <c r="C10" s="227">
        <v>2844.5</v>
      </c>
      <c r="D10" s="227"/>
      <c r="E10" s="227"/>
      <c r="F10" s="227"/>
      <c r="G10" s="227"/>
      <c r="H10" s="227"/>
      <c r="I10" s="227">
        <v>6009.2</v>
      </c>
      <c r="J10" s="227">
        <v>2579.37</v>
      </c>
      <c r="K10" s="227">
        <f>SUM(C10:J10)</f>
        <v>11433.07</v>
      </c>
      <c r="L10" s="201"/>
      <c r="M10" s="201"/>
    </row>
    <row r="11" spans="1:13">
      <c r="A11" s="15">
        <v>2</v>
      </c>
      <c r="B11" s="10" t="s">
        <v>294</v>
      </c>
      <c r="C11" s="200"/>
      <c r="D11" s="200"/>
      <c r="E11" s="200">
        <v>133.51</v>
      </c>
      <c r="F11" s="200"/>
      <c r="G11" s="200">
        <v>425.86</v>
      </c>
      <c r="H11" s="200"/>
      <c r="I11" s="200"/>
      <c r="J11" s="200"/>
      <c r="K11" s="200">
        <f t="shared" ref="K11:K17" si="0">SUM(C11:J11)</f>
        <v>559.37</v>
      </c>
      <c r="L11" s="201"/>
      <c r="M11" s="201"/>
    </row>
    <row r="12" spans="1:13">
      <c r="A12" s="15">
        <v>3</v>
      </c>
      <c r="B12" s="10" t="s">
        <v>295</v>
      </c>
      <c r="C12" s="200">
        <v>43</v>
      </c>
      <c r="D12" s="200">
        <v>43</v>
      </c>
      <c r="E12" s="200">
        <v>43</v>
      </c>
      <c r="F12" s="200">
        <v>43</v>
      </c>
      <c r="G12" s="200">
        <v>43</v>
      </c>
      <c r="H12" s="200">
        <v>43</v>
      </c>
      <c r="I12" s="200">
        <v>43</v>
      </c>
      <c r="J12" s="200">
        <v>43</v>
      </c>
      <c r="K12" s="200">
        <f t="shared" si="0"/>
        <v>344</v>
      </c>
      <c r="L12" s="201"/>
      <c r="M12" s="201"/>
    </row>
    <row r="13" spans="1:13">
      <c r="A13" s="15">
        <v>4</v>
      </c>
      <c r="B13" s="10" t="s">
        <v>296</v>
      </c>
      <c r="C13" s="200">
        <v>300</v>
      </c>
      <c r="D13" s="200"/>
      <c r="E13" s="200"/>
      <c r="F13" s="200"/>
      <c r="G13" s="200">
        <v>1177.8800000000001</v>
      </c>
      <c r="H13" s="200"/>
      <c r="I13" s="200"/>
      <c r="J13" s="200"/>
      <c r="K13" s="200">
        <f t="shared" si="0"/>
        <v>1477.88</v>
      </c>
      <c r="L13" s="201"/>
      <c r="M13" s="201"/>
    </row>
    <row r="14" spans="1:13">
      <c r="A14" s="15">
        <v>5</v>
      </c>
      <c r="B14" s="10" t="s">
        <v>297</v>
      </c>
      <c r="C14" s="200">
        <v>1126.48</v>
      </c>
      <c r="D14" s="200"/>
      <c r="E14" s="200"/>
      <c r="F14" s="200"/>
      <c r="G14" s="200">
        <v>1147.67</v>
      </c>
      <c r="H14" s="200"/>
      <c r="I14" s="200"/>
      <c r="J14" s="200"/>
      <c r="K14" s="200">
        <f t="shared" si="0"/>
        <v>2274.15</v>
      </c>
      <c r="L14" s="201"/>
      <c r="M14" s="201"/>
    </row>
    <row r="15" spans="1:13">
      <c r="A15" s="15">
        <v>6</v>
      </c>
      <c r="B15" s="10" t="s">
        <v>298</v>
      </c>
      <c r="C15" s="200">
        <v>265.20999999999998</v>
      </c>
      <c r="D15" s="200">
        <v>265.20999999999998</v>
      </c>
      <c r="E15" s="200">
        <v>265.20999999999998</v>
      </c>
      <c r="F15" s="200">
        <v>265.20999999999998</v>
      </c>
      <c r="G15" s="200">
        <v>265.20999999999998</v>
      </c>
      <c r="H15" s="200">
        <v>265.20999999999998</v>
      </c>
      <c r="I15" s="200">
        <v>265.20999999999998</v>
      </c>
      <c r="J15" s="200">
        <v>265.20999999999998</v>
      </c>
      <c r="K15" s="200">
        <f t="shared" si="0"/>
        <v>2121.6799999999998</v>
      </c>
      <c r="L15" s="201"/>
      <c r="M15" s="201"/>
    </row>
    <row r="16" spans="1:13">
      <c r="A16" s="15">
        <v>7</v>
      </c>
      <c r="B16" s="10" t="s">
        <v>299</v>
      </c>
      <c r="C16" s="200">
        <v>11.88</v>
      </c>
      <c r="D16" s="200">
        <v>12.96</v>
      </c>
      <c r="E16" s="200">
        <v>8.4</v>
      </c>
      <c r="F16" s="200">
        <v>1.92</v>
      </c>
      <c r="G16" s="200">
        <v>8.4</v>
      </c>
      <c r="H16" s="200">
        <v>12.96</v>
      </c>
      <c r="I16" s="200">
        <v>12.96</v>
      </c>
      <c r="J16" s="200">
        <v>12.96</v>
      </c>
      <c r="K16" s="200">
        <f t="shared" si="0"/>
        <v>82.44</v>
      </c>
      <c r="L16" s="201"/>
      <c r="M16" s="201"/>
    </row>
    <row r="17" spans="1:14">
      <c r="A17" s="15">
        <v>8</v>
      </c>
      <c r="B17" s="11"/>
      <c r="C17" s="202">
        <f t="shared" ref="C17:J17" si="1">SUM(C10:C16)</f>
        <v>4591.07</v>
      </c>
      <c r="D17" s="202">
        <f t="shared" si="1"/>
        <v>321.16999999999996</v>
      </c>
      <c r="E17" s="202">
        <f t="shared" si="1"/>
        <v>450.11999999999995</v>
      </c>
      <c r="F17" s="202">
        <f t="shared" si="1"/>
        <v>310.13</v>
      </c>
      <c r="G17" s="202">
        <f t="shared" si="1"/>
        <v>3068.0200000000004</v>
      </c>
      <c r="H17" s="202">
        <f t="shared" si="1"/>
        <v>321.16999999999996</v>
      </c>
      <c r="I17" s="202">
        <f t="shared" si="1"/>
        <v>6330.37</v>
      </c>
      <c r="J17" s="202">
        <f t="shared" si="1"/>
        <v>2900.54</v>
      </c>
      <c r="K17" s="202">
        <f t="shared" si="0"/>
        <v>18292.59</v>
      </c>
      <c r="L17" s="201"/>
      <c r="M17" s="201"/>
    </row>
    <row r="18" spans="1:14">
      <c r="A18" s="15">
        <v>9</v>
      </c>
      <c r="B18" s="11"/>
      <c r="C18" s="27"/>
      <c r="D18" s="27"/>
      <c r="E18" s="27"/>
      <c r="F18" s="27"/>
      <c r="G18" s="27"/>
      <c r="H18" s="27"/>
      <c r="I18" s="27"/>
      <c r="J18" s="27"/>
      <c r="K18" s="11"/>
      <c r="L18" s="201"/>
      <c r="M18" s="201"/>
    </row>
    <row r="19" spans="1:14">
      <c r="A19" s="15">
        <v>10</v>
      </c>
      <c r="B19" s="27"/>
      <c r="C19" s="27"/>
      <c r="D19" s="27"/>
      <c r="E19" s="27"/>
      <c r="F19" s="27"/>
      <c r="G19" s="27"/>
      <c r="H19" s="27"/>
      <c r="I19" s="27"/>
      <c r="J19" s="27"/>
      <c r="K19" s="11"/>
      <c r="L19" s="201"/>
      <c r="M19" s="201"/>
    </row>
    <row r="20" spans="1:14">
      <c r="A20" s="15">
        <v>11</v>
      </c>
      <c r="B20" s="11"/>
      <c r="C20" s="27"/>
      <c r="D20" s="27"/>
      <c r="E20" s="27"/>
      <c r="F20" s="27"/>
      <c r="G20" s="27"/>
      <c r="H20" s="27"/>
      <c r="I20" s="11" t="s">
        <v>37</v>
      </c>
      <c r="J20" s="11"/>
      <c r="K20" s="200">
        <v>53031.14</v>
      </c>
      <c r="L20" s="201"/>
      <c r="M20" s="201"/>
    </row>
    <row r="21" spans="1:14">
      <c r="A21" s="15">
        <v>12</v>
      </c>
      <c r="B21" s="11"/>
      <c r="C21" s="27"/>
      <c r="D21" s="27"/>
      <c r="E21" s="27"/>
      <c r="F21" s="27"/>
      <c r="G21" s="27"/>
      <c r="H21" s="27"/>
      <c r="I21" s="11"/>
      <c r="J21" s="11"/>
      <c r="K21" s="200"/>
      <c r="L21" s="201"/>
      <c r="M21" s="201"/>
    </row>
    <row r="22" spans="1:14">
      <c r="A22" s="15">
        <v>13</v>
      </c>
      <c r="B22" s="11"/>
      <c r="C22" s="27"/>
      <c r="D22" s="27"/>
      <c r="E22" s="27"/>
      <c r="F22" s="11"/>
      <c r="G22" s="11"/>
      <c r="H22" s="11"/>
      <c r="I22" s="11" t="s">
        <v>169</v>
      </c>
      <c r="J22" s="11"/>
      <c r="K22" s="203">
        <f>K20-K17</f>
        <v>34738.550000000003</v>
      </c>
      <c r="L22" s="201"/>
      <c r="M22" s="201"/>
    </row>
    <row r="23" spans="1:14">
      <c r="A23" s="15">
        <v>14</v>
      </c>
      <c r="B23" s="11"/>
      <c r="C23" s="27"/>
      <c r="D23" s="27"/>
      <c r="E23" s="27"/>
      <c r="F23" s="11"/>
      <c r="G23" s="11"/>
      <c r="H23" s="11"/>
      <c r="I23" s="11"/>
      <c r="J23" s="11"/>
      <c r="K23" s="203"/>
    </row>
    <row r="24" spans="1:14" ht="14.4" thickBot="1">
      <c r="A24" s="15">
        <v>15</v>
      </c>
      <c r="B24" s="11"/>
      <c r="C24" s="27"/>
      <c r="D24" s="27"/>
      <c r="E24" s="27"/>
      <c r="F24" s="11"/>
      <c r="G24" s="11"/>
      <c r="H24" s="11"/>
      <c r="I24" s="21" t="s">
        <v>15</v>
      </c>
      <c r="J24" s="21"/>
      <c r="K24" s="204">
        <f>K22-K20</f>
        <v>-18292.589999999997</v>
      </c>
    </row>
    <row r="25" spans="1:14" ht="14.4" thickTop="1">
      <c r="D25" s="205"/>
      <c r="E25" s="205"/>
      <c r="F25" s="205"/>
      <c r="G25" s="205"/>
      <c r="H25" s="194"/>
      <c r="I25" s="194"/>
      <c r="J25" s="194"/>
    </row>
    <row r="26" spans="1:14">
      <c r="B26" s="274" t="s">
        <v>300</v>
      </c>
      <c r="C26" s="274"/>
      <c r="D26" s="274"/>
      <c r="E26" s="274"/>
      <c r="F26" s="274"/>
      <c r="G26" s="274"/>
      <c r="H26" s="274"/>
      <c r="I26" s="274"/>
      <c r="J26" s="274"/>
    </row>
    <row r="27" spans="1:14">
      <c r="D27" s="205"/>
      <c r="E27" s="205"/>
      <c r="F27" s="205"/>
      <c r="G27" s="205"/>
      <c r="H27" s="205"/>
      <c r="I27" s="205"/>
      <c r="J27" s="205"/>
    </row>
    <row r="28" spans="1:14" ht="14.25" customHeight="1">
      <c r="D28" s="194"/>
      <c r="E28" s="194"/>
      <c r="F28" s="194"/>
      <c r="G28" s="194"/>
      <c r="H28" s="205"/>
      <c r="I28" s="205"/>
      <c r="J28" s="205"/>
      <c r="K28" s="194"/>
      <c r="L28" s="194"/>
      <c r="M28" s="194"/>
      <c r="N28" s="194"/>
    </row>
    <row r="29" spans="1:14">
      <c r="D29" s="205"/>
      <c r="E29" s="205"/>
      <c r="F29" s="205"/>
      <c r="G29" s="205"/>
      <c r="H29" s="205"/>
      <c r="I29" s="205"/>
      <c r="J29" s="205"/>
    </row>
    <row r="30" spans="1:14">
      <c r="C30" s="205"/>
      <c r="D30" s="205"/>
      <c r="E30" s="205"/>
      <c r="F30" s="205"/>
      <c r="G30" s="205"/>
      <c r="H30" s="205"/>
      <c r="I30" s="205"/>
      <c r="J30" s="205"/>
    </row>
    <row r="31" spans="1:14">
      <c r="C31" s="205"/>
      <c r="D31" s="205"/>
      <c r="E31" s="205"/>
      <c r="F31" s="205"/>
      <c r="G31" s="205"/>
      <c r="H31" s="205"/>
      <c r="I31" s="205"/>
      <c r="J31" s="205"/>
    </row>
    <row r="32" spans="1:14">
      <c r="C32" s="205"/>
      <c r="D32" s="205"/>
      <c r="E32" s="205"/>
      <c r="F32" s="205"/>
      <c r="G32" s="205"/>
      <c r="H32" s="205"/>
      <c r="I32" s="205"/>
      <c r="J32" s="205"/>
    </row>
    <row r="33" spans="3:7">
      <c r="C33" s="205"/>
      <c r="D33" s="205"/>
      <c r="E33" s="205"/>
      <c r="F33" s="205"/>
      <c r="G33" s="205"/>
    </row>
    <row r="34" spans="3:7">
      <c r="D34" s="205"/>
      <c r="E34" s="205"/>
      <c r="F34" s="205"/>
      <c r="G34" s="205"/>
    </row>
    <row r="35" spans="3:7">
      <c r="D35" s="205"/>
      <c r="E35" s="205"/>
      <c r="F35" s="205"/>
      <c r="G35" s="205"/>
    </row>
  </sheetData>
  <mergeCells count="4">
    <mergeCell ref="A4:K4"/>
    <mergeCell ref="A5:K5"/>
    <mergeCell ref="A7:K7"/>
    <mergeCell ref="B26:J26"/>
  </mergeCells>
  <printOptions horizontalCentered="1"/>
  <pageMargins left="0.7" right="0.7" top="0.75" bottom="0.75" header="0.3" footer="0.3"/>
  <pageSetup scale="91" orientation="landscape" r:id="rId1"/>
  <headerFooter>
    <oddFooter>&amp;R&amp;"Times New Roman,Regular"Exhibit JW-2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29E9E-0AF9-40D7-A17E-7E3589AAD3CE}">
  <sheetPr>
    <pageSetUpPr fitToPage="1"/>
  </sheetPr>
  <dimension ref="A1:O65"/>
  <sheetViews>
    <sheetView view="pageBreakPreview" zoomScale="75" zoomScaleNormal="75" zoomScaleSheetLayoutView="75" workbookViewId="0">
      <selection activeCell="B7" sqref="B7:H7"/>
    </sheetView>
  </sheetViews>
  <sheetFormatPr defaultColWidth="9.109375" defaultRowHeight="13.2"/>
  <cols>
    <col min="1" max="1" width="4.109375" style="177" customWidth="1"/>
    <col min="2" max="2" width="11.5546875" style="3" customWidth="1"/>
    <col min="3" max="3" width="14.5546875" style="3" customWidth="1"/>
    <col min="4" max="8" width="16.88671875" style="3" customWidth="1"/>
    <col min="9" max="9" width="9.109375" style="3"/>
    <col min="10" max="10" width="11.33203125" style="3" bestFit="1" customWidth="1"/>
    <col min="11" max="11" width="9.109375" style="3"/>
    <col min="12" max="12" width="11.33203125" style="3" bestFit="1" customWidth="1"/>
    <col min="13" max="16384" width="9.109375" style="3"/>
  </cols>
  <sheetData>
    <row r="1" spans="1:15" ht="15" customHeight="1">
      <c r="G1" s="173"/>
      <c r="H1" s="173" t="s">
        <v>332</v>
      </c>
    </row>
    <row r="2" spans="1:15" ht="20.25" customHeight="1">
      <c r="G2" s="173"/>
      <c r="H2" s="173"/>
    </row>
    <row r="3" spans="1:15">
      <c r="G3" s="173"/>
      <c r="H3" s="173"/>
    </row>
    <row r="4" spans="1:15">
      <c r="B4" s="272" t="str">
        <f>RevReq!A1</f>
        <v>LICKING VALLEY R.E.C.C.</v>
      </c>
      <c r="C4" s="272"/>
      <c r="D4" s="272"/>
      <c r="E4" s="272"/>
      <c r="F4" s="272"/>
      <c r="G4" s="272"/>
      <c r="H4" s="272"/>
      <c r="I4" s="240"/>
      <c r="J4" s="240"/>
      <c r="K4" s="240"/>
      <c r="L4" s="240"/>
      <c r="M4" s="240"/>
      <c r="N4" s="240"/>
      <c r="O4" s="240"/>
    </row>
    <row r="5" spans="1:15">
      <c r="B5" s="272" t="str">
        <f>RevReq!A3</f>
        <v>For the 12 Months Ended December 31, 2019</v>
      </c>
      <c r="C5" s="272"/>
      <c r="D5" s="272"/>
      <c r="E5" s="272"/>
      <c r="F5" s="272"/>
      <c r="G5" s="272"/>
      <c r="H5" s="272"/>
      <c r="I5" s="240"/>
      <c r="J5" s="240"/>
      <c r="K5" s="240"/>
      <c r="L5" s="240"/>
    </row>
    <row r="7" spans="1:15" s="174" customFormat="1" ht="15" customHeight="1">
      <c r="A7" s="251"/>
      <c r="B7" s="269" t="s">
        <v>319</v>
      </c>
      <c r="C7" s="269"/>
      <c r="D7" s="269"/>
      <c r="E7" s="269"/>
      <c r="F7" s="269"/>
      <c r="G7" s="269"/>
      <c r="H7" s="269"/>
      <c r="I7" s="209"/>
      <c r="J7" s="209"/>
      <c r="K7" s="209"/>
      <c r="L7" s="209"/>
    </row>
    <row r="9" spans="1:15">
      <c r="B9" s="208" t="s">
        <v>139</v>
      </c>
      <c r="C9" s="208" t="s">
        <v>140</v>
      </c>
      <c r="D9" s="208" t="s">
        <v>313</v>
      </c>
      <c r="E9" s="208" t="s">
        <v>314</v>
      </c>
      <c r="F9" s="208" t="s">
        <v>315</v>
      </c>
      <c r="G9" s="208" t="s">
        <v>316</v>
      </c>
      <c r="H9" s="208" t="s">
        <v>317</v>
      </c>
    </row>
    <row r="10" spans="1:15">
      <c r="B10" s="208"/>
      <c r="C10" s="208"/>
      <c r="D10" s="252"/>
      <c r="E10" s="252"/>
      <c r="F10" s="252"/>
      <c r="G10" s="252" t="s">
        <v>320</v>
      </c>
      <c r="H10" s="252" t="s">
        <v>321</v>
      </c>
      <c r="I10" s="252"/>
    </row>
    <row r="11" spans="1:15" ht="31.5" customHeight="1">
      <c r="A11" s="253" t="s">
        <v>21</v>
      </c>
      <c r="B11" s="254" t="s">
        <v>322</v>
      </c>
      <c r="C11" s="255" t="s">
        <v>323</v>
      </c>
      <c r="D11" s="255" t="s">
        <v>324</v>
      </c>
      <c r="E11" s="255" t="s">
        <v>325</v>
      </c>
      <c r="F11" s="255" t="s">
        <v>326</v>
      </c>
      <c r="G11" s="255" t="s">
        <v>327</v>
      </c>
      <c r="H11" s="255" t="s">
        <v>328</v>
      </c>
      <c r="I11" s="252"/>
    </row>
    <row r="12" spans="1:15">
      <c r="A12" s="177">
        <v>1</v>
      </c>
      <c r="B12" s="1">
        <v>1</v>
      </c>
      <c r="C12" s="227">
        <v>708.72</v>
      </c>
      <c r="D12" s="227">
        <v>31.33</v>
      </c>
      <c r="E12" s="256">
        <f>+D12*2080</f>
        <v>65166.399999999994</v>
      </c>
      <c r="F12" s="227">
        <f>IF(E12&gt;50000,50000,E12)</f>
        <v>50000</v>
      </c>
      <c r="G12" s="227">
        <f>+E12*2</f>
        <v>130332.79999999999</v>
      </c>
      <c r="H12" s="257">
        <f>((G12-F12)/G12)*C12</f>
        <v>436.83141938176726</v>
      </c>
      <c r="I12" s="258"/>
      <c r="J12" s="256"/>
      <c r="L12" s="256"/>
    </row>
    <row r="13" spans="1:15">
      <c r="A13" s="177">
        <f>A12+1</f>
        <v>2</v>
      </c>
      <c r="B13" s="1">
        <v>2</v>
      </c>
      <c r="C13" s="227">
        <v>553.67999999999995</v>
      </c>
      <c r="D13" s="227">
        <v>23.31</v>
      </c>
      <c r="E13" s="256">
        <f t="shared" ref="E13:E53" si="0">+D13*2080</f>
        <v>48484.799999999996</v>
      </c>
      <c r="F13" s="227">
        <f t="shared" ref="F13:F54" si="1">IF(E13&gt;50000,50000,E13)</f>
        <v>48484.799999999996</v>
      </c>
      <c r="G13" s="227">
        <f t="shared" ref="G13:G54" si="2">+E13*2</f>
        <v>96969.599999999991</v>
      </c>
      <c r="H13" s="257">
        <f t="shared" ref="H13:H54" si="3">((G13-F13)/G13)*C13</f>
        <v>276.83999999999997</v>
      </c>
      <c r="I13" s="258"/>
      <c r="J13" s="256"/>
      <c r="L13" s="256"/>
    </row>
    <row r="14" spans="1:15">
      <c r="A14" s="177">
        <f t="shared" ref="A14:A63" si="4">A13+1</f>
        <v>3</v>
      </c>
      <c r="B14" s="1">
        <v>3</v>
      </c>
      <c r="C14" s="227">
        <v>745.2</v>
      </c>
      <c r="D14" s="227">
        <v>42.03</v>
      </c>
      <c r="E14" s="256">
        <f t="shared" si="0"/>
        <v>87422.400000000009</v>
      </c>
      <c r="F14" s="227">
        <f t="shared" si="1"/>
        <v>50000</v>
      </c>
      <c r="G14" s="227">
        <f t="shared" si="2"/>
        <v>174844.80000000002</v>
      </c>
      <c r="H14" s="257">
        <f t="shared" si="3"/>
        <v>532.09672212156158</v>
      </c>
      <c r="I14" s="258"/>
      <c r="J14" s="256"/>
      <c r="L14" s="256"/>
    </row>
    <row r="15" spans="1:15">
      <c r="A15" s="177">
        <f t="shared" si="4"/>
        <v>4</v>
      </c>
      <c r="B15" s="1">
        <v>4</v>
      </c>
      <c r="C15" s="227">
        <v>599.28</v>
      </c>
      <c r="D15" s="227">
        <v>25.66</v>
      </c>
      <c r="E15" s="256">
        <f t="shared" si="0"/>
        <v>53372.800000000003</v>
      </c>
      <c r="F15" s="227">
        <f t="shared" si="1"/>
        <v>50000</v>
      </c>
      <c r="G15" s="227">
        <f t="shared" si="2"/>
        <v>106745.60000000001</v>
      </c>
      <c r="H15" s="257">
        <f t="shared" si="3"/>
        <v>318.57522153606334</v>
      </c>
      <c r="I15" s="258"/>
      <c r="J15" s="256"/>
      <c r="L15" s="256"/>
    </row>
    <row r="16" spans="1:15">
      <c r="A16" s="177">
        <f t="shared" si="4"/>
        <v>5</v>
      </c>
      <c r="B16" s="1">
        <v>5</v>
      </c>
      <c r="C16" s="227">
        <v>736.08</v>
      </c>
      <c r="D16" s="227">
        <v>32.909999999999997</v>
      </c>
      <c r="E16" s="256">
        <f t="shared" si="0"/>
        <v>68452.799999999988</v>
      </c>
      <c r="F16" s="227">
        <f t="shared" si="1"/>
        <v>50000</v>
      </c>
      <c r="G16" s="227">
        <f t="shared" si="2"/>
        <v>136905.59999999998</v>
      </c>
      <c r="H16" s="257">
        <f t="shared" si="3"/>
        <v>467.25242830096067</v>
      </c>
      <c r="I16" s="258"/>
      <c r="J16" s="256"/>
      <c r="L16" s="256"/>
    </row>
    <row r="17" spans="1:12">
      <c r="A17" s="177">
        <f t="shared" si="4"/>
        <v>6</v>
      </c>
      <c r="B17" s="1">
        <v>6</v>
      </c>
      <c r="C17" s="227">
        <v>462.48</v>
      </c>
      <c r="D17" s="227">
        <v>18.5</v>
      </c>
      <c r="E17" s="256">
        <f t="shared" si="0"/>
        <v>38480</v>
      </c>
      <c r="F17" s="227">
        <f t="shared" si="1"/>
        <v>38480</v>
      </c>
      <c r="G17" s="227">
        <f t="shared" si="2"/>
        <v>76960</v>
      </c>
      <c r="H17" s="257">
        <f t="shared" si="3"/>
        <v>231.24</v>
      </c>
      <c r="I17" s="258"/>
      <c r="J17" s="256"/>
      <c r="L17" s="256"/>
    </row>
    <row r="18" spans="1:12">
      <c r="A18" s="177">
        <f t="shared" si="4"/>
        <v>7</v>
      </c>
      <c r="B18" s="1">
        <v>7</v>
      </c>
      <c r="C18" s="227">
        <v>708.72</v>
      </c>
      <c r="D18" s="227">
        <v>31.33</v>
      </c>
      <c r="E18" s="256">
        <f t="shared" si="0"/>
        <v>65166.399999999994</v>
      </c>
      <c r="F18" s="227">
        <f t="shared" si="1"/>
        <v>50000</v>
      </c>
      <c r="G18" s="227">
        <f t="shared" si="2"/>
        <v>130332.79999999999</v>
      </c>
      <c r="H18" s="257">
        <f t="shared" si="3"/>
        <v>436.83141938176726</v>
      </c>
      <c r="I18" s="258"/>
      <c r="J18" s="256"/>
      <c r="L18" s="256"/>
    </row>
    <row r="19" spans="1:12">
      <c r="A19" s="177">
        <f t="shared" si="4"/>
        <v>8</v>
      </c>
      <c r="B19" s="1">
        <v>8</v>
      </c>
      <c r="C19" s="227">
        <v>517.20000000000005</v>
      </c>
      <c r="D19" s="227">
        <v>21.18</v>
      </c>
      <c r="E19" s="256">
        <f t="shared" si="0"/>
        <v>44054.400000000001</v>
      </c>
      <c r="F19" s="227">
        <f t="shared" si="1"/>
        <v>44054.400000000001</v>
      </c>
      <c r="G19" s="227">
        <f t="shared" si="2"/>
        <v>88108.800000000003</v>
      </c>
      <c r="H19" s="257">
        <f t="shared" si="3"/>
        <v>258.60000000000002</v>
      </c>
      <c r="I19" s="258"/>
      <c r="J19" s="256"/>
      <c r="L19" s="256"/>
    </row>
    <row r="20" spans="1:12">
      <c r="A20" s="177">
        <f t="shared" si="4"/>
        <v>9</v>
      </c>
      <c r="B20" s="1">
        <v>9</v>
      </c>
      <c r="C20" s="227">
        <v>690.48</v>
      </c>
      <c r="D20" s="227">
        <v>31.33</v>
      </c>
      <c r="E20" s="256">
        <f t="shared" si="0"/>
        <v>65166.399999999994</v>
      </c>
      <c r="F20" s="227">
        <f t="shared" si="1"/>
        <v>50000</v>
      </c>
      <c r="G20" s="227">
        <f t="shared" si="2"/>
        <v>130332.79999999999</v>
      </c>
      <c r="H20" s="257">
        <f t="shared" si="3"/>
        <v>425.58889047116298</v>
      </c>
      <c r="I20" s="258"/>
      <c r="J20" s="256"/>
      <c r="L20" s="256"/>
    </row>
    <row r="21" spans="1:12">
      <c r="A21" s="177">
        <f t="shared" si="4"/>
        <v>10</v>
      </c>
      <c r="B21" s="1">
        <v>10</v>
      </c>
      <c r="C21" s="227">
        <v>617.52</v>
      </c>
      <c r="D21" s="227">
        <v>27.03</v>
      </c>
      <c r="E21" s="256">
        <f t="shared" si="0"/>
        <v>56222.400000000001</v>
      </c>
      <c r="F21" s="227">
        <f t="shared" si="1"/>
        <v>50000</v>
      </c>
      <c r="G21" s="227">
        <f t="shared" si="2"/>
        <v>112444.8</v>
      </c>
      <c r="H21" s="257">
        <f t="shared" si="3"/>
        <v>342.93193545633062</v>
      </c>
      <c r="I21" s="258"/>
      <c r="J21" s="256"/>
      <c r="L21" s="256"/>
    </row>
    <row r="22" spans="1:12">
      <c r="A22" s="177">
        <f t="shared" si="4"/>
        <v>11</v>
      </c>
      <c r="B22" s="1">
        <v>11</v>
      </c>
      <c r="C22" s="227">
        <v>736.08</v>
      </c>
      <c r="D22" s="227">
        <v>32.909999999999997</v>
      </c>
      <c r="E22" s="256">
        <f t="shared" si="0"/>
        <v>68452.799999999988</v>
      </c>
      <c r="F22" s="227">
        <f t="shared" si="1"/>
        <v>50000</v>
      </c>
      <c r="G22" s="227">
        <f t="shared" si="2"/>
        <v>136905.59999999998</v>
      </c>
      <c r="H22" s="257">
        <f t="shared" si="3"/>
        <v>467.25242830096067</v>
      </c>
      <c r="I22" s="258"/>
      <c r="J22" s="256"/>
      <c r="L22" s="256"/>
    </row>
    <row r="23" spans="1:12">
      <c r="A23" s="177">
        <f t="shared" si="4"/>
        <v>12</v>
      </c>
      <c r="B23" s="1">
        <v>12</v>
      </c>
      <c r="C23" s="227">
        <v>708.72</v>
      </c>
      <c r="D23" s="227">
        <v>32.909999999999997</v>
      </c>
      <c r="E23" s="256">
        <f t="shared" si="0"/>
        <v>68452.799999999988</v>
      </c>
      <c r="F23" s="227">
        <f t="shared" si="1"/>
        <v>50000</v>
      </c>
      <c r="G23" s="227">
        <f t="shared" si="2"/>
        <v>136905.59999999998</v>
      </c>
      <c r="H23" s="257">
        <f t="shared" si="3"/>
        <v>449.88471495687537</v>
      </c>
      <c r="I23" s="258"/>
      <c r="J23" s="256"/>
      <c r="L23" s="256"/>
    </row>
    <row r="24" spans="1:12">
      <c r="A24" s="177">
        <f t="shared" si="4"/>
        <v>13</v>
      </c>
      <c r="B24" s="1">
        <v>13</v>
      </c>
      <c r="C24" s="227">
        <v>708.72</v>
      </c>
      <c r="D24" s="227">
        <v>31.33</v>
      </c>
      <c r="E24" s="256">
        <f t="shared" si="0"/>
        <v>65166.399999999994</v>
      </c>
      <c r="F24" s="227">
        <f t="shared" si="1"/>
        <v>50000</v>
      </c>
      <c r="G24" s="227">
        <f t="shared" si="2"/>
        <v>130332.79999999999</v>
      </c>
      <c r="H24" s="257">
        <f t="shared" si="3"/>
        <v>436.83141938176726</v>
      </c>
      <c r="I24" s="258"/>
      <c r="J24" s="256"/>
      <c r="L24" s="256"/>
    </row>
    <row r="25" spans="1:12">
      <c r="A25" s="177">
        <f t="shared" si="4"/>
        <v>14</v>
      </c>
      <c r="B25" s="1">
        <v>14</v>
      </c>
      <c r="C25" s="227">
        <v>445.12</v>
      </c>
      <c r="D25" s="227">
        <v>18</v>
      </c>
      <c r="E25" s="256">
        <f t="shared" si="0"/>
        <v>37440</v>
      </c>
      <c r="F25" s="227">
        <f>IF(E25&gt;50000,50000,E25)</f>
        <v>37440</v>
      </c>
      <c r="G25" s="227">
        <f>+E25*2</f>
        <v>74880</v>
      </c>
      <c r="H25" s="257">
        <f>((G25-F25)/G25)*C25</f>
        <v>222.56</v>
      </c>
      <c r="I25" s="258"/>
      <c r="J25" s="256"/>
      <c r="L25" s="256"/>
    </row>
    <row r="26" spans="1:12">
      <c r="A26" s="177">
        <f t="shared" si="4"/>
        <v>15</v>
      </c>
      <c r="B26" s="1">
        <v>15</v>
      </c>
      <c r="C26" s="227">
        <v>553.67999999999995</v>
      </c>
      <c r="D26" s="227">
        <v>23.5</v>
      </c>
      <c r="E26" s="256">
        <f t="shared" si="0"/>
        <v>48880</v>
      </c>
      <c r="F26" s="227">
        <f t="shared" si="1"/>
        <v>48880</v>
      </c>
      <c r="G26" s="227">
        <f t="shared" si="2"/>
        <v>97760</v>
      </c>
      <c r="H26" s="257">
        <f t="shared" si="3"/>
        <v>276.83999999999997</v>
      </c>
      <c r="I26" s="258"/>
      <c r="J26" s="256"/>
      <c r="L26" s="256"/>
    </row>
    <row r="27" spans="1:12">
      <c r="A27" s="177">
        <f t="shared" si="4"/>
        <v>16</v>
      </c>
      <c r="B27" s="1">
        <v>16</v>
      </c>
      <c r="C27" s="227">
        <v>1018.8</v>
      </c>
      <c r="D27" s="227">
        <v>55.72</v>
      </c>
      <c r="E27" s="256">
        <f t="shared" si="0"/>
        <v>115897.59999999999</v>
      </c>
      <c r="F27" s="227">
        <f t="shared" si="1"/>
        <v>50000</v>
      </c>
      <c r="G27" s="227">
        <f t="shared" si="2"/>
        <v>231795.19999999998</v>
      </c>
      <c r="H27" s="257">
        <f t="shared" si="3"/>
        <v>799.0370368325141</v>
      </c>
      <c r="I27" s="258"/>
      <c r="J27" s="256"/>
      <c r="L27" s="256"/>
    </row>
    <row r="28" spans="1:12">
      <c r="A28" s="177">
        <f t="shared" si="4"/>
        <v>17</v>
      </c>
      <c r="B28" s="1">
        <v>17</v>
      </c>
      <c r="C28" s="227">
        <v>553.67999999999995</v>
      </c>
      <c r="D28" s="227">
        <v>23.31</v>
      </c>
      <c r="E28" s="256">
        <f t="shared" si="0"/>
        <v>48484.799999999996</v>
      </c>
      <c r="F28" s="227">
        <f t="shared" si="1"/>
        <v>48484.799999999996</v>
      </c>
      <c r="G28" s="227">
        <f t="shared" si="2"/>
        <v>96969.599999999991</v>
      </c>
      <c r="H28" s="257">
        <f t="shared" si="3"/>
        <v>276.83999999999997</v>
      </c>
      <c r="I28" s="258"/>
      <c r="J28" s="256"/>
      <c r="L28" s="256"/>
    </row>
    <row r="29" spans="1:12">
      <c r="A29" s="177">
        <f t="shared" si="4"/>
        <v>18</v>
      </c>
      <c r="B29" s="1">
        <v>18</v>
      </c>
      <c r="C29" s="227">
        <v>562.79999999999995</v>
      </c>
      <c r="D29" s="227">
        <v>23.77</v>
      </c>
      <c r="E29" s="256">
        <f t="shared" si="0"/>
        <v>49441.599999999999</v>
      </c>
      <c r="F29" s="227">
        <f t="shared" si="1"/>
        <v>49441.599999999999</v>
      </c>
      <c r="G29" s="227">
        <f t="shared" si="2"/>
        <v>98883.199999999997</v>
      </c>
      <c r="H29" s="257">
        <f t="shared" si="3"/>
        <v>281.39999999999998</v>
      </c>
      <c r="I29" s="258"/>
      <c r="J29" s="256"/>
      <c r="L29" s="256"/>
    </row>
    <row r="30" spans="1:12">
      <c r="A30" s="177">
        <f t="shared" si="4"/>
        <v>19</v>
      </c>
      <c r="B30" s="1">
        <v>19</v>
      </c>
      <c r="C30" s="227">
        <v>184.02</v>
      </c>
      <c r="D30" s="227">
        <v>32.909999999999997</v>
      </c>
      <c r="E30" s="256">
        <f t="shared" si="0"/>
        <v>68452.799999999988</v>
      </c>
      <c r="F30" s="227">
        <f t="shared" si="1"/>
        <v>50000</v>
      </c>
      <c r="G30" s="227">
        <f t="shared" si="2"/>
        <v>136905.59999999998</v>
      </c>
      <c r="H30" s="257">
        <f t="shared" si="3"/>
        <v>116.81310707524017</v>
      </c>
      <c r="I30" s="258"/>
      <c r="J30" s="256"/>
      <c r="L30" s="256"/>
    </row>
    <row r="31" spans="1:12">
      <c r="A31" s="177">
        <f t="shared" si="4"/>
        <v>20</v>
      </c>
      <c r="B31" s="1">
        <v>20</v>
      </c>
      <c r="C31" s="227">
        <v>708.72</v>
      </c>
      <c r="D31" s="227">
        <v>31.33</v>
      </c>
      <c r="E31" s="256">
        <f t="shared" si="0"/>
        <v>65166.399999999994</v>
      </c>
      <c r="F31" s="227">
        <f t="shared" si="1"/>
        <v>50000</v>
      </c>
      <c r="G31" s="227">
        <f t="shared" si="2"/>
        <v>130332.79999999999</v>
      </c>
      <c r="H31" s="257">
        <f t="shared" si="3"/>
        <v>436.83141938176726</v>
      </c>
      <c r="I31" s="258"/>
      <c r="J31" s="256"/>
      <c r="L31" s="256"/>
    </row>
    <row r="32" spans="1:12">
      <c r="A32" s="177">
        <f t="shared" si="4"/>
        <v>21</v>
      </c>
      <c r="B32" s="1">
        <v>21</v>
      </c>
      <c r="C32" s="227">
        <v>535.44000000000005</v>
      </c>
      <c r="D32" s="227">
        <v>22.25</v>
      </c>
      <c r="E32" s="256">
        <f t="shared" si="0"/>
        <v>46280</v>
      </c>
      <c r="F32" s="227">
        <f t="shared" si="1"/>
        <v>46280</v>
      </c>
      <c r="G32" s="227">
        <f t="shared" si="2"/>
        <v>92560</v>
      </c>
      <c r="H32" s="257">
        <f t="shared" si="3"/>
        <v>267.72000000000003</v>
      </c>
      <c r="I32" s="258"/>
      <c r="J32" s="256"/>
      <c r="L32" s="256"/>
    </row>
    <row r="33" spans="1:12">
      <c r="A33" s="177">
        <f t="shared" si="4"/>
        <v>22</v>
      </c>
      <c r="B33" s="1">
        <v>22</v>
      </c>
      <c r="C33" s="227">
        <v>599.28</v>
      </c>
      <c r="D33" s="227">
        <v>25.66</v>
      </c>
      <c r="E33" s="256">
        <f t="shared" si="0"/>
        <v>53372.800000000003</v>
      </c>
      <c r="F33" s="227">
        <f t="shared" si="1"/>
        <v>50000</v>
      </c>
      <c r="G33" s="227">
        <f t="shared" si="2"/>
        <v>106745.60000000001</v>
      </c>
      <c r="H33" s="257">
        <f t="shared" si="3"/>
        <v>318.57522153606334</v>
      </c>
      <c r="I33" s="258"/>
      <c r="J33" s="256"/>
      <c r="L33" s="256"/>
    </row>
    <row r="34" spans="1:12">
      <c r="A34" s="177">
        <f t="shared" si="4"/>
        <v>23</v>
      </c>
      <c r="B34" s="1">
        <v>23</v>
      </c>
      <c r="C34" s="227">
        <v>745.2</v>
      </c>
      <c r="D34" s="227">
        <v>33.659999999999997</v>
      </c>
      <c r="E34" s="256">
        <f t="shared" si="0"/>
        <v>70012.799999999988</v>
      </c>
      <c r="F34" s="227">
        <f t="shared" si="1"/>
        <v>50000</v>
      </c>
      <c r="G34" s="227">
        <f t="shared" si="2"/>
        <v>140025.59999999998</v>
      </c>
      <c r="H34" s="257">
        <f t="shared" si="3"/>
        <v>479.1058000822706</v>
      </c>
      <c r="I34" s="258"/>
      <c r="J34" s="256"/>
      <c r="L34" s="256"/>
    </row>
    <row r="35" spans="1:12">
      <c r="A35" s="177">
        <f t="shared" si="4"/>
        <v>24</v>
      </c>
      <c r="B35" s="1">
        <v>24</v>
      </c>
      <c r="C35" s="227">
        <v>708.72</v>
      </c>
      <c r="D35" s="227">
        <v>31.33</v>
      </c>
      <c r="E35" s="256">
        <f t="shared" si="0"/>
        <v>65166.399999999994</v>
      </c>
      <c r="F35" s="227">
        <f t="shared" si="1"/>
        <v>50000</v>
      </c>
      <c r="G35" s="227">
        <f t="shared" si="2"/>
        <v>130332.79999999999</v>
      </c>
      <c r="H35" s="257">
        <f t="shared" si="3"/>
        <v>436.83141938176726</v>
      </c>
      <c r="I35" s="258"/>
      <c r="J35" s="256"/>
      <c r="L35" s="256"/>
    </row>
    <row r="36" spans="1:12">
      <c r="A36" s="177">
        <f t="shared" si="4"/>
        <v>25</v>
      </c>
      <c r="B36" s="1">
        <v>25</v>
      </c>
      <c r="C36" s="227">
        <v>489.84</v>
      </c>
      <c r="D36" s="227">
        <v>19.829999999999998</v>
      </c>
      <c r="E36" s="256">
        <f t="shared" si="0"/>
        <v>41246.399999999994</v>
      </c>
      <c r="F36" s="227">
        <f t="shared" si="1"/>
        <v>41246.399999999994</v>
      </c>
      <c r="G36" s="227">
        <f t="shared" si="2"/>
        <v>82492.799999999988</v>
      </c>
      <c r="H36" s="257">
        <f t="shared" si="3"/>
        <v>244.92</v>
      </c>
      <c r="I36" s="258"/>
      <c r="J36" s="256"/>
      <c r="L36" s="256"/>
    </row>
    <row r="37" spans="1:12">
      <c r="A37" s="177">
        <f t="shared" si="4"/>
        <v>26</v>
      </c>
      <c r="B37" s="1">
        <v>26</v>
      </c>
      <c r="C37" s="227">
        <v>854.64</v>
      </c>
      <c r="D37" s="227">
        <v>39.82</v>
      </c>
      <c r="E37" s="256">
        <f t="shared" si="0"/>
        <v>82825.600000000006</v>
      </c>
      <c r="F37" s="227">
        <f t="shared" si="1"/>
        <v>50000</v>
      </c>
      <c r="G37" s="227">
        <f t="shared" si="2"/>
        <v>165651.20000000001</v>
      </c>
      <c r="H37" s="257">
        <f t="shared" si="3"/>
        <v>596.67627863848861</v>
      </c>
      <c r="I37" s="258"/>
      <c r="J37" s="256"/>
      <c r="L37" s="256"/>
    </row>
    <row r="38" spans="1:12">
      <c r="A38" s="177">
        <f t="shared" si="4"/>
        <v>27</v>
      </c>
      <c r="B38" s="1">
        <v>27</v>
      </c>
      <c r="C38" s="227">
        <v>50.7</v>
      </c>
      <c r="D38" s="227">
        <v>26.34</v>
      </c>
      <c r="E38" s="256">
        <f t="shared" si="0"/>
        <v>54787.199999999997</v>
      </c>
      <c r="F38" s="227">
        <f t="shared" si="1"/>
        <v>50000</v>
      </c>
      <c r="G38" s="227">
        <f t="shared" si="2"/>
        <v>109574.39999999999</v>
      </c>
      <c r="H38" s="257">
        <f t="shared" si="3"/>
        <v>27.565034168564921</v>
      </c>
      <c r="I38" s="258"/>
      <c r="J38" s="256"/>
      <c r="L38" s="256"/>
    </row>
    <row r="39" spans="1:12">
      <c r="A39" s="177">
        <f t="shared" si="4"/>
        <v>28</v>
      </c>
      <c r="B39" s="1">
        <v>28</v>
      </c>
      <c r="C39" s="227">
        <v>736.08</v>
      </c>
      <c r="D39" s="227">
        <v>32.909999999999997</v>
      </c>
      <c r="E39" s="256">
        <f t="shared" si="0"/>
        <v>68452.799999999988</v>
      </c>
      <c r="F39" s="227">
        <f t="shared" si="1"/>
        <v>50000</v>
      </c>
      <c r="G39" s="227">
        <f t="shared" si="2"/>
        <v>136905.59999999998</v>
      </c>
      <c r="H39" s="257">
        <f t="shared" si="3"/>
        <v>467.25242830096067</v>
      </c>
      <c r="I39" s="258"/>
      <c r="J39" s="256"/>
      <c r="L39" s="256"/>
    </row>
    <row r="40" spans="1:12">
      <c r="A40" s="177">
        <f t="shared" si="4"/>
        <v>29</v>
      </c>
      <c r="B40" s="1">
        <v>29</v>
      </c>
      <c r="C40" s="227">
        <v>708.72</v>
      </c>
      <c r="D40" s="227">
        <v>31.33</v>
      </c>
      <c r="E40" s="256">
        <f t="shared" si="0"/>
        <v>65166.399999999994</v>
      </c>
      <c r="F40" s="227">
        <f t="shared" si="1"/>
        <v>50000</v>
      </c>
      <c r="G40" s="227">
        <f t="shared" si="2"/>
        <v>130332.79999999999</v>
      </c>
      <c r="H40" s="257">
        <f t="shared" si="3"/>
        <v>436.83141938176726</v>
      </c>
      <c r="I40" s="258"/>
      <c r="J40" s="256"/>
      <c r="L40" s="256"/>
    </row>
    <row r="41" spans="1:12">
      <c r="A41" s="177">
        <f t="shared" si="4"/>
        <v>30</v>
      </c>
      <c r="B41" s="1">
        <v>30</v>
      </c>
      <c r="C41" s="227">
        <v>526.32000000000005</v>
      </c>
      <c r="D41" s="227">
        <v>21.71</v>
      </c>
      <c r="E41" s="256">
        <f t="shared" si="0"/>
        <v>45156.800000000003</v>
      </c>
      <c r="F41" s="227">
        <f t="shared" si="1"/>
        <v>45156.800000000003</v>
      </c>
      <c r="G41" s="227">
        <f t="shared" si="2"/>
        <v>90313.600000000006</v>
      </c>
      <c r="H41" s="257">
        <f t="shared" si="3"/>
        <v>263.16000000000003</v>
      </c>
      <c r="I41" s="258"/>
      <c r="J41" s="256"/>
      <c r="L41" s="256"/>
    </row>
    <row r="42" spans="1:12">
      <c r="A42" s="177">
        <f t="shared" si="4"/>
        <v>31</v>
      </c>
      <c r="B42" s="1">
        <v>31</v>
      </c>
      <c r="C42" s="227">
        <v>535.44000000000005</v>
      </c>
      <c r="D42" s="227">
        <v>22.25</v>
      </c>
      <c r="E42" s="256">
        <f t="shared" si="0"/>
        <v>46280</v>
      </c>
      <c r="F42" s="227">
        <f t="shared" si="1"/>
        <v>46280</v>
      </c>
      <c r="G42" s="227">
        <f t="shared" si="2"/>
        <v>92560</v>
      </c>
      <c r="H42" s="257">
        <f t="shared" si="3"/>
        <v>267.72000000000003</v>
      </c>
      <c r="I42" s="258"/>
      <c r="J42" s="256"/>
      <c r="L42" s="256"/>
    </row>
    <row r="43" spans="1:12">
      <c r="A43" s="177">
        <f t="shared" si="4"/>
        <v>32</v>
      </c>
      <c r="B43" s="1">
        <v>32</v>
      </c>
      <c r="C43" s="227">
        <v>199.32</v>
      </c>
      <c r="D43" s="227">
        <v>15</v>
      </c>
      <c r="E43" s="256">
        <f t="shared" si="0"/>
        <v>31200</v>
      </c>
      <c r="F43" s="227">
        <f t="shared" si="1"/>
        <v>31200</v>
      </c>
      <c r="G43" s="227">
        <f t="shared" si="2"/>
        <v>62400</v>
      </c>
      <c r="H43" s="257">
        <f t="shared" si="3"/>
        <v>99.66</v>
      </c>
      <c r="I43" s="258"/>
      <c r="J43" s="256"/>
      <c r="L43" s="256"/>
    </row>
    <row r="44" spans="1:12">
      <c r="A44" s="177">
        <f t="shared" si="4"/>
        <v>33</v>
      </c>
      <c r="B44" s="1">
        <v>33</v>
      </c>
      <c r="C44" s="227">
        <v>553.67999999999995</v>
      </c>
      <c r="D44" s="227">
        <v>23.31</v>
      </c>
      <c r="E44" s="256">
        <f t="shared" si="0"/>
        <v>48484.799999999996</v>
      </c>
      <c r="F44" s="227">
        <f t="shared" si="1"/>
        <v>48484.799999999996</v>
      </c>
      <c r="G44" s="227">
        <f t="shared" si="2"/>
        <v>96969.599999999991</v>
      </c>
      <c r="H44" s="257">
        <f t="shared" si="3"/>
        <v>276.83999999999997</v>
      </c>
      <c r="I44" s="258"/>
      <c r="J44" s="256"/>
      <c r="L44" s="256"/>
    </row>
    <row r="45" spans="1:12">
      <c r="A45" s="177">
        <f t="shared" si="4"/>
        <v>34</v>
      </c>
      <c r="B45" s="1">
        <v>34</v>
      </c>
      <c r="C45" s="227">
        <v>380.4</v>
      </c>
      <c r="D45" s="227">
        <v>14.21</v>
      </c>
      <c r="E45" s="256">
        <f t="shared" si="0"/>
        <v>29556.800000000003</v>
      </c>
      <c r="F45" s="227">
        <f t="shared" si="1"/>
        <v>29556.800000000003</v>
      </c>
      <c r="G45" s="227">
        <f t="shared" si="2"/>
        <v>59113.600000000006</v>
      </c>
      <c r="H45" s="257">
        <f t="shared" si="3"/>
        <v>190.2</v>
      </c>
      <c r="I45" s="258"/>
      <c r="J45" s="256"/>
      <c r="L45" s="256"/>
    </row>
    <row r="46" spans="1:12">
      <c r="A46" s="177">
        <f t="shared" si="4"/>
        <v>35</v>
      </c>
      <c r="B46" s="1">
        <v>35</v>
      </c>
      <c r="C46" s="227">
        <v>699.6</v>
      </c>
      <c r="D46" s="227">
        <v>31.33</v>
      </c>
      <c r="E46" s="256">
        <f t="shared" si="0"/>
        <v>65166.399999999994</v>
      </c>
      <c r="F46" s="227">
        <f t="shared" si="1"/>
        <v>50000</v>
      </c>
      <c r="G46" s="227">
        <f t="shared" si="2"/>
        <v>130332.79999999999</v>
      </c>
      <c r="H46" s="257">
        <f t="shared" si="3"/>
        <v>431.21015492646512</v>
      </c>
      <c r="I46" s="258"/>
      <c r="J46" s="256"/>
      <c r="L46" s="256"/>
    </row>
    <row r="47" spans="1:12">
      <c r="A47" s="177">
        <f t="shared" si="4"/>
        <v>36</v>
      </c>
      <c r="B47" s="1">
        <v>36</v>
      </c>
      <c r="C47" s="227">
        <v>708.72</v>
      </c>
      <c r="D47" s="227">
        <v>31.33</v>
      </c>
      <c r="E47" s="256">
        <f t="shared" si="0"/>
        <v>65166.399999999994</v>
      </c>
      <c r="F47" s="227">
        <f t="shared" si="1"/>
        <v>50000</v>
      </c>
      <c r="G47" s="227">
        <f t="shared" si="2"/>
        <v>130332.79999999999</v>
      </c>
      <c r="H47" s="257">
        <f t="shared" si="3"/>
        <v>436.83141938176726</v>
      </c>
      <c r="I47" s="258"/>
      <c r="J47" s="256"/>
      <c r="L47" s="256"/>
    </row>
    <row r="48" spans="1:12">
      <c r="A48" s="177">
        <f t="shared" si="4"/>
        <v>37</v>
      </c>
      <c r="B48" s="1">
        <v>37</v>
      </c>
      <c r="C48" s="227">
        <v>462.48</v>
      </c>
      <c r="D48" s="227">
        <v>18.39</v>
      </c>
      <c r="E48" s="256">
        <f t="shared" si="0"/>
        <v>38251.200000000004</v>
      </c>
      <c r="F48" s="227">
        <f t="shared" si="1"/>
        <v>38251.200000000004</v>
      </c>
      <c r="G48" s="227">
        <f t="shared" si="2"/>
        <v>76502.400000000009</v>
      </c>
      <c r="H48" s="257">
        <f t="shared" si="3"/>
        <v>231.24</v>
      </c>
      <c r="I48" s="258"/>
      <c r="J48" s="256"/>
      <c r="L48" s="256"/>
    </row>
    <row r="49" spans="1:12">
      <c r="A49" s="177">
        <f t="shared" si="4"/>
        <v>38</v>
      </c>
      <c r="B49" s="1">
        <v>38</v>
      </c>
      <c r="C49" s="227">
        <v>407.76</v>
      </c>
      <c r="D49" s="227">
        <v>15.59</v>
      </c>
      <c r="E49" s="256">
        <f t="shared" si="0"/>
        <v>32427.200000000001</v>
      </c>
      <c r="F49" s="227">
        <f t="shared" si="1"/>
        <v>32427.200000000001</v>
      </c>
      <c r="G49" s="227">
        <f t="shared" si="2"/>
        <v>64854.400000000001</v>
      </c>
      <c r="H49" s="257">
        <f t="shared" si="3"/>
        <v>203.88</v>
      </c>
      <c r="I49" s="258"/>
      <c r="J49" s="256"/>
      <c r="L49" s="256"/>
    </row>
    <row r="50" spans="1:12">
      <c r="A50" s="177">
        <f t="shared" si="4"/>
        <v>39</v>
      </c>
      <c r="B50" s="1">
        <v>39</v>
      </c>
      <c r="C50" s="227">
        <v>407.76</v>
      </c>
      <c r="D50" s="227">
        <v>15.85</v>
      </c>
      <c r="E50" s="256">
        <f t="shared" si="0"/>
        <v>32968</v>
      </c>
      <c r="F50" s="227">
        <f t="shared" si="1"/>
        <v>32968</v>
      </c>
      <c r="G50" s="227">
        <f t="shared" si="2"/>
        <v>65936</v>
      </c>
      <c r="H50" s="257">
        <f t="shared" si="3"/>
        <v>203.88</v>
      </c>
      <c r="I50" s="258"/>
      <c r="J50" s="256"/>
      <c r="L50" s="256"/>
    </row>
    <row r="51" spans="1:12">
      <c r="A51" s="177">
        <f t="shared" si="4"/>
        <v>40</v>
      </c>
      <c r="B51" s="1">
        <v>40</v>
      </c>
      <c r="C51" s="227">
        <v>435.12</v>
      </c>
      <c r="D51" s="227">
        <v>18</v>
      </c>
      <c r="E51" s="256">
        <f t="shared" si="0"/>
        <v>37440</v>
      </c>
      <c r="F51" s="227">
        <f t="shared" si="1"/>
        <v>37440</v>
      </c>
      <c r="G51" s="227">
        <f t="shared" si="2"/>
        <v>74880</v>
      </c>
      <c r="H51" s="257">
        <f t="shared" si="3"/>
        <v>217.56</v>
      </c>
      <c r="I51" s="258"/>
      <c r="J51" s="256"/>
      <c r="L51" s="256"/>
    </row>
    <row r="52" spans="1:12">
      <c r="A52" s="177">
        <f t="shared" si="4"/>
        <v>41</v>
      </c>
      <c r="B52" s="1">
        <v>41</v>
      </c>
      <c r="C52" s="227">
        <v>736.08</v>
      </c>
      <c r="D52" s="227">
        <v>32.909999999999997</v>
      </c>
      <c r="E52" s="256">
        <f t="shared" si="0"/>
        <v>68452.799999999988</v>
      </c>
      <c r="F52" s="227">
        <f t="shared" si="1"/>
        <v>50000</v>
      </c>
      <c r="G52" s="227">
        <f t="shared" si="2"/>
        <v>136905.59999999998</v>
      </c>
      <c r="H52" s="257">
        <f t="shared" si="3"/>
        <v>467.25242830096067</v>
      </c>
      <c r="I52" s="258"/>
      <c r="J52" s="256"/>
      <c r="L52" s="256"/>
    </row>
    <row r="53" spans="1:12">
      <c r="A53" s="177">
        <f t="shared" si="4"/>
        <v>42</v>
      </c>
      <c r="B53" s="1">
        <v>42</v>
      </c>
      <c r="C53" s="227">
        <v>745.2</v>
      </c>
      <c r="D53" s="227">
        <v>42.03</v>
      </c>
      <c r="E53" s="256">
        <f t="shared" si="0"/>
        <v>87422.400000000009</v>
      </c>
      <c r="F53" s="227">
        <f t="shared" si="1"/>
        <v>50000</v>
      </c>
      <c r="G53" s="227">
        <f t="shared" si="2"/>
        <v>174844.80000000002</v>
      </c>
      <c r="H53" s="257">
        <f t="shared" si="3"/>
        <v>532.09672212156158</v>
      </c>
      <c r="I53" s="258"/>
      <c r="J53" s="256"/>
      <c r="L53" s="256"/>
    </row>
    <row r="54" spans="1:12">
      <c r="A54" s="177">
        <f t="shared" si="4"/>
        <v>43</v>
      </c>
      <c r="B54" s="1">
        <v>43</v>
      </c>
      <c r="C54" s="227">
        <v>663.12</v>
      </c>
      <c r="D54" s="227">
        <v>28.93</v>
      </c>
      <c r="E54" s="256">
        <f>+D54*2080</f>
        <v>60174.400000000001</v>
      </c>
      <c r="F54" s="227">
        <f t="shared" si="1"/>
        <v>50000</v>
      </c>
      <c r="G54" s="227">
        <f t="shared" si="2"/>
        <v>120348.8</v>
      </c>
      <c r="H54" s="257">
        <f t="shared" si="3"/>
        <v>387.62078438671597</v>
      </c>
      <c r="I54" s="258"/>
      <c r="J54" s="256"/>
      <c r="L54" s="256"/>
    </row>
    <row r="55" spans="1:12">
      <c r="A55" s="177">
        <f t="shared" si="4"/>
        <v>44</v>
      </c>
      <c r="B55" s="5" t="s">
        <v>45</v>
      </c>
      <c r="C55" s="259">
        <f>SUM(C12:C54)</f>
        <v>25409.320000000003</v>
      </c>
      <c r="D55" s="51"/>
      <c r="E55" s="51"/>
      <c r="F55" s="51"/>
      <c r="G55" s="51"/>
      <c r="H55" s="260">
        <f>SUM(H12:H54)</f>
        <v>14975.70727318609</v>
      </c>
    </row>
    <row r="56" spans="1:12">
      <c r="A56" s="177">
        <f t="shared" si="4"/>
        <v>45</v>
      </c>
    </row>
    <row r="57" spans="1:12">
      <c r="A57" s="177">
        <f t="shared" si="4"/>
        <v>46</v>
      </c>
      <c r="G57" s="261" t="s">
        <v>329</v>
      </c>
      <c r="H57" s="256">
        <f>C55-H55</f>
        <v>10433.612726813913</v>
      </c>
    </row>
    <row r="58" spans="1:12">
      <c r="A58" s="177">
        <f t="shared" si="4"/>
        <v>47</v>
      </c>
      <c r="G58" s="261"/>
      <c r="H58" s="256"/>
    </row>
    <row r="59" spans="1:12">
      <c r="A59" s="177">
        <f t="shared" si="4"/>
        <v>48</v>
      </c>
      <c r="G59" s="261" t="s">
        <v>37</v>
      </c>
      <c r="H59" s="170">
        <f>C55</f>
        <v>25409.320000000003</v>
      </c>
    </row>
    <row r="60" spans="1:12">
      <c r="A60" s="177">
        <f t="shared" si="4"/>
        <v>49</v>
      </c>
      <c r="G60" s="261"/>
      <c r="H60" s="170"/>
    </row>
    <row r="61" spans="1:12">
      <c r="A61" s="177">
        <f t="shared" si="4"/>
        <v>50</v>
      </c>
      <c r="G61" s="261" t="s">
        <v>169</v>
      </c>
      <c r="H61" s="170">
        <f>H57</f>
        <v>10433.612726813913</v>
      </c>
    </row>
    <row r="62" spans="1:12">
      <c r="A62" s="177">
        <f t="shared" si="4"/>
        <v>51</v>
      </c>
      <c r="G62" s="261"/>
      <c r="H62" s="170"/>
    </row>
    <row r="63" spans="1:12" ht="13.8" thickBot="1">
      <c r="A63" s="177">
        <f t="shared" si="4"/>
        <v>52</v>
      </c>
      <c r="G63" s="262" t="s">
        <v>15</v>
      </c>
      <c r="H63" s="234">
        <f>H61-H59</f>
        <v>-14975.70727318609</v>
      </c>
    </row>
    <row r="64" spans="1:12" ht="13.8" thickTop="1"/>
    <row r="65" spans="2:8" ht="30" customHeight="1">
      <c r="B65" s="275" t="s">
        <v>330</v>
      </c>
      <c r="C65" s="275"/>
      <c r="D65" s="275"/>
      <c r="E65" s="275"/>
      <c r="F65" s="275"/>
      <c r="G65" s="275"/>
      <c r="H65" s="275"/>
    </row>
  </sheetData>
  <mergeCells count="4">
    <mergeCell ref="B4:H4"/>
    <mergeCell ref="B5:H5"/>
    <mergeCell ref="B7:H7"/>
    <mergeCell ref="B65:H65"/>
  </mergeCells>
  <printOptions horizontalCentered="1"/>
  <pageMargins left="0.7" right="0.7" top="0.75" bottom="0.75" header="0.3" footer="0.3"/>
  <pageSetup scale="78" fitToHeight="2" orientation="landscape" r:id="rId1"/>
  <headerFooter>
    <oddFooter>&amp;R&amp;"Times New Roman,Regular"Exhibit JW-2
Page &amp;P of &amp;N</oddFooter>
  </headerFooter>
  <rowBreaks count="1" manualBreakCount="1">
    <brk id="34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10995-ED01-4042-8E74-0654E1BC616E}">
  <sheetPr>
    <tabColor theme="4" tint="0.79998168889431442"/>
    <pageSetUpPr fitToPage="1"/>
  </sheetPr>
  <dimension ref="A1:J51"/>
  <sheetViews>
    <sheetView workbookViewId="0">
      <selection activeCell="O13" sqref="O13"/>
    </sheetView>
  </sheetViews>
  <sheetFormatPr defaultRowHeight="13.2"/>
  <cols>
    <col min="1" max="1" width="5.33203125" style="11" customWidth="1"/>
    <col min="2" max="2" width="7.109375" style="11" bestFit="1" customWidth="1"/>
    <col min="3" max="3" width="6.88671875" style="277" customWidth="1"/>
    <col min="4" max="4" width="7.21875" style="11" bestFit="1" customWidth="1"/>
    <col min="5" max="5" width="12.44140625" style="11" bestFit="1" customWidth="1"/>
    <col min="6" max="6" width="9.88671875" style="11" bestFit="1" customWidth="1"/>
    <col min="7" max="7" width="7.21875" style="11" bestFit="1" customWidth="1"/>
    <col min="8" max="8" width="12.44140625" style="11" bestFit="1" customWidth="1"/>
    <col min="9" max="9" width="10.77734375" style="11" customWidth="1"/>
    <col min="10" max="10" width="13.77734375" style="19" customWidth="1"/>
    <col min="11" max="16384" width="8.88671875" style="11"/>
  </cols>
  <sheetData>
    <row r="1" spans="1:10">
      <c r="A1" s="276" t="s">
        <v>345</v>
      </c>
      <c r="I1" s="11" t="s">
        <v>354</v>
      </c>
      <c r="J1" s="19" t="s">
        <v>338</v>
      </c>
    </row>
    <row r="2" spans="1:10">
      <c r="A2" s="276" t="s">
        <v>346</v>
      </c>
      <c r="E2" s="276"/>
    </row>
    <row r="3" spans="1:10">
      <c r="A3" s="276"/>
      <c r="E3" s="276"/>
    </row>
    <row r="4" spans="1:10" ht="14.4" customHeight="1">
      <c r="D4" s="278">
        <v>2019</v>
      </c>
      <c r="E4" s="279"/>
      <c r="F4" s="280"/>
      <c r="G4" s="278">
        <v>2020</v>
      </c>
      <c r="H4" s="279"/>
      <c r="I4" s="280"/>
      <c r="J4" s="281" t="s">
        <v>15</v>
      </c>
    </row>
    <row r="5" spans="1:10" ht="25.2" customHeight="1">
      <c r="A5" s="282" t="s">
        <v>0</v>
      </c>
      <c r="B5" s="282" t="s">
        <v>347</v>
      </c>
      <c r="C5" s="283" t="s">
        <v>348</v>
      </c>
      <c r="D5" s="283" t="s">
        <v>97</v>
      </c>
      <c r="E5" s="283" t="s">
        <v>349</v>
      </c>
      <c r="F5" s="283" t="s">
        <v>350</v>
      </c>
      <c r="G5" s="283" t="s">
        <v>97</v>
      </c>
      <c r="H5" s="283" t="s">
        <v>349</v>
      </c>
      <c r="I5" s="283" t="s">
        <v>350</v>
      </c>
      <c r="J5" s="281"/>
    </row>
    <row r="6" spans="1:10">
      <c r="A6" s="15">
        <v>1</v>
      </c>
      <c r="B6" s="11" t="s">
        <v>351</v>
      </c>
      <c r="C6" s="284">
        <v>42</v>
      </c>
      <c r="D6" s="285">
        <v>0.05</v>
      </c>
      <c r="E6" s="19">
        <v>49852.13</v>
      </c>
      <c r="F6" s="19">
        <f>E6*D6</f>
        <v>2492.6064999999999</v>
      </c>
      <c r="G6" s="285">
        <f>D6</f>
        <v>0.05</v>
      </c>
      <c r="H6" s="20">
        <v>0</v>
      </c>
      <c r="I6" s="19">
        <f>H6*D6</f>
        <v>0</v>
      </c>
      <c r="J6" s="19">
        <f>I6-F6</f>
        <v>-2492.6064999999999</v>
      </c>
    </row>
    <row r="7" spans="1:10">
      <c r="A7" s="15">
        <f>1+A6</f>
        <v>2</v>
      </c>
      <c r="B7" s="11" t="s">
        <v>351</v>
      </c>
      <c r="C7" s="284">
        <v>43</v>
      </c>
      <c r="D7" s="285">
        <v>0.05</v>
      </c>
      <c r="E7" s="19">
        <v>41812.720000000001</v>
      </c>
      <c r="F7" s="19">
        <f t="shared" ref="F7:F43" si="0">E7*D7</f>
        <v>2090.636</v>
      </c>
      <c r="G7" s="285">
        <f t="shared" ref="G7:G23" si="1">D7</f>
        <v>0.05</v>
      </c>
      <c r="H7" s="20">
        <v>3705</v>
      </c>
      <c r="I7" s="19">
        <f t="shared" ref="I7:I43" si="2">H7*D7</f>
        <v>185.25</v>
      </c>
      <c r="J7" s="19">
        <f t="shared" ref="J7:J43" si="3">I7-F7</f>
        <v>-1905.386</v>
      </c>
    </row>
    <row r="8" spans="1:10">
      <c r="A8" s="15">
        <f t="shared" ref="A8:A44" si="4">1+A7</f>
        <v>3</v>
      </c>
      <c r="B8" s="11" t="s">
        <v>351</v>
      </c>
      <c r="C8" s="284">
        <v>51</v>
      </c>
      <c r="D8" s="285">
        <v>0.05</v>
      </c>
      <c r="E8" s="19">
        <v>160.27000000000001</v>
      </c>
      <c r="F8" s="19">
        <f t="shared" si="0"/>
        <v>8.0135000000000005</v>
      </c>
      <c r="G8" s="285">
        <f t="shared" si="1"/>
        <v>0.05</v>
      </c>
      <c r="H8" s="20">
        <v>135</v>
      </c>
      <c r="I8" s="19">
        <f t="shared" si="2"/>
        <v>6.75</v>
      </c>
      <c r="J8" s="19">
        <f t="shared" si="3"/>
        <v>-1.2635000000000005</v>
      </c>
    </row>
    <row r="9" spans="1:10">
      <c r="A9" s="15">
        <f t="shared" si="4"/>
        <v>4</v>
      </c>
      <c r="B9" s="11" t="s">
        <v>351</v>
      </c>
      <c r="C9" s="284">
        <v>52</v>
      </c>
      <c r="D9" s="285">
        <v>0.05</v>
      </c>
      <c r="E9" s="19">
        <v>200592.43</v>
      </c>
      <c r="F9" s="19">
        <f t="shared" si="0"/>
        <v>10029.621500000001</v>
      </c>
      <c r="G9" s="285">
        <f t="shared" si="1"/>
        <v>0.05</v>
      </c>
      <c r="H9" s="20">
        <v>169746</v>
      </c>
      <c r="I9" s="19">
        <f t="shared" si="2"/>
        <v>8487.3000000000011</v>
      </c>
      <c r="J9" s="19">
        <f t="shared" si="3"/>
        <v>-1542.3215</v>
      </c>
    </row>
    <row r="10" spans="1:10">
      <c r="A10" s="15">
        <f t="shared" si="4"/>
        <v>5</v>
      </c>
      <c r="B10" s="11" t="s">
        <v>351</v>
      </c>
      <c r="C10" s="284">
        <v>53</v>
      </c>
      <c r="D10" s="285">
        <v>0.05</v>
      </c>
      <c r="E10" s="19">
        <v>193852.35</v>
      </c>
      <c r="F10" s="19">
        <f t="shared" si="0"/>
        <v>9692.6175000000003</v>
      </c>
      <c r="G10" s="285">
        <f t="shared" si="1"/>
        <v>0.05</v>
      </c>
      <c r="H10" s="20">
        <v>163705</v>
      </c>
      <c r="I10" s="19">
        <f t="shared" si="2"/>
        <v>8185.25</v>
      </c>
      <c r="J10" s="19">
        <f t="shared" si="3"/>
        <v>-1507.3675000000003</v>
      </c>
    </row>
    <row r="11" spans="1:10">
      <c r="A11" s="15">
        <f t="shared" si="4"/>
        <v>6</v>
      </c>
      <c r="B11" s="11" t="s">
        <v>352</v>
      </c>
      <c r="C11" s="284">
        <v>11</v>
      </c>
      <c r="D11" s="285">
        <v>6.4799999999999996E-2</v>
      </c>
      <c r="E11" s="19">
        <v>1105842.6000000001</v>
      </c>
      <c r="F11" s="19">
        <f t="shared" si="0"/>
        <v>71658.600480000008</v>
      </c>
      <c r="G11" s="285">
        <f t="shared" si="1"/>
        <v>6.4799999999999996E-2</v>
      </c>
      <c r="H11" s="20">
        <v>1055529.92</v>
      </c>
      <c r="I11" s="19">
        <f t="shared" si="2"/>
        <v>68398.338815999989</v>
      </c>
      <c r="J11" s="19">
        <f t="shared" si="3"/>
        <v>-3260.2616640000197</v>
      </c>
    </row>
    <row r="12" spans="1:10">
      <c r="A12" s="15">
        <f t="shared" si="4"/>
        <v>7</v>
      </c>
      <c r="B12" s="11" t="s">
        <v>353</v>
      </c>
      <c r="C12" s="284">
        <v>1</v>
      </c>
      <c r="D12" s="285">
        <v>3.2500000000000001E-2</v>
      </c>
      <c r="E12" s="19">
        <v>47555.93</v>
      </c>
      <c r="F12" s="19">
        <f t="shared" si="0"/>
        <v>1545.5677250000001</v>
      </c>
      <c r="G12" s="285">
        <v>2.4500000000000001E-2</v>
      </c>
      <c r="H12" s="20">
        <v>19575</v>
      </c>
      <c r="I12" s="19">
        <f>H12*G12</f>
        <v>479.58750000000003</v>
      </c>
      <c r="J12" s="19">
        <f t="shared" si="3"/>
        <v>-1065.980225</v>
      </c>
    </row>
    <row r="13" spans="1:10">
      <c r="A13" s="15">
        <f t="shared" si="4"/>
        <v>8</v>
      </c>
      <c r="B13" s="11" t="s">
        <v>353</v>
      </c>
      <c r="C13" s="284">
        <v>2</v>
      </c>
      <c r="D13" s="285">
        <v>4.3999999999999997E-2</v>
      </c>
      <c r="E13" s="19">
        <v>178055.06</v>
      </c>
      <c r="F13" s="19">
        <f t="shared" si="0"/>
        <v>7834.4226399999998</v>
      </c>
      <c r="G13" s="285">
        <f t="shared" si="1"/>
        <v>4.3999999999999997E-2</v>
      </c>
      <c r="H13" s="20">
        <v>158269</v>
      </c>
      <c r="I13" s="19">
        <f t="shared" ref="I13:I16" si="5">H13*G13</f>
        <v>6963.8359999999993</v>
      </c>
      <c r="J13" s="19">
        <f t="shared" si="3"/>
        <v>-870.58664000000044</v>
      </c>
    </row>
    <row r="14" spans="1:10">
      <c r="A14" s="15">
        <f t="shared" si="4"/>
        <v>9</v>
      </c>
      <c r="B14" s="11" t="s">
        <v>353</v>
      </c>
      <c r="C14" s="284">
        <v>3</v>
      </c>
      <c r="D14" s="285">
        <v>4.3999999999999997E-2</v>
      </c>
      <c r="E14" s="19">
        <v>472811.94</v>
      </c>
      <c r="F14" s="19">
        <f t="shared" si="0"/>
        <v>20803.72536</v>
      </c>
      <c r="G14" s="285">
        <f t="shared" si="1"/>
        <v>4.3999999999999997E-2</v>
      </c>
      <c r="H14" s="20">
        <v>443167</v>
      </c>
      <c r="I14" s="19">
        <f t="shared" si="5"/>
        <v>19499.347999999998</v>
      </c>
      <c r="J14" s="19">
        <f t="shared" si="3"/>
        <v>-1304.3773600000022</v>
      </c>
    </row>
    <row r="15" spans="1:10">
      <c r="A15" s="15">
        <f t="shared" si="4"/>
        <v>10</v>
      </c>
      <c r="B15" s="11" t="s">
        <v>353</v>
      </c>
      <c r="C15" s="284">
        <v>4</v>
      </c>
      <c r="D15" s="285">
        <v>4.3999999999999997E-2</v>
      </c>
      <c r="E15" s="19">
        <v>435210.87</v>
      </c>
      <c r="F15" s="19">
        <f t="shared" si="0"/>
        <v>19149.278279999999</v>
      </c>
      <c r="G15" s="285">
        <f t="shared" si="1"/>
        <v>4.3999999999999997E-2</v>
      </c>
      <c r="H15" s="20">
        <v>415267</v>
      </c>
      <c r="I15" s="19">
        <f t="shared" si="5"/>
        <v>18271.748</v>
      </c>
      <c r="J15" s="19">
        <f t="shared" si="3"/>
        <v>-877.53027999999904</v>
      </c>
    </row>
    <row r="16" spans="1:10">
      <c r="A16" s="15">
        <f t="shared" si="4"/>
        <v>11</v>
      </c>
      <c r="B16" s="11" t="s">
        <v>353</v>
      </c>
      <c r="C16" s="284">
        <v>5</v>
      </c>
      <c r="D16" s="285">
        <v>4.3999999999999997E-2</v>
      </c>
      <c r="E16" s="19">
        <v>541154.79</v>
      </c>
      <c r="F16" s="19">
        <f t="shared" si="0"/>
        <v>23810.81076</v>
      </c>
      <c r="G16" s="285">
        <f t="shared" si="1"/>
        <v>4.3999999999999997E-2</v>
      </c>
      <c r="H16" s="20">
        <v>516355</v>
      </c>
      <c r="I16" s="19">
        <f t="shared" si="5"/>
        <v>22719.62</v>
      </c>
      <c r="J16" s="19">
        <f t="shared" si="3"/>
        <v>-1091.1907600000013</v>
      </c>
    </row>
    <row r="17" spans="1:10">
      <c r="A17" s="15">
        <f t="shared" si="4"/>
        <v>12</v>
      </c>
      <c r="B17" s="11" t="s">
        <v>351</v>
      </c>
      <c r="C17" s="284">
        <v>41</v>
      </c>
      <c r="D17" s="285">
        <v>0.05</v>
      </c>
      <c r="E17" s="19">
        <v>22415</v>
      </c>
      <c r="F17" s="19">
        <f t="shared" si="0"/>
        <v>1120.75</v>
      </c>
      <c r="G17" s="285">
        <f t="shared" si="1"/>
        <v>0.05</v>
      </c>
      <c r="H17" s="20">
        <v>0</v>
      </c>
      <c r="I17" s="19">
        <f t="shared" si="2"/>
        <v>0</v>
      </c>
      <c r="J17" s="19">
        <f t="shared" si="3"/>
        <v>-1120.75</v>
      </c>
    </row>
    <row r="18" spans="1:10">
      <c r="A18" s="15">
        <f t="shared" si="4"/>
        <v>13</v>
      </c>
      <c r="B18" s="11" t="s">
        <v>351</v>
      </c>
      <c r="C18" s="284">
        <v>61</v>
      </c>
      <c r="D18" s="285">
        <v>1.8749999999999999E-2</v>
      </c>
      <c r="E18" s="19">
        <v>323719.74</v>
      </c>
      <c r="F18" s="19">
        <f t="shared" si="0"/>
        <v>6069.7451249999995</v>
      </c>
      <c r="G18" s="285">
        <v>1.125E-2</v>
      </c>
      <c r="H18" s="20">
        <v>289644</v>
      </c>
      <c r="I18" s="19">
        <f t="shared" si="2"/>
        <v>5430.8249999999998</v>
      </c>
      <c r="J18" s="19">
        <f t="shared" si="3"/>
        <v>-638.92012499999964</v>
      </c>
    </row>
    <row r="19" spans="1:10">
      <c r="A19" s="15">
        <f t="shared" si="4"/>
        <v>14</v>
      </c>
      <c r="B19" s="11" t="s">
        <v>351</v>
      </c>
      <c r="C19" s="284">
        <v>62</v>
      </c>
      <c r="D19" s="285">
        <v>2.8750000000000001E-2</v>
      </c>
      <c r="E19" s="19">
        <v>323719.74</v>
      </c>
      <c r="F19" s="19">
        <f t="shared" si="0"/>
        <v>9306.9425250000004</v>
      </c>
      <c r="G19" s="285">
        <f t="shared" si="1"/>
        <v>2.8750000000000001E-2</v>
      </c>
      <c r="H19" s="20">
        <v>289644</v>
      </c>
      <c r="I19" s="19">
        <f t="shared" si="2"/>
        <v>8327.2650000000012</v>
      </c>
      <c r="J19" s="19">
        <f t="shared" si="3"/>
        <v>-979.67752499999915</v>
      </c>
    </row>
    <row r="20" spans="1:10">
      <c r="A20" s="15">
        <f t="shared" si="4"/>
        <v>15</v>
      </c>
      <c r="B20" s="11" t="s">
        <v>351</v>
      </c>
      <c r="C20" s="286">
        <v>71</v>
      </c>
      <c r="D20" s="285">
        <v>5.3749999999999999E-2</v>
      </c>
      <c r="E20" s="19">
        <v>1143274.6000000001</v>
      </c>
      <c r="F20" s="19">
        <f t="shared" si="0"/>
        <v>61451.009750000005</v>
      </c>
      <c r="G20" s="285">
        <f t="shared" si="1"/>
        <v>5.3749999999999999E-2</v>
      </c>
      <c r="H20" s="20">
        <v>1073914</v>
      </c>
      <c r="I20" s="19">
        <f t="shared" si="2"/>
        <v>57722.877500000002</v>
      </c>
      <c r="J20" s="19">
        <f t="shared" si="3"/>
        <v>-3728.1322500000024</v>
      </c>
    </row>
    <row r="21" spans="1:10">
      <c r="A21" s="15">
        <f t="shared" si="4"/>
        <v>16</v>
      </c>
      <c r="B21" s="11" t="s">
        <v>351</v>
      </c>
      <c r="C21" s="286">
        <v>72</v>
      </c>
      <c r="D21" s="285">
        <v>5.2499999999999998E-2</v>
      </c>
      <c r="E21" s="19">
        <v>293337.95</v>
      </c>
      <c r="F21" s="19">
        <f t="shared" si="0"/>
        <v>15400.242375</v>
      </c>
      <c r="G21" s="285">
        <f t="shared" si="1"/>
        <v>5.2499999999999998E-2</v>
      </c>
      <c r="H21" s="20">
        <v>275429</v>
      </c>
      <c r="I21" s="19">
        <f t="shared" si="2"/>
        <v>14460.022499999999</v>
      </c>
      <c r="J21" s="19">
        <f t="shared" si="3"/>
        <v>-940.21987500000068</v>
      </c>
    </row>
    <row r="22" spans="1:10">
      <c r="A22" s="15">
        <f t="shared" si="4"/>
        <v>17</v>
      </c>
      <c r="B22" s="11" t="s">
        <v>351</v>
      </c>
      <c r="C22" s="286">
        <v>73</v>
      </c>
      <c r="D22" s="285">
        <v>0.01</v>
      </c>
      <c r="E22" s="19">
        <v>552850.92000000004</v>
      </c>
      <c r="F22" s="19">
        <f t="shared" si="0"/>
        <v>5528.5092000000004</v>
      </c>
      <c r="G22" s="285">
        <f t="shared" si="1"/>
        <v>0.01</v>
      </c>
      <c r="H22" s="20">
        <v>510433</v>
      </c>
      <c r="I22" s="19">
        <f t="shared" si="2"/>
        <v>5104.33</v>
      </c>
      <c r="J22" s="19">
        <f t="shared" si="3"/>
        <v>-424.17920000000049</v>
      </c>
    </row>
    <row r="23" spans="1:10">
      <c r="A23" s="15">
        <f t="shared" si="4"/>
        <v>18</v>
      </c>
      <c r="B23" s="11" t="s">
        <v>351</v>
      </c>
      <c r="C23" s="286">
        <v>74</v>
      </c>
      <c r="D23" s="285">
        <v>0.01</v>
      </c>
      <c r="E23" s="19">
        <v>73774.509999999995</v>
      </c>
      <c r="F23" s="19">
        <f t="shared" si="0"/>
        <v>737.74509999999998</v>
      </c>
      <c r="G23" s="285">
        <f t="shared" si="1"/>
        <v>0.01</v>
      </c>
      <c r="H23" s="20">
        <v>68137</v>
      </c>
      <c r="I23" s="19">
        <f t="shared" si="2"/>
        <v>681.37</v>
      </c>
      <c r="J23" s="19">
        <f t="shared" si="3"/>
        <v>-56.375099999999975</v>
      </c>
    </row>
    <row r="24" spans="1:10">
      <c r="A24" s="15">
        <f t="shared" si="4"/>
        <v>19</v>
      </c>
      <c r="B24" s="11" t="s">
        <v>352</v>
      </c>
      <c r="C24" s="284">
        <v>12</v>
      </c>
      <c r="D24" s="285">
        <v>1.5720000000000001E-2</v>
      </c>
      <c r="E24" s="19">
        <v>1320932.43</v>
      </c>
      <c r="F24" s="19">
        <f t="shared" si="0"/>
        <v>20765.057799599999</v>
      </c>
      <c r="G24" s="285">
        <v>8.0999999999999996E-4</v>
      </c>
      <c r="H24" s="20">
        <v>1129419.6399999999</v>
      </c>
      <c r="I24" s="19">
        <f t="shared" si="2"/>
        <v>17754.476740800001</v>
      </c>
      <c r="J24" s="19">
        <f t="shared" si="3"/>
        <v>-3010.5810587999986</v>
      </c>
    </row>
    <row r="25" spans="1:10">
      <c r="A25" s="15">
        <f t="shared" si="4"/>
        <v>20</v>
      </c>
      <c r="B25" s="11" t="s">
        <v>352</v>
      </c>
      <c r="C25" s="284">
        <v>21</v>
      </c>
      <c r="D25" s="285">
        <v>1.5699999999999999E-2</v>
      </c>
      <c r="E25" s="19">
        <v>1133233.1399999999</v>
      </c>
      <c r="F25" s="19">
        <f t="shared" si="0"/>
        <v>17791.760297999997</v>
      </c>
      <c r="G25" s="285">
        <v>8.0999999999999996E-4</v>
      </c>
      <c r="H25" s="20">
        <v>1069021</v>
      </c>
      <c r="I25" s="19">
        <f t="shared" si="2"/>
        <v>16783.629699999998</v>
      </c>
      <c r="J25" s="19">
        <f t="shared" si="3"/>
        <v>-1008.1305979999997</v>
      </c>
    </row>
    <row r="26" spans="1:10">
      <c r="A26" s="15">
        <f t="shared" si="4"/>
        <v>21</v>
      </c>
      <c r="B26" s="11" t="s">
        <v>352</v>
      </c>
      <c r="C26" s="284">
        <v>22</v>
      </c>
      <c r="D26" s="285">
        <v>1.5699999999999999E-2</v>
      </c>
      <c r="E26" s="19">
        <v>1160594.82</v>
      </c>
      <c r="F26" s="19">
        <f t="shared" si="0"/>
        <v>18221.338673999999</v>
      </c>
      <c r="G26" s="285">
        <v>8.0999999999999996E-4</v>
      </c>
      <c r="H26" s="20">
        <v>1094832</v>
      </c>
      <c r="I26" s="19">
        <f t="shared" si="2"/>
        <v>17188.862399999998</v>
      </c>
      <c r="J26" s="19">
        <f t="shared" si="3"/>
        <v>-1032.4762740000006</v>
      </c>
    </row>
    <row r="27" spans="1:10">
      <c r="A27" s="15">
        <f t="shared" si="4"/>
        <v>22</v>
      </c>
      <c r="B27" s="11" t="s">
        <v>352</v>
      </c>
      <c r="C27" s="284">
        <v>23</v>
      </c>
      <c r="D27" s="285">
        <v>1.5699999999999999E-2</v>
      </c>
      <c r="E27" s="19">
        <v>1181828.28</v>
      </c>
      <c r="F27" s="19">
        <f t="shared" si="0"/>
        <v>18554.703996</v>
      </c>
      <c r="G27" s="285">
        <v>8.0999999999999996E-4</v>
      </c>
      <c r="H27" s="20">
        <v>1114863</v>
      </c>
      <c r="I27" s="19">
        <f t="shared" si="2"/>
        <v>17503.349099999999</v>
      </c>
      <c r="J27" s="19">
        <f t="shared" si="3"/>
        <v>-1051.3548960000007</v>
      </c>
    </row>
    <row r="28" spans="1:10">
      <c r="A28" s="15">
        <f t="shared" si="4"/>
        <v>23</v>
      </c>
      <c r="B28" s="11" t="s">
        <v>352</v>
      </c>
      <c r="C28" s="284">
        <v>36</v>
      </c>
      <c r="D28" s="285">
        <v>1.5699999999999999E-2</v>
      </c>
      <c r="E28" s="19">
        <v>1492306.29</v>
      </c>
      <c r="F28" s="19">
        <f t="shared" si="0"/>
        <v>23429.208752999999</v>
      </c>
      <c r="G28" s="285">
        <v>8.0999999999999996E-4</v>
      </c>
      <c r="H28" s="20">
        <v>1440260.6</v>
      </c>
      <c r="I28" s="19">
        <f t="shared" si="2"/>
        <v>22612.091420000001</v>
      </c>
      <c r="J28" s="19">
        <f t="shared" si="3"/>
        <v>-817.11733299999833</v>
      </c>
    </row>
    <row r="29" spans="1:10">
      <c r="A29" s="15">
        <f t="shared" si="4"/>
        <v>24</v>
      </c>
      <c r="B29" s="11" t="s">
        <v>352</v>
      </c>
      <c r="C29" s="284">
        <v>37</v>
      </c>
      <c r="D29" s="285">
        <v>1.5699999999999999E-2</v>
      </c>
      <c r="E29" s="19">
        <v>1062365.78</v>
      </c>
      <c r="F29" s="19">
        <f t="shared" si="0"/>
        <v>16679.142745999998</v>
      </c>
      <c r="G29" s="285">
        <v>8.0999999999999996E-4</v>
      </c>
      <c r="H29" s="20">
        <v>1025315</v>
      </c>
      <c r="I29" s="19">
        <f t="shared" si="2"/>
        <v>16097.445499999998</v>
      </c>
      <c r="J29" s="19">
        <f t="shared" si="3"/>
        <v>-581.69724599999972</v>
      </c>
    </row>
    <row r="30" spans="1:10">
      <c r="A30" s="15">
        <f t="shared" si="4"/>
        <v>25</v>
      </c>
      <c r="B30" s="11" t="s">
        <v>352</v>
      </c>
      <c r="C30" s="284">
        <v>38</v>
      </c>
      <c r="D30" s="285">
        <v>1.5699999999999999E-2</v>
      </c>
      <c r="E30" s="19">
        <v>705086.47</v>
      </c>
      <c r="F30" s="19">
        <f t="shared" si="0"/>
        <v>11069.857579</v>
      </c>
      <c r="G30" s="285">
        <v>8.0999999999999996E-4</v>
      </c>
      <c r="H30" s="20">
        <v>680495.87</v>
      </c>
      <c r="I30" s="19">
        <f t="shared" si="2"/>
        <v>10683.785158999999</v>
      </c>
      <c r="J30" s="19">
        <f t="shared" si="3"/>
        <v>-386.07242000000042</v>
      </c>
    </row>
    <row r="31" spans="1:10">
      <c r="A31" s="15">
        <f t="shared" si="4"/>
        <v>26</v>
      </c>
      <c r="B31" s="11" t="s">
        <v>352</v>
      </c>
      <c r="C31" s="284">
        <v>39</v>
      </c>
      <c r="D31" s="285">
        <v>1.5699999999999999E-2</v>
      </c>
      <c r="E31" s="19">
        <v>1429982.25</v>
      </c>
      <c r="F31" s="19">
        <f t="shared" si="0"/>
        <v>22450.721324999999</v>
      </c>
      <c r="G31" s="285">
        <v>8.0999999999999996E-4</v>
      </c>
      <c r="H31" s="20">
        <v>1380110.17</v>
      </c>
      <c r="I31" s="19">
        <f t="shared" si="2"/>
        <v>21667.729668999997</v>
      </c>
      <c r="J31" s="19">
        <f t="shared" si="3"/>
        <v>-782.99165600000197</v>
      </c>
    </row>
    <row r="32" spans="1:10">
      <c r="A32" s="15">
        <f t="shared" si="4"/>
        <v>27</v>
      </c>
      <c r="B32" s="11" t="s">
        <v>352</v>
      </c>
      <c r="C32" s="284">
        <v>310</v>
      </c>
      <c r="D32" s="285">
        <v>1.5699999999999999E-2</v>
      </c>
      <c r="E32" s="19">
        <v>1419847.12</v>
      </c>
      <c r="F32" s="19">
        <f t="shared" si="0"/>
        <v>22291.599783999998</v>
      </c>
      <c r="G32" s="285">
        <v>8.0999999999999996E-4</v>
      </c>
      <c r="H32" s="20">
        <v>1370328.52</v>
      </c>
      <c r="I32" s="19">
        <f t="shared" si="2"/>
        <v>21514.157764</v>
      </c>
      <c r="J32" s="19">
        <f t="shared" si="3"/>
        <v>-777.44201999999859</v>
      </c>
    </row>
    <row r="33" spans="1:10">
      <c r="A33" s="15">
        <f t="shared" si="4"/>
        <v>28</v>
      </c>
      <c r="B33" s="11" t="s">
        <v>352</v>
      </c>
      <c r="C33" s="284">
        <v>24</v>
      </c>
      <c r="D33" s="285">
        <v>1.5699999999999999E-2</v>
      </c>
      <c r="E33" s="19">
        <v>2864455.5</v>
      </c>
      <c r="F33" s="19">
        <f t="shared" si="0"/>
        <v>44971.951349999996</v>
      </c>
      <c r="G33" s="285">
        <v>8.0999999999999996E-4</v>
      </c>
      <c r="H33" s="20">
        <v>2703091</v>
      </c>
      <c r="I33" s="19">
        <f t="shared" si="2"/>
        <v>42438.528699999995</v>
      </c>
      <c r="J33" s="19">
        <f t="shared" si="3"/>
        <v>-2533.4226500000004</v>
      </c>
    </row>
    <row r="34" spans="1:10">
      <c r="A34" s="15">
        <f t="shared" si="4"/>
        <v>29</v>
      </c>
      <c r="B34" s="11" t="s">
        <v>352</v>
      </c>
      <c r="C34" s="284">
        <v>31</v>
      </c>
      <c r="D34" s="285">
        <v>1.5699999999999999E-2</v>
      </c>
      <c r="E34" s="19">
        <v>844022.79</v>
      </c>
      <c r="F34" s="19">
        <f t="shared" si="0"/>
        <v>13251.157803</v>
      </c>
      <c r="G34" s="285">
        <v>8.0999999999999996E-4</v>
      </c>
      <c r="H34" s="20">
        <v>814587</v>
      </c>
      <c r="I34" s="19">
        <f t="shared" si="2"/>
        <v>12789.015899999999</v>
      </c>
      <c r="J34" s="19">
        <f t="shared" si="3"/>
        <v>-462.14190300000155</v>
      </c>
    </row>
    <row r="35" spans="1:10">
      <c r="A35" s="15">
        <f t="shared" si="4"/>
        <v>30</v>
      </c>
      <c r="B35" s="11" t="s">
        <v>352</v>
      </c>
      <c r="C35" s="284">
        <v>32</v>
      </c>
      <c r="D35" s="285">
        <v>1.5699999999999999E-2</v>
      </c>
      <c r="E35" s="19">
        <v>672686.15</v>
      </c>
      <c r="F35" s="19">
        <f t="shared" si="0"/>
        <v>10561.172554999999</v>
      </c>
      <c r="G35" s="285">
        <v>8.0999999999999996E-4</v>
      </c>
      <c r="H35" s="20">
        <v>649226</v>
      </c>
      <c r="I35" s="19">
        <f t="shared" si="2"/>
        <v>10192.848199999999</v>
      </c>
      <c r="J35" s="19">
        <f t="shared" si="3"/>
        <v>-368.32435500000065</v>
      </c>
    </row>
    <row r="36" spans="1:10">
      <c r="A36" s="15">
        <f t="shared" si="4"/>
        <v>31</v>
      </c>
      <c r="B36" s="11" t="s">
        <v>352</v>
      </c>
      <c r="C36" s="284">
        <v>33</v>
      </c>
      <c r="D36" s="285">
        <v>1.5699999999999999E-2</v>
      </c>
      <c r="E36" s="19">
        <v>479404.94</v>
      </c>
      <c r="F36" s="19">
        <f t="shared" si="0"/>
        <v>7526.657557999999</v>
      </c>
      <c r="G36" s="285">
        <v>8.0999999999999996E-4</v>
      </c>
      <c r="H36" s="20">
        <v>462685</v>
      </c>
      <c r="I36" s="19">
        <f t="shared" si="2"/>
        <v>7264.1544999999996</v>
      </c>
      <c r="J36" s="19">
        <f t="shared" si="3"/>
        <v>-262.50305799999933</v>
      </c>
    </row>
    <row r="37" spans="1:10">
      <c r="A37" s="15">
        <f t="shared" si="4"/>
        <v>32</v>
      </c>
      <c r="B37" s="11" t="s">
        <v>352</v>
      </c>
      <c r="C37" s="284">
        <v>34</v>
      </c>
      <c r="D37" s="285">
        <v>1.5699999999999999E-2</v>
      </c>
      <c r="E37" s="19">
        <v>589971.9</v>
      </c>
      <c r="F37" s="19">
        <f t="shared" si="0"/>
        <v>9262.5588299999999</v>
      </c>
      <c r="G37" s="285">
        <v>8.0999999999999996E-4</v>
      </c>
      <c r="H37" s="20">
        <v>569396</v>
      </c>
      <c r="I37" s="19">
        <f t="shared" si="2"/>
        <v>8939.5171999999984</v>
      </c>
      <c r="J37" s="19">
        <f t="shared" si="3"/>
        <v>-323.04163000000153</v>
      </c>
    </row>
    <row r="38" spans="1:10">
      <c r="A38" s="15">
        <f t="shared" si="4"/>
        <v>33</v>
      </c>
      <c r="B38" s="11" t="s">
        <v>352</v>
      </c>
      <c r="C38" s="284">
        <v>311</v>
      </c>
      <c r="D38" s="285">
        <v>1.5699999999999999E-2</v>
      </c>
      <c r="E38" s="19">
        <v>1378312.12</v>
      </c>
      <c r="F38" s="19">
        <f t="shared" si="0"/>
        <v>21639.500284000002</v>
      </c>
      <c r="G38" s="285">
        <v>8.0999999999999996E-4</v>
      </c>
      <c r="H38" s="20">
        <v>1330242.0900000001</v>
      </c>
      <c r="I38" s="19">
        <f t="shared" si="2"/>
        <v>20884.800812999998</v>
      </c>
      <c r="J38" s="19">
        <f t="shared" si="3"/>
        <v>-754.69947100000354</v>
      </c>
    </row>
    <row r="39" spans="1:10">
      <c r="A39" s="15">
        <f t="shared" si="4"/>
        <v>34</v>
      </c>
      <c r="B39" s="11" t="s">
        <v>352</v>
      </c>
      <c r="C39" s="284">
        <v>312</v>
      </c>
      <c r="D39" s="285">
        <v>1.5699999999999999E-2</v>
      </c>
      <c r="E39" s="19">
        <v>1044319.04</v>
      </c>
      <c r="F39" s="19">
        <f t="shared" si="0"/>
        <v>16395.808927999999</v>
      </c>
      <c r="G39" s="285">
        <v>8.0999999999999996E-4</v>
      </c>
      <c r="H39" s="20">
        <v>1007897.32</v>
      </c>
      <c r="I39" s="19">
        <f t="shared" si="2"/>
        <v>15823.987923999997</v>
      </c>
      <c r="J39" s="19">
        <f t="shared" si="3"/>
        <v>-571.82100400000127</v>
      </c>
    </row>
    <row r="40" spans="1:10">
      <c r="A40" s="15">
        <f t="shared" si="4"/>
        <v>35</v>
      </c>
      <c r="B40" s="11" t="s">
        <v>352</v>
      </c>
      <c r="C40" s="284">
        <v>313</v>
      </c>
      <c r="D40" s="285">
        <v>1.5699999999999999E-2</v>
      </c>
      <c r="E40" s="19">
        <v>1150768.3799999999</v>
      </c>
      <c r="F40" s="19">
        <f t="shared" si="0"/>
        <v>18067.063565999997</v>
      </c>
      <c r="G40" s="285">
        <v>8.0999999999999996E-4</v>
      </c>
      <c r="H40" s="20">
        <v>1110634</v>
      </c>
      <c r="I40" s="19">
        <f t="shared" si="2"/>
        <v>17436.953799999999</v>
      </c>
      <c r="J40" s="19">
        <f t="shared" si="3"/>
        <v>-630.10976599999776</v>
      </c>
    </row>
    <row r="41" spans="1:10">
      <c r="A41" s="15">
        <f t="shared" si="4"/>
        <v>36</v>
      </c>
      <c r="B41" s="11" t="s">
        <v>352</v>
      </c>
      <c r="C41" s="284">
        <v>314</v>
      </c>
      <c r="D41" s="285">
        <v>1.5699999999999999E-2</v>
      </c>
      <c r="E41" s="19">
        <v>1909244.22</v>
      </c>
      <c r="F41" s="19">
        <f t="shared" si="0"/>
        <v>29975.134253999997</v>
      </c>
      <c r="G41" s="285">
        <v>8.0999999999999996E-4</v>
      </c>
      <c r="H41" s="20">
        <v>1842657.39</v>
      </c>
      <c r="I41" s="19">
        <f t="shared" si="2"/>
        <v>28929.721022999995</v>
      </c>
      <c r="J41" s="19">
        <f t="shared" si="3"/>
        <v>-1045.4132310000023</v>
      </c>
    </row>
    <row r="42" spans="1:10">
      <c r="A42" s="15">
        <f t="shared" si="4"/>
        <v>37</v>
      </c>
      <c r="B42" s="11" t="s">
        <v>352</v>
      </c>
      <c r="C42" s="284">
        <v>315</v>
      </c>
      <c r="D42" s="285">
        <v>1.5699999999999999E-2</v>
      </c>
      <c r="E42" s="19">
        <v>1947617.51</v>
      </c>
      <c r="F42" s="19">
        <f t="shared" si="0"/>
        <v>30577.594906999999</v>
      </c>
      <c r="G42" s="285">
        <v>8.0999999999999996E-4</v>
      </c>
      <c r="H42" s="20">
        <v>1879692.4</v>
      </c>
      <c r="I42" s="19">
        <f t="shared" si="2"/>
        <v>29511.170679999996</v>
      </c>
      <c r="J42" s="19">
        <f t="shared" si="3"/>
        <v>-1066.4242270000032</v>
      </c>
    </row>
    <row r="43" spans="1:10">
      <c r="A43" s="15">
        <f t="shared" si="4"/>
        <v>38</v>
      </c>
      <c r="B43" s="11" t="s">
        <v>352</v>
      </c>
      <c r="C43" s="284">
        <v>316</v>
      </c>
      <c r="D43" s="285">
        <v>1.5699999999999999E-2</v>
      </c>
      <c r="E43" s="19">
        <v>1769178.44</v>
      </c>
      <c r="F43" s="19">
        <f t="shared" si="0"/>
        <v>27776.101507999996</v>
      </c>
      <c r="G43" s="285">
        <v>8.0999999999999996E-4</v>
      </c>
      <c r="H43" s="20">
        <v>1707495.85</v>
      </c>
      <c r="I43" s="19">
        <f t="shared" si="2"/>
        <v>26807.684845</v>
      </c>
      <c r="J43" s="19">
        <f t="shared" si="3"/>
        <v>-968.41666299999633</v>
      </c>
    </row>
    <row r="44" spans="1:10" ht="13.8" thickBot="1">
      <c r="A44" s="287">
        <f t="shared" si="4"/>
        <v>39</v>
      </c>
      <c r="B44" s="21" t="s">
        <v>14</v>
      </c>
      <c r="C44" s="288"/>
      <c r="D44" s="289"/>
      <c r="E44" s="23">
        <f>SUM(E6:E43)</f>
        <v>31556151.119999997</v>
      </c>
      <c r="F44" s="23">
        <f>SUM(F6:F43)</f>
        <v>669988.93681760004</v>
      </c>
      <c r="G44" s="23"/>
      <c r="H44" s="23">
        <f>SUM(H6:H43)</f>
        <v>29834904.77</v>
      </c>
      <c r="I44" s="23">
        <f>SUM(I6:I43)</f>
        <v>627747.62935379997</v>
      </c>
      <c r="J44" s="290">
        <f>SUM(J6:J43)</f>
        <v>-42241.307463800033</v>
      </c>
    </row>
    <row r="45" spans="1:10" ht="13.8" thickTop="1">
      <c r="F45" s="10"/>
      <c r="G45" s="10"/>
    </row>
    <row r="46" spans="1:10">
      <c r="E46" s="291"/>
      <c r="F46" s="10"/>
      <c r="G46" s="10"/>
    </row>
    <row r="47" spans="1:10">
      <c r="F47" s="10"/>
      <c r="G47" s="10"/>
    </row>
    <row r="48" spans="1:10">
      <c r="F48" s="10"/>
      <c r="G48" s="10"/>
    </row>
    <row r="49" spans="10:10">
      <c r="J49" s="11"/>
    </row>
    <row r="50" spans="10:10">
      <c r="J50" s="11"/>
    </row>
    <row r="51" spans="10:10">
      <c r="J51" s="11"/>
    </row>
  </sheetData>
  <mergeCells count="3">
    <mergeCell ref="D4:F4"/>
    <mergeCell ref="G4:I4"/>
    <mergeCell ref="J4:J5"/>
  </mergeCells>
  <printOptions horizontalCentered="1"/>
  <pageMargins left="0.7" right="0.7" top="0.75" bottom="0.75" header="0.3" footer="0.3"/>
  <pageSetup scale="9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D3F86-3B7A-4C77-BB07-FACF22820409}">
  <sheetPr>
    <tabColor theme="4" tint="0.79998168889431442"/>
    <pageSetUpPr fitToPage="1"/>
  </sheetPr>
  <dimension ref="A1:AB97"/>
  <sheetViews>
    <sheetView topLeftCell="A67" zoomScaleNormal="100" workbookViewId="0">
      <selection activeCell="A4" sqref="A4:Z4"/>
    </sheetView>
  </sheetViews>
  <sheetFormatPr defaultColWidth="9.109375" defaultRowHeight="13.2"/>
  <cols>
    <col min="1" max="1" width="5.88671875" style="1" customWidth="1"/>
    <col min="2" max="2" width="1.33203125" style="3" customWidth="1"/>
    <col min="3" max="3" width="6.44140625" style="1" customWidth="1"/>
    <col min="4" max="4" width="8.88671875" style="1" customWidth="1"/>
    <col min="5" max="5" width="11.109375" style="3" hidden="1" customWidth="1"/>
    <col min="6" max="6" width="4.5546875" style="1" customWidth="1"/>
    <col min="7" max="7" width="1.44140625" style="1" customWidth="1"/>
    <col min="8" max="8" width="11.109375" style="3" bestFit="1" customWidth="1"/>
    <col min="9" max="9" width="13.109375" style="3" customWidth="1"/>
    <col min="10" max="10" width="10" style="3" hidden="1" customWidth="1"/>
    <col min="11" max="11" width="1.33203125" style="3" customWidth="1"/>
    <col min="12" max="12" width="12.88671875" style="3" customWidth="1"/>
    <col min="13" max="13" width="8.88671875" style="3" customWidth="1"/>
    <col min="14" max="14" width="9.6640625" style="3" hidden="1" customWidth="1"/>
    <col min="15" max="15" width="8.33203125" style="3" customWidth="1"/>
    <col min="16" max="16" width="11.5546875" style="3" customWidth="1"/>
    <col min="17" max="17" width="1.109375" style="3" customWidth="1"/>
    <col min="18" max="18" width="9.33203125" style="3" bestFit="1" customWidth="1"/>
    <col min="19" max="19" width="0.88671875" style="3" customWidth="1"/>
    <col min="20" max="20" width="11" style="3" customWidth="1"/>
    <col min="21" max="21" width="9" style="3" customWidth="1"/>
    <col min="22" max="22" width="9.44140625" style="3" hidden="1" customWidth="1"/>
    <col min="23" max="23" width="9.44140625" style="3" customWidth="1"/>
    <col min="24" max="24" width="11.6640625" style="3" customWidth="1"/>
    <col min="25" max="25" width="1" style="3" customWidth="1"/>
    <col min="26" max="26" width="11.5546875" style="3" customWidth="1"/>
    <col min="27" max="16384" width="9.109375" style="3"/>
  </cols>
  <sheetData>
    <row r="1" spans="1:28">
      <c r="X1" s="3" t="s">
        <v>354</v>
      </c>
      <c r="Z1" s="393" t="s">
        <v>425</v>
      </c>
    </row>
    <row r="2" spans="1:28" ht="9.75" customHeight="1">
      <c r="L2" s="173"/>
    </row>
    <row r="3" spans="1:28">
      <c r="A3" s="272" t="s">
        <v>355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</row>
    <row r="4" spans="1:28">
      <c r="A4" s="272" t="s">
        <v>232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6" spans="1:28" s="174" customFormat="1" ht="15" customHeight="1">
      <c r="A6" s="269" t="s">
        <v>340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</row>
    <row r="7" spans="1:28" ht="7.5" customHeight="1">
      <c r="Y7" s="174"/>
    </row>
    <row r="8" spans="1:28" ht="26.4" customHeight="1">
      <c r="C8" s="293" t="s">
        <v>309</v>
      </c>
      <c r="D8" s="293"/>
      <c r="E8" s="293"/>
      <c r="F8" s="293"/>
      <c r="H8" s="293" t="s">
        <v>356</v>
      </c>
      <c r="I8" s="293"/>
      <c r="J8" s="293"/>
      <c r="L8" s="293" t="s">
        <v>357</v>
      </c>
      <c r="M8" s="293"/>
      <c r="N8" s="293"/>
      <c r="O8" s="293"/>
      <c r="P8" s="293"/>
      <c r="Q8" s="1"/>
      <c r="R8" s="294" t="s">
        <v>358</v>
      </c>
      <c r="T8" s="293" t="s">
        <v>359</v>
      </c>
      <c r="U8" s="293"/>
      <c r="V8" s="293"/>
      <c r="W8" s="293"/>
      <c r="X8" s="293"/>
      <c r="Y8" s="174"/>
      <c r="Z8" s="294" t="s">
        <v>360</v>
      </c>
    </row>
    <row r="9" spans="1:28" ht="16.5" customHeight="1">
      <c r="A9" s="1" t="s">
        <v>0</v>
      </c>
      <c r="C9" s="1" t="s">
        <v>361</v>
      </c>
      <c r="D9" s="1" t="s">
        <v>348</v>
      </c>
      <c r="E9" s="295" t="s">
        <v>362</v>
      </c>
      <c r="F9" s="1" t="s">
        <v>363</v>
      </c>
      <c r="H9" s="179" t="s">
        <v>364</v>
      </c>
      <c r="I9" s="179" t="s">
        <v>365</v>
      </c>
      <c r="J9" s="179" t="s">
        <v>366</v>
      </c>
      <c r="K9" s="296"/>
      <c r="L9" s="179" t="s">
        <v>364</v>
      </c>
      <c r="M9" s="179" t="s">
        <v>365</v>
      </c>
      <c r="N9" s="179" t="s">
        <v>366</v>
      </c>
      <c r="O9" s="179" t="s">
        <v>367</v>
      </c>
      <c r="P9" s="179" t="s">
        <v>45</v>
      </c>
      <c r="Q9" s="297"/>
      <c r="R9" s="294"/>
      <c r="S9" s="297"/>
      <c r="T9" s="179" t="s">
        <v>364</v>
      </c>
      <c r="U9" s="179" t="s">
        <v>365</v>
      </c>
      <c r="V9" s="179" t="s">
        <v>366</v>
      </c>
      <c r="W9" s="179" t="s">
        <v>367</v>
      </c>
      <c r="X9" s="179" t="s">
        <v>45</v>
      </c>
      <c r="Y9" s="298"/>
      <c r="Z9" s="294"/>
    </row>
    <row r="10" spans="1:28">
      <c r="A10" s="175" t="s">
        <v>21</v>
      </c>
      <c r="C10" s="46">
        <v>1</v>
      </c>
      <c r="D10" s="46">
        <f>C10+1</f>
        <v>2</v>
      </c>
      <c r="E10" s="299" t="s">
        <v>368</v>
      </c>
      <c r="F10" s="46">
        <f>D10+1</f>
        <v>3</v>
      </c>
      <c r="H10" s="46">
        <f>F10+1</f>
        <v>4</v>
      </c>
      <c r="I10" s="46">
        <f>H10+1</f>
        <v>5</v>
      </c>
      <c r="J10" s="46">
        <f>I10+1</f>
        <v>6</v>
      </c>
      <c r="K10" s="296"/>
      <c r="L10" s="46">
        <f>J10+1</f>
        <v>7</v>
      </c>
      <c r="M10" s="46">
        <f>L10+1</f>
        <v>8</v>
      </c>
      <c r="N10" s="46">
        <f>M10+1</f>
        <v>9</v>
      </c>
      <c r="O10" s="46">
        <f>N10+1</f>
        <v>10</v>
      </c>
      <c r="P10" s="46">
        <f>O10+1</f>
        <v>11</v>
      </c>
      <c r="Q10" s="297"/>
      <c r="R10" s="46">
        <f>P10+1</f>
        <v>12</v>
      </c>
      <c r="S10" s="297"/>
      <c r="T10" s="46">
        <f>R10+1</f>
        <v>13</v>
      </c>
      <c r="U10" s="46">
        <f>T10+1</f>
        <v>14</v>
      </c>
      <c r="V10" s="46">
        <f>U10+1</f>
        <v>15</v>
      </c>
      <c r="W10" s="46">
        <f>V10+1</f>
        <v>16</v>
      </c>
      <c r="X10" s="46">
        <f>W10+1</f>
        <v>17</v>
      </c>
      <c r="Y10" s="298"/>
      <c r="Z10" s="46">
        <f>X10+1</f>
        <v>18</v>
      </c>
    </row>
    <row r="11" spans="1:28">
      <c r="K11" s="1"/>
      <c r="Q11" s="297"/>
      <c r="S11" s="297"/>
      <c r="Y11" s="298"/>
    </row>
    <row r="12" spans="1:28">
      <c r="A12" s="1">
        <v>1</v>
      </c>
      <c r="C12" s="1">
        <v>1</v>
      </c>
      <c r="D12" s="1">
        <v>1001</v>
      </c>
      <c r="E12" s="177">
        <v>14</v>
      </c>
      <c r="H12" s="35">
        <v>2254</v>
      </c>
      <c r="I12" s="300">
        <v>0</v>
      </c>
      <c r="J12" s="300">
        <v>0</v>
      </c>
      <c r="K12" s="300"/>
      <c r="L12" s="301">
        <v>89702.18</v>
      </c>
      <c r="M12" s="301">
        <v>0</v>
      </c>
      <c r="N12" s="301">
        <v>0</v>
      </c>
      <c r="O12" s="301">
        <v>0</v>
      </c>
      <c r="P12" s="301">
        <f>SUM(L12:O12)</f>
        <v>89702.18</v>
      </c>
      <c r="Q12" s="179"/>
      <c r="R12" s="302">
        <v>44.57</v>
      </c>
      <c r="S12" s="179"/>
      <c r="T12" s="303">
        <f>2080*R12</f>
        <v>92705.600000000006</v>
      </c>
      <c r="U12" s="303">
        <v>0</v>
      </c>
      <c r="V12" s="303">
        <v>0</v>
      </c>
      <c r="W12" s="303" t="str">
        <f t="shared" ref="W12:W60" si="0">IF(O12=0," ",+O12)</f>
        <v xml:space="preserve"> </v>
      </c>
      <c r="X12" s="303">
        <f t="shared" ref="X12:X60" si="1">SUM(T12:W12)</f>
        <v>92705.600000000006</v>
      </c>
      <c r="Y12" s="298"/>
      <c r="Z12" s="163">
        <f>X12-P12</f>
        <v>3003.4200000000128</v>
      </c>
      <c r="AB12" s="170"/>
    </row>
    <row r="13" spans="1:28">
      <c r="A13" s="1">
        <f>A12+1</f>
        <v>2</v>
      </c>
      <c r="C13" s="1">
        <f>C12+1</f>
        <v>2</v>
      </c>
      <c r="D13" s="1">
        <v>1002</v>
      </c>
      <c r="E13" s="177">
        <v>16</v>
      </c>
      <c r="H13" s="35">
        <v>2154.5</v>
      </c>
      <c r="I13" s="300">
        <v>304.5</v>
      </c>
      <c r="J13" s="300">
        <v>0</v>
      </c>
      <c r="K13" s="300"/>
      <c r="L13" s="301">
        <v>67459.179999999993</v>
      </c>
      <c r="M13" s="301">
        <v>14306.85</v>
      </c>
      <c r="N13" s="301">
        <v>0</v>
      </c>
      <c r="O13" s="301">
        <v>0</v>
      </c>
      <c r="P13" s="301">
        <f t="shared" ref="P13:P16" si="2">SUM(L13:O13)</f>
        <v>81766.03</v>
      </c>
      <c r="Q13" s="179"/>
      <c r="R13" s="302">
        <v>33.24</v>
      </c>
      <c r="S13" s="179"/>
      <c r="T13" s="303">
        <f t="shared" ref="T13:T60" si="3">2080*R13</f>
        <v>69139.199999999997</v>
      </c>
      <c r="U13" s="303">
        <v>0</v>
      </c>
      <c r="V13" s="303">
        <v>0</v>
      </c>
      <c r="W13" s="303" t="str">
        <f t="shared" si="0"/>
        <v xml:space="preserve"> </v>
      </c>
      <c r="X13" s="303">
        <f t="shared" si="1"/>
        <v>69139.199999999997</v>
      </c>
      <c r="Y13" s="298"/>
      <c r="Z13" s="163">
        <f t="shared" ref="Z13:Z16" si="4">X13-P13</f>
        <v>-12626.830000000002</v>
      </c>
      <c r="AB13" s="170"/>
    </row>
    <row r="14" spans="1:28">
      <c r="A14" s="1">
        <f t="shared" ref="A14:A63" si="5">A13+1</f>
        <v>3</v>
      </c>
      <c r="C14" s="1">
        <f t="shared" ref="C14:C60" si="6">C13+1</f>
        <v>3</v>
      </c>
      <c r="D14" s="1">
        <v>1003</v>
      </c>
      <c r="E14" s="177">
        <v>130</v>
      </c>
      <c r="H14" s="35">
        <v>2080</v>
      </c>
      <c r="I14" s="300">
        <v>8.5</v>
      </c>
      <c r="J14" s="300">
        <v>0</v>
      </c>
      <c r="K14" s="300"/>
      <c r="L14" s="301">
        <v>60136.56</v>
      </c>
      <c r="M14" s="301">
        <v>368.86</v>
      </c>
      <c r="N14" s="301">
        <v>0</v>
      </c>
      <c r="O14" s="301">
        <v>6500</v>
      </c>
      <c r="P14" s="301">
        <f t="shared" si="2"/>
        <v>67005.42</v>
      </c>
      <c r="Q14" s="179"/>
      <c r="R14" s="302">
        <v>30.69</v>
      </c>
      <c r="S14" s="179"/>
      <c r="T14" s="303">
        <f t="shared" si="3"/>
        <v>63835.200000000004</v>
      </c>
      <c r="U14" s="303">
        <v>0</v>
      </c>
      <c r="V14" s="303">
        <v>0</v>
      </c>
      <c r="W14" s="303">
        <f t="shared" si="0"/>
        <v>6500</v>
      </c>
      <c r="X14" s="303">
        <f t="shared" si="1"/>
        <v>70335.200000000012</v>
      </c>
      <c r="Y14" s="298"/>
      <c r="Z14" s="163">
        <f t="shared" si="4"/>
        <v>3329.7800000000134</v>
      </c>
      <c r="AB14" s="170"/>
    </row>
    <row r="15" spans="1:28">
      <c r="A15" s="1">
        <f t="shared" si="5"/>
        <v>4</v>
      </c>
      <c r="C15" s="1">
        <f t="shared" si="6"/>
        <v>4</v>
      </c>
      <c r="D15" s="1">
        <v>1004</v>
      </c>
      <c r="E15" s="177">
        <v>136</v>
      </c>
      <c r="F15" s="1" t="s">
        <v>139</v>
      </c>
      <c r="H15" s="35">
        <v>1039</v>
      </c>
      <c r="I15" s="300">
        <v>28</v>
      </c>
      <c r="J15" s="300">
        <v>0</v>
      </c>
      <c r="K15" s="300"/>
      <c r="L15" s="301">
        <v>34220.379999999997</v>
      </c>
      <c r="M15" s="301">
        <v>1377.09</v>
      </c>
      <c r="N15" s="301">
        <v>0</v>
      </c>
      <c r="O15" s="301">
        <v>0</v>
      </c>
      <c r="P15" s="301">
        <f t="shared" si="2"/>
        <v>35597.469999999994</v>
      </c>
      <c r="Q15" s="179"/>
      <c r="R15" s="302">
        <v>0</v>
      </c>
      <c r="S15" s="179"/>
      <c r="T15" s="303">
        <f t="shared" si="3"/>
        <v>0</v>
      </c>
      <c r="U15" s="303">
        <v>0</v>
      </c>
      <c r="V15" s="303">
        <v>0</v>
      </c>
      <c r="W15" s="303" t="str">
        <f t="shared" si="0"/>
        <v xml:space="preserve"> </v>
      </c>
      <c r="X15" s="303">
        <f t="shared" si="1"/>
        <v>0</v>
      </c>
      <c r="Y15" s="298"/>
      <c r="Z15" s="163">
        <f t="shared" si="4"/>
        <v>-35597.469999999994</v>
      </c>
      <c r="AB15" s="170"/>
    </row>
    <row r="16" spans="1:28">
      <c r="A16" s="1">
        <f t="shared" si="5"/>
        <v>5</v>
      </c>
      <c r="C16" s="1">
        <f t="shared" si="6"/>
        <v>5</v>
      </c>
      <c r="D16" s="1">
        <v>1005</v>
      </c>
      <c r="E16" s="177">
        <v>149</v>
      </c>
      <c r="H16" s="35">
        <v>2080</v>
      </c>
      <c r="I16" s="300">
        <v>261</v>
      </c>
      <c r="J16" s="300">
        <v>0</v>
      </c>
      <c r="K16" s="300"/>
      <c r="L16" s="301">
        <v>65129.04</v>
      </c>
      <c r="M16" s="301">
        <v>12265.12</v>
      </c>
      <c r="N16" s="301">
        <v>0</v>
      </c>
      <c r="O16" s="301">
        <v>0</v>
      </c>
      <c r="P16" s="301">
        <f t="shared" si="2"/>
        <v>77394.16</v>
      </c>
      <c r="Q16" s="179"/>
      <c r="R16" s="302">
        <v>33.24</v>
      </c>
      <c r="S16" s="179"/>
      <c r="T16" s="303">
        <f t="shared" si="3"/>
        <v>69139.199999999997</v>
      </c>
      <c r="U16" s="303">
        <v>0</v>
      </c>
      <c r="V16" s="303">
        <v>0</v>
      </c>
      <c r="W16" s="303" t="str">
        <f t="shared" si="0"/>
        <v xml:space="preserve"> </v>
      </c>
      <c r="X16" s="303">
        <f t="shared" si="1"/>
        <v>69139.199999999997</v>
      </c>
      <c r="Y16" s="298"/>
      <c r="Z16" s="163">
        <f t="shared" si="4"/>
        <v>-8254.9600000000064</v>
      </c>
      <c r="AB16" s="170"/>
    </row>
    <row r="17" spans="1:28">
      <c r="A17" s="1">
        <f t="shared" si="5"/>
        <v>6</v>
      </c>
      <c r="C17" s="1">
        <f t="shared" si="6"/>
        <v>6</v>
      </c>
      <c r="D17" s="1">
        <v>1006</v>
      </c>
      <c r="E17" s="177">
        <v>5</v>
      </c>
      <c r="H17" s="35">
        <v>2080</v>
      </c>
      <c r="I17" s="300">
        <v>149</v>
      </c>
      <c r="J17" s="300"/>
      <c r="K17" s="300"/>
      <c r="L17" s="301">
        <v>65125.16</v>
      </c>
      <c r="M17" s="301">
        <v>6996.68</v>
      </c>
      <c r="N17" s="301">
        <v>0</v>
      </c>
      <c r="O17" s="301">
        <v>0</v>
      </c>
      <c r="P17" s="301">
        <f>SUM(L17:O17)</f>
        <v>72121.84</v>
      </c>
      <c r="Q17" s="179"/>
      <c r="R17" s="302">
        <v>32.92</v>
      </c>
      <c r="S17" s="179"/>
      <c r="T17" s="303">
        <f t="shared" si="3"/>
        <v>68473.600000000006</v>
      </c>
      <c r="U17" s="303">
        <f>(+I17*R17)*1.5*0.5</f>
        <v>3678.81</v>
      </c>
      <c r="V17" s="303" t="str">
        <f t="shared" ref="V17:V60" si="7">IF(N17=0," ",+J17*R17)</f>
        <v xml:space="preserve"> </v>
      </c>
      <c r="W17" s="303" t="str">
        <f t="shared" si="0"/>
        <v xml:space="preserve"> </v>
      </c>
      <c r="X17" s="303">
        <f t="shared" si="1"/>
        <v>72152.41</v>
      </c>
      <c r="Y17" s="298"/>
      <c r="Z17" s="163">
        <f>X17-P17</f>
        <v>30.570000000006985</v>
      </c>
      <c r="AB17" s="170"/>
    </row>
    <row r="18" spans="1:28">
      <c r="A18" s="1">
        <f t="shared" si="5"/>
        <v>7</v>
      </c>
      <c r="C18" s="1">
        <f t="shared" si="6"/>
        <v>7</v>
      </c>
      <c r="D18" s="1">
        <v>1007</v>
      </c>
      <c r="E18" s="177">
        <v>8</v>
      </c>
      <c r="F18" s="1" t="s">
        <v>139</v>
      </c>
      <c r="H18" s="35">
        <v>1263</v>
      </c>
      <c r="I18" s="300">
        <v>88.5</v>
      </c>
      <c r="J18" s="300"/>
      <c r="K18" s="300"/>
      <c r="L18" s="301">
        <v>39528.47</v>
      </c>
      <c r="M18" s="301">
        <v>4154.87</v>
      </c>
      <c r="N18" s="301">
        <v>0</v>
      </c>
      <c r="O18" s="301">
        <v>0</v>
      </c>
      <c r="P18" s="301">
        <f t="shared" ref="P18:P60" si="8">SUM(L18:O18)</f>
        <v>43683.340000000004</v>
      </c>
      <c r="Q18" s="179"/>
      <c r="R18" s="302">
        <v>0</v>
      </c>
      <c r="S18" s="179"/>
      <c r="T18" s="303">
        <f t="shared" si="3"/>
        <v>0</v>
      </c>
      <c r="U18" s="303">
        <f t="shared" ref="U18:U60" si="9">(+I18*R18)*1.5</f>
        <v>0</v>
      </c>
      <c r="V18" s="303" t="str">
        <f t="shared" si="7"/>
        <v xml:space="preserve"> </v>
      </c>
      <c r="W18" s="303" t="str">
        <f t="shared" si="0"/>
        <v xml:space="preserve"> </v>
      </c>
      <c r="X18" s="303">
        <f t="shared" si="1"/>
        <v>0</v>
      </c>
      <c r="Y18" s="298"/>
      <c r="Z18" s="163">
        <f>X18-P18</f>
        <v>-43683.340000000004</v>
      </c>
      <c r="AB18" s="170"/>
    </row>
    <row r="19" spans="1:28">
      <c r="A19" s="1">
        <f t="shared" si="5"/>
        <v>8</v>
      </c>
      <c r="C19" s="1">
        <f t="shared" si="6"/>
        <v>8</v>
      </c>
      <c r="D19" s="1">
        <v>1008</v>
      </c>
      <c r="E19" s="177">
        <v>10</v>
      </c>
      <c r="H19" s="35">
        <v>2080</v>
      </c>
      <c r="I19" s="300">
        <v>43.5</v>
      </c>
      <c r="J19" s="300"/>
      <c r="K19" s="300"/>
      <c r="L19" s="301">
        <v>56187.21</v>
      </c>
      <c r="M19" s="301">
        <v>1763.71</v>
      </c>
      <c r="N19" s="301">
        <v>0</v>
      </c>
      <c r="O19" s="301">
        <v>0</v>
      </c>
      <c r="P19" s="301">
        <f t="shared" si="8"/>
        <v>57950.92</v>
      </c>
      <c r="Q19" s="179"/>
      <c r="R19" s="302">
        <v>28.68</v>
      </c>
      <c r="S19" s="179"/>
      <c r="T19" s="303">
        <f t="shared" si="3"/>
        <v>59654.400000000001</v>
      </c>
      <c r="U19" s="303">
        <f t="shared" si="9"/>
        <v>1871.37</v>
      </c>
      <c r="V19" s="303" t="str">
        <f t="shared" si="7"/>
        <v xml:space="preserve"> </v>
      </c>
      <c r="W19" s="303" t="str">
        <f t="shared" si="0"/>
        <v xml:space="preserve"> </v>
      </c>
      <c r="X19" s="303">
        <f t="shared" si="1"/>
        <v>61525.770000000004</v>
      </c>
      <c r="Y19" s="298"/>
      <c r="Z19" s="163">
        <f>X19-P19</f>
        <v>3574.8500000000058</v>
      </c>
      <c r="AB19" s="170"/>
    </row>
    <row r="20" spans="1:28">
      <c r="A20" s="1">
        <f t="shared" si="5"/>
        <v>9</v>
      </c>
      <c r="C20" s="1">
        <f t="shared" si="6"/>
        <v>9</v>
      </c>
      <c r="D20" s="1">
        <v>1009</v>
      </c>
      <c r="E20" s="177">
        <v>11</v>
      </c>
      <c r="H20" s="35">
        <v>2080</v>
      </c>
      <c r="I20" s="300">
        <v>283.5</v>
      </c>
      <c r="J20" s="300"/>
      <c r="K20" s="300"/>
      <c r="L20" s="301">
        <v>65125.06</v>
      </c>
      <c r="M20" s="301">
        <v>13314.43</v>
      </c>
      <c r="N20" s="301">
        <v>0</v>
      </c>
      <c r="O20" s="301">
        <v>0</v>
      </c>
      <c r="P20" s="301">
        <f>SUM(L20:O20)</f>
        <v>78439.489999999991</v>
      </c>
      <c r="Q20" s="179"/>
      <c r="R20" s="302">
        <v>33.24</v>
      </c>
      <c r="S20" s="179"/>
      <c r="T20" s="303">
        <f t="shared" si="3"/>
        <v>69139.199999999997</v>
      </c>
      <c r="U20" s="303">
        <f t="shared" si="9"/>
        <v>14135.310000000001</v>
      </c>
      <c r="V20" s="303" t="str">
        <f t="shared" si="7"/>
        <v xml:space="preserve"> </v>
      </c>
      <c r="W20" s="303" t="str">
        <f t="shared" si="0"/>
        <v xml:space="preserve"> </v>
      </c>
      <c r="X20" s="303">
        <f t="shared" si="1"/>
        <v>83274.509999999995</v>
      </c>
      <c r="Y20" s="298"/>
      <c r="Z20" s="163">
        <f t="shared" ref="Z20:Z47" si="10">X20-P20</f>
        <v>4835.0200000000041</v>
      </c>
      <c r="AB20" s="170"/>
    </row>
    <row r="21" spans="1:28">
      <c r="A21" s="1">
        <f t="shared" si="5"/>
        <v>10</v>
      </c>
      <c r="C21" s="1">
        <f t="shared" si="6"/>
        <v>10</v>
      </c>
      <c r="D21" s="1">
        <v>1010</v>
      </c>
      <c r="E21" s="177">
        <v>13</v>
      </c>
      <c r="H21" s="35">
        <v>2080</v>
      </c>
      <c r="I21" s="300">
        <v>10</v>
      </c>
      <c r="J21" s="300"/>
      <c r="K21" s="300"/>
      <c r="L21" s="301">
        <v>53339.360000000001</v>
      </c>
      <c r="M21" s="301">
        <v>384.96</v>
      </c>
      <c r="N21" s="301">
        <v>0</v>
      </c>
      <c r="O21" s="301">
        <v>0</v>
      </c>
      <c r="P21" s="301">
        <f t="shared" si="8"/>
        <v>53724.32</v>
      </c>
      <c r="Q21" s="179"/>
      <c r="R21" s="302">
        <v>27.22</v>
      </c>
      <c r="S21" s="179"/>
      <c r="T21" s="303">
        <f t="shared" si="3"/>
        <v>56617.599999999999</v>
      </c>
      <c r="U21" s="303">
        <f t="shared" si="9"/>
        <v>408.29999999999995</v>
      </c>
      <c r="V21" s="303" t="str">
        <f t="shared" si="7"/>
        <v xml:space="preserve"> </v>
      </c>
      <c r="W21" s="303" t="str">
        <f t="shared" si="0"/>
        <v xml:space="preserve"> </v>
      </c>
      <c r="X21" s="303">
        <f t="shared" si="1"/>
        <v>57025.9</v>
      </c>
      <c r="Y21" s="298"/>
      <c r="Z21" s="163">
        <f t="shared" si="10"/>
        <v>3301.5800000000017</v>
      </c>
      <c r="AB21" s="170"/>
    </row>
    <row r="22" spans="1:28">
      <c r="A22" s="1">
        <f t="shared" si="5"/>
        <v>11</v>
      </c>
      <c r="C22" s="1">
        <f t="shared" si="6"/>
        <v>11</v>
      </c>
      <c r="D22" s="1">
        <v>1011</v>
      </c>
      <c r="E22" s="177">
        <v>15</v>
      </c>
      <c r="H22" s="35">
        <v>2080</v>
      </c>
      <c r="I22" s="300">
        <v>59.5</v>
      </c>
      <c r="J22" s="300"/>
      <c r="K22" s="300"/>
      <c r="L22" s="301">
        <v>65125.11</v>
      </c>
      <c r="M22" s="301">
        <v>2793.06</v>
      </c>
      <c r="N22" s="301">
        <v>0</v>
      </c>
      <c r="O22" s="301">
        <v>0</v>
      </c>
      <c r="P22" s="301">
        <f t="shared" si="8"/>
        <v>67918.17</v>
      </c>
      <c r="Q22" s="179"/>
      <c r="R22" s="302">
        <v>33.24</v>
      </c>
      <c r="S22" s="179"/>
      <c r="T22" s="303">
        <f t="shared" si="3"/>
        <v>69139.199999999997</v>
      </c>
      <c r="U22" s="303">
        <f t="shared" si="9"/>
        <v>2966.67</v>
      </c>
      <c r="V22" s="303" t="str">
        <f t="shared" si="7"/>
        <v xml:space="preserve"> </v>
      </c>
      <c r="W22" s="303" t="str">
        <f t="shared" si="0"/>
        <v xml:space="preserve"> </v>
      </c>
      <c r="X22" s="303">
        <f t="shared" si="1"/>
        <v>72105.87</v>
      </c>
      <c r="Y22" s="298"/>
      <c r="Z22" s="163">
        <f t="shared" si="10"/>
        <v>4187.6999999999971</v>
      </c>
      <c r="AB22" s="170"/>
    </row>
    <row r="23" spans="1:28">
      <c r="A23" s="1">
        <f t="shared" si="5"/>
        <v>12</v>
      </c>
      <c r="C23" s="1">
        <f t="shared" si="6"/>
        <v>12</v>
      </c>
      <c r="D23" s="1">
        <v>1012</v>
      </c>
      <c r="E23" s="177">
        <v>22</v>
      </c>
      <c r="H23" s="35">
        <v>2080</v>
      </c>
      <c r="I23" s="300">
        <v>90.5</v>
      </c>
      <c r="J23" s="300"/>
      <c r="K23" s="300"/>
      <c r="L23" s="301">
        <v>68493.7</v>
      </c>
      <c r="M23" s="301">
        <v>4460.93</v>
      </c>
      <c r="N23" s="301">
        <v>0</v>
      </c>
      <c r="O23" s="301">
        <v>0</v>
      </c>
      <c r="P23" s="301">
        <f t="shared" si="8"/>
        <v>72954.63</v>
      </c>
      <c r="Q23" s="179"/>
      <c r="R23" s="302">
        <v>35.96</v>
      </c>
      <c r="S23" s="179"/>
      <c r="T23" s="303">
        <f t="shared" si="3"/>
        <v>74796.800000000003</v>
      </c>
      <c r="U23" s="303">
        <f t="shared" si="9"/>
        <v>4881.57</v>
      </c>
      <c r="V23" s="303" t="str">
        <f t="shared" si="7"/>
        <v xml:space="preserve"> </v>
      </c>
      <c r="W23" s="303" t="str">
        <f t="shared" si="0"/>
        <v xml:space="preserve"> </v>
      </c>
      <c r="X23" s="303">
        <f t="shared" si="1"/>
        <v>79678.37</v>
      </c>
      <c r="Y23" s="298"/>
      <c r="Z23" s="163">
        <f t="shared" si="10"/>
        <v>6723.7399999999907</v>
      </c>
      <c r="AB23" s="170"/>
    </row>
    <row r="24" spans="1:28">
      <c r="A24" s="1">
        <f t="shared" si="5"/>
        <v>13</v>
      </c>
      <c r="C24" s="1">
        <f t="shared" si="6"/>
        <v>13</v>
      </c>
      <c r="D24" s="1">
        <v>1013</v>
      </c>
      <c r="E24" s="177">
        <v>24</v>
      </c>
      <c r="H24" s="35">
        <v>2080</v>
      </c>
      <c r="I24" s="300">
        <v>226</v>
      </c>
      <c r="J24" s="300"/>
      <c r="K24" s="300"/>
      <c r="L24" s="301">
        <v>53339.360000000001</v>
      </c>
      <c r="M24" s="301">
        <v>8698.81</v>
      </c>
      <c r="N24" s="301">
        <v>0</v>
      </c>
      <c r="O24" s="301">
        <v>0</v>
      </c>
      <c r="P24" s="301">
        <f t="shared" si="8"/>
        <v>62038.17</v>
      </c>
      <c r="Q24" s="179"/>
      <c r="R24" s="302">
        <v>27.22</v>
      </c>
      <c r="S24" s="179"/>
      <c r="T24" s="303">
        <f t="shared" si="3"/>
        <v>56617.599999999999</v>
      </c>
      <c r="U24" s="303">
        <f>(+I24*R24)*1.5</f>
        <v>9227.5799999999981</v>
      </c>
      <c r="V24" s="303" t="str">
        <f>IF(N24=0," ",+J24*R24)</f>
        <v xml:space="preserve"> </v>
      </c>
      <c r="W24" s="303" t="str">
        <f t="shared" si="0"/>
        <v xml:space="preserve"> </v>
      </c>
      <c r="X24" s="303">
        <f t="shared" si="1"/>
        <v>65845.179999999993</v>
      </c>
      <c r="Y24" s="298"/>
      <c r="Z24" s="163">
        <f t="shared" si="10"/>
        <v>3807.0099999999948</v>
      </c>
      <c r="AB24" s="170"/>
    </row>
    <row r="25" spans="1:28">
      <c r="A25" s="1">
        <f t="shared" si="5"/>
        <v>14</v>
      </c>
      <c r="C25" s="1">
        <f t="shared" si="6"/>
        <v>14</v>
      </c>
      <c r="D25" s="1">
        <v>1014</v>
      </c>
      <c r="E25" s="177">
        <v>25</v>
      </c>
      <c r="H25" s="35">
        <v>2080</v>
      </c>
      <c r="I25" s="300">
        <v>144.5</v>
      </c>
      <c r="J25" s="300"/>
      <c r="K25" s="300"/>
      <c r="L25" s="301">
        <v>65197.08</v>
      </c>
      <c r="M25" s="301">
        <v>6784.48</v>
      </c>
      <c r="N25" s="301">
        <v>0</v>
      </c>
      <c r="O25" s="301">
        <v>0</v>
      </c>
      <c r="P25" s="301">
        <f t="shared" si="8"/>
        <v>71981.56</v>
      </c>
      <c r="Q25" s="179"/>
      <c r="R25" s="302">
        <v>33.24</v>
      </c>
      <c r="S25" s="179"/>
      <c r="T25" s="303">
        <f t="shared" si="3"/>
        <v>69139.199999999997</v>
      </c>
      <c r="U25" s="303">
        <f t="shared" si="9"/>
        <v>7204.77</v>
      </c>
      <c r="V25" s="303" t="str">
        <f>IF(N25=0," ",+J25*R25)</f>
        <v xml:space="preserve"> </v>
      </c>
      <c r="W25" s="303" t="str">
        <f t="shared" si="0"/>
        <v xml:space="preserve"> </v>
      </c>
      <c r="X25" s="303">
        <f t="shared" si="1"/>
        <v>76343.97</v>
      </c>
      <c r="Y25" s="298"/>
      <c r="Z25" s="163">
        <f t="shared" si="10"/>
        <v>4362.4100000000035</v>
      </c>
      <c r="AB25" s="170"/>
    </row>
    <row r="26" spans="1:28">
      <c r="A26" s="1">
        <f t="shared" si="5"/>
        <v>15</v>
      </c>
      <c r="C26" s="1">
        <f t="shared" si="6"/>
        <v>15</v>
      </c>
      <c r="D26" s="1">
        <v>1015</v>
      </c>
      <c r="E26" s="177">
        <v>31</v>
      </c>
      <c r="H26" s="35">
        <v>2080</v>
      </c>
      <c r="I26" s="300">
        <v>280.5</v>
      </c>
      <c r="J26" s="300"/>
      <c r="K26" s="300"/>
      <c r="L26" s="301">
        <v>65137.05</v>
      </c>
      <c r="M26" s="301">
        <v>13171.32</v>
      </c>
      <c r="N26" s="301">
        <v>0</v>
      </c>
      <c r="O26" s="301">
        <v>0</v>
      </c>
      <c r="P26" s="301">
        <f t="shared" si="8"/>
        <v>78308.37</v>
      </c>
      <c r="Q26" s="179"/>
      <c r="R26" s="302">
        <v>33.24</v>
      </c>
      <c r="S26" s="179"/>
      <c r="T26" s="303">
        <f t="shared" si="3"/>
        <v>69139.199999999997</v>
      </c>
      <c r="U26" s="303">
        <f t="shared" si="9"/>
        <v>13985.73</v>
      </c>
      <c r="V26" s="303" t="str">
        <f t="shared" si="7"/>
        <v xml:space="preserve"> </v>
      </c>
      <c r="W26" s="303" t="str">
        <f t="shared" si="0"/>
        <v xml:space="preserve"> </v>
      </c>
      <c r="X26" s="303">
        <f t="shared" si="1"/>
        <v>83124.929999999993</v>
      </c>
      <c r="Y26" s="298"/>
      <c r="Z26" s="163">
        <f t="shared" si="10"/>
        <v>4816.5599999999977</v>
      </c>
      <c r="AB26" s="170"/>
    </row>
    <row r="27" spans="1:28">
      <c r="A27" s="1">
        <f t="shared" si="5"/>
        <v>16</v>
      </c>
      <c r="C27" s="1">
        <f t="shared" si="6"/>
        <v>16</v>
      </c>
      <c r="D27" s="1">
        <v>1016</v>
      </c>
      <c r="E27" s="177">
        <v>38</v>
      </c>
      <c r="H27" s="35">
        <v>2164</v>
      </c>
      <c r="I27" s="300">
        <v>417.5</v>
      </c>
      <c r="J27" s="300"/>
      <c r="K27" s="300"/>
      <c r="L27" s="301">
        <v>70287.77</v>
      </c>
      <c r="M27" s="301">
        <v>20227.27</v>
      </c>
      <c r="N27" s="301">
        <v>0</v>
      </c>
      <c r="O27" s="301">
        <v>0</v>
      </c>
      <c r="P27" s="301">
        <f t="shared" si="8"/>
        <v>90515.040000000008</v>
      </c>
      <c r="Q27" s="179"/>
      <c r="R27" s="302">
        <v>35.96</v>
      </c>
      <c r="S27" s="179"/>
      <c r="T27" s="303">
        <f t="shared" si="3"/>
        <v>74796.800000000003</v>
      </c>
      <c r="U27" s="303">
        <f t="shared" si="9"/>
        <v>22519.95</v>
      </c>
      <c r="V27" s="303" t="str">
        <f t="shared" si="7"/>
        <v xml:space="preserve"> </v>
      </c>
      <c r="W27" s="303" t="str">
        <f t="shared" si="0"/>
        <v xml:space="preserve"> </v>
      </c>
      <c r="X27" s="303">
        <f t="shared" si="1"/>
        <v>97316.75</v>
      </c>
      <c r="Y27" s="298"/>
      <c r="Z27" s="163">
        <f t="shared" si="10"/>
        <v>6801.7099999999919</v>
      </c>
      <c r="AB27" s="170"/>
    </row>
    <row r="28" spans="1:28">
      <c r="A28" s="1">
        <f t="shared" si="5"/>
        <v>17</v>
      </c>
      <c r="C28" s="1">
        <f t="shared" si="6"/>
        <v>17</v>
      </c>
      <c r="D28" s="1">
        <v>1017</v>
      </c>
      <c r="E28" s="177">
        <v>38</v>
      </c>
      <c r="F28" s="1" t="s">
        <v>139</v>
      </c>
      <c r="H28" s="35">
        <v>2080</v>
      </c>
      <c r="I28" s="300">
        <v>10</v>
      </c>
      <c r="J28" s="300"/>
      <c r="K28" s="300"/>
      <c r="L28" s="301">
        <v>41246.019999999997</v>
      </c>
      <c r="M28" s="301">
        <v>297.45999999999998</v>
      </c>
      <c r="N28" s="301">
        <v>0</v>
      </c>
      <c r="O28" s="301">
        <v>0</v>
      </c>
      <c r="P28" s="301">
        <f t="shared" ref="P28" si="11">SUM(L28:O28)</f>
        <v>41543.479999999996</v>
      </c>
      <c r="Q28" s="179"/>
      <c r="R28" s="302">
        <v>0</v>
      </c>
      <c r="S28" s="179"/>
      <c r="T28" s="303">
        <f t="shared" si="3"/>
        <v>0</v>
      </c>
      <c r="U28" s="303">
        <f t="shared" si="9"/>
        <v>0</v>
      </c>
      <c r="V28" s="303" t="str">
        <f t="shared" si="7"/>
        <v xml:space="preserve"> </v>
      </c>
      <c r="W28" s="303" t="str">
        <f t="shared" si="0"/>
        <v xml:space="preserve"> </v>
      </c>
      <c r="X28" s="303">
        <f t="shared" si="1"/>
        <v>0</v>
      </c>
      <c r="Y28" s="298"/>
      <c r="Z28" s="163">
        <f t="shared" si="10"/>
        <v>-41543.479999999996</v>
      </c>
      <c r="AB28" s="170"/>
    </row>
    <row r="29" spans="1:28">
      <c r="A29" s="1">
        <f t="shared" si="5"/>
        <v>18</v>
      </c>
      <c r="C29" s="1">
        <f t="shared" si="6"/>
        <v>18</v>
      </c>
      <c r="D29" s="1">
        <v>1018</v>
      </c>
      <c r="E29" s="177">
        <v>40</v>
      </c>
      <c r="F29" s="1" t="s">
        <v>139</v>
      </c>
      <c r="H29" s="35">
        <v>2080</v>
      </c>
      <c r="I29" s="300">
        <v>401.5</v>
      </c>
      <c r="J29" s="300"/>
      <c r="K29" s="300"/>
      <c r="L29" s="301">
        <v>64763.03</v>
      </c>
      <c r="M29" s="301">
        <v>18823.189999999999</v>
      </c>
      <c r="N29" s="301">
        <v>0</v>
      </c>
      <c r="O29" s="301">
        <v>0</v>
      </c>
      <c r="P29" s="301">
        <f t="shared" si="8"/>
        <v>83586.22</v>
      </c>
      <c r="Q29" s="179"/>
      <c r="R29" s="302">
        <v>0</v>
      </c>
      <c r="S29" s="179"/>
      <c r="T29" s="303">
        <f t="shared" si="3"/>
        <v>0</v>
      </c>
      <c r="U29" s="303">
        <f t="shared" si="9"/>
        <v>0</v>
      </c>
      <c r="V29" s="303" t="str">
        <f>IF(N29=0," ",+J29*R29)</f>
        <v xml:space="preserve"> </v>
      </c>
      <c r="W29" s="303" t="str">
        <f>IF(O29=0," ",+O29)</f>
        <v xml:space="preserve"> </v>
      </c>
      <c r="X29" s="303">
        <f>SUM(T29:W29)</f>
        <v>0</v>
      </c>
      <c r="Y29" s="298"/>
      <c r="Z29" s="163">
        <f t="shared" si="10"/>
        <v>-83586.22</v>
      </c>
      <c r="AB29" s="170"/>
    </row>
    <row r="30" spans="1:28">
      <c r="A30" s="1">
        <f t="shared" si="5"/>
        <v>19</v>
      </c>
      <c r="C30" s="1">
        <f t="shared" si="6"/>
        <v>19</v>
      </c>
      <c r="D30" s="1">
        <v>1019</v>
      </c>
      <c r="E30" s="177">
        <v>41</v>
      </c>
      <c r="H30" s="35">
        <v>2080</v>
      </c>
      <c r="I30" s="300">
        <v>263</v>
      </c>
      <c r="J30" s="300"/>
      <c r="K30" s="300"/>
      <c r="L30" s="301">
        <v>49409.93</v>
      </c>
      <c r="M30" s="301">
        <v>9372.5</v>
      </c>
      <c r="N30" s="301">
        <v>0</v>
      </c>
      <c r="O30" s="301">
        <v>0</v>
      </c>
      <c r="P30" s="301">
        <f t="shared" si="8"/>
        <v>58782.43</v>
      </c>
      <c r="Q30" s="179"/>
      <c r="R30" s="302">
        <v>26.54</v>
      </c>
      <c r="S30" s="179"/>
      <c r="T30" s="303">
        <f t="shared" si="3"/>
        <v>55203.199999999997</v>
      </c>
      <c r="U30" s="303">
        <f t="shared" si="9"/>
        <v>10470.029999999999</v>
      </c>
      <c r="V30" s="303" t="str">
        <f t="shared" si="7"/>
        <v xml:space="preserve"> </v>
      </c>
      <c r="W30" s="303" t="str">
        <f t="shared" si="0"/>
        <v xml:space="preserve"> </v>
      </c>
      <c r="X30" s="303">
        <f t="shared" si="1"/>
        <v>65673.23</v>
      </c>
      <c r="Y30" s="298"/>
      <c r="Z30" s="163">
        <f t="shared" si="10"/>
        <v>6890.7999999999956</v>
      </c>
      <c r="AB30" s="170"/>
    </row>
    <row r="31" spans="1:28">
      <c r="A31" s="1">
        <f t="shared" si="5"/>
        <v>20</v>
      </c>
      <c r="C31" s="1">
        <f t="shared" si="6"/>
        <v>20</v>
      </c>
      <c r="D31" s="1">
        <v>1020</v>
      </c>
      <c r="E31" s="177">
        <v>43</v>
      </c>
      <c r="H31" s="35">
        <v>2080</v>
      </c>
      <c r="I31" s="300">
        <v>386.5</v>
      </c>
      <c r="J31" s="300"/>
      <c r="K31" s="300"/>
      <c r="L31" s="301">
        <v>45912.02</v>
      </c>
      <c r="M31" s="301">
        <v>12789.26</v>
      </c>
      <c r="N31" s="301">
        <v>0</v>
      </c>
      <c r="O31" s="301">
        <v>0</v>
      </c>
      <c r="P31" s="301">
        <f t="shared" si="8"/>
        <v>58701.279999999999</v>
      </c>
      <c r="Q31" s="179"/>
      <c r="R31" s="302">
        <v>32.270000000000003</v>
      </c>
      <c r="S31" s="179"/>
      <c r="T31" s="303">
        <f t="shared" si="3"/>
        <v>67121.600000000006</v>
      </c>
      <c r="U31" s="303">
        <f t="shared" si="9"/>
        <v>18708.532500000001</v>
      </c>
      <c r="V31" s="303" t="str">
        <f t="shared" si="7"/>
        <v xml:space="preserve"> </v>
      </c>
      <c r="W31" s="303" t="str">
        <f t="shared" si="0"/>
        <v xml:space="preserve"> </v>
      </c>
      <c r="X31" s="303">
        <f t="shared" si="1"/>
        <v>85830.132500000007</v>
      </c>
      <c r="Y31" s="298"/>
      <c r="Z31" s="163">
        <f t="shared" si="10"/>
        <v>27128.852500000008</v>
      </c>
      <c r="AB31" s="170"/>
    </row>
    <row r="32" spans="1:28">
      <c r="A32" s="1">
        <f t="shared" si="5"/>
        <v>21</v>
      </c>
      <c r="C32" s="1">
        <f t="shared" si="6"/>
        <v>21</v>
      </c>
      <c r="D32" s="1">
        <v>1021</v>
      </c>
      <c r="E32" s="177">
        <v>50</v>
      </c>
      <c r="H32" s="35">
        <v>2080</v>
      </c>
      <c r="I32" s="300">
        <v>194.5</v>
      </c>
      <c r="J32" s="300"/>
      <c r="K32" s="300"/>
      <c r="L32" s="301">
        <v>45987.01</v>
      </c>
      <c r="M32" s="301">
        <v>6467.85</v>
      </c>
      <c r="N32" s="301">
        <v>0</v>
      </c>
      <c r="O32" s="301">
        <v>0</v>
      </c>
      <c r="P32" s="301">
        <f t="shared" si="8"/>
        <v>52454.86</v>
      </c>
      <c r="Q32" s="179"/>
      <c r="R32" s="302">
        <v>32.270000000000003</v>
      </c>
      <c r="S32" s="179"/>
      <c r="T32" s="303">
        <f t="shared" si="3"/>
        <v>67121.600000000006</v>
      </c>
      <c r="U32" s="303">
        <f t="shared" si="9"/>
        <v>9414.7725000000009</v>
      </c>
      <c r="V32" s="303" t="str">
        <f t="shared" si="7"/>
        <v xml:space="preserve"> </v>
      </c>
      <c r="W32" s="303" t="str">
        <f t="shared" si="0"/>
        <v xml:space="preserve"> </v>
      </c>
      <c r="X32" s="303">
        <f t="shared" si="1"/>
        <v>76536.372500000012</v>
      </c>
      <c r="Y32" s="298"/>
      <c r="Z32" s="163">
        <f t="shared" si="10"/>
        <v>24081.512500000012</v>
      </c>
      <c r="AB32" s="170"/>
    </row>
    <row r="33" spans="1:28">
      <c r="A33" s="1">
        <f t="shared" si="5"/>
        <v>22</v>
      </c>
      <c r="C33" s="1">
        <f t="shared" si="6"/>
        <v>22</v>
      </c>
      <c r="D33" s="1">
        <v>1022</v>
      </c>
      <c r="E33" s="177">
        <v>138</v>
      </c>
      <c r="H33" s="35">
        <v>2080</v>
      </c>
      <c r="I33" s="300">
        <v>152</v>
      </c>
      <c r="J33" s="300"/>
      <c r="K33" s="300" t="s">
        <v>369</v>
      </c>
      <c r="L33" s="301">
        <v>35877.919999999998</v>
      </c>
      <c r="M33" s="301">
        <v>3935.33</v>
      </c>
      <c r="N33" s="301">
        <v>0</v>
      </c>
      <c r="O33" s="301">
        <v>0</v>
      </c>
      <c r="P33" s="301">
        <f t="shared" si="8"/>
        <v>39813.25</v>
      </c>
      <c r="Q33" s="179"/>
      <c r="R33" s="302">
        <v>19</v>
      </c>
      <c r="S33" s="179"/>
      <c r="T33" s="303">
        <f t="shared" si="3"/>
        <v>39520</v>
      </c>
      <c r="U33" s="303">
        <f t="shared" si="9"/>
        <v>4332</v>
      </c>
      <c r="V33" s="303" t="str">
        <f t="shared" si="7"/>
        <v xml:space="preserve"> </v>
      </c>
      <c r="W33" s="303" t="str">
        <f t="shared" si="0"/>
        <v xml:space="preserve"> </v>
      </c>
      <c r="X33" s="303">
        <f t="shared" si="1"/>
        <v>43852</v>
      </c>
      <c r="Y33" s="298"/>
      <c r="Z33" s="163">
        <f t="shared" si="10"/>
        <v>4038.75</v>
      </c>
      <c r="AB33" s="170"/>
    </row>
    <row r="34" spans="1:28">
      <c r="A34" s="1">
        <f t="shared" si="5"/>
        <v>23</v>
      </c>
      <c r="C34" s="1">
        <f t="shared" si="6"/>
        <v>23</v>
      </c>
      <c r="D34" s="1">
        <v>1023</v>
      </c>
      <c r="E34" s="177">
        <v>139</v>
      </c>
      <c r="H34" s="35">
        <v>2080</v>
      </c>
      <c r="I34" s="300">
        <v>248</v>
      </c>
      <c r="J34" s="300"/>
      <c r="K34" s="300"/>
      <c r="L34" s="301">
        <v>35828</v>
      </c>
      <c r="M34" s="301">
        <v>6391.5</v>
      </c>
      <c r="N34" s="301">
        <v>0</v>
      </c>
      <c r="O34" s="301">
        <v>0</v>
      </c>
      <c r="P34" s="301">
        <f t="shared" si="8"/>
        <v>42219.5</v>
      </c>
      <c r="Q34" s="179"/>
      <c r="R34" s="302">
        <v>21</v>
      </c>
      <c r="S34" s="179"/>
      <c r="T34" s="303">
        <f t="shared" si="3"/>
        <v>43680</v>
      </c>
      <c r="U34" s="303">
        <f t="shared" si="9"/>
        <v>7812</v>
      </c>
      <c r="V34" s="303" t="str">
        <f t="shared" si="7"/>
        <v xml:space="preserve"> </v>
      </c>
      <c r="W34" s="303" t="str">
        <f t="shared" si="0"/>
        <v xml:space="preserve"> </v>
      </c>
      <c r="X34" s="303">
        <f t="shared" si="1"/>
        <v>51492</v>
      </c>
      <c r="Y34" s="298"/>
      <c r="Z34" s="163">
        <f t="shared" si="10"/>
        <v>9272.5</v>
      </c>
      <c r="AB34" s="170"/>
    </row>
    <row r="35" spans="1:28">
      <c r="A35" s="1">
        <f t="shared" si="5"/>
        <v>24</v>
      </c>
      <c r="C35" s="1">
        <f t="shared" si="6"/>
        <v>24</v>
      </c>
      <c r="D35" s="1">
        <v>1024</v>
      </c>
      <c r="E35" s="177">
        <v>144</v>
      </c>
      <c r="F35" s="1" t="s">
        <v>139</v>
      </c>
      <c r="H35" s="35">
        <v>637</v>
      </c>
      <c r="I35" s="300">
        <v>2</v>
      </c>
      <c r="J35" s="300"/>
      <c r="K35" s="300"/>
      <c r="L35" s="301">
        <v>6374</v>
      </c>
      <c r="M35" s="301">
        <v>30</v>
      </c>
      <c r="N35" s="301">
        <v>0</v>
      </c>
      <c r="O35" s="301">
        <v>0</v>
      </c>
      <c r="P35" s="301">
        <f t="shared" si="8"/>
        <v>6404</v>
      </c>
      <c r="Q35" s="179"/>
      <c r="R35" s="302">
        <v>0</v>
      </c>
      <c r="S35" s="179"/>
      <c r="T35" s="303">
        <f t="shared" si="3"/>
        <v>0</v>
      </c>
      <c r="U35" s="303">
        <f t="shared" si="9"/>
        <v>0</v>
      </c>
      <c r="V35" s="303" t="str">
        <f t="shared" si="7"/>
        <v xml:space="preserve"> </v>
      </c>
      <c r="W35" s="303" t="str">
        <f t="shared" si="0"/>
        <v xml:space="preserve"> </v>
      </c>
      <c r="X35" s="303">
        <f t="shared" si="1"/>
        <v>0</v>
      </c>
      <c r="Y35" s="298"/>
      <c r="Z35" s="163">
        <f t="shared" si="10"/>
        <v>-6404</v>
      </c>
      <c r="AB35" s="170"/>
    </row>
    <row r="36" spans="1:28">
      <c r="A36" s="1">
        <f t="shared" si="5"/>
        <v>25</v>
      </c>
      <c r="C36" s="1">
        <f t="shared" si="6"/>
        <v>25</v>
      </c>
      <c r="D36" s="1">
        <v>1025</v>
      </c>
      <c r="E36" s="177">
        <v>164</v>
      </c>
      <c r="F36" s="1" t="s">
        <v>139</v>
      </c>
      <c r="H36" s="35">
        <v>960</v>
      </c>
      <c r="I36" s="300">
        <v>3.5</v>
      </c>
      <c r="J36" s="300"/>
      <c r="K36" s="300"/>
      <c r="L36" s="301">
        <v>14442</v>
      </c>
      <c r="M36" s="301">
        <v>78.75</v>
      </c>
      <c r="N36" s="301">
        <v>0</v>
      </c>
      <c r="O36" s="301">
        <v>0</v>
      </c>
      <c r="P36" s="301">
        <f t="shared" si="8"/>
        <v>14520.75</v>
      </c>
      <c r="Q36" s="179"/>
      <c r="R36" s="302">
        <v>0</v>
      </c>
      <c r="S36" s="179"/>
      <c r="T36" s="303">
        <f t="shared" si="3"/>
        <v>0</v>
      </c>
      <c r="U36" s="303">
        <f t="shared" si="9"/>
        <v>0</v>
      </c>
      <c r="V36" s="303" t="str">
        <f t="shared" si="7"/>
        <v xml:space="preserve"> </v>
      </c>
      <c r="W36" s="303" t="str">
        <f t="shared" si="0"/>
        <v xml:space="preserve"> </v>
      </c>
      <c r="X36" s="303">
        <f t="shared" si="1"/>
        <v>0</v>
      </c>
      <c r="Y36" s="298"/>
      <c r="Z36" s="163">
        <f t="shared" si="10"/>
        <v>-14520.75</v>
      </c>
      <c r="AB36" s="170"/>
    </row>
    <row r="37" spans="1:28">
      <c r="A37" s="1">
        <f t="shared" si="5"/>
        <v>26</v>
      </c>
      <c r="C37" s="1">
        <f t="shared" si="6"/>
        <v>26</v>
      </c>
      <c r="D37" s="1">
        <v>1026</v>
      </c>
      <c r="E37" s="177">
        <v>166</v>
      </c>
      <c r="F37" s="1" t="s">
        <v>139</v>
      </c>
      <c r="H37" s="35">
        <v>169.5</v>
      </c>
      <c r="I37" s="300">
        <v>0</v>
      </c>
      <c r="J37" s="300"/>
      <c r="K37" s="300"/>
      <c r="L37" s="301">
        <v>1228.8800000000001</v>
      </c>
      <c r="M37" s="301">
        <v>0</v>
      </c>
      <c r="N37" s="301">
        <v>0</v>
      </c>
      <c r="O37" s="301">
        <v>0</v>
      </c>
      <c r="P37" s="301">
        <f t="shared" si="8"/>
        <v>1228.8800000000001</v>
      </c>
      <c r="Q37" s="179"/>
      <c r="R37" s="302">
        <v>0</v>
      </c>
      <c r="S37" s="179"/>
      <c r="T37" s="303">
        <f t="shared" si="3"/>
        <v>0</v>
      </c>
      <c r="U37" s="303">
        <f t="shared" si="9"/>
        <v>0</v>
      </c>
      <c r="V37" s="303" t="str">
        <f t="shared" si="7"/>
        <v xml:space="preserve"> </v>
      </c>
      <c r="W37" s="303" t="str">
        <f t="shared" si="0"/>
        <v xml:space="preserve"> </v>
      </c>
      <c r="X37" s="303">
        <f t="shared" si="1"/>
        <v>0</v>
      </c>
      <c r="Y37" s="298"/>
      <c r="Z37" s="163">
        <f t="shared" si="10"/>
        <v>-1228.8800000000001</v>
      </c>
      <c r="AB37" s="170"/>
    </row>
    <row r="38" spans="1:28">
      <c r="A38" s="1">
        <f t="shared" si="5"/>
        <v>27</v>
      </c>
      <c r="C38" s="1">
        <f t="shared" si="6"/>
        <v>27</v>
      </c>
      <c r="D38" s="1">
        <v>1027</v>
      </c>
      <c r="E38" s="177">
        <v>166</v>
      </c>
      <c r="H38" s="35">
        <v>2153.5</v>
      </c>
      <c r="I38" s="300">
        <v>5.5</v>
      </c>
      <c r="J38" s="300"/>
      <c r="K38" s="300"/>
      <c r="L38" s="301">
        <v>70800.399999999994</v>
      </c>
      <c r="M38" s="301">
        <v>271.51</v>
      </c>
      <c r="N38" s="301">
        <v>0</v>
      </c>
      <c r="O38" s="301">
        <v>6500</v>
      </c>
      <c r="P38" s="301">
        <f t="shared" si="8"/>
        <v>77571.909999999989</v>
      </c>
      <c r="Q38" s="179"/>
      <c r="R38" s="302">
        <v>34.92</v>
      </c>
      <c r="S38" s="179"/>
      <c r="T38" s="303">
        <f t="shared" si="3"/>
        <v>72633.600000000006</v>
      </c>
      <c r="U38" s="303">
        <f t="shared" si="9"/>
        <v>288.09000000000003</v>
      </c>
      <c r="V38" s="303" t="str">
        <f t="shared" si="7"/>
        <v xml:space="preserve"> </v>
      </c>
      <c r="W38" s="303">
        <f t="shared" si="0"/>
        <v>6500</v>
      </c>
      <c r="X38" s="303">
        <f t="shared" si="1"/>
        <v>79421.69</v>
      </c>
      <c r="Y38" s="298"/>
      <c r="Z38" s="163">
        <f t="shared" si="10"/>
        <v>1849.7800000000134</v>
      </c>
      <c r="AB38" s="170"/>
    </row>
    <row r="39" spans="1:28">
      <c r="A39" s="1">
        <f t="shared" si="5"/>
        <v>28</v>
      </c>
      <c r="C39" s="1">
        <f t="shared" si="6"/>
        <v>28</v>
      </c>
      <c r="D39" s="1">
        <v>1028</v>
      </c>
      <c r="E39" s="177">
        <v>169</v>
      </c>
      <c r="H39" s="35">
        <v>2080</v>
      </c>
      <c r="I39" s="300">
        <v>143</v>
      </c>
      <c r="J39" s="300"/>
      <c r="K39" s="300"/>
      <c r="L39" s="301">
        <v>68415.740000000005</v>
      </c>
      <c r="M39" s="301">
        <v>7059.23</v>
      </c>
      <c r="N39" s="301">
        <v>0</v>
      </c>
      <c r="O39" s="301">
        <v>0</v>
      </c>
      <c r="P39" s="301">
        <f t="shared" si="8"/>
        <v>75474.97</v>
      </c>
      <c r="Q39" s="179"/>
      <c r="R39" s="302">
        <v>34.92</v>
      </c>
      <c r="S39" s="179"/>
      <c r="T39" s="303">
        <f t="shared" si="3"/>
        <v>72633.600000000006</v>
      </c>
      <c r="U39" s="303">
        <f t="shared" si="9"/>
        <v>7490.34</v>
      </c>
      <c r="V39" s="303" t="str">
        <f t="shared" si="7"/>
        <v xml:space="preserve"> </v>
      </c>
      <c r="W39" s="303" t="str">
        <f t="shared" si="0"/>
        <v xml:space="preserve"> </v>
      </c>
      <c r="X39" s="303">
        <f t="shared" si="1"/>
        <v>80123.94</v>
      </c>
      <c r="Y39" s="298"/>
      <c r="Z39" s="163">
        <f t="shared" si="10"/>
        <v>4648.9700000000012</v>
      </c>
      <c r="AB39" s="170"/>
    </row>
    <row r="40" spans="1:28">
      <c r="A40" s="1">
        <f t="shared" si="5"/>
        <v>29</v>
      </c>
      <c r="C40" s="1">
        <f t="shared" si="6"/>
        <v>29</v>
      </c>
      <c r="D40" s="1">
        <v>1029</v>
      </c>
      <c r="E40" s="177">
        <v>174</v>
      </c>
      <c r="H40" s="35">
        <v>2080</v>
      </c>
      <c r="I40" s="300">
        <v>6.5</v>
      </c>
      <c r="J40" s="300"/>
      <c r="K40" s="300"/>
      <c r="L40" s="301">
        <v>48861.2</v>
      </c>
      <c r="M40" s="301">
        <v>229.13</v>
      </c>
      <c r="N40" s="301">
        <v>0</v>
      </c>
      <c r="O40" s="301">
        <v>0</v>
      </c>
      <c r="P40" s="301">
        <f t="shared" si="8"/>
        <v>49090.329999999994</v>
      </c>
      <c r="Q40" s="179"/>
      <c r="R40" s="302">
        <v>25.5</v>
      </c>
      <c r="S40" s="179"/>
      <c r="T40" s="303">
        <f t="shared" si="3"/>
        <v>53040</v>
      </c>
      <c r="U40" s="303">
        <f t="shared" si="9"/>
        <v>248.625</v>
      </c>
      <c r="V40" s="303" t="str">
        <f t="shared" si="7"/>
        <v xml:space="preserve"> </v>
      </c>
      <c r="W40" s="303" t="str">
        <f t="shared" si="0"/>
        <v xml:space="preserve"> </v>
      </c>
      <c r="X40" s="303">
        <f t="shared" si="1"/>
        <v>53288.625</v>
      </c>
      <c r="Y40" s="298"/>
      <c r="Z40" s="163">
        <f t="shared" si="10"/>
        <v>4198.2950000000055</v>
      </c>
      <c r="AB40" s="170"/>
    </row>
    <row r="41" spans="1:28">
      <c r="A41" s="1">
        <f t="shared" si="5"/>
        <v>30</v>
      </c>
      <c r="C41" s="1">
        <f t="shared" si="6"/>
        <v>30</v>
      </c>
      <c r="D41" s="1">
        <v>1030</v>
      </c>
      <c r="E41" s="177"/>
      <c r="H41" s="35">
        <v>2080</v>
      </c>
      <c r="I41" s="300">
        <v>0</v>
      </c>
      <c r="J41" s="300"/>
      <c r="K41" s="300"/>
      <c r="L41" s="301">
        <v>38260</v>
      </c>
      <c r="M41" s="301">
        <v>0</v>
      </c>
      <c r="N41" s="301">
        <v>0</v>
      </c>
      <c r="O41" s="301">
        <v>0</v>
      </c>
      <c r="P41" s="301">
        <f t="shared" si="8"/>
        <v>38260</v>
      </c>
      <c r="Q41" s="179"/>
      <c r="R41" s="302">
        <v>20.6</v>
      </c>
      <c r="S41" s="179"/>
      <c r="T41" s="303">
        <f t="shared" si="3"/>
        <v>42848</v>
      </c>
      <c r="U41" s="303">
        <f t="shared" si="9"/>
        <v>0</v>
      </c>
      <c r="V41" s="303" t="str">
        <f t="shared" si="7"/>
        <v xml:space="preserve"> </v>
      </c>
      <c r="W41" s="303" t="str">
        <f t="shared" si="0"/>
        <v xml:space="preserve"> </v>
      </c>
      <c r="X41" s="303">
        <f t="shared" si="1"/>
        <v>42848</v>
      </c>
      <c r="Y41" s="298"/>
      <c r="Z41" s="163">
        <f t="shared" si="10"/>
        <v>4588</v>
      </c>
      <c r="AB41" s="170"/>
    </row>
    <row r="42" spans="1:28">
      <c r="A42" s="1">
        <f t="shared" si="5"/>
        <v>31</v>
      </c>
      <c r="C42" s="1">
        <f t="shared" si="6"/>
        <v>31</v>
      </c>
      <c r="D42" s="1">
        <v>1031</v>
      </c>
      <c r="E42" s="177"/>
      <c r="F42" s="208"/>
      <c r="H42" s="35">
        <v>2176</v>
      </c>
      <c r="I42" s="300">
        <v>39.5</v>
      </c>
      <c r="J42" s="300"/>
      <c r="K42" s="300"/>
      <c r="L42" s="301">
        <v>71569.070000000007</v>
      </c>
      <c r="M42" s="301">
        <v>1949.94</v>
      </c>
      <c r="N42" s="301">
        <v>0</v>
      </c>
      <c r="O42" s="301">
        <v>0</v>
      </c>
      <c r="P42" s="301">
        <f t="shared" si="8"/>
        <v>73519.010000000009</v>
      </c>
      <c r="Q42" s="179"/>
      <c r="R42" s="302">
        <v>34.92</v>
      </c>
      <c r="S42" s="179"/>
      <c r="T42" s="303">
        <f t="shared" si="3"/>
        <v>72633.600000000006</v>
      </c>
      <c r="U42" s="303">
        <f t="shared" si="9"/>
        <v>2069.0100000000002</v>
      </c>
      <c r="V42" s="303" t="str">
        <f t="shared" si="7"/>
        <v xml:space="preserve"> </v>
      </c>
      <c r="W42" s="303" t="str">
        <f t="shared" si="0"/>
        <v xml:space="preserve"> </v>
      </c>
      <c r="X42" s="303">
        <f t="shared" si="1"/>
        <v>74702.61</v>
      </c>
      <c r="Y42" s="304"/>
      <c r="Z42" s="305">
        <f t="shared" si="10"/>
        <v>1183.5999999999913</v>
      </c>
      <c r="AB42" s="170"/>
    </row>
    <row r="43" spans="1:28">
      <c r="A43" s="1">
        <f t="shared" si="5"/>
        <v>32</v>
      </c>
      <c r="C43" s="1">
        <f t="shared" si="6"/>
        <v>32</v>
      </c>
      <c r="D43" s="1">
        <v>1032</v>
      </c>
      <c r="E43" s="177"/>
      <c r="F43" s="1" t="s">
        <v>139</v>
      </c>
      <c r="H43" s="35">
        <v>1085</v>
      </c>
      <c r="I43" s="300">
        <v>6</v>
      </c>
      <c r="J43" s="300"/>
      <c r="K43" s="300"/>
      <c r="L43" s="301">
        <v>28544.58</v>
      </c>
      <c r="M43" s="301">
        <v>235.02</v>
      </c>
      <c r="N43" s="301">
        <v>0</v>
      </c>
      <c r="O43" s="301">
        <v>0</v>
      </c>
      <c r="P43" s="301">
        <f t="shared" si="8"/>
        <v>28779.600000000002</v>
      </c>
      <c r="Q43" s="179"/>
      <c r="R43" s="302">
        <v>0</v>
      </c>
      <c r="S43" s="179"/>
      <c r="T43" s="303">
        <f t="shared" si="3"/>
        <v>0</v>
      </c>
      <c r="U43" s="303">
        <f t="shared" si="9"/>
        <v>0</v>
      </c>
      <c r="V43" s="303" t="str">
        <f t="shared" si="7"/>
        <v xml:space="preserve"> </v>
      </c>
      <c r="W43" s="303" t="str">
        <f t="shared" si="0"/>
        <v xml:space="preserve"> </v>
      </c>
      <c r="X43" s="303">
        <f t="shared" si="1"/>
        <v>0</v>
      </c>
      <c r="Y43" s="298"/>
      <c r="Z43" s="163">
        <f t="shared" si="10"/>
        <v>-28779.600000000002</v>
      </c>
      <c r="AB43" s="170"/>
    </row>
    <row r="44" spans="1:28">
      <c r="A44" s="1">
        <f t="shared" si="5"/>
        <v>33</v>
      </c>
      <c r="C44" s="1">
        <f t="shared" si="6"/>
        <v>33</v>
      </c>
      <c r="D44" s="1">
        <v>1033</v>
      </c>
      <c r="E44" s="177"/>
      <c r="H44" s="35">
        <v>2150</v>
      </c>
      <c r="I44" s="300">
        <v>277</v>
      </c>
      <c r="J44" s="300"/>
      <c r="K44" s="300"/>
      <c r="L44" s="301">
        <v>90310.77</v>
      </c>
      <c r="M44" s="301">
        <v>17459.84</v>
      </c>
      <c r="N44" s="301">
        <v>0</v>
      </c>
      <c r="O44" s="301">
        <v>0</v>
      </c>
      <c r="P44" s="301">
        <f t="shared" si="8"/>
        <v>107770.61</v>
      </c>
      <c r="Q44" s="179"/>
      <c r="R44" s="302">
        <v>44.59</v>
      </c>
      <c r="S44" s="179"/>
      <c r="T44" s="303">
        <f t="shared" si="3"/>
        <v>92747.200000000012</v>
      </c>
      <c r="U44" s="303">
        <f t="shared" si="9"/>
        <v>18527.145</v>
      </c>
      <c r="V44" s="303" t="str">
        <f t="shared" si="7"/>
        <v xml:space="preserve"> </v>
      </c>
      <c r="W44" s="303" t="str">
        <f t="shared" si="0"/>
        <v xml:space="preserve"> </v>
      </c>
      <c r="X44" s="303">
        <f t="shared" si="1"/>
        <v>111274.34500000002</v>
      </c>
      <c r="Y44" s="298"/>
      <c r="Z44" s="163">
        <f t="shared" si="10"/>
        <v>3503.7350000000151</v>
      </c>
      <c r="AB44" s="170"/>
    </row>
    <row r="45" spans="1:28">
      <c r="A45" s="1">
        <f t="shared" si="5"/>
        <v>34</v>
      </c>
      <c r="C45" s="1">
        <f t="shared" si="6"/>
        <v>34</v>
      </c>
      <c r="D45" s="1">
        <v>1034</v>
      </c>
      <c r="E45" s="177"/>
      <c r="H45" s="35">
        <v>2310</v>
      </c>
      <c r="I45" s="300">
        <v>399.5</v>
      </c>
      <c r="J45" s="300"/>
      <c r="K45" s="300"/>
      <c r="L45" s="301">
        <v>97035.21</v>
      </c>
      <c r="M45" s="301">
        <v>25175.51</v>
      </c>
      <c r="N45" s="301">
        <v>0</v>
      </c>
      <c r="O45" s="301">
        <v>0</v>
      </c>
      <c r="P45" s="301">
        <f t="shared" si="8"/>
        <v>122210.72</v>
      </c>
      <c r="Q45" s="179"/>
      <c r="R45" s="302">
        <v>44.59</v>
      </c>
      <c r="S45" s="179"/>
      <c r="T45" s="303">
        <f t="shared" si="3"/>
        <v>92747.200000000012</v>
      </c>
      <c r="U45" s="303">
        <f t="shared" si="9"/>
        <v>26720.557500000003</v>
      </c>
      <c r="V45" s="303" t="str">
        <f t="shared" si="7"/>
        <v xml:space="preserve"> </v>
      </c>
      <c r="W45" s="303" t="str">
        <f t="shared" si="0"/>
        <v xml:space="preserve"> </v>
      </c>
      <c r="X45" s="303">
        <f t="shared" si="1"/>
        <v>119467.75750000001</v>
      </c>
      <c r="Y45" s="298"/>
      <c r="Z45" s="163">
        <f t="shared" si="10"/>
        <v>-2742.9624999999942</v>
      </c>
      <c r="AB45" s="170"/>
    </row>
    <row r="46" spans="1:28">
      <c r="A46" s="1">
        <f t="shared" si="5"/>
        <v>35</v>
      </c>
      <c r="C46" s="1">
        <f t="shared" si="6"/>
        <v>35</v>
      </c>
      <c r="D46" s="1">
        <v>1035</v>
      </c>
      <c r="E46" s="177"/>
      <c r="F46" s="1" t="s">
        <v>139</v>
      </c>
      <c r="H46" s="35">
        <v>2176.5</v>
      </c>
      <c r="I46" s="300">
        <v>6</v>
      </c>
      <c r="J46" s="300"/>
      <c r="K46" s="300"/>
      <c r="L46" s="301">
        <v>46010.27</v>
      </c>
      <c r="M46" s="301">
        <v>184.62</v>
      </c>
      <c r="N46" s="301">
        <v>0</v>
      </c>
      <c r="O46" s="301">
        <v>0</v>
      </c>
      <c r="P46" s="301">
        <f t="shared" si="8"/>
        <v>46194.89</v>
      </c>
      <c r="Q46" s="179"/>
      <c r="R46" s="302">
        <v>0</v>
      </c>
      <c r="S46" s="179"/>
      <c r="T46" s="303">
        <f t="shared" si="3"/>
        <v>0</v>
      </c>
      <c r="U46" s="303">
        <f t="shared" si="9"/>
        <v>0</v>
      </c>
      <c r="V46" s="303" t="str">
        <f t="shared" si="7"/>
        <v xml:space="preserve"> </v>
      </c>
      <c r="W46" s="303" t="str">
        <f t="shared" si="0"/>
        <v xml:space="preserve"> </v>
      </c>
      <c r="X46" s="303">
        <f t="shared" si="1"/>
        <v>0</v>
      </c>
      <c r="Y46" s="298"/>
      <c r="Z46" s="163">
        <f t="shared" si="10"/>
        <v>-46194.89</v>
      </c>
      <c r="AB46" s="170"/>
    </row>
    <row r="47" spans="1:28">
      <c r="A47" s="1">
        <f t="shared" si="5"/>
        <v>36</v>
      </c>
      <c r="C47" s="1">
        <f t="shared" si="6"/>
        <v>36</v>
      </c>
      <c r="D47" s="1">
        <v>1036</v>
      </c>
      <c r="E47" s="177"/>
      <c r="H47" s="35">
        <v>2128</v>
      </c>
      <c r="I47" s="300">
        <v>0.5</v>
      </c>
      <c r="J47" s="300"/>
      <c r="K47" s="300"/>
      <c r="L47" s="301">
        <v>46111.01</v>
      </c>
      <c r="M47" s="301">
        <v>16.28</v>
      </c>
      <c r="N47" s="301">
        <v>0</v>
      </c>
      <c r="O47" s="301">
        <v>0</v>
      </c>
      <c r="P47" s="301">
        <f t="shared" si="8"/>
        <v>46127.29</v>
      </c>
      <c r="Q47" s="179"/>
      <c r="R47" s="302">
        <v>23.03</v>
      </c>
      <c r="S47" s="179"/>
      <c r="T47" s="303">
        <f t="shared" si="3"/>
        <v>47902.400000000001</v>
      </c>
      <c r="U47" s="303">
        <f t="shared" si="9"/>
        <v>17.272500000000001</v>
      </c>
      <c r="V47" s="303" t="str">
        <f t="shared" si="7"/>
        <v xml:space="preserve"> </v>
      </c>
      <c r="W47" s="303" t="str">
        <f t="shared" si="0"/>
        <v xml:space="preserve"> </v>
      </c>
      <c r="X47" s="303">
        <f t="shared" si="1"/>
        <v>47919.672500000001</v>
      </c>
      <c r="Y47" s="298"/>
      <c r="Z47" s="163">
        <f t="shared" si="10"/>
        <v>1792.3824999999997</v>
      </c>
      <c r="AB47" s="170"/>
    </row>
    <row r="48" spans="1:28">
      <c r="A48" s="1">
        <f t="shared" si="5"/>
        <v>37</v>
      </c>
      <c r="C48" s="1">
        <f t="shared" si="6"/>
        <v>37</v>
      </c>
      <c r="D48" s="1">
        <v>1037</v>
      </c>
      <c r="E48" s="177"/>
      <c r="H48" s="35">
        <v>2176</v>
      </c>
      <c r="I48" s="300">
        <v>5.5</v>
      </c>
      <c r="J48" s="300"/>
      <c r="K48" s="300"/>
      <c r="L48" s="301">
        <v>50691.77</v>
      </c>
      <c r="M48" s="301">
        <v>192.31</v>
      </c>
      <c r="N48" s="301">
        <v>0</v>
      </c>
      <c r="O48" s="301">
        <v>0</v>
      </c>
      <c r="P48" s="301">
        <f t="shared" si="8"/>
        <v>50884.079999999994</v>
      </c>
      <c r="Q48" s="179"/>
      <c r="R48" s="302">
        <v>24.73</v>
      </c>
      <c r="S48" s="179"/>
      <c r="T48" s="303">
        <f t="shared" si="3"/>
        <v>51438.400000000001</v>
      </c>
      <c r="U48" s="303">
        <f t="shared" si="9"/>
        <v>204.02250000000004</v>
      </c>
      <c r="V48" s="303" t="str">
        <f t="shared" si="7"/>
        <v xml:space="preserve"> </v>
      </c>
      <c r="W48" s="303" t="str">
        <f t="shared" si="0"/>
        <v xml:space="preserve"> </v>
      </c>
      <c r="X48" s="303">
        <f t="shared" si="1"/>
        <v>51642.422500000001</v>
      </c>
      <c r="Y48" s="298"/>
      <c r="Z48" s="163">
        <f>X48-P48</f>
        <v>758.34250000000611</v>
      </c>
      <c r="AB48" s="170"/>
    </row>
    <row r="49" spans="1:28">
      <c r="A49" s="1">
        <f t="shared" si="5"/>
        <v>38</v>
      </c>
      <c r="C49" s="1">
        <f t="shared" si="6"/>
        <v>38</v>
      </c>
      <c r="D49" s="1">
        <v>1038</v>
      </c>
      <c r="E49" s="177"/>
      <c r="F49" s="1" t="s">
        <v>139</v>
      </c>
      <c r="H49" s="35">
        <v>44.5</v>
      </c>
      <c r="I49" s="300">
        <v>0</v>
      </c>
      <c r="J49" s="300"/>
      <c r="K49" s="300"/>
      <c r="L49" s="301">
        <v>866.86</v>
      </c>
      <c r="M49" s="301">
        <v>0</v>
      </c>
      <c r="N49" s="301">
        <v>0</v>
      </c>
      <c r="O49" s="301">
        <v>0</v>
      </c>
      <c r="P49" s="301">
        <f t="shared" si="8"/>
        <v>866.86</v>
      </c>
      <c r="Q49" s="179"/>
      <c r="R49" s="302">
        <v>0</v>
      </c>
      <c r="S49" s="179"/>
      <c r="T49" s="303">
        <f t="shared" si="3"/>
        <v>0</v>
      </c>
      <c r="U49" s="303">
        <f t="shared" si="9"/>
        <v>0</v>
      </c>
      <c r="V49" s="303" t="str">
        <f t="shared" si="7"/>
        <v xml:space="preserve"> </v>
      </c>
      <c r="W49" s="303" t="str">
        <f t="shared" si="0"/>
        <v xml:space="preserve"> </v>
      </c>
      <c r="X49" s="303">
        <f t="shared" si="1"/>
        <v>0</v>
      </c>
      <c r="Y49" s="298"/>
      <c r="Z49" s="163">
        <f>X49-P49</f>
        <v>-866.86</v>
      </c>
      <c r="AB49" s="170"/>
    </row>
    <row r="50" spans="1:28">
      <c r="A50" s="1">
        <f t="shared" si="5"/>
        <v>39</v>
      </c>
      <c r="C50" s="1">
        <f t="shared" si="6"/>
        <v>39</v>
      </c>
      <c r="D50" s="1">
        <v>1039</v>
      </c>
      <c r="E50" s="177"/>
      <c r="H50" s="35">
        <v>2260</v>
      </c>
      <c r="I50" s="300">
        <v>325</v>
      </c>
      <c r="J50" s="300"/>
      <c r="K50" s="300"/>
      <c r="L50" s="301">
        <v>52649.8</v>
      </c>
      <c r="M50" s="301">
        <v>11363.65</v>
      </c>
      <c r="N50" s="301">
        <v>0</v>
      </c>
      <c r="O50" s="301">
        <v>6500</v>
      </c>
      <c r="P50" s="301">
        <f t="shared" si="8"/>
        <v>70513.450000000012</v>
      </c>
      <c r="Q50" s="179"/>
      <c r="R50" s="302">
        <v>24.73</v>
      </c>
      <c r="S50" s="179"/>
      <c r="T50" s="303">
        <f t="shared" si="3"/>
        <v>51438.400000000001</v>
      </c>
      <c r="U50" s="303">
        <f t="shared" si="9"/>
        <v>12055.875</v>
      </c>
      <c r="V50" s="303" t="str">
        <f t="shared" si="7"/>
        <v xml:space="preserve"> </v>
      </c>
      <c r="W50" s="303">
        <f t="shared" si="0"/>
        <v>6500</v>
      </c>
      <c r="X50" s="303">
        <f t="shared" si="1"/>
        <v>69994.274999999994</v>
      </c>
      <c r="Y50" s="298"/>
      <c r="Z50" s="163">
        <f>X50-P50</f>
        <v>-519.17500000001746</v>
      </c>
      <c r="AB50" s="170"/>
    </row>
    <row r="51" spans="1:28">
      <c r="A51" s="1">
        <f t="shared" si="5"/>
        <v>40</v>
      </c>
      <c r="C51" s="1">
        <f t="shared" si="6"/>
        <v>40</v>
      </c>
      <c r="D51" s="1">
        <v>1040</v>
      </c>
      <c r="E51" s="177"/>
      <c r="H51" s="35">
        <v>2349</v>
      </c>
      <c r="I51" s="300">
        <v>407.5</v>
      </c>
      <c r="J51" s="300"/>
      <c r="K51" s="300"/>
      <c r="L51" s="301">
        <v>54724.4</v>
      </c>
      <c r="M51" s="301">
        <v>14243.05</v>
      </c>
      <c r="N51" s="301">
        <v>0</v>
      </c>
      <c r="O51" s="301">
        <v>11508</v>
      </c>
      <c r="P51" s="301">
        <f t="shared" si="8"/>
        <v>80475.45</v>
      </c>
      <c r="Q51" s="179"/>
      <c r="R51" s="302">
        <v>24.73</v>
      </c>
      <c r="S51" s="179"/>
      <c r="T51" s="303">
        <f t="shared" si="3"/>
        <v>51438.400000000001</v>
      </c>
      <c r="U51" s="303">
        <f t="shared" si="9"/>
        <v>15116.212500000001</v>
      </c>
      <c r="V51" s="303" t="str">
        <f t="shared" si="7"/>
        <v xml:space="preserve"> </v>
      </c>
      <c r="W51" s="303">
        <f t="shared" si="0"/>
        <v>11508</v>
      </c>
      <c r="X51" s="303">
        <f t="shared" si="1"/>
        <v>78062.612500000003</v>
      </c>
      <c r="Y51" s="298"/>
      <c r="Z51" s="163">
        <f>X51-P51</f>
        <v>-2412.8374999999942</v>
      </c>
      <c r="AB51" s="170"/>
    </row>
    <row r="52" spans="1:28">
      <c r="A52" s="1">
        <f t="shared" si="5"/>
        <v>41</v>
      </c>
      <c r="C52" s="1">
        <f t="shared" si="6"/>
        <v>41</v>
      </c>
      <c r="D52" s="1">
        <v>1041</v>
      </c>
      <c r="E52" s="177"/>
      <c r="H52" s="35">
        <v>1927.5</v>
      </c>
      <c r="I52" s="300">
        <v>1</v>
      </c>
      <c r="J52" s="300"/>
      <c r="K52" s="300"/>
      <c r="L52" s="301">
        <v>30029.78</v>
      </c>
      <c r="M52" s="301">
        <v>23.39</v>
      </c>
      <c r="N52" s="301">
        <v>0</v>
      </c>
      <c r="O52" s="301">
        <v>0</v>
      </c>
      <c r="P52" s="301">
        <f t="shared" si="8"/>
        <v>30053.17</v>
      </c>
      <c r="Q52" s="179"/>
      <c r="R52" s="302">
        <v>16.22</v>
      </c>
      <c r="S52" s="179"/>
      <c r="T52" s="303">
        <f t="shared" si="3"/>
        <v>33737.599999999999</v>
      </c>
      <c r="U52" s="303">
        <f t="shared" si="9"/>
        <v>24.33</v>
      </c>
      <c r="V52" s="303" t="str">
        <f t="shared" si="7"/>
        <v xml:space="preserve"> </v>
      </c>
      <c r="W52" s="303" t="str">
        <f t="shared" si="0"/>
        <v xml:space="preserve"> </v>
      </c>
      <c r="X52" s="303">
        <f t="shared" si="1"/>
        <v>33761.93</v>
      </c>
      <c r="Y52" s="298"/>
      <c r="Z52" s="163">
        <f t="shared" ref="Z52:Z55" si="12">X52-P52</f>
        <v>3708.760000000002</v>
      </c>
      <c r="AB52" s="170"/>
    </row>
    <row r="53" spans="1:28">
      <c r="A53" s="1">
        <f t="shared" si="5"/>
        <v>42</v>
      </c>
      <c r="C53" s="1">
        <f t="shared" si="6"/>
        <v>42</v>
      </c>
      <c r="D53" s="1">
        <v>1042</v>
      </c>
      <c r="E53" s="177"/>
      <c r="H53" s="35">
        <v>2127</v>
      </c>
      <c r="I53" s="300">
        <v>178.5</v>
      </c>
      <c r="J53" s="300"/>
      <c r="K53" s="300"/>
      <c r="L53" s="301">
        <v>39090.93</v>
      </c>
      <c r="M53" s="301">
        <v>4922.46</v>
      </c>
      <c r="N53" s="301">
        <v>0</v>
      </c>
      <c r="O53" s="301">
        <v>0</v>
      </c>
      <c r="P53" s="301">
        <f t="shared" si="8"/>
        <v>44013.39</v>
      </c>
      <c r="Q53" s="179"/>
      <c r="R53" s="302">
        <v>19.52</v>
      </c>
      <c r="S53" s="179"/>
      <c r="T53" s="303">
        <f t="shared" si="3"/>
        <v>40601.599999999999</v>
      </c>
      <c r="U53" s="303">
        <f t="shared" si="9"/>
        <v>5226.4799999999996</v>
      </c>
      <c r="V53" s="303" t="str">
        <f t="shared" si="7"/>
        <v xml:space="preserve"> </v>
      </c>
      <c r="W53" s="303" t="str">
        <f t="shared" si="0"/>
        <v xml:space="preserve"> </v>
      </c>
      <c r="X53" s="303">
        <f t="shared" ref="X53:X55" si="13">SUM(T53:W53)</f>
        <v>45828.08</v>
      </c>
      <c r="Y53" s="298"/>
      <c r="Z53" s="163">
        <f t="shared" si="12"/>
        <v>1814.6900000000023</v>
      </c>
      <c r="AB53" s="170"/>
    </row>
    <row r="54" spans="1:28">
      <c r="A54" s="1">
        <f t="shared" si="5"/>
        <v>43</v>
      </c>
      <c r="C54" s="1">
        <f t="shared" si="6"/>
        <v>43</v>
      </c>
      <c r="D54" s="1">
        <v>1043</v>
      </c>
      <c r="E54" s="177"/>
      <c r="H54" s="35">
        <v>2136</v>
      </c>
      <c r="I54" s="300">
        <v>0</v>
      </c>
      <c r="J54" s="300"/>
      <c r="K54" s="300"/>
      <c r="L54" s="301">
        <v>118957.64</v>
      </c>
      <c r="M54" s="301">
        <v>0</v>
      </c>
      <c r="N54" s="301">
        <v>0</v>
      </c>
      <c r="O54" s="301">
        <v>0</v>
      </c>
      <c r="P54" s="301">
        <f t="shared" si="8"/>
        <v>118957.64</v>
      </c>
      <c r="Q54" s="179"/>
      <c r="R54" s="302">
        <v>62.5</v>
      </c>
      <c r="S54" s="179"/>
      <c r="T54" s="303">
        <f t="shared" si="3"/>
        <v>130000</v>
      </c>
      <c r="U54" s="303">
        <f t="shared" si="9"/>
        <v>0</v>
      </c>
      <c r="V54" s="303" t="str">
        <f t="shared" si="7"/>
        <v xml:space="preserve"> </v>
      </c>
      <c r="W54" s="303" t="str">
        <f t="shared" si="0"/>
        <v xml:space="preserve"> </v>
      </c>
      <c r="X54" s="303">
        <f t="shared" si="13"/>
        <v>130000</v>
      </c>
      <c r="Y54" s="298"/>
      <c r="Z54" s="163">
        <f t="shared" si="12"/>
        <v>11042.36</v>
      </c>
      <c r="AB54" s="170"/>
    </row>
    <row r="55" spans="1:28">
      <c r="A55" s="1">
        <f t="shared" si="5"/>
        <v>44</v>
      </c>
      <c r="C55" s="1">
        <f t="shared" si="6"/>
        <v>44</v>
      </c>
      <c r="D55" s="1">
        <v>1044</v>
      </c>
      <c r="E55" s="177"/>
      <c r="H55" s="35">
        <v>2182</v>
      </c>
      <c r="I55" s="300">
        <v>381</v>
      </c>
      <c r="J55" s="300"/>
      <c r="K55" s="300"/>
      <c r="L55" s="301">
        <v>34563.599999999999</v>
      </c>
      <c r="M55" s="301">
        <v>9058.2900000000009</v>
      </c>
      <c r="N55" s="301">
        <v>0</v>
      </c>
      <c r="O55" s="301">
        <v>0</v>
      </c>
      <c r="P55" s="301">
        <f t="shared" si="8"/>
        <v>43621.89</v>
      </c>
      <c r="Q55" s="179"/>
      <c r="R55" s="302">
        <v>18.54</v>
      </c>
      <c r="S55" s="179"/>
      <c r="T55" s="303">
        <f t="shared" si="3"/>
        <v>38563.199999999997</v>
      </c>
      <c r="U55" s="303">
        <f t="shared" si="9"/>
        <v>10595.61</v>
      </c>
      <c r="V55" s="303" t="str">
        <f t="shared" si="7"/>
        <v xml:space="preserve"> </v>
      </c>
      <c r="W55" s="303" t="str">
        <f t="shared" si="0"/>
        <v xml:space="preserve"> </v>
      </c>
      <c r="X55" s="303">
        <f t="shared" si="13"/>
        <v>49158.81</v>
      </c>
      <c r="Y55" s="298"/>
      <c r="Z55" s="163">
        <f t="shared" si="12"/>
        <v>5536.9199999999983</v>
      </c>
      <c r="AB55" s="170"/>
    </row>
    <row r="56" spans="1:28">
      <c r="A56" s="1">
        <f t="shared" si="5"/>
        <v>45</v>
      </c>
      <c r="C56" s="1">
        <f t="shared" si="6"/>
        <v>45</v>
      </c>
      <c r="D56" s="1">
        <v>1045</v>
      </c>
      <c r="E56" s="177"/>
      <c r="H56" s="35">
        <v>2080</v>
      </c>
      <c r="I56" s="300">
        <v>0</v>
      </c>
      <c r="J56" s="300"/>
      <c r="K56" s="300"/>
      <c r="L56" s="301">
        <v>69973.52</v>
      </c>
      <c r="M56" s="301">
        <v>0</v>
      </c>
      <c r="N56" s="301">
        <v>0</v>
      </c>
      <c r="O56" s="301">
        <v>0</v>
      </c>
      <c r="P56" s="301">
        <f t="shared" si="8"/>
        <v>69973.52</v>
      </c>
      <c r="Q56" s="179"/>
      <c r="R56" s="302">
        <v>37.14</v>
      </c>
      <c r="S56" s="179"/>
      <c r="T56" s="303">
        <f t="shared" si="3"/>
        <v>77251.199999999997</v>
      </c>
      <c r="U56" s="303">
        <f t="shared" si="9"/>
        <v>0</v>
      </c>
      <c r="V56" s="303" t="str">
        <f t="shared" si="7"/>
        <v xml:space="preserve"> </v>
      </c>
      <c r="W56" s="303" t="str">
        <f t="shared" si="0"/>
        <v xml:space="preserve"> </v>
      </c>
      <c r="X56" s="303">
        <f t="shared" si="1"/>
        <v>77251.199999999997</v>
      </c>
      <c r="Y56" s="298"/>
      <c r="Z56" s="163">
        <f>X56-P56</f>
        <v>7277.679999999993</v>
      </c>
      <c r="AB56" s="170"/>
    </row>
    <row r="57" spans="1:28">
      <c r="A57" s="1">
        <f t="shared" si="5"/>
        <v>46</v>
      </c>
      <c r="C57" s="1">
        <f t="shared" si="6"/>
        <v>46</v>
      </c>
      <c r="D57" s="1">
        <v>1046</v>
      </c>
      <c r="E57" s="177"/>
      <c r="H57" s="35">
        <v>2080</v>
      </c>
      <c r="I57" s="300">
        <v>23</v>
      </c>
      <c r="J57" s="300"/>
      <c r="K57" s="300"/>
      <c r="L57" s="301">
        <v>29538.37</v>
      </c>
      <c r="M57" s="301">
        <v>490.25</v>
      </c>
      <c r="N57" s="301">
        <v>0</v>
      </c>
      <c r="O57" s="301">
        <v>0</v>
      </c>
      <c r="P57" s="301">
        <f t="shared" si="8"/>
        <v>30028.62</v>
      </c>
      <c r="Q57" s="179"/>
      <c r="R57" s="302">
        <v>17</v>
      </c>
      <c r="S57" s="179"/>
      <c r="T57" s="303">
        <f t="shared" si="3"/>
        <v>35360</v>
      </c>
      <c r="U57" s="303">
        <f t="shared" si="9"/>
        <v>586.5</v>
      </c>
      <c r="V57" s="303" t="str">
        <f t="shared" si="7"/>
        <v xml:space="preserve"> </v>
      </c>
      <c r="W57" s="303" t="str">
        <f t="shared" si="0"/>
        <v xml:space="preserve"> </v>
      </c>
      <c r="X57" s="303">
        <f t="shared" si="1"/>
        <v>35946.5</v>
      </c>
      <c r="Y57" s="298"/>
      <c r="Z57" s="163">
        <f>X57-P57</f>
        <v>5917.880000000001</v>
      </c>
      <c r="AB57" s="170"/>
    </row>
    <row r="58" spans="1:28">
      <c r="A58" s="1">
        <f t="shared" si="5"/>
        <v>47</v>
      </c>
      <c r="C58" s="1">
        <f t="shared" si="6"/>
        <v>47</v>
      </c>
      <c r="D58" s="1">
        <v>1047</v>
      </c>
      <c r="E58" s="177"/>
      <c r="F58" s="1" t="s">
        <v>140</v>
      </c>
      <c r="H58" s="35">
        <v>0</v>
      </c>
      <c r="I58" s="300">
        <v>0</v>
      </c>
      <c r="J58" s="300"/>
      <c r="K58" s="300"/>
      <c r="L58" s="301">
        <v>0</v>
      </c>
      <c r="M58" s="301">
        <v>0</v>
      </c>
      <c r="N58" s="301"/>
      <c r="O58" s="301">
        <v>0</v>
      </c>
      <c r="P58" s="301">
        <f t="shared" si="8"/>
        <v>0</v>
      </c>
      <c r="Q58" s="179"/>
      <c r="R58" s="302">
        <v>22.92</v>
      </c>
      <c r="S58" s="179"/>
      <c r="T58" s="303">
        <f t="shared" si="3"/>
        <v>47673.600000000006</v>
      </c>
      <c r="U58" s="303">
        <f t="shared" si="9"/>
        <v>0</v>
      </c>
      <c r="V58" s="303" t="str">
        <f t="shared" si="7"/>
        <v xml:space="preserve"> </v>
      </c>
      <c r="W58" s="303" t="str">
        <f t="shared" si="0"/>
        <v xml:space="preserve"> </v>
      </c>
      <c r="X58" s="303">
        <f t="shared" si="1"/>
        <v>47673.600000000006</v>
      </c>
      <c r="Y58" s="298"/>
      <c r="Z58" s="163">
        <f t="shared" ref="Z58:Z60" si="14">X58-P58</f>
        <v>47673.600000000006</v>
      </c>
      <c r="AB58" s="170"/>
    </row>
    <row r="59" spans="1:28">
      <c r="A59" s="1">
        <f t="shared" si="5"/>
        <v>48</v>
      </c>
      <c r="C59" s="1">
        <f t="shared" si="6"/>
        <v>48</v>
      </c>
      <c r="D59" s="1">
        <v>1048</v>
      </c>
      <c r="E59" s="177"/>
      <c r="F59" s="1" t="s">
        <v>140</v>
      </c>
      <c r="H59" s="35">
        <v>0</v>
      </c>
      <c r="I59" s="300">
        <v>0</v>
      </c>
      <c r="J59" s="300"/>
      <c r="K59" s="300"/>
      <c r="L59" s="301">
        <v>0</v>
      </c>
      <c r="M59" s="301">
        <v>0</v>
      </c>
      <c r="N59" s="301"/>
      <c r="O59" s="301">
        <v>0</v>
      </c>
      <c r="P59" s="301">
        <f t="shared" si="8"/>
        <v>0</v>
      </c>
      <c r="Q59" s="179"/>
      <c r="R59" s="302">
        <v>26.43</v>
      </c>
      <c r="S59" s="179"/>
      <c r="T59" s="303">
        <f t="shared" si="3"/>
        <v>54974.400000000001</v>
      </c>
      <c r="U59" s="303">
        <f t="shared" si="9"/>
        <v>0</v>
      </c>
      <c r="V59" s="303" t="str">
        <f t="shared" si="7"/>
        <v xml:space="preserve"> </v>
      </c>
      <c r="W59" s="303" t="str">
        <f t="shared" si="0"/>
        <v xml:space="preserve"> </v>
      </c>
      <c r="X59" s="303">
        <f t="shared" si="1"/>
        <v>54974.400000000001</v>
      </c>
      <c r="Y59" s="298"/>
      <c r="Z59" s="163">
        <f t="shared" si="14"/>
        <v>54974.400000000001</v>
      </c>
      <c r="AB59" s="170"/>
    </row>
    <row r="60" spans="1:28">
      <c r="A60" s="1">
        <f t="shared" si="5"/>
        <v>49</v>
      </c>
      <c r="C60" s="1">
        <f t="shared" si="6"/>
        <v>49</v>
      </c>
      <c r="D60" s="1">
        <v>1049</v>
      </c>
      <c r="E60" s="177"/>
      <c r="F60" s="1" t="s">
        <v>140</v>
      </c>
      <c r="H60" s="35">
        <v>0</v>
      </c>
      <c r="I60" s="300">
        <v>0</v>
      </c>
      <c r="J60" s="300"/>
      <c r="K60" s="300"/>
      <c r="L60" s="301">
        <v>0</v>
      </c>
      <c r="M60" s="301">
        <v>0</v>
      </c>
      <c r="N60" s="301"/>
      <c r="O60" s="301">
        <v>0</v>
      </c>
      <c r="P60" s="301">
        <f t="shared" si="8"/>
        <v>0</v>
      </c>
      <c r="Q60" s="179"/>
      <c r="R60" s="302">
        <v>13</v>
      </c>
      <c r="S60" s="179"/>
      <c r="T60" s="303">
        <f t="shared" si="3"/>
        <v>27040</v>
      </c>
      <c r="U60" s="303">
        <f t="shared" si="9"/>
        <v>0</v>
      </c>
      <c r="V60" s="303" t="str">
        <f t="shared" si="7"/>
        <v xml:space="preserve"> </v>
      </c>
      <c r="W60" s="303" t="str">
        <f t="shared" si="0"/>
        <v xml:space="preserve"> </v>
      </c>
      <c r="X60" s="303">
        <f t="shared" si="1"/>
        <v>27040</v>
      </c>
      <c r="Y60" s="298"/>
      <c r="Z60" s="163">
        <f t="shared" si="14"/>
        <v>27040</v>
      </c>
      <c r="AB60" s="170"/>
    </row>
    <row r="61" spans="1:28">
      <c r="A61" s="1">
        <f t="shared" si="5"/>
        <v>50</v>
      </c>
      <c r="C61" s="5">
        <f>MAX(C12:C60)</f>
        <v>49</v>
      </c>
      <c r="D61" s="306" t="s">
        <v>14</v>
      </c>
      <c r="E61" s="307" t="s">
        <v>22</v>
      </c>
      <c r="F61" s="306"/>
      <c r="H61" s="308">
        <f>SUM(H12:H60)</f>
        <v>87862</v>
      </c>
      <c r="I61" s="308">
        <f>SUM(I12:I60)</f>
        <v>6261</v>
      </c>
      <c r="J61" s="308">
        <f>SUM(J17:J40,J41:J60)</f>
        <v>0</v>
      </c>
      <c r="K61" s="309"/>
      <c r="L61" s="308">
        <f>SUM(L12:L60)</f>
        <v>2411606.4000000004</v>
      </c>
      <c r="M61" s="308">
        <f>SUM(M12:M60)</f>
        <v>262128.76000000004</v>
      </c>
      <c r="N61" s="308">
        <f>SUM(N17:N40,N41:N60)</f>
        <v>0</v>
      </c>
      <c r="O61" s="308">
        <f>SUM(O12:O60)</f>
        <v>31008</v>
      </c>
      <c r="P61" s="308">
        <f>SUM(P12:P60)</f>
        <v>2704743.1600000006</v>
      </c>
      <c r="Q61" s="310"/>
      <c r="R61" s="308"/>
      <c r="S61" s="310"/>
      <c r="T61" s="308">
        <f>SUM(T12:T60)</f>
        <v>2421681.6000000006</v>
      </c>
      <c r="U61" s="308">
        <f>SUM(U12:U60)</f>
        <v>230787.46499999997</v>
      </c>
      <c r="V61" s="308">
        <f>SUM(V17:V40,V41:V60)</f>
        <v>0</v>
      </c>
      <c r="W61" s="308">
        <f>SUM(W12:W60)</f>
        <v>31008</v>
      </c>
      <c r="X61" s="308">
        <f>SUM(X12:X60)</f>
        <v>2683477.0650000004</v>
      </c>
      <c r="Y61" s="311"/>
      <c r="Z61" s="308">
        <f>SUM(Z12:Z60)</f>
        <v>-21266.094999999907</v>
      </c>
      <c r="AB61" s="170"/>
    </row>
    <row r="62" spans="1:28" s="312" customFormat="1">
      <c r="A62" s="1">
        <f t="shared" si="5"/>
        <v>51</v>
      </c>
      <c r="C62" s="313"/>
      <c r="D62" s="313"/>
      <c r="F62" s="313"/>
      <c r="G62" s="313"/>
      <c r="K62" s="314"/>
      <c r="Q62" s="315"/>
      <c r="S62" s="297"/>
      <c r="Y62" s="316"/>
      <c r="AB62" s="170"/>
    </row>
    <row r="63" spans="1:28" s="312" customFormat="1" ht="13.5" customHeight="1" thickBot="1">
      <c r="A63" s="1">
        <f t="shared" si="5"/>
        <v>52</v>
      </c>
      <c r="C63" s="317" t="s">
        <v>370</v>
      </c>
      <c r="D63" s="317"/>
      <c r="E63" s="317" t="s">
        <v>15</v>
      </c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9">
        <f>Z61</f>
        <v>-21266.094999999907</v>
      </c>
      <c r="AB63" s="170"/>
    </row>
    <row r="64" spans="1:28" ht="13.8" thickTop="1"/>
    <row r="65" spans="1:26">
      <c r="D65" s="265" t="s">
        <v>371</v>
      </c>
      <c r="E65" s="320" t="s">
        <v>371</v>
      </c>
      <c r="H65" s="261" t="s">
        <v>139</v>
      </c>
      <c r="I65" s="321" t="s">
        <v>372</v>
      </c>
      <c r="O65" s="261" t="s">
        <v>140</v>
      </c>
      <c r="P65" s="321" t="s">
        <v>373</v>
      </c>
      <c r="W65" s="261"/>
    </row>
    <row r="66" spans="1:26">
      <c r="A66" s="313"/>
    </row>
    <row r="67" spans="1:26" ht="30" customHeight="1">
      <c r="A67" s="313"/>
      <c r="B67" s="47"/>
      <c r="C67" s="273" t="s">
        <v>374</v>
      </c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47"/>
      <c r="Z67" s="47"/>
    </row>
    <row r="69" spans="1:26">
      <c r="A69" s="313"/>
    </row>
    <row r="70" spans="1:26" ht="13.2" customHeight="1">
      <c r="A70" s="313"/>
      <c r="D70" s="322" t="s">
        <v>375</v>
      </c>
      <c r="E70" s="180" t="s">
        <v>375</v>
      </c>
      <c r="L70" s="323" t="s">
        <v>142</v>
      </c>
      <c r="M70" s="323" t="s">
        <v>141</v>
      </c>
      <c r="N70" s="323"/>
      <c r="O70" s="323"/>
      <c r="P70" s="323" t="s">
        <v>15</v>
      </c>
    </row>
    <row r="71" spans="1:26">
      <c r="A71" s="313">
        <f>A63+1</f>
        <v>53</v>
      </c>
      <c r="C71" s="3"/>
      <c r="D71" s="1" t="s">
        <v>132</v>
      </c>
      <c r="E71" s="1" t="s">
        <v>132</v>
      </c>
      <c r="F71" s="3" t="s">
        <v>133</v>
      </c>
      <c r="H71" s="1"/>
      <c r="L71" s="324">
        <v>897329.48</v>
      </c>
      <c r="M71" s="249">
        <f>L71/K$82</f>
        <v>0.20168460108982075</v>
      </c>
      <c r="P71" s="170">
        <f>$Z$63*M71</f>
        <v>-4289.0438868132132</v>
      </c>
    </row>
    <row r="72" spans="1:26">
      <c r="A72" s="313">
        <f>A71+1</f>
        <v>54</v>
      </c>
      <c r="C72" s="3"/>
      <c r="D72" s="1" t="s">
        <v>134</v>
      </c>
      <c r="E72" s="1" t="s">
        <v>134</v>
      </c>
      <c r="F72" s="3" t="s">
        <v>135</v>
      </c>
      <c r="H72" s="1"/>
      <c r="L72" s="324">
        <v>999701.99</v>
      </c>
      <c r="M72" s="249">
        <f>L72/K$82</f>
        <v>0.22469394080516555</v>
      </c>
      <c r="P72" s="170">
        <f>$Z$63*M72</f>
        <v>-4778.3626910870062</v>
      </c>
    </row>
    <row r="73" spans="1:26">
      <c r="A73" s="313">
        <f t="shared" ref="A73:A75" si="15">A72+1</f>
        <v>55</v>
      </c>
      <c r="C73" s="3"/>
      <c r="D73" s="1" t="s">
        <v>136</v>
      </c>
      <c r="E73" s="1" t="s">
        <v>136</v>
      </c>
      <c r="F73" s="3" t="s">
        <v>112</v>
      </c>
      <c r="H73" s="1"/>
      <c r="L73" s="324">
        <v>427663.98000000004</v>
      </c>
      <c r="M73" s="249">
        <f>L73/K$82</f>
        <v>9.6122150368652876E-2</v>
      </c>
      <c r="P73" s="170">
        <f>$Z$63*M73</f>
        <v>-2044.142781344048</v>
      </c>
    </row>
    <row r="74" spans="1:26">
      <c r="A74" s="313">
        <f t="shared" si="15"/>
        <v>56</v>
      </c>
      <c r="C74" s="3"/>
      <c r="D74" s="1" t="s">
        <v>376</v>
      </c>
      <c r="E74" s="1" t="s">
        <v>376</v>
      </c>
      <c r="F74" s="3" t="s">
        <v>84</v>
      </c>
      <c r="H74" s="1"/>
      <c r="L74" s="324">
        <v>53395.79</v>
      </c>
      <c r="M74" s="249">
        <f>L74/K$82</f>
        <v>1.200128698103827E-2</v>
      </c>
      <c r="P74" s="170">
        <f>$Z$63*M74</f>
        <v>-255.22050906102191</v>
      </c>
    </row>
    <row r="75" spans="1:26">
      <c r="A75" s="313">
        <f t="shared" si="15"/>
        <v>57</v>
      </c>
      <c r="C75" s="3"/>
      <c r="D75" s="1" t="s">
        <v>137</v>
      </c>
      <c r="E75" s="1" t="s">
        <v>137</v>
      </c>
      <c r="F75" s="3" t="s">
        <v>131</v>
      </c>
      <c r="H75" s="1"/>
      <c r="L75" s="324">
        <v>695317.75999999989</v>
      </c>
      <c r="M75" s="249">
        <f>L75/K$82</f>
        <v>0.15628026068670753</v>
      </c>
      <c r="P75" s="170">
        <f>$Z$63*M75</f>
        <v>-3323.4708703882729</v>
      </c>
    </row>
    <row r="76" spans="1:26" ht="15" customHeight="1">
      <c r="A76" s="313">
        <f>A75+1</f>
        <v>58</v>
      </c>
      <c r="C76" s="3"/>
      <c r="D76" s="325" t="s">
        <v>377</v>
      </c>
      <c r="E76" s="5"/>
      <c r="F76" s="182"/>
      <c r="G76" s="5"/>
      <c r="H76" s="5"/>
      <c r="I76" s="51"/>
      <c r="J76" s="51"/>
      <c r="K76" s="326">
        <f>SUM(L71:L75)</f>
        <v>3073409</v>
      </c>
      <c r="L76" s="326"/>
      <c r="M76" s="327">
        <f>SUM(M71:M75)</f>
        <v>0.69078223993138499</v>
      </c>
      <c r="P76" s="328">
        <f>SUM(P71:P75)</f>
        <v>-14690.240738693563</v>
      </c>
      <c r="R76" s="3" t="s">
        <v>378</v>
      </c>
    </row>
    <row r="77" spans="1:26" ht="12" customHeight="1">
      <c r="A77" s="313"/>
      <c r="C77" s="3"/>
      <c r="E77" s="1"/>
      <c r="F77" s="3"/>
      <c r="H77" s="1"/>
      <c r="K77" s="329"/>
      <c r="L77" s="329"/>
      <c r="M77" s="249"/>
    </row>
    <row r="78" spans="1:26">
      <c r="A78" s="1">
        <f>A76+1</f>
        <v>59</v>
      </c>
      <c r="C78" s="3"/>
      <c r="D78" s="1" t="s">
        <v>379</v>
      </c>
      <c r="E78" s="1" t="s">
        <v>379</v>
      </c>
      <c r="F78" s="3" t="s">
        <v>380</v>
      </c>
      <c r="H78" s="1"/>
      <c r="L78" s="324">
        <f>938378+327002</f>
        <v>1265380</v>
      </c>
      <c r="M78" s="249">
        <f>L78/K$82</f>
        <v>0.28440797523674066</v>
      </c>
      <c r="P78" s="170">
        <f>$Z$63*M78</f>
        <v>-6048.2470201421474</v>
      </c>
    </row>
    <row r="79" spans="1:26">
      <c r="A79" s="1">
        <f>A78+1</f>
        <v>60</v>
      </c>
      <c r="C79" s="3"/>
      <c r="D79" s="1" t="s">
        <v>381</v>
      </c>
      <c r="E79" s="1" t="s">
        <v>381</v>
      </c>
      <c r="F79" s="3" t="s">
        <v>382</v>
      </c>
      <c r="H79" s="1"/>
      <c r="L79" s="324">
        <f>110383</f>
        <v>110383</v>
      </c>
      <c r="M79" s="249">
        <f>L79/K$82</f>
        <v>2.4809784831874335E-2</v>
      </c>
      <c r="P79" s="170">
        <f>$Z$63*M79</f>
        <v>-527.60724116419635</v>
      </c>
    </row>
    <row r="80" spans="1:26" ht="15" customHeight="1">
      <c r="A80" s="1">
        <f>A79+1</f>
        <v>61</v>
      </c>
      <c r="C80" s="3"/>
      <c r="D80" s="5"/>
      <c r="E80" s="5"/>
      <c r="F80" s="51"/>
      <c r="G80" s="5"/>
      <c r="H80" s="5"/>
      <c r="I80" s="51" t="s">
        <v>22</v>
      </c>
      <c r="J80" s="51"/>
      <c r="K80" s="326">
        <f>SUM(L78:L79)</f>
        <v>1375763</v>
      </c>
      <c r="L80" s="326"/>
      <c r="M80" s="327">
        <f>SUM(M78:M79)</f>
        <v>0.30921776006861501</v>
      </c>
      <c r="P80" s="330">
        <f>SUM(P78:P79)</f>
        <v>-6575.8542613063437</v>
      </c>
    </row>
    <row r="81" spans="1:16" ht="5.25" customHeight="1">
      <c r="C81" s="3"/>
      <c r="E81" s="1"/>
      <c r="F81" s="3"/>
      <c r="H81" s="1"/>
      <c r="K81" s="329"/>
      <c r="L81" s="329"/>
      <c r="M81" s="42"/>
    </row>
    <row r="82" spans="1:16" ht="15" customHeight="1" thickBot="1">
      <c r="A82" s="1">
        <f t="shared" ref="A82" si="16">A80+1</f>
        <v>62</v>
      </c>
      <c r="C82" s="3"/>
      <c r="D82" s="331"/>
      <c r="E82" s="331"/>
      <c r="F82" s="4" t="s">
        <v>45</v>
      </c>
      <c r="G82" s="331"/>
      <c r="H82" s="331"/>
      <c r="I82" s="4"/>
      <c r="J82" s="4"/>
      <c r="K82" s="332">
        <f>K76+K80</f>
        <v>4449172</v>
      </c>
      <c r="L82" s="332"/>
      <c r="M82" s="54">
        <f>M76+M80</f>
        <v>1</v>
      </c>
      <c r="P82" s="333">
        <f>P76+P80</f>
        <v>-21266.094999999907</v>
      </c>
    </row>
    <row r="83" spans="1:16" ht="13.8" thickTop="1"/>
    <row r="87" spans="1:16">
      <c r="D87" s="322"/>
      <c r="E87" s="180"/>
    </row>
    <row r="88" spans="1:16">
      <c r="J88" s="1"/>
      <c r="K88" s="1"/>
    </row>
    <row r="89" spans="1:16">
      <c r="D89" s="322"/>
      <c r="E89" s="322"/>
      <c r="F89" s="322"/>
      <c r="G89" s="322"/>
      <c r="L89" s="244"/>
      <c r="M89" s="244"/>
    </row>
    <row r="90" spans="1:16">
      <c r="E90" s="1"/>
      <c r="F90" s="3"/>
    </row>
    <row r="91" spans="1:16">
      <c r="D91" s="178"/>
      <c r="E91" s="178"/>
      <c r="F91" s="3"/>
      <c r="L91" s="334"/>
      <c r="M91" s="335"/>
    </row>
    <row r="92" spans="1:16">
      <c r="D92" s="178"/>
      <c r="E92" s="178"/>
      <c r="F92" s="3"/>
      <c r="L92" s="334"/>
      <c r="M92" s="335"/>
    </row>
    <row r="93" spans="1:16">
      <c r="D93" s="178"/>
      <c r="E93" s="178"/>
      <c r="F93" s="3"/>
      <c r="L93" s="334"/>
      <c r="M93" s="335"/>
    </row>
    <row r="94" spans="1:16">
      <c r="D94" s="178"/>
      <c r="E94" s="178"/>
      <c r="F94" s="3"/>
      <c r="L94" s="334"/>
      <c r="M94" s="335"/>
    </row>
    <row r="95" spans="1:16" ht="13.2" customHeight="1">
      <c r="D95" s="178"/>
      <c r="E95" s="178"/>
      <c r="F95" s="3"/>
      <c r="L95" s="334"/>
      <c r="M95" s="335"/>
    </row>
    <row r="96" spans="1:16" ht="13.2" customHeight="1">
      <c r="D96" s="178"/>
      <c r="E96" s="178"/>
      <c r="F96" s="3"/>
      <c r="L96" s="334"/>
      <c r="M96" s="335"/>
    </row>
    <row r="97" spans="6:13">
      <c r="F97" s="3"/>
      <c r="K97" s="336"/>
      <c r="L97" s="336"/>
      <c r="M97" s="335"/>
    </row>
  </sheetData>
  <mergeCells count="14">
    <mergeCell ref="C67:X67"/>
    <mergeCell ref="K76:L76"/>
    <mergeCell ref="K80:L80"/>
    <mergeCell ref="K82:L82"/>
    <mergeCell ref="K97:L97"/>
    <mergeCell ref="A3:Z3"/>
    <mergeCell ref="A4:Z4"/>
    <mergeCell ref="A6:Z6"/>
    <mergeCell ref="C8:F8"/>
    <mergeCell ref="H8:J8"/>
    <mergeCell ref="L8:P8"/>
    <mergeCell ref="R8:R9"/>
    <mergeCell ref="T8:X8"/>
    <mergeCell ref="Z8:Z9"/>
  </mergeCells>
  <printOptions horizontalCentered="1"/>
  <pageMargins left="0.25" right="0.25" top="0.75" bottom="0.5" header="0.5" footer="0.5"/>
  <pageSetup scale="58" orientation="portrait" r:id="rId1"/>
  <headerFooter alignWithMargins="0"/>
  <rowBreaks count="1" manualBreakCount="1">
    <brk id="65" max="2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08808-D7A3-4990-9BDE-7D929C0D2CBF}">
  <sheetPr>
    <tabColor theme="4" tint="0.79998168889431442"/>
    <pageSetUpPr fitToPage="1"/>
  </sheetPr>
  <dimension ref="A1:T91"/>
  <sheetViews>
    <sheetView topLeftCell="A55" zoomScale="75" zoomScaleNormal="75" workbookViewId="0">
      <selection activeCell="O1" sqref="O1"/>
    </sheetView>
  </sheetViews>
  <sheetFormatPr defaultColWidth="9.109375" defaultRowHeight="13.2"/>
  <cols>
    <col min="1" max="1" width="5.88671875" style="3" customWidth="1"/>
    <col min="2" max="2" width="2.33203125" style="3" customWidth="1"/>
    <col min="3" max="3" width="6.5546875" style="3" customWidth="1"/>
    <col min="4" max="4" width="9" style="3" customWidth="1"/>
    <col min="5" max="5" width="4.33203125" style="3" customWidth="1"/>
    <col min="6" max="6" width="12.109375" style="3" customWidth="1"/>
    <col min="7" max="7" width="11.5546875" style="3" customWidth="1"/>
    <col min="8" max="8" width="11.6640625" style="3" bestFit="1" customWidth="1"/>
    <col min="9" max="9" width="11.44140625" style="3" customWidth="1"/>
    <col min="10" max="10" width="11.44140625" style="3" bestFit="1" customWidth="1"/>
    <col min="11" max="11" width="12.88671875" style="3" customWidth="1"/>
    <col min="12" max="12" width="7.88671875" style="3" customWidth="1"/>
    <col min="13" max="13" width="11.6640625" style="3" bestFit="1" customWidth="1"/>
    <col min="14" max="14" width="9.5546875" style="3" bestFit="1" customWidth="1"/>
    <col min="15" max="15" width="12.44140625" style="3" customWidth="1"/>
    <col min="16" max="16384" width="9.109375" style="3"/>
  </cols>
  <sheetData>
    <row r="1" spans="1:20">
      <c r="N1" s="3" t="s">
        <v>354</v>
      </c>
      <c r="O1" s="393" t="s">
        <v>426</v>
      </c>
    </row>
    <row r="2" spans="1:20" ht="20.25" customHeight="1">
      <c r="C2" s="177"/>
      <c r="F2" s="173"/>
      <c r="I2" s="261"/>
    </row>
    <row r="3" spans="1:20">
      <c r="A3" s="272" t="s">
        <v>355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20">
      <c r="A4" s="272" t="s">
        <v>232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</row>
    <row r="6" spans="1:20" s="174" customFormat="1" ht="15" customHeight="1">
      <c r="A6" s="269" t="s">
        <v>342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</row>
    <row r="7" spans="1:20">
      <c r="D7" s="1"/>
      <c r="E7" s="1"/>
      <c r="G7" s="261"/>
    </row>
    <row r="8" spans="1:20" s="312" customFormat="1" ht="24" customHeight="1">
      <c r="A8" s="313"/>
      <c r="C8" s="337" t="s">
        <v>309</v>
      </c>
      <c r="D8" s="338"/>
      <c r="E8" s="338"/>
      <c r="F8" s="339"/>
      <c r="G8" s="337" t="s">
        <v>383</v>
      </c>
      <c r="H8" s="339"/>
      <c r="I8" s="337" t="s">
        <v>384</v>
      </c>
      <c r="J8" s="339"/>
      <c r="K8" s="337" t="s">
        <v>385</v>
      </c>
      <c r="L8" s="339"/>
      <c r="M8" s="337" t="s">
        <v>386</v>
      </c>
      <c r="N8" s="338"/>
      <c r="O8" s="340" t="s">
        <v>45</v>
      </c>
    </row>
    <row r="9" spans="1:20">
      <c r="A9" s="1"/>
      <c r="C9" s="341"/>
      <c r="D9" s="5"/>
      <c r="E9" s="5"/>
      <c r="F9" s="342" t="s">
        <v>387</v>
      </c>
      <c r="G9" s="343" t="s">
        <v>388</v>
      </c>
      <c r="H9" s="344" t="s">
        <v>389</v>
      </c>
      <c r="I9" s="345" t="s">
        <v>390</v>
      </c>
      <c r="J9" s="344" t="s">
        <v>389</v>
      </c>
      <c r="K9" s="344" t="s">
        <v>388</v>
      </c>
      <c r="L9" s="345" t="s">
        <v>389</v>
      </c>
      <c r="M9" s="344" t="s">
        <v>388</v>
      </c>
      <c r="N9" s="343" t="s">
        <v>389</v>
      </c>
      <c r="O9" s="346" t="s">
        <v>391</v>
      </c>
      <c r="Q9" s="312"/>
      <c r="R9" s="312"/>
      <c r="S9" s="312"/>
      <c r="T9" s="312"/>
    </row>
    <row r="10" spans="1:20">
      <c r="A10" s="1" t="s">
        <v>0</v>
      </c>
      <c r="C10" s="347" t="s">
        <v>361</v>
      </c>
      <c r="D10" s="1" t="s">
        <v>348</v>
      </c>
      <c r="E10" s="1" t="s">
        <v>363</v>
      </c>
      <c r="F10" s="348" t="s">
        <v>392</v>
      </c>
      <c r="G10" s="349">
        <v>132900</v>
      </c>
      <c r="H10" s="350">
        <v>6.2E-2</v>
      </c>
      <c r="I10" s="351" t="s">
        <v>392</v>
      </c>
      <c r="J10" s="350">
        <v>1.4500000000000001E-2</v>
      </c>
      <c r="K10" s="352">
        <v>7000</v>
      </c>
      <c r="L10" s="353">
        <v>6.0000000000000001E-3</v>
      </c>
      <c r="M10" s="352">
        <v>10500</v>
      </c>
      <c r="N10" s="354">
        <v>4.0000000000000001E-3</v>
      </c>
      <c r="O10" s="350" t="s">
        <v>393</v>
      </c>
      <c r="Q10" s="312"/>
      <c r="R10" s="312"/>
      <c r="S10" s="312"/>
      <c r="T10" s="312"/>
    </row>
    <row r="11" spans="1:20">
      <c r="A11" s="175" t="s">
        <v>21</v>
      </c>
      <c r="C11" s="355">
        <v>1</v>
      </c>
      <c r="D11" s="356">
        <f>C11+1</f>
        <v>2</v>
      </c>
      <c r="E11" s="356">
        <f>D11+1</f>
        <v>3</v>
      </c>
      <c r="F11" s="357">
        <v>4</v>
      </c>
      <c r="G11" s="356">
        <f t="shared" ref="G11:O11" si="0">F11+1</f>
        <v>5</v>
      </c>
      <c r="H11" s="358">
        <f t="shared" si="0"/>
        <v>6</v>
      </c>
      <c r="I11" s="356">
        <f t="shared" si="0"/>
        <v>7</v>
      </c>
      <c r="J11" s="358">
        <f t="shared" si="0"/>
        <v>8</v>
      </c>
      <c r="K11" s="358">
        <f t="shared" si="0"/>
        <v>9</v>
      </c>
      <c r="L11" s="356">
        <f t="shared" si="0"/>
        <v>10</v>
      </c>
      <c r="M11" s="358">
        <f t="shared" si="0"/>
        <v>11</v>
      </c>
      <c r="N11" s="358">
        <f t="shared" si="0"/>
        <v>12</v>
      </c>
      <c r="O11" s="358">
        <f t="shared" si="0"/>
        <v>13</v>
      </c>
      <c r="Q11" s="312"/>
      <c r="R11" s="312"/>
      <c r="S11" s="312"/>
      <c r="T11" s="312"/>
    </row>
    <row r="12" spans="1:20">
      <c r="A12" s="1"/>
      <c r="C12" s="1"/>
      <c r="D12" s="1"/>
      <c r="E12" s="1"/>
    </row>
    <row r="13" spans="1:20" ht="20.100000000000001" hidden="1" customHeight="1">
      <c r="A13" s="1"/>
      <c r="C13" s="1"/>
      <c r="D13" s="1"/>
      <c r="E13" s="1"/>
      <c r="F13" s="359"/>
      <c r="G13" s="179"/>
      <c r="H13" s="179"/>
      <c r="Q13" s="360"/>
    </row>
    <row r="14" spans="1:20" ht="20.100000000000001" hidden="1" customHeight="1">
      <c r="A14" s="1"/>
      <c r="C14" s="1"/>
      <c r="D14" s="361"/>
      <c r="E14" s="361"/>
      <c r="F14" s="362"/>
      <c r="G14" s="179"/>
      <c r="H14" s="179"/>
      <c r="I14" s="1"/>
      <c r="J14" s="1"/>
      <c r="K14" s="1"/>
      <c r="Q14" s="360"/>
    </row>
    <row r="15" spans="1:20" s="1" customFormat="1" ht="13.8" hidden="1" thickBot="1">
      <c r="C15" s="1" t="s">
        <v>361</v>
      </c>
      <c r="D15" s="1" t="s">
        <v>394</v>
      </c>
      <c r="F15" s="363" t="s">
        <v>45</v>
      </c>
      <c r="G15" s="212"/>
      <c r="H15" s="212"/>
      <c r="I15" s="213"/>
      <c r="J15" s="361"/>
      <c r="K15" s="361"/>
      <c r="N15" s="364"/>
      <c r="O15" s="364"/>
      <c r="P15" s="365"/>
    </row>
    <row r="16" spans="1:20">
      <c r="A16" s="1">
        <v>1</v>
      </c>
      <c r="C16" s="1">
        <f>'PSC1-14-Wages'!C12</f>
        <v>1</v>
      </c>
      <c r="D16" s="1">
        <f>'PSC1-14-Wages'!D12</f>
        <v>1001</v>
      </c>
      <c r="E16" s="1"/>
      <c r="F16" s="235">
        <f>'PSC1-14-Wages'!X12</f>
        <v>92705.600000000006</v>
      </c>
      <c r="G16" s="235">
        <f>IF($F16&lt;G$10,$F16,G$10)</f>
        <v>92705.600000000006</v>
      </c>
      <c r="H16" s="235">
        <f>G16*H$10</f>
        <v>5747.7472000000007</v>
      </c>
      <c r="I16" s="235">
        <f t="shared" ref="I16:I64" si="1">F16</f>
        <v>92705.600000000006</v>
      </c>
      <c r="J16" s="235">
        <f>I16*J$10</f>
        <v>1344.2312000000002</v>
      </c>
      <c r="K16" s="235">
        <f t="shared" ref="K16:K64" si="2">IF($F16&lt;K$10,$F16,K$10)</f>
        <v>7000</v>
      </c>
      <c r="L16" s="235">
        <f>K16*L$10</f>
        <v>42</v>
      </c>
      <c r="M16" s="235">
        <f t="shared" ref="M16:M64" si="3">IF($F16&lt;M$10,$F16,M$10)</f>
        <v>10500</v>
      </c>
      <c r="N16" s="235">
        <f>M16*N$10</f>
        <v>42</v>
      </c>
      <c r="O16" s="235">
        <f>H16+J16+L16+N16</f>
        <v>7175.9784000000009</v>
      </c>
    </row>
    <row r="17" spans="1:15">
      <c r="A17" s="1">
        <f>A16+1</f>
        <v>2</v>
      </c>
      <c r="C17" s="1">
        <f>'PSC1-14-Wages'!C13</f>
        <v>2</v>
      </c>
      <c r="D17" s="1">
        <f>'PSC1-14-Wages'!D13</f>
        <v>1002</v>
      </c>
      <c r="E17" s="1"/>
      <c r="F17" s="235">
        <f>'PSC1-14-Wages'!X13</f>
        <v>69139.199999999997</v>
      </c>
      <c r="G17" s="235">
        <f t="shared" ref="G17:G64" si="4">IF($F17&lt;G$10,$F17,G$10)</f>
        <v>69139.199999999997</v>
      </c>
      <c r="H17" s="235">
        <f t="shared" ref="H17:H64" si="5">G17*H$10</f>
        <v>4286.6304</v>
      </c>
      <c r="I17" s="235">
        <f t="shared" si="1"/>
        <v>69139.199999999997</v>
      </c>
      <c r="J17" s="235">
        <f t="shared" ref="J17:J64" si="6">I17*J$10</f>
        <v>1002.5184</v>
      </c>
      <c r="K17" s="235">
        <f t="shared" si="2"/>
        <v>7000</v>
      </c>
      <c r="L17" s="235">
        <f t="shared" ref="L17:L64" si="7">K17*L$10</f>
        <v>42</v>
      </c>
      <c r="M17" s="235">
        <f t="shared" si="3"/>
        <v>10500</v>
      </c>
      <c r="N17" s="235">
        <f t="shared" ref="N17:N64" si="8">M17*N$10</f>
        <v>42</v>
      </c>
      <c r="O17" s="235">
        <f t="shared" ref="O17:O64" si="9">H17+J17+L17+N17</f>
        <v>5373.1487999999999</v>
      </c>
    </row>
    <row r="18" spans="1:15">
      <c r="A18" s="1">
        <f t="shared" ref="A18:A71" si="10">A17+1</f>
        <v>3</v>
      </c>
      <c r="C18" s="1">
        <f>'PSC1-14-Wages'!C14</f>
        <v>3</v>
      </c>
      <c r="D18" s="1">
        <f>'PSC1-14-Wages'!D14</f>
        <v>1003</v>
      </c>
      <c r="E18" s="1"/>
      <c r="F18" s="235">
        <f>'PSC1-14-Wages'!X14</f>
        <v>70335.200000000012</v>
      </c>
      <c r="G18" s="235">
        <f t="shared" si="4"/>
        <v>70335.200000000012</v>
      </c>
      <c r="H18" s="235">
        <f t="shared" si="5"/>
        <v>4360.782400000001</v>
      </c>
      <c r="I18" s="235">
        <f t="shared" si="1"/>
        <v>70335.200000000012</v>
      </c>
      <c r="J18" s="235">
        <f t="shared" si="6"/>
        <v>1019.8604000000003</v>
      </c>
      <c r="K18" s="235">
        <f t="shared" si="2"/>
        <v>7000</v>
      </c>
      <c r="L18" s="235">
        <f t="shared" si="7"/>
        <v>42</v>
      </c>
      <c r="M18" s="235">
        <f t="shared" si="3"/>
        <v>10500</v>
      </c>
      <c r="N18" s="235">
        <f t="shared" si="8"/>
        <v>42</v>
      </c>
      <c r="O18" s="235">
        <f t="shared" si="9"/>
        <v>5464.6428000000014</v>
      </c>
    </row>
    <row r="19" spans="1:15">
      <c r="A19" s="1">
        <f t="shared" si="10"/>
        <v>4</v>
      </c>
      <c r="C19" s="1">
        <f>'PSC1-14-Wages'!C15</f>
        <v>4</v>
      </c>
      <c r="D19" s="1">
        <f>'PSC1-14-Wages'!D15</f>
        <v>1004</v>
      </c>
      <c r="E19" s="1" t="str">
        <f>'PSC1-14-Wages'!F15</f>
        <v>A</v>
      </c>
      <c r="F19" s="235">
        <f>'PSC1-14-Wages'!X15</f>
        <v>0</v>
      </c>
      <c r="G19" s="235">
        <f t="shared" si="4"/>
        <v>0</v>
      </c>
      <c r="H19" s="235">
        <f t="shared" si="5"/>
        <v>0</v>
      </c>
      <c r="I19" s="235">
        <f t="shared" si="1"/>
        <v>0</v>
      </c>
      <c r="J19" s="235">
        <f t="shared" si="6"/>
        <v>0</v>
      </c>
      <c r="K19" s="235">
        <f t="shared" si="2"/>
        <v>0</v>
      </c>
      <c r="L19" s="235">
        <f t="shared" si="7"/>
        <v>0</v>
      </c>
      <c r="M19" s="235">
        <f t="shared" si="3"/>
        <v>0</v>
      </c>
      <c r="N19" s="235">
        <f t="shared" si="8"/>
        <v>0</v>
      </c>
      <c r="O19" s="235">
        <f t="shared" si="9"/>
        <v>0</v>
      </c>
    </row>
    <row r="20" spans="1:15">
      <c r="A20" s="1">
        <f t="shared" si="10"/>
        <v>5</v>
      </c>
      <c r="C20" s="1">
        <f>'PSC1-14-Wages'!C16</f>
        <v>5</v>
      </c>
      <c r="D20" s="1">
        <f>'PSC1-14-Wages'!D16</f>
        <v>1005</v>
      </c>
      <c r="E20" s="1"/>
      <c r="F20" s="235">
        <f>'PSC1-14-Wages'!X16</f>
        <v>69139.199999999997</v>
      </c>
      <c r="G20" s="235">
        <f t="shared" si="4"/>
        <v>69139.199999999997</v>
      </c>
      <c r="H20" s="235">
        <f t="shared" si="5"/>
        <v>4286.6304</v>
      </c>
      <c r="I20" s="235">
        <f t="shared" si="1"/>
        <v>69139.199999999997</v>
      </c>
      <c r="J20" s="235">
        <f t="shared" si="6"/>
        <v>1002.5184</v>
      </c>
      <c r="K20" s="235">
        <f t="shared" si="2"/>
        <v>7000</v>
      </c>
      <c r="L20" s="235">
        <f t="shared" si="7"/>
        <v>42</v>
      </c>
      <c r="M20" s="235">
        <f t="shared" si="3"/>
        <v>10500</v>
      </c>
      <c r="N20" s="235">
        <f t="shared" si="8"/>
        <v>42</v>
      </c>
      <c r="O20" s="235">
        <f t="shared" si="9"/>
        <v>5373.1487999999999</v>
      </c>
    </row>
    <row r="21" spans="1:15">
      <c r="A21" s="1">
        <f t="shared" si="10"/>
        <v>6</v>
      </c>
      <c r="C21" s="1">
        <f>'PSC1-14-Wages'!C17</f>
        <v>6</v>
      </c>
      <c r="D21" s="1">
        <f>'PSC1-14-Wages'!D17</f>
        <v>1006</v>
      </c>
      <c r="E21" s="1"/>
      <c r="F21" s="235">
        <f>'PSC1-14-Wages'!X17</f>
        <v>72152.41</v>
      </c>
      <c r="G21" s="235">
        <f t="shared" si="4"/>
        <v>72152.41</v>
      </c>
      <c r="H21" s="235">
        <f t="shared" si="5"/>
        <v>4473.4494199999999</v>
      </c>
      <c r="I21" s="235">
        <f t="shared" si="1"/>
        <v>72152.41</v>
      </c>
      <c r="J21" s="235">
        <f t="shared" si="6"/>
        <v>1046.2099450000001</v>
      </c>
      <c r="K21" s="235">
        <f t="shared" si="2"/>
        <v>7000</v>
      </c>
      <c r="L21" s="235">
        <f t="shared" si="7"/>
        <v>42</v>
      </c>
      <c r="M21" s="235">
        <f t="shared" si="3"/>
        <v>10500</v>
      </c>
      <c r="N21" s="235">
        <f t="shared" si="8"/>
        <v>42</v>
      </c>
      <c r="O21" s="235">
        <f t="shared" si="9"/>
        <v>5603.6593649999995</v>
      </c>
    </row>
    <row r="22" spans="1:15">
      <c r="A22" s="1">
        <f t="shared" si="10"/>
        <v>7</v>
      </c>
      <c r="C22" s="1">
        <f>'PSC1-14-Wages'!C18</f>
        <v>7</v>
      </c>
      <c r="D22" s="1">
        <f>'PSC1-14-Wages'!D18</f>
        <v>1007</v>
      </c>
      <c r="E22" s="1" t="str">
        <f>'PSC1-14-Wages'!F18</f>
        <v>A</v>
      </c>
      <c r="F22" s="235">
        <f>'PSC1-14-Wages'!X18</f>
        <v>0</v>
      </c>
      <c r="G22" s="235">
        <f t="shared" si="4"/>
        <v>0</v>
      </c>
      <c r="H22" s="235">
        <f t="shared" si="5"/>
        <v>0</v>
      </c>
      <c r="I22" s="235">
        <f t="shared" si="1"/>
        <v>0</v>
      </c>
      <c r="J22" s="235">
        <f t="shared" si="6"/>
        <v>0</v>
      </c>
      <c r="K22" s="235">
        <f t="shared" si="2"/>
        <v>0</v>
      </c>
      <c r="L22" s="235">
        <f t="shared" si="7"/>
        <v>0</v>
      </c>
      <c r="M22" s="235">
        <f t="shared" si="3"/>
        <v>0</v>
      </c>
      <c r="N22" s="235">
        <f t="shared" si="8"/>
        <v>0</v>
      </c>
      <c r="O22" s="235">
        <f t="shared" si="9"/>
        <v>0</v>
      </c>
    </row>
    <row r="23" spans="1:15">
      <c r="A23" s="1">
        <f t="shared" si="10"/>
        <v>8</v>
      </c>
      <c r="C23" s="1">
        <f>'PSC1-14-Wages'!C19</f>
        <v>8</v>
      </c>
      <c r="D23" s="1">
        <f>'PSC1-14-Wages'!D19</f>
        <v>1008</v>
      </c>
      <c r="E23" s="1"/>
      <c r="F23" s="235">
        <f>'PSC1-14-Wages'!X19</f>
        <v>61525.770000000004</v>
      </c>
      <c r="G23" s="235">
        <f t="shared" si="4"/>
        <v>61525.770000000004</v>
      </c>
      <c r="H23" s="235">
        <f t="shared" si="5"/>
        <v>3814.5977400000002</v>
      </c>
      <c r="I23" s="235">
        <f t="shared" si="1"/>
        <v>61525.770000000004</v>
      </c>
      <c r="J23" s="235">
        <f t="shared" si="6"/>
        <v>892.12366500000007</v>
      </c>
      <c r="K23" s="235">
        <f t="shared" si="2"/>
        <v>7000</v>
      </c>
      <c r="L23" s="235">
        <f t="shared" si="7"/>
        <v>42</v>
      </c>
      <c r="M23" s="235">
        <f t="shared" si="3"/>
        <v>10500</v>
      </c>
      <c r="N23" s="235">
        <f t="shared" si="8"/>
        <v>42</v>
      </c>
      <c r="O23" s="235">
        <f t="shared" si="9"/>
        <v>4790.7214050000002</v>
      </c>
    </row>
    <row r="24" spans="1:15">
      <c r="A24" s="1">
        <f t="shared" si="10"/>
        <v>9</v>
      </c>
      <c r="C24" s="1">
        <f>'PSC1-14-Wages'!C20</f>
        <v>9</v>
      </c>
      <c r="D24" s="1">
        <f>'PSC1-14-Wages'!D20</f>
        <v>1009</v>
      </c>
      <c r="E24" s="1"/>
      <c r="F24" s="235">
        <f>'PSC1-14-Wages'!X20</f>
        <v>83274.509999999995</v>
      </c>
      <c r="G24" s="235">
        <f t="shared" si="4"/>
        <v>83274.509999999995</v>
      </c>
      <c r="H24" s="235">
        <f t="shared" si="5"/>
        <v>5163.01962</v>
      </c>
      <c r="I24" s="235">
        <f t="shared" si="1"/>
        <v>83274.509999999995</v>
      </c>
      <c r="J24" s="235">
        <f t="shared" si="6"/>
        <v>1207.480395</v>
      </c>
      <c r="K24" s="235">
        <f t="shared" si="2"/>
        <v>7000</v>
      </c>
      <c r="L24" s="235">
        <f t="shared" si="7"/>
        <v>42</v>
      </c>
      <c r="M24" s="235">
        <f t="shared" si="3"/>
        <v>10500</v>
      </c>
      <c r="N24" s="235">
        <f t="shared" si="8"/>
        <v>42</v>
      </c>
      <c r="O24" s="235">
        <f t="shared" si="9"/>
        <v>6454.5000149999996</v>
      </c>
    </row>
    <row r="25" spans="1:15">
      <c r="A25" s="1">
        <f t="shared" si="10"/>
        <v>10</v>
      </c>
      <c r="C25" s="1">
        <f>'PSC1-14-Wages'!C21</f>
        <v>10</v>
      </c>
      <c r="D25" s="1">
        <f>'PSC1-14-Wages'!D21</f>
        <v>1010</v>
      </c>
      <c r="E25" s="1"/>
      <c r="F25" s="235">
        <f>'PSC1-14-Wages'!X21</f>
        <v>57025.9</v>
      </c>
      <c r="G25" s="235">
        <f t="shared" si="4"/>
        <v>57025.9</v>
      </c>
      <c r="H25" s="235">
        <f t="shared" si="5"/>
        <v>3535.6058000000003</v>
      </c>
      <c r="I25" s="235">
        <f t="shared" si="1"/>
        <v>57025.9</v>
      </c>
      <c r="J25" s="235">
        <f t="shared" si="6"/>
        <v>826.87555000000009</v>
      </c>
      <c r="K25" s="235">
        <f t="shared" si="2"/>
        <v>7000</v>
      </c>
      <c r="L25" s="235">
        <f t="shared" si="7"/>
        <v>42</v>
      </c>
      <c r="M25" s="235">
        <f t="shared" si="3"/>
        <v>10500</v>
      </c>
      <c r="N25" s="235">
        <f t="shared" si="8"/>
        <v>42</v>
      </c>
      <c r="O25" s="235">
        <f t="shared" si="9"/>
        <v>4446.48135</v>
      </c>
    </row>
    <row r="26" spans="1:15">
      <c r="A26" s="1">
        <f t="shared" si="10"/>
        <v>11</v>
      </c>
      <c r="C26" s="1">
        <f>'PSC1-14-Wages'!C22</f>
        <v>11</v>
      </c>
      <c r="D26" s="1">
        <f>'PSC1-14-Wages'!D22</f>
        <v>1011</v>
      </c>
      <c r="E26" s="1"/>
      <c r="F26" s="235">
        <f>'PSC1-14-Wages'!X22</f>
        <v>72105.87</v>
      </c>
      <c r="G26" s="235">
        <f t="shared" si="4"/>
        <v>72105.87</v>
      </c>
      <c r="H26" s="235">
        <f t="shared" si="5"/>
        <v>4470.56394</v>
      </c>
      <c r="I26" s="235">
        <f t="shared" si="1"/>
        <v>72105.87</v>
      </c>
      <c r="J26" s="235">
        <f t="shared" si="6"/>
        <v>1045.5351149999999</v>
      </c>
      <c r="K26" s="235">
        <f t="shared" si="2"/>
        <v>7000</v>
      </c>
      <c r="L26" s="235">
        <f t="shared" si="7"/>
        <v>42</v>
      </c>
      <c r="M26" s="235">
        <f t="shared" si="3"/>
        <v>10500</v>
      </c>
      <c r="N26" s="235">
        <f t="shared" si="8"/>
        <v>42</v>
      </c>
      <c r="O26" s="235">
        <f t="shared" si="9"/>
        <v>5600.0990549999997</v>
      </c>
    </row>
    <row r="27" spans="1:15">
      <c r="A27" s="1">
        <f t="shared" si="10"/>
        <v>12</v>
      </c>
      <c r="C27" s="1">
        <f>'PSC1-14-Wages'!C23</f>
        <v>12</v>
      </c>
      <c r="D27" s="1">
        <f>'PSC1-14-Wages'!D23</f>
        <v>1012</v>
      </c>
      <c r="E27" s="1"/>
      <c r="F27" s="235">
        <f>'PSC1-14-Wages'!X23</f>
        <v>79678.37</v>
      </c>
      <c r="G27" s="235">
        <f t="shared" si="4"/>
        <v>79678.37</v>
      </c>
      <c r="H27" s="235">
        <f t="shared" si="5"/>
        <v>4940.0589399999999</v>
      </c>
      <c r="I27" s="235">
        <f t="shared" si="1"/>
        <v>79678.37</v>
      </c>
      <c r="J27" s="235">
        <f t="shared" si="6"/>
        <v>1155.3363649999999</v>
      </c>
      <c r="K27" s="235">
        <f t="shared" si="2"/>
        <v>7000</v>
      </c>
      <c r="L27" s="235">
        <f t="shared" si="7"/>
        <v>42</v>
      </c>
      <c r="M27" s="235">
        <f t="shared" si="3"/>
        <v>10500</v>
      </c>
      <c r="N27" s="235">
        <f t="shared" si="8"/>
        <v>42</v>
      </c>
      <c r="O27" s="235">
        <f t="shared" si="9"/>
        <v>6179.395305</v>
      </c>
    </row>
    <row r="28" spans="1:15">
      <c r="A28" s="1">
        <f t="shared" si="10"/>
        <v>13</v>
      </c>
      <c r="C28" s="1">
        <f>'PSC1-14-Wages'!C24</f>
        <v>13</v>
      </c>
      <c r="D28" s="1">
        <f>'PSC1-14-Wages'!D24</f>
        <v>1013</v>
      </c>
      <c r="E28" s="1"/>
      <c r="F28" s="235">
        <f>'PSC1-14-Wages'!X24</f>
        <v>65845.179999999993</v>
      </c>
      <c r="G28" s="235">
        <f t="shared" si="4"/>
        <v>65845.179999999993</v>
      </c>
      <c r="H28" s="235">
        <f t="shared" si="5"/>
        <v>4082.4011599999994</v>
      </c>
      <c r="I28" s="235">
        <f t="shared" si="1"/>
        <v>65845.179999999993</v>
      </c>
      <c r="J28" s="235">
        <f t="shared" si="6"/>
        <v>954.75510999999995</v>
      </c>
      <c r="K28" s="235">
        <f t="shared" si="2"/>
        <v>7000</v>
      </c>
      <c r="L28" s="235">
        <f t="shared" si="7"/>
        <v>42</v>
      </c>
      <c r="M28" s="235">
        <f t="shared" si="3"/>
        <v>10500</v>
      </c>
      <c r="N28" s="235">
        <f t="shared" si="8"/>
        <v>42</v>
      </c>
      <c r="O28" s="235">
        <f t="shared" si="9"/>
        <v>5121.1562699999995</v>
      </c>
    </row>
    <row r="29" spans="1:15">
      <c r="A29" s="1">
        <f t="shared" si="10"/>
        <v>14</v>
      </c>
      <c r="C29" s="1">
        <f>'PSC1-14-Wages'!C25</f>
        <v>14</v>
      </c>
      <c r="D29" s="1">
        <f>'PSC1-14-Wages'!D25</f>
        <v>1014</v>
      </c>
      <c r="E29" s="1"/>
      <c r="F29" s="235">
        <f>'PSC1-14-Wages'!X25</f>
        <v>76343.97</v>
      </c>
      <c r="G29" s="235">
        <f t="shared" si="4"/>
        <v>76343.97</v>
      </c>
      <c r="H29" s="235">
        <f t="shared" si="5"/>
        <v>4733.3261400000001</v>
      </c>
      <c r="I29" s="235">
        <f t="shared" si="1"/>
        <v>76343.97</v>
      </c>
      <c r="J29" s="235">
        <f t="shared" si="6"/>
        <v>1106.9875650000001</v>
      </c>
      <c r="K29" s="235">
        <f t="shared" si="2"/>
        <v>7000</v>
      </c>
      <c r="L29" s="235">
        <f t="shared" si="7"/>
        <v>42</v>
      </c>
      <c r="M29" s="235">
        <f t="shared" si="3"/>
        <v>10500</v>
      </c>
      <c r="N29" s="235">
        <f t="shared" si="8"/>
        <v>42</v>
      </c>
      <c r="O29" s="235">
        <f t="shared" si="9"/>
        <v>5924.3137050000005</v>
      </c>
    </row>
    <row r="30" spans="1:15">
      <c r="A30" s="1">
        <f t="shared" si="10"/>
        <v>15</v>
      </c>
      <c r="C30" s="1">
        <f>'PSC1-14-Wages'!C26</f>
        <v>15</v>
      </c>
      <c r="D30" s="1">
        <f>'PSC1-14-Wages'!D26</f>
        <v>1015</v>
      </c>
      <c r="E30" s="1"/>
      <c r="F30" s="235">
        <f>'PSC1-14-Wages'!X26</f>
        <v>83124.929999999993</v>
      </c>
      <c r="G30" s="235">
        <f t="shared" si="4"/>
        <v>83124.929999999993</v>
      </c>
      <c r="H30" s="235">
        <f t="shared" si="5"/>
        <v>5153.7456599999996</v>
      </c>
      <c r="I30" s="235">
        <f t="shared" si="1"/>
        <v>83124.929999999993</v>
      </c>
      <c r="J30" s="235">
        <f t="shared" si="6"/>
        <v>1205.3114849999999</v>
      </c>
      <c r="K30" s="235">
        <f t="shared" si="2"/>
        <v>7000</v>
      </c>
      <c r="L30" s="235">
        <f t="shared" si="7"/>
        <v>42</v>
      </c>
      <c r="M30" s="235">
        <f t="shared" si="3"/>
        <v>10500</v>
      </c>
      <c r="N30" s="235">
        <f t="shared" si="8"/>
        <v>42</v>
      </c>
      <c r="O30" s="235">
        <f t="shared" si="9"/>
        <v>6443.0571449999998</v>
      </c>
    </row>
    <row r="31" spans="1:15">
      <c r="A31" s="1">
        <f t="shared" si="10"/>
        <v>16</v>
      </c>
      <c r="C31" s="1">
        <f>'PSC1-14-Wages'!C27</f>
        <v>16</v>
      </c>
      <c r="D31" s="1">
        <f>'PSC1-14-Wages'!D27</f>
        <v>1016</v>
      </c>
      <c r="E31" s="1"/>
      <c r="F31" s="235">
        <f>'PSC1-14-Wages'!X27</f>
        <v>97316.75</v>
      </c>
      <c r="G31" s="235">
        <f t="shared" si="4"/>
        <v>97316.75</v>
      </c>
      <c r="H31" s="235">
        <f t="shared" si="5"/>
        <v>6033.6385</v>
      </c>
      <c r="I31" s="235">
        <f t="shared" si="1"/>
        <v>97316.75</v>
      </c>
      <c r="J31" s="235">
        <f t="shared" si="6"/>
        <v>1411.092875</v>
      </c>
      <c r="K31" s="235">
        <f t="shared" si="2"/>
        <v>7000</v>
      </c>
      <c r="L31" s="235">
        <f t="shared" si="7"/>
        <v>42</v>
      </c>
      <c r="M31" s="235">
        <f t="shared" si="3"/>
        <v>10500</v>
      </c>
      <c r="N31" s="235">
        <f t="shared" si="8"/>
        <v>42</v>
      </c>
      <c r="O31" s="235">
        <f t="shared" si="9"/>
        <v>7528.7313750000003</v>
      </c>
    </row>
    <row r="32" spans="1:15">
      <c r="A32" s="1">
        <f t="shared" si="10"/>
        <v>17</v>
      </c>
      <c r="C32" s="1">
        <f>'PSC1-14-Wages'!C28</f>
        <v>17</v>
      </c>
      <c r="D32" s="1">
        <f>'PSC1-14-Wages'!D28</f>
        <v>1017</v>
      </c>
      <c r="E32" s="1" t="str">
        <f>'PSC1-14-Wages'!F28</f>
        <v>A</v>
      </c>
      <c r="F32" s="235">
        <f>'PSC1-14-Wages'!X28</f>
        <v>0</v>
      </c>
      <c r="G32" s="235">
        <f t="shared" si="4"/>
        <v>0</v>
      </c>
      <c r="H32" s="235">
        <f t="shared" si="5"/>
        <v>0</v>
      </c>
      <c r="I32" s="235">
        <f t="shared" si="1"/>
        <v>0</v>
      </c>
      <c r="J32" s="235">
        <f t="shared" si="6"/>
        <v>0</v>
      </c>
      <c r="K32" s="235">
        <f t="shared" si="2"/>
        <v>0</v>
      </c>
      <c r="L32" s="235">
        <f t="shared" si="7"/>
        <v>0</v>
      </c>
      <c r="M32" s="235">
        <f t="shared" si="3"/>
        <v>0</v>
      </c>
      <c r="N32" s="235">
        <f t="shared" si="8"/>
        <v>0</v>
      </c>
      <c r="O32" s="235">
        <f t="shared" si="9"/>
        <v>0</v>
      </c>
    </row>
    <row r="33" spans="1:15">
      <c r="A33" s="1">
        <f t="shared" si="10"/>
        <v>18</v>
      </c>
      <c r="C33" s="1">
        <f>'PSC1-14-Wages'!C29</f>
        <v>18</v>
      </c>
      <c r="D33" s="1">
        <f>'PSC1-14-Wages'!D29</f>
        <v>1018</v>
      </c>
      <c r="E33" s="1" t="str">
        <f>'PSC1-14-Wages'!F29</f>
        <v>A</v>
      </c>
      <c r="F33" s="235">
        <f>'PSC1-14-Wages'!X29</f>
        <v>0</v>
      </c>
      <c r="G33" s="235">
        <f t="shared" si="4"/>
        <v>0</v>
      </c>
      <c r="H33" s="235">
        <f t="shared" si="5"/>
        <v>0</v>
      </c>
      <c r="I33" s="235">
        <f t="shared" si="1"/>
        <v>0</v>
      </c>
      <c r="J33" s="235">
        <f t="shared" si="6"/>
        <v>0</v>
      </c>
      <c r="K33" s="235">
        <f t="shared" si="2"/>
        <v>0</v>
      </c>
      <c r="L33" s="235">
        <f t="shared" si="7"/>
        <v>0</v>
      </c>
      <c r="M33" s="235">
        <f t="shared" si="3"/>
        <v>0</v>
      </c>
      <c r="N33" s="235">
        <f t="shared" si="8"/>
        <v>0</v>
      </c>
      <c r="O33" s="235">
        <f t="shared" si="9"/>
        <v>0</v>
      </c>
    </row>
    <row r="34" spans="1:15">
      <c r="A34" s="1">
        <f t="shared" si="10"/>
        <v>19</v>
      </c>
      <c r="C34" s="1">
        <f>'PSC1-14-Wages'!C30</f>
        <v>19</v>
      </c>
      <c r="D34" s="1">
        <f>'PSC1-14-Wages'!D30</f>
        <v>1019</v>
      </c>
      <c r="E34" s="1"/>
      <c r="F34" s="235">
        <f>'PSC1-14-Wages'!X30</f>
        <v>65673.23</v>
      </c>
      <c r="G34" s="235">
        <f t="shared" si="4"/>
        <v>65673.23</v>
      </c>
      <c r="H34" s="235">
        <f t="shared" si="5"/>
        <v>4071.7402599999996</v>
      </c>
      <c r="I34" s="235">
        <f t="shared" si="1"/>
        <v>65673.23</v>
      </c>
      <c r="J34" s="235">
        <f t="shared" si="6"/>
        <v>952.26183500000002</v>
      </c>
      <c r="K34" s="235">
        <f t="shared" si="2"/>
        <v>7000</v>
      </c>
      <c r="L34" s="235">
        <f t="shared" si="7"/>
        <v>42</v>
      </c>
      <c r="M34" s="235">
        <f t="shared" si="3"/>
        <v>10500</v>
      </c>
      <c r="N34" s="235">
        <f t="shared" si="8"/>
        <v>42</v>
      </c>
      <c r="O34" s="235">
        <f t="shared" si="9"/>
        <v>5108.0020949999998</v>
      </c>
    </row>
    <row r="35" spans="1:15">
      <c r="A35" s="1">
        <f t="shared" si="10"/>
        <v>20</v>
      </c>
      <c r="C35" s="1">
        <f>'PSC1-14-Wages'!C31</f>
        <v>20</v>
      </c>
      <c r="D35" s="1">
        <f>'PSC1-14-Wages'!D31</f>
        <v>1020</v>
      </c>
      <c r="E35" s="1"/>
      <c r="F35" s="235">
        <f>'PSC1-14-Wages'!X31</f>
        <v>85830.132500000007</v>
      </c>
      <c r="G35" s="235">
        <f t="shared" si="4"/>
        <v>85830.132500000007</v>
      </c>
      <c r="H35" s="235">
        <f t="shared" si="5"/>
        <v>5321.4682150000008</v>
      </c>
      <c r="I35" s="235">
        <f t="shared" si="1"/>
        <v>85830.132500000007</v>
      </c>
      <c r="J35" s="235">
        <f t="shared" si="6"/>
        <v>1244.5369212500002</v>
      </c>
      <c r="K35" s="235">
        <f t="shared" si="2"/>
        <v>7000</v>
      </c>
      <c r="L35" s="235">
        <f t="shared" si="7"/>
        <v>42</v>
      </c>
      <c r="M35" s="235">
        <f t="shared" si="3"/>
        <v>10500</v>
      </c>
      <c r="N35" s="235">
        <f t="shared" si="8"/>
        <v>42</v>
      </c>
      <c r="O35" s="235">
        <f t="shared" si="9"/>
        <v>6650.0051362500008</v>
      </c>
    </row>
    <row r="36" spans="1:15">
      <c r="A36" s="1">
        <f t="shared" si="10"/>
        <v>21</v>
      </c>
      <c r="C36" s="1">
        <f>'PSC1-14-Wages'!C32</f>
        <v>21</v>
      </c>
      <c r="D36" s="1">
        <f>'PSC1-14-Wages'!D32</f>
        <v>1021</v>
      </c>
      <c r="E36" s="1"/>
      <c r="F36" s="235">
        <f>'PSC1-14-Wages'!X32</f>
        <v>76536.372500000012</v>
      </c>
      <c r="G36" s="235">
        <f t="shared" si="4"/>
        <v>76536.372500000012</v>
      </c>
      <c r="H36" s="235">
        <f t="shared" si="5"/>
        <v>4745.2550950000004</v>
      </c>
      <c r="I36" s="235">
        <f t="shared" si="1"/>
        <v>76536.372500000012</v>
      </c>
      <c r="J36" s="235">
        <f t="shared" si="6"/>
        <v>1109.7774012500001</v>
      </c>
      <c r="K36" s="235">
        <f t="shared" si="2"/>
        <v>7000</v>
      </c>
      <c r="L36" s="235">
        <f t="shared" si="7"/>
        <v>42</v>
      </c>
      <c r="M36" s="235">
        <f t="shared" si="3"/>
        <v>10500</v>
      </c>
      <c r="N36" s="235">
        <f t="shared" si="8"/>
        <v>42</v>
      </c>
      <c r="O36" s="235">
        <f t="shared" si="9"/>
        <v>5939.0324962500008</v>
      </c>
    </row>
    <row r="37" spans="1:15">
      <c r="A37" s="1">
        <f t="shared" si="10"/>
        <v>22</v>
      </c>
      <c r="C37" s="1">
        <f>'PSC1-14-Wages'!C33</f>
        <v>22</v>
      </c>
      <c r="D37" s="1">
        <f>'PSC1-14-Wages'!D33</f>
        <v>1022</v>
      </c>
      <c r="E37" s="1"/>
      <c r="F37" s="235">
        <f>'PSC1-14-Wages'!X33</f>
        <v>43852</v>
      </c>
      <c r="G37" s="235">
        <f t="shared" si="4"/>
        <v>43852</v>
      </c>
      <c r="H37" s="235">
        <f t="shared" si="5"/>
        <v>2718.8240000000001</v>
      </c>
      <c r="I37" s="235">
        <f t="shared" si="1"/>
        <v>43852</v>
      </c>
      <c r="J37" s="235">
        <f t="shared" si="6"/>
        <v>635.85400000000004</v>
      </c>
      <c r="K37" s="235">
        <f t="shared" si="2"/>
        <v>7000</v>
      </c>
      <c r="L37" s="235">
        <f t="shared" si="7"/>
        <v>42</v>
      </c>
      <c r="M37" s="235">
        <f t="shared" si="3"/>
        <v>10500</v>
      </c>
      <c r="N37" s="235">
        <f t="shared" si="8"/>
        <v>42</v>
      </c>
      <c r="O37" s="235">
        <f t="shared" si="9"/>
        <v>3438.6779999999999</v>
      </c>
    </row>
    <row r="38" spans="1:15">
      <c r="A38" s="1">
        <f t="shared" si="10"/>
        <v>23</v>
      </c>
      <c r="C38" s="1">
        <f>'PSC1-14-Wages'!C34</f>
        <v>23</v>
      </c>
      <c r="D38" s="1">
        <f>'PSC1-14-Wages'!D34</f>
        <v>1023</v>
      </c>
      <c r="E38" s="1"/>
      <c r="F38" s="235">
        <f>'PSC1-14-Wages'!X34</f>
        <v>51492</v>
      </c>
      <c r="G38" s="235">
        <f t="shared" si="4"/>
        <v>51492</v>
      </c>
      <c r="H38" s="235">
        <f t="shared" si="5"/>
        <v>3192.5039999999999</v>
      </c>
      <c r="I38" s="235">
        <f t="shared" si="1"/>
        <v>51492</v>
      </c>
      <c r="J38" s="235">
        <f t="shared" si="6"/>
        <v>746.63400000000001</v>
      </c>
      <c r="K38" s="235">
        <f t="shared" si="2"/>
        <v>7000</v>
      </c>
      <c r="L38" s="235">
        <f t="shared" si="7"/>
        <v>42</v>
      </c>
      <c r="M38" s="235">
        <f t="shared" si="3"/>
        <v>10500</v>
      </c>
      <c r="N38" s="235">
        <f t="shared" si="8"/>
        <v>42</v>
      </c>
      <c r="O38" s="235">
        <f t="shared" si="9"/>
        <v>4023.1379999999999</v>
      </c>
    </row>
    <row r="39" spans="1:15">
      <c r="A39" s="1">
        <f t="shared" si="10"/>
        <v>24</v>
      </c>
      <c r="C39" s="1">
        <f>'PSC1-14-Wages'!C35</f>
        <v>24</v>
      </c>
      <c r="D39" s="1">
        <f>'PSC1-14-Wages'!D35</f>
        <v>1024</v>
      </c>
      <c r="E39" s="1" t="str">
        <f>'PSC1-14-Wages'!F35</f>
        <v>A</v>
      </c>
      <c r="F39" s="235">
        <f>'PSC1-14-Wages'!X35</f>
        <v>0</v>
      </c>
      <c r="G39" s="235">
        <f t="shared" si="4"/>
        <v>0</v>
      </c>
      <c r="H39" s="235">
        <f t="shared" si="5"/>
        <v>0</v>
      </c>
      <c r="I39" s="235">
        <f t="shared" si="1"/>
        <v>0</v>
      </c>
      <c r="J39" s="235">
        <f t="shared" si="6"/>
        <v>0</v>
      </c>
      <c r="K39" s="235">
        <f t="shared" si="2"/>
        <v>0</v>
      </c>
      <c r="L39" s="235">
        <f t="shared" si="7"/>
        <v>0</v>
      </c>
      <c r="M39" s="235">
        <f t="shared" si="3"/>
        <v>0</v>
      </c>
      <c r="N39" s="235">
        <f t="shared" si="8"/>
        <v>0</v>
      </c>
      <c r="O39" s="235">
        <f t="shared" si="9"/>
        <v>0</v>
      </c>
    </row>
    <row r="40" spans="1:15">
      <c r="A40" s="1">
        <f t="shared" si="10"/>
        <v>25</v>
      </c>
      <c r="C40" s="1">
        <f>'PSC1-14-Wages'!C36</f>
        <v>25</v>
      </c>
      <c r="D40" s="1">
        <f>'PSC1-14-Wages'!D36</f>
        <v>1025</v>
      </c>
      <c r="E40" s="1" t="str">
        <f>'PSC1-14-Wages'!F36</f>
        <v>A</v>
      </c>
      <c r="F40" s="235">
        <f>'PSC1-14-Wages'!X36</f>
        <v>0</v>
      </c>
      <c r="G40" s="235">
        <f t="shared" si="4"/>
        <v>0</v>
      </c>
      <c r="H40" s="235">
        <f t="shared" si="5"/>
        <v>0</v>
      </c>
      <c r="I40" s="235">
        <f t="shared" si="1"/>
        <v>0</v>
      </c>
      <c r="J40" s="235">
        <f t="shared" si="6"/>
        <v>0</v>
      </c>
      <c r="K40" s="235">
        <f t="shared" si="2"/>
        <v>0</v>
      </c>
      <c r="L40" s="235">
        <f t="shared" si="7"/>
        <v>0</v>
      </c>
      <c r="M40" s="235">
        <f t="shared" si="3"/>
        <v>0</v>
      </c>
      <c r="N40" s="235">
        <f t="shared" si="8"/>
        <v>0</v>
      </c>
      <c r="O40" s="235">
        <f t="shared" si="9"/>
        <v>0</v>
      </c>
    </row>
    <row r="41" spans="1:15">
      <c r="A41" s="1">
        <f t="shared" si="10"/>
        <v>26</v>
      </c>
      <c r="C41" s="1">
        <f>'PSC1-14-Wages'!C37</f>
        <v>26</v>
      </c>
      <c r="D41" s="1">
        <f>'PSC1-14-Wages'!D37</f>
        <v>1026</v>
      </c>
      <c r="E41" s="1" t="str">
        <f>'PSC1-14-Wages'!F37</f>
        <v>A</v>
      </c>
      <c r="F41" s="235">
        <f>'PSC1-14-Wages'!X37</f>
        <v>0</v>
      </c>
      <c r="G41" s="235">
        <f t="shared" si="4"/>
        <v>0</v>
      </c>
      <c r="H41" s="235">
        <f t="shared" si="5"/>
        <v>0</v>
      </c>
      <c r="I41" s="235">
        <f t="shared" si="1"/>
        <v>0</v>
      </c>
      <c r="J41" s="235">
        <f t="shared" si="6"/>
        <v>0</v>
      </c>
      <c r="K41" s="235">
        <f t="shared" si="2"/>
        <v>0</v>
      </c>
      <c r="L41" s="235">
        <f t="shared" si="7"/>
        <v>0</v>
      </c>
      <c r="M41" s="235">
        <f t="shared" si="3"/>
        <v>0</v>
      </c>
      <c r="N41" s="235">
        <f t="shared" si="8"/>
        <v>0</v>
      </c>
      <c r="O41" s="235">
        <f t="shared" si="9"/>
        <v>0</v>
      </c>
    </row>
    <row r="42" spans="1:15">
      <c r="A42" s="1">
        <f t="shared" si="10"/>
        <v>27</v>
      </c>
      <c r="C42" s="1">
        <f>'PSC1-14-Wages'!C38</f>
        <v>27</v>
      </c>
      <c r="D42" s="1">
        <f>'PSC1-14-Wages'!D38</f>
        <v>1027</v>
      </c>
      <c r="E42" s="1"/>
      <c r="F42" s="235">
        <f>'PSC1-14-Wages'!X38</f>
        <v>79421.69</v>
      </c>
      <c r="G42" s="235">
        <f t="shared" si="4"/>
        <v>79421.69</v>
      </c>
      <c r="H42" s="235">
        <f t="shared" si="5"/>
        <v>4924.1447800000005</v>
      </c>
      <c r="I42" s="235">
        <f t="shared" si="1"/>
        <v>79421.69</v>
      </c>
      <c r="J42" s="235">
        <f t="shared" si="6"/>
        <v>1151.614505</v>
      </c>
      <c r="K42" s="235">
        <f t="shared" si="2"/>
        <v>7000</v>
      </c>
      <c r="L42" s="235">
        <f t="shared" si="7"/>
        <v>42</v>
      </c>
      <c r="M42" s="235">
        <f t="shared" si="3"/>
        <v>10500</v>
      </c>
      <c r="N42" s="235">
        <f t="shared" si="8"/>
        <v>42</v>
      </c>
      <c r="O42" s="235">
        <f t="shared" si="9"/>
        <v>6159.7592850000001</v>
      </c>
    </row>
    <row r="43" spans="1:15">
      <c r="A43" s="1">
        <f t="shared" si="10"/>
        <v>28</v>
      </c>
      <c r="C43" s="1">
        <f>'PSC1-14-Wages'!C39</f>
        <v>28</v>
      </c>
      <c r="D43" s="1">
        <f>'PSC1-14-Wages'!D39</f>
        <v>1028</v>
      </c>
      <c r="E43" s="1"/>
      <c r="F43" s="235">
        <f>'PSC1-14-Wages'!X39</f>
        <v>80123.94</v>
      </c>
      <c r="G43" s="235">
        <f t="shared" si="4"/>
        <v>80123.94</v>
      </c>
      <c r="H43" s="235">
        <f t="shared" si="5"/>
        <v>4967.6842800000004</v>
      </c>
      <c r="I43" s="235">
        <f t="shared" si="1"/>
        <v>80123.94</v>
      </c>
      <c r="J43" s="235">
        <f t="shared" si="6"/>
        <v>1161.7971300000002</v>
      </c>
      <c r="K43" s="235">
        <f t="shared" si="2"/>
        <v>7000</v>
      </c>
      <c r="L43" s="235">
        <f t="shared" si="7"/>
        <v>42</v>
      </c>
      <c r="M43" s="235">
        <f t="shared" si="3"/>
        <v>10500</v>
      </c>
      <c r="N43" s="235">
        <f t="shared" si="8"/>
        <v>42</v>
      </c>
      <c r="O43" s="235">
        <f t="shared" si="9"/>
        <v>6213.4814100000003</v>
      </c>
    </row>
    <row r="44" spans="1:15">
      <c r="A44" s="1">
        <f t="shared" si="10"/>
        <v>29</v>
      </c>
      <c r="C44" s="1">
        <f>'PSC1-14-Wages'!C40</f>
        <v>29</v>
      </c>
      <c r="D44" s="1">
        <f>'PSC1-14-Wages'!D40</f>
        <v>1029</v>
      </c>
      <c r="E44" s="1"/>
      <c r="F44" s="235">
        <f>'PSC1-14-Wages'!X40</f>
        <v>53288.625</v>
      </c>
      <c r="G44" s="235">
        <f t="shared" si="4"/>
        <v>53288.625</v>
      </c>
      <c r="H44" s="235">
        <f t="shared" si="5"/>
        <v>3303.8947499999999</v>
      </c>
      <c r="I44" s="235">
        <f t="shared" si="1"/>
        <v>53288.625</v>
      </c>
      <c r="J44" s="235">
        <f t="shared" si="6"/>
        <v>772.68506250000007</v>
      </c>
      <c r="K44" s="235">
        <f t="shared" si="2"/>
        <v>7000</v>
      </c>
      <c r="L44" s="235">
        <f t="shared" si="7"/>
        <v>42</v>
      </c>
      <c r="M44" s="235">
        <f t="shared" si="3"/>
        <v>10500</v>
      </c>
      <c r="N44" s="235">
        <f t="shared" si="8"/>
        <v>42</v>
      </c>
      <c r="O44" s="235">
        <f t="shared" si="9"/>
        <v>4160.5798125000001</v>
      </c>
    </row>
    <row r="45" spans="1:15">
      <c r="A45" s="1">
        <f t="shared" si="10"/>
        <v>30</v>
      </c>
      <c r="C45" s="1">
        <f>'PSC1-14-Wages'!C41</f>
        <v>30</v>
      </c>
      <c r="D45" s="1">
        <f>'PSC1-14-Wages'!D41</f>
        <v>1030</v>
      </c>
      <c r="E45" s="1"/>
      <c r="F45" s="235">
        <f>'PSC1-14-Wages'!X41</f>
        <v>42848</v>
      </c>
      <c r="G45" s="235">
        <f t="shared" si="4"/>
        <v>42848</v>
      </c>
      <c r="H45" s="235">
        <f t="shared" si="5"/>
        <v>2656.576</v>
      </c>
      <c r="I45" s="235">
        <f t="shared" si="1"/>
        <v>42848</v>
      </c>
      <c r="J45" s="235">
        <f t="shared" si="6"/>
        <v>621.29600000000005</v>
      </c>
      <c r="K45" s="235">
        <f t="shared" si="2"/>
        <v>7000</v>
      </c>
      <c r="L45" s="235">
        <f t="shared" si="7"/>
        <v>42</v>
      </c>
      <c r="M45" s="235">
        <f t="shared" si="3"/>
        <v>10500</v>
      </c>
      <c r="N45" s="235">
        <f t="shared" si="8"/>
        <v>42</v>
      </c>
      <c r="O45" s="235">
        <f t="shared" si="9"/>
        <v>3361.8720000000003</v>
      </c>
    </row>
    <row r="46" spans="1:15">
      <c r="A46" s="1">
        <f t="shared" si="10"/>
        <v>31</v>
      </c>
      <c r="C46" s="1">
        <f>'PSC1-14-Wages'!C42</f>
        <v>31</v>
      </c>
      <c r="D46" s="1">
        <f>'PSC1-14-Wages'!D42</f>
        <v>1031</v>
      </c>
      <c r="E46" s="1"/>
      <c r="F46" s="235">
        <f>'PSC1-14-Wages'!X42</f>
        <v>74702.61</v>
      </c>
      <c r="G46" s="235">
        <f t="shared" si="4"/>
        <v>74702.61</v>
      </c>
      <c r="H46" s="235">
        <f t="shared" si="5"/>
        <v>4631.5618199999999</v>
      </c>
      <c r="I46" s="235">
        <f t="shared" si="1"/>
        <v>74702.61</v>
      </c>
      <c r="J46" s="235">
        <f t="shared" si="6"/>
        <v>1083.1878450000002</v>
      </c>
      <c r="K46" s="235">
        <f t="shared" si="2"/>
        <v>7000</v>
      </c>
      <c r="L46" s="235">
        <f t="shared" si="7"/>
        <v>42</v>
      </c>
      <c r="M46" s="235">
        <f t="shared" si="3"/>
        <v>10500</v>
      </c>
      <c r="N46" s="235">
        <f t="shared" si="8"/>
        <v>42</v>
      </c>
      <c r="O46" s="235">
        <f t="shared" si="9"/>
        <v>5798.7496650000003</v>
      </c>
    </row>
    <row r="47" spans="1:15">
      <c r="A47" s="1">
        <f t="shared" si="10"/>
        <v>32</v>
      </c>
      <c r="C47" s="1">
        <f>'PSC1-14-Wages'!C43</f>
        <v>32</v>
      </c>
      <c r="D47" s="1">
        <f>'PSC1-14-Wages'!D43</f>
        <v>1032</v>
      </c>
      <c r="E47" s="1" t="str">
        <f>'PSC1-14-Wages'!F43</f>
        <v>A</v>
      </c>
      <c r="F47" s="235">
        <f>'PSC1-14-Wages'!X43</f>
        <v>0</v>
      </c>
      <c r="G47" s="235">
        <f t="shared" si="4"/>
        <v>0</v>
      </c>
      <c r="H47" s="235">
        <f t="shared" si="5"/>
        <v>0</v>
      </c>
      <c r="I47" s="235">
        <f t="shared" si="1"/>
        <v>0</v>
      </c>
      <c r="J47" s="235">
        <f t="shared" si="6"/>
        <v>0</v>
      </c>
      <c r="K47" s="235">
        <f t="shared" si="2"/>
        <v>0</v>
      </c>
      <c r="L47" s="235">
        <f t="shared" si="7"/>
        <v>0</v>
      </c>
      <c r="M47" s="235">
        <f t="shared" si="3"/>
        <v>0</v>
      </c>
      <c r="N47" s="235">
        <f t="shared" si="8"/>
        <v>0</v>
      </c>
      <c r="O47" s="235">
        <f t="shared" si="9"/>
        <v>0</v>
      </c>
    </row>
    <row r="48" spans="1:15">
      <c r="A48" s="1">
        <f t="shared" si="10"/>
        <v>33</v>
      </c>
      <c r="C48" s="1">
        <f>'PSC1-14-Wages'!C44</f>
        <v>33</v>
      </c>
      <c r="D48" s="1">
        <f>'PSC1-14-Wages'!D44</f>
        <v>1033</v>
      </c>
      <c r="E48" s="1"/>
      <c r="F48" s="235">
        <f>'PSC1-14-Wages'!X44</f>
        <v>111274.34500000002</v>
      </c>
      <c r="G48" s="235">
        <f t="shared" si="4"/>
        <v>111274.34500000002</v>
      </c>
      <c r="H48" s="235">
        <f t="shared" si="5"/>
        <v>6899.0093900000011</v>
      </c>
      <c r="I48" s="235">
        <f t="shared" si="1"/>
        <v>111274.34500000002</v>
      </c>
      <c r="J48" s="235">
        <f t="shared" si="6"/>
        <v>1613.4780025000002</v>
      </c>
      <c r="K48" s="235">
        <f t="shared" si="2"/>
        <v>7000</v>
      </c>
      <c r="L48" s="235">
        <f t="shared" si="7"/>
        <v>42</v>
      </c>
      <c r="M48" s="235">
        <f t="shared" si="3"/>
        <v>10500</v>
      </c>
      <c r="N48" s="235">
        <f t="shared" si="8"/>
        <v>42</v>
      </c>
      <c r="O48" s="235">
        <f t="shared" si="9"/>
        <v>8596.4873925000011</v>
      </c>
    </row>
    <row r="49" spans="1:15">
      <c r="A49" s="1">
        <f t="shared" si="10"/>
        <v>34</v>
      </c>
      <c r="C49" s="1">
        <f>'PSC1-14-Wages'!C45</f>
        <v>34</v>
      </c>
      <c r="D49" s="1">
        <f>'PSC1-14-Wages'!D45</f>
        <v>1034</v>
      </c>
      <c r="E49" s="1"/>
      <c r="F49" s="235">
        <f>'PSC1-14-Wages'!X45</f>
        <v>119467.75750000001</v>
      </c>
      <c r="G49" s="235">
        <f t="shared" si="4"/>
        <v>119467.75750000001</v>
      </c>
      <c r="H49" s="235">
        <f t="shared" si="5"/>
        <v>7407.0009650000002</v>
      </c>
      <c r="I49" s="235">
        <f t="shared" si="1"/>
        <v>119467.75750000001</v>
      </c>
      <c r="J49" s="235">
        <f t="shared" si="6"/>
        <v>1732.2824837500002</v>
      </c>
      <c r="K49" s="235">
        <f t="shared" si="2"/>
        <v>7000</v>
      </c>
      <c r="L49" s="235">
        <f t="shared" si="7"/>
        <v>42</v>
      </c>
      <c r="M49" s="235">
        <f t="shared" si="3"/>
        <v>10500</v>
      </c>
      <c r="N49" s="235">
        <f t="shared" si="8"/>
        <v>42</v>
      </c>
      <c r="O49" s="235">
        <f t="shared" si="9"/>
        <v>9223.2834487500004</v>
      </c>
    </row>
    <row r="50" spans="1:15">
      <c r="A50" s="1">
        <f t="shared" si="10"/>
        <v>35</v>
      </c>
      <c r="C50" s="1">
        <f>'PSC1-14-Wages'!C46</f>
        <v>35</v>
      </c>
      <c r="D50" s="1">
        <f>'PSC1-14-Wages'!D46</f>
        <v>1035</v>
      </c>
      <c r="E50" s="1" t="str">
        <f>'PSC1-14-Wages'!F46</f>
        <v>A</v>
      </c>
      <c r="F50" s="235">
        <f>'PSC1-14-Wages'!X46</f>
        <v>0</v>
      </c>
      <c r="G50" s="235">
        <f t="shared" si="4"/>
        <v>0</v>
      </c>
      <c r="H50" s="235">
        <f t="shared" si="5"/>
        <v>0</v>
      </c>
      <c r="I50" s="235">
        <f t="shared" si="1"/>
        <v>0</v>
      </c>
      <c r="J50" s="235">
        <f t="shared" si="6"/>
        <v>0</v>
      </c>
      <c r="K50" s="235">
        <f t="shared" si="2"/>
        <v>0</v>
      </c>
      <c r="L50" s="235">
        <f t="shared" si="7"/>
        <v>0</v>
      </c>
      <c r="M50" s="235">
        <f t="shared" si="3"/>
        <v>0</v>
      </c>
      <c r="N50" s="235">
        <f t="shared" si="8"/>
        <v>0</v>
      </c>
      <c r="O50" s="235">
        <f t="shared" si="9"/>
        <v>0</v>
      </c>
    </row>
    <row r="51" spans="1:15">
      <c r="A51" s="1">
        <f t="shared" si="10"/>
        <v>36</v>
      </c>
      <c r="C51" s="1">
        <f>'PSC1-14-Wages'!C47</f>
        <v>36</v>
      </c>
      <c r="D51" s="1">
        <f>'PSC1-14-Wages'!D47</f>
        <v>1036</v>
      </c>
      <c r="E51" s="1"/>
      <c r="F51" s="235">
        <f>'PSC1-14-Wages'!X47</f>
        <v>47919.672500000001</v>
      </c>
      <c r="G51" s="235">
        <f t="shared" si="4"/>
        <v>47919.672500000001</v>
      </c>
      <c r="H51" s="235">
        <f t="shared" si="5"/>
        <v>2971.019695</v>
      </c>
      <c r="I51" s="235">
        <f t="shared" si="1"/>
        <v>47919.672500000001</v>
      </c>
      <c r="J51" s="235">
        <f t="shared" si="6"/>
        <v>694.83525125000006</v>
      </c>
      <c r="K51" s="235">
        <f t="shared" si="2"/>
        <v>7000</v>
      </c>
      <c r="L51" s="235">
        <f t="shared" si="7"/>
        <v>42</v>
      </c>
      <c r="M51" s="235">
        <f t="shared" si="3"/>
        <v>10500</v>
      </c>
      <c r="N51" s="235">
        <f t="shared" si="8"/>
        <v>42</v>
      </c>
      <c r="O51" s="235">
        <f t="shared" si="9"/>
        <v>3749.85494625</v>
      </c>
    </row>
    <row r="52" spans="1:15">
      <c r="A52" s="1">
        <f t="shared" si="10"/>
        <v>37</v>
      </c>
      <c r="C52" s="1">
        <f>'PSC1-14-Wages'!C48</f>
        <v>37</v>
      </c>
      <c r="D52" s="1">
        <f>'PSC1-14-Wages'!D48</f>
        <v>1037</v>
      </c>
      <c r="E52" s="1"/>
      <c r="F52" s="235">
        <f>'PSC1-14-Wages'!X48</f>
        <v>51642.422500000001</v>
      </c>
      <c r="G52" s="235">
        <f t="shared" si="4"/>
        <v>51642.422500000001</v>
      </c>
      <c r="H52" s="235">
        <f t="shared" si="5"/>
        <v>3201.830195</v>
      </c>
      <c r="I52" s="235">
        <f t="shared" si="1"/>
        <v>51642.422500000001</v>
      </c>
      <c r="J52" s="235">
        <f t="shared" si="6"/>
        <v>748.81512625000005</v>
      </c>
      <c r="K52" s="235">
        <f t="shared" si="2"/>
        <v>7000</v>
      </c>
      <c r="L52" s="235">
        <f t="shared" si="7"/>
        <v>42</v>
      </c>
      <c r="M52" s="235">
        <f t="shared" si="3"/>
        <v>10500</v>
      </c>
      <c r="N52" s="235">
        <f t="shared" si="8"/>
        <v>42</v>
      </c>
      <c r="O52" s="235">
        <f t="shared" si="9"/>
        <v>4034.6453212500001</v>
      </c>
    </row>
    <row r="53" spans="1:15">
      <c r="A53" s="1">
        <f t="shared" si="10"/>
        <v>38</v>
      </c>
      <c r="C53" s="1">
        <f>'PSC1-14-Wages'!C49</f>
        <v>38</v>
      </c>
      <c r="D53" s="1">
        <f>'PSC1-14-Wages'!D49</f>
        <v>1038</v>
      </c>
      <c r="E53" s="1" t="str">
        <f>'PSC1-14-Wages'!F49</f>
        <v>A</v>
      </c>
      <c r="F53" s="235">
        <f>'PSC1-14-Wages'!X49</f>
        <v>0</v>
      </c>
      <c r="G53" s="235">
        <f t="shared" si="4"/>
        <v>0</v>
      </c>
      <c r="H53" s="235">
        <f t="shared" si="5"/>
        <v>0</v>
      </c>
      <c r="I53" s="235">
        <f t="shared" si="1"/>
        <v>0</v>
      </c>
      <c r="J53" s="235">
        <f t="shared" si="6"/>
        <v>0</v>
      </c>
      <c r="K53" s="235">
        <f t="shared" si="2"/>
        <v>0</v>
      </c>
      <c r="L53" s="235">
        <f t="shared" si="7"/>
        <v>0</v>
      </c>
      <c r="M53" s="235">
        <f t="shared" si="3"/>
        <v>0</v>
      </c>
      <c r="N53" s="235">
        <f t="shared" si="8"/>
        <v>0</v>
      </c>
      <c r="O53" s="235">
        <f t="shared" si="9"/>
        <v>0</v>
      </c>
    </row>
    <row r="54" spans="1:15">
      <c r="A54" s="1">
        <f t="shared" si="10"/>
        <v>39</v>
      </c>
      <c r="C54" s="1">
        <f>'PSC1-14-Wages'!C50</f>
        <v>39</v>
      </c>
      <c r="D54" s="1">
        <f>'PSC1-14-Wages'!D50</f>
        <v>1039</v>
      </c>
      <c r="E54" s="1"/>
      <c r="F54" s="235">
        <f>'PSC1-14-Wages'!X50</f>
        <v>69994.274999999994</v>
      </c>
      <c r="G54" s="235">
        <f t="shared" si="4"/>
        <v>69994.274999999994</v>
      </c>
      <c r="H54" s="235">
        <f t="shared" si="5"/>
        <v>4339.6450499999992</v>
      </c>
      <c r="I54" s="235">
        <f t="shared" si="1"/>
        <v>69994.274999999994</v>
      </c>
      <c r="J54" s="235">
        <f t="shared" si="6"/>
        <v>1014.9169875</v>
      </c>
      <c r="K54" s="235">
        <f t="shared" si="2"/>
        <v>7000</v>
      </c>
      <c r="L54" s="235">
        <f t="shared" si="7"/>
        <v>42</v>
      </c>
      <c r="M54" s="235">
        <f t="shared" si="3"/>
        <v>10500</v>
      </c>
      <c r="N54" s="235">
        <f t="shared" si="8"/>
        <v>42</v>
      </c>
      <c r="O54" s="235">
        <f t="shared" si="9"/>
        <v>5438.562037499999</v>
      </c>
    </row>
    <row r="55" spans="1:15">
      <c r="A55" s="1">
        <f t="shared" si="10"/>
        <v>40</v>
      </c>
      <c r="C55" s="1">
        <f>'PSC1-14-Wages'!C51</f>
        <v>40</v>
      </c>
      <c r="D55" s="1">
        <f>'PSC1-14-Wages'!D51</f>
        <v>1040</v>
      </c>
      <c r="E55" s="1"/>
      <c r="F55" s="235">
        <f>'PSC1-14-Wages'!X51</f>
        <v>78062.612500000003</v>
      </c>
      <c r="G55" s="235">
        <f t="shared" si="4"/>
        <v>78062.612500000003</v>
      </c>
      <c r="H55" s="235">
        <f t="shared" si="5"/>
        <v>4839.8819750000002</v>
      </c>
      <c r="I55" s="235">
        <f t="shared" si="1"/>
        <v>78062.612500000003</v>
      </c>
      <c r="J55" s="235">
        <f t="shared" si="6"/>
        <v>1131.9078812500002</v>
      </c>
      <c r="K55" s="235">
        <f t="shared" si="2"/>
        <v>7000</v>
      </c>
      <c r="L55" s="235">
        <f t="shared" si="7"/>
        <v>42</v>
      </c>
      <c r="M55" s="235">
        <f t="shared" si="3"/>
        <v>10500</v>
      </c>
      <c r="N55" s="235">
        <f t="shared" si="8"/>
        <v>42</v>
      </c>
      <c r="O55" s="235">
        <f t="shared" si="9"/>
        <v>6055.7898562500004</v>
      </c>
    </row>
    <row r="56" spans="1:15">
      <c r="A56" s="1">
        <f t="shared" si="10"/>
        <v>41</v>
      </c>
      <c r="C56" s="1">
        <f>'PSC1-14-Wages'!C52</f>
        <v>41</v>
      </c>
      <c r="D56" s="1">
        <f>'PSC1-14-Wages'!D52</f>
        <v>1041</v>
      </c>
      <c r="E56" s="1"/>
      <c r="F56" s="235">
        <f>'PSC1-14-Wages'!X52</f>
        <v>33761.93</v>
      </c>
      <c r="G56" s="235">
        <f t="shared" si="4"/>
        <v>33761.93</v>
      </c>
      <c r="H56" s="235">
        <f t="shared" si="5"/>
        <v>2093.2396600000002</v>
      </c>
      <c r="I56" s="235">
        <f t="shared" si="1"/>
        <v>33761.93</v>
      </c>
      <c r="J56" s="235">
        <f t="shared" si="6"/>
        <v>489.54798500000004</v>
      </c>
      <c r="K56" s="235">
        <f t="shared" si="2"/>
        <v>7000</v>
      </c>
      <c r="L56" s="235">
        <f t="shared" si="7"/>
        <v>42</v>
      </c>
      <c r="M56" s="235">
        <f t="shared" si="3"/>
        <v>10500</v>
      </c>
      <c r="N56" s="235">
        <f t="shared" si="8"/>
        <v>42</v>
      </c>
      <c r="O56" s="235">
        <f t="shared" si="9"/>
        <v>2666.7876450000003</v>
      </c>
    </row>
    <row r="57" spans="1:15">
      <c r="A57" s="1">
        <f t="shared" si="10"/>
        <v>42</v>
      </c>
      <c r="C57" s="1">
        <f>'PSC1-14-Wages'!C53</f>
        <v>42</v>
      </c>
      <c r="D57" s="1">
        <f>'PSC1-14-Wages'!D53</f>
        <v>1042</v>
      </c>
      <c r="E57" s="1"/>
      <c r="F57" s="235">
        <f>'PSC1-14-Wages'!X53</f>
        <v>45828.08</v>
      </c>
      <c r="G57" s="235">
        <f t="shared" si="4"/>
        <v>45828.08</v>
      </c>
      <c r="H57" s="235">
        <f t="shared" si="5"/>
        <v>2841.34096</v>
      </c>
      <c r="I57" s="235">
        <f t="shared" si="1"/>
        <v>45828.08</v>
      </c>
      <c r="J57" s="235">
        <f t="shared" si="6"/>
        <v>664.50716000000011</v>
      </c>
      <c r="K57" s="235">
        <f t="shared" si="2"/>
        <v>7000</v>
      </c>
      <c r="L57" s="235">
        <f t="shared" si="7"/>
        <v>42</v>
      </c>
      <c r="M57" s="235">
        <f t="shared" si="3"/>
        <v>10500</v>
      </c>
      <c r="N57" s="235">
        <f t="shared" si="8"/>
        <v>42</v>
      </c>
      <c r="O57" s="235">
        <f t="shared" si="9"/>
        <v>3589.8481200000001</v>
      </c>
    </row>
    <row r="58" spans="1:15">
      <c r="A58" s="1">
        <f t="shared" si="10"/>
        <v>43</v>
      </c>
      <c r="C58" s="1">
        <f>'PSC1-14-Wages'!C54</f>
        <v>43</v>
      </c>
      <c r="D58" s="1">
        <f>'PSC1-14-Wages'!D54</f>
        <v>1043</v>
      </c>
      <c r="E58" s="1"/>
      <c r="F58" s="235">
        <f>'PSC1-14-Wages'!X54</f>
        <v>130000</v>
      </c>
      <c r="G58" s="235">
        <f t="shared" si="4"/>
        <v>130000</v>
      </c>
      <c r="H58" s="235">
        <f t="shared" si="5"/>
        <v>8060</v>
      </c>
      <c r="I58" s="235">
        <f t="shared" si="1"/>
        <v>130000</v>
      </c>
      <c r="J58" s="235">
        <f t="shared" si="6"/>
        <v>1885</v>
      </c>
      <c r="K58" s="235">
        <f t="shared" si="2"/>
        <v>7000</v>
      </c>
      <c r="L58" s="235">
        <f t="shared" si="7"/>
        <v>42</v>
      </c>
      <c r="M58" s="235">
        <f t="shared" si="3"/>
        <v>10500</v>
      </c>
      <c r="N58" s="235">
        <f t="shared" si="8"/>
        <v>42</v>
      </c>
      <c r="O58" s="235">
        <f t="shared" si="9"/>
        <v>10029</v>
      </c>
    </row>
    <row r="59" spans="1:15">
      <c r="A59" s="1">
        <f t="shared" si="10"/>
        <v>44</v>
      </c>
      <c r="C59" s="1">
        <f>'PSC1-14-Wages'!C55</f>
        <v>44</v>
      </c>
      <c r="D59" s="1">
        <f>'PSC1-14-Wages'!D55</f>
        <v>1044</v>
      </c>
      <c r="E59" s="1"/>
      <c r="F59" s="235">
        <f>'PSC1-14-Wages'!X55</f>
        <v>49158.81</v>
      </c>
      <c r="G59" s="235">
        <f t="shared" si="4"/>
        <v>49158.81</v>
      </c>
      <c r="H59" s="235">
        <f t="shared" si="5"/>
        <v>3047.8462199999999</v>
      </c>
      <c r="I59" s="235">
        <f t="shared" si="1"/>
        <v>49158.81</v>
      </c>
      <c r="J59" s="235">
        <f t="shared" si="6"/>
        <v>712.80274499999996</v>
      </c>
      <c r="K59" s="235">
        <f t="shared" si="2"/>
        <v>7000</v>
      </c>
      <c r="L59" s="235">
        <f t="shared" si="7"/>
        <v>42</v>
      </c>
      <c r="M59" s="235">
        <f t="shared" si="3"/>
        <v>10500</v>
      </c>
      <c r="N59" s="235">
        <f t="shared" si="8"/>
        <v>42</v>
      </c>
      <c r="O59" s="235">
        <f t="shared" si="9"/>
        <v>3844.6489649999999</v>
      </c>
    </row>
    <row r="60" spans="1:15">
      <c r="A60" s="1">
        <f t="shared" si="10"/>
        <v>45</v>
      </c>
      <c r="C60" s="1">
        <f>'PSC1-14-Wages'!C56</f>
        <v>45</v>
      </c>
      <c r="D60" s="1">
        <f>'PSC1-14-Wages'!D56</f>
        <v>1045</v>
      </c>
      <c r="E60" s="1"/>
      <c r="F60" s="235">
        <f>'PSC1-14-Wages'!X56</f>
        <v>77251.199999999997</v>
      </c>
      <c r="G60" s="235">
        <f t="shared" si="4"/>
        <v>77251.199999999997</v>
      </c>
      <c r="H60" s="235">
        <f t="shared" si="5"/>
        <v>4789.5743999999995</v>
      </c>
      <c r="I60" s="235">
        <f t="shared" si="1"/>
        <v>77251.199999999997</v>
      </c>
      <c r="J60" s="235">
        <f t="shared" si="6"/>
        <v>1120.1424</v>
      </c>
      <c r="K60" s="235">
        <f t="shared" si="2"/>
        <v>7000</v>
      </c>
      <c r="L60" s="235">
        <f t="shared" si="7"/>
        <v>42</v>
      </c>
      <c r="M60" s="235">
        <f t="shared" si="3"/>
        <v>10500</v>
      </c>
      <c r="N60" s="235">
        <f t="shared" si="8"/>
        <v>42</v>
      </c>
      <c r="O60" s="235">
        <f t="shared" si="9"/>
        <v>5993.7167999999992</v>
      </c>
    </row>
    <row r="61" spans="1:15">
      <c r="A61" s="1">
        <f t="shared" si="10"/>
        <v>46</v>
      </c>
      <c r="C61" s="1">
        <f>'PSC1-14-Wages'!C57</f>
        <v>46</v>
      </c>
      <c r="D61" s="1">
        <f>'PSC1-14-Wages'!D57</f>
        <v>1046</v>
      </c>
      <c r="E61" s="1"/>
      <c r="F61" s="235">
        <f>'PSC1-14-Wages'!X57</f>
        <v>35946.5</v>
      </c>
      <c r="G61" s="235">
        <f t="shared" si="4"/>
        <v>35946.5</v>
      </c>
      <c r="H61" s="235">
        <f t="shared" si="5"/>
        <v>2228.683</v>
      </c>
      <c r="I61" s="235">
        <f t="shared" si="1"/>
        <v>35946.5</v>
      </c>
      <c r="J61" s="235">
        <f t="shared" si="6"/>
        <v>521.22424999999998</v>
      </c>
      <c r="K61" s="235">
        <f t="shared" si="2"/>
        <v>7000</v>
      </c>
      <c r="L61" s="235">
        <f t="shared" si="7"/>
        <v>42</v>
      </c>
      <c r="M61" s="235">
        <f t="shared" si="3"/>
        <v>10500</v>
      </c>
      <c r="N61" s="235">
        <f t="shared" si="8"/>
        <v>42</v>
      </c>
      <c r="O61" s="235">
        <f t="shared" si="9"/>
        <v>2833.9072500000002</v>
      </c>
    </row>
    <row r="62" spans="1:15">
      <c r="A62" s="1">
        <f t="shared" si="10"/>
        <v>47</v>
      </c>
      <c r="C62" s="1">
        <f>'PSC1-14-Wages'!C58</f>
        <v>47</v>
      </c>
      <c r="D62" s="1">
        <f>'PSC1-14-Wages'!D58</f>
        <v>1047</v>
      </c>
      <c r="E62" s="1" t="str">
        <f>'PSC1-14-Wages'!F58</f>
        <v>B</v>
      </c>
      <c r="F62" s="235">
        <f>'PSC1-14-Wages'!X58</f>
        <v>47673.600000000006</v>
      </c>
      <c r="G62" s="235">
        <f t="shared" si="4"/>
        <v>47673.600000000006</v>
      </c>
      <c r="H62" s="235">
        <f t="shared" si="5"/>
        <v>2955.7632000000003</v>
      </c>
      <c r="I62" s="235">
        <f t="shared" si="1"/>
        <v>47673.600000000006</v>
      </c>
      <c r="J62" s="235">
        <f t="shared" si="6"/>
        <v>691.26720000000012</v>
      </c>
      <c r="K62" s="235">
        <f t="shared" si="2"/>
        <v>7000</v>
      </c>
      <c r="L62" s="235">
        <f t="shared" si="7"/>
        <v>42</v>
      </c>
      <c r="M62" s="235">
        <f t="shared" si="3"/>
        <v>10500</v>
      </c>
      <c r="N62" s="235">
        <f t="shared" si="8"/>
        <v>42</v>
      </c>
      <c r="O62" s="235">
        <f t="shared" si="9"/>
        <v>3731.0304000000006</v>
      </c>
    </row>
    <row r="63" spans="1:15">
      <c r="A63" s="1">
        <f t="shared" si="10"/>
        <v>48</v>
      </c>
      <c r="C63" s="1">
        <f>'PSC1-14-Wages'!C59</f>
        <v>48</v>
      </c>
      <c r="D63" s="1">
        <f>'PSC1-14-Wages'!D59</f>
        <v>1048</v>
      </c>
      <c r="E63" s="1" t="str">
        <f>'PSC1-14-Wages'!F59</f>
        <v>B</v>
      </c>
      <c r="F63" s="235">
        <f>'PSC1-14-Wages'!X59</f>
        <v>54974.400000000001</v>
      </c>
      <c r="G63" s="235">
        <f t="shared" si="4"/>
        <v>54974.400000000001</v>
      </c>
      <c r="H63" s="235">
        <f t="shared" si="5"/>
        <v>3408.4128000000001</v>
      </c>
      <c r="I63" s="235">
        <f t="shared" si="1"/>
        <v>54974.400000000001</v>
      </c>
      <c r="J63" s="235">
        <f t="shared" si="6"/>
        <v>797.12880000000007</v>
      </c>
      <c r="K63" s="235">
        <f t="shared" si="2"/>
        <v>7000</v>
      </c>
      <c r="L63" s="235">
        <f t="shared" si="7"/>
        <v>42</v>
      </c>
      <c r="M63" s="235">
        <f t="shared" si="3"/>
        <v>10500</v>
      </c>
      <c r="N63" s="235">
        <f t="shared" si="8"/>
        <v>42</v>
      </c>
      <c r="O63" s="235">
        <f t="shared" si="9"/>
        <v>4289.5416000000005</v>
      </c>
    </row>
    <row r="64" spans="1:15">
      <c r="A64" s="1">
        <f t="shared" si="10"/>
        <v>49</v>
      </c>
      <c r="C64" s="1">
        <f>'PSC1-14-Wages'!C60</f>
        <v>49</v>
      </c>
      <c r="D64" s="1">
        <f>'PSC1-14-Wages'!D60</f>
        <v>1049</v>
      </c>
      <c r="E64" s="1" t="str">
        <f>'PSC1-14-Wages'!F60</f>
        <v>B</v>
      </c>
      <c r="F64" s="235">
        <f>'PSC1-14-Wages'!X60</f>
        <v>27040</v>
      </c>
      <c r="G64" s="235">
        <f t="shared" si="4"/>
        <v>27040</v>
      </c>
      <c r="H64" s="235">
        <f t="shared" si="5"/>
        <v>1676.48</v>
      </c>
      <c r="I64" s="235">
        <f t="shared" si="1"/>
        <v>27040</v>
      </c>
      <c r="J64" s="235">
        <f t="shared" si="6"/>
        <v>392.08000000000004</v>
      </c>
      <c r="K64" s="235">
        <f t="shared" si="2"/>
        <v>7000</v>
      </c>
      <c r="L64" s="235">
        <f t="shared" si="7"/>
        <v>42</v>
      </c>
      <c r="M64" s="235">
        <f t="shared" si="3"/>
        <v>10500</v>
      </c>
      <c r="N64" s="235">
        <f t="shared" si="8"/>
        <v>42</v>
      </c>
      <c r="O64" s="235">
        <f t="shared" si="9"/>
        <v>2152.56</v>
      </c>
    </row>
    <row r="65" spans="1:15">
      <c r="A65" s="1">
        <f t="shared" si="10"/>
        <v>50</v>
      </c>
      <c r="C65" s="366">
        <f>C64</f>
        <v>49</v>
      </c>
      <c r="D65" s="366" t="s">
        <v>14</v>
      </c>
      <c r="E65" s="367"/>
      <c r="F65" s="368">
        <f>SUM(F16:F64)</f>
        <v>2683477.0650000004</v>
      </c>
      <c r="G65" s="368">
        <f t="shared" ref="G65:O65" si="11">SUM(G16:G64)</f>
        <v>2683477.0650000004</v>
      </c>
      <c r="H65" s="368">
        <f t="shared" si="11"/>
        <v>166375.57803</v>
      </c>
      <c r="I65" s="368">
        <f t="shared" si="11"/>
        <v>2683477.0650000004</v>
      </c>
      <c r="J65" s="368">
        <f t="shared" si="11"/>
        <v>38910.417442500002</v>
      </c>
      <c r="K65" s="368">
        <f t="shared" si="11"/>
        <v>273000</v>
      </c>
      <c r="L65" s="368">
        <f t="shared" si="11"/>
        <v>1638</v>
      </c>
      <c r="M65" s="368">
        <f t="shared" si="11"/>
        <v>409500</v>
      </c>
      <c r="N65" s="368">
        <f t="shared" si="11"/>
        <v>1638</v>
      </c>
      <c r="O65" s="368">
        <f t="shared" si="11"/>
        <v>208561.99547250001</v>
      </c>
    </row>
    <row r="66" spans="1:15">
      <c r="A66" s="1">
        <f t="shared" si="10"/>
        <v>51</v>
      </c>
      <c r="C66" s="313"/>
      <c r="D66" s="313"/>
      <c r="E66" s="369"/>
      <c r="F66" s="370"/>
    </row>
    <row r="67" spans="1:15">
      <c r="A67" s="1">
        <f t="shared" si="10"/>
        <v>52</v>
      </c>
      <c r="C67" s="371" t="s">
        <v>37</v>
      </c>
      <c r="E67" s="369"/>
      <c r="F67" s="370"/>
      <c r="H67" s="35">
        <v>163846.74</v>
      </c>
      <c r="J67" s="35">
        <v>38318.980000000003</v>
      </c>
      <c r="K67" s="35"/>
      <c r="L67" s="35">
        <v>1856.99</v>
      </c>
      <c r="M67" s="35"/>
      <c r="N67" s="35">
        <v>1840</v>
      </c>
      <c r="O67" s="35">
        <f>H67+J67+L67+N67</f>
        <v>205862.71</v>
      </c>
    </row>
    <row r="68" spans="1:15">
      <c r="A68" s="1">
        <f t="shared" si="10"/>
        <v>53</v>
      </c>
      <c r="C68" s="313"/>
      <c r="D68" s="313"/>
      <c r="E68" s="369"/>
      <c r="F68" s="370"/>
      <c r="H68" s="235"/>
      <c r="J68" s="235"/>
      <c r="K68" s="235"/>
      <c r="L68" s="35"/>
      <c r="M68" s="35"/>
      <c r="N68" s="35"/>
      <c r="O68" s="235"/>
    </row>
    <row r="69" spans="1:15">
      <c r="A69" s="1">
        <f t="shared" si="10"/>
        <v>54</v>
      </c>
      <c r="C69" s="371" t="s">
        <v>169</v>
      </c>
      <c r="D69" s="313"/>
      <c r="E69" s="313"/>
      <c r="F69" s="312"/>
      <c r="H69" s="119">
        <f>H65</f>
        <v>166375.57803</v>
      </c>
      <c r="I69" s="372"/>
      <c r="J69" s="119">
        <f>J65</f>
        <v>38910.417442500002</v>
      </c>
      <c r="K69" s="160"/>
      <c r="L69" s="160">
        <f>L65</f>
        <v>1638</v>
      </c>
      <c r="M69" s="160"/>
      <c r="N69" s="160">
        <f>N65</f>
        <v>1638</v>
      </c>
      <c r="O69" s="235">
        <f>H69+J69+L69+N69</f>
        <v>208561.99547250001</v>
      </c>
    </row>
    <row r="70" spans="1:15">
      <c r="A70" s="1">
        <f t="shared" si="10"/>
        <v>55</v>
      </c>
      <c r="C70" s="313"/>
      <c r="D70" s="313"/>
      <c r="E70" s="313"/>
      <c r="F70" s="312"/>
    </row>
    <row r="71" spans="1:15" ht="13.8" thickBot="1">
      <c r="A71" s="1">
        <f t="shared" si="10"/>
        <v>56</v>
      </c>
      <c r="C71" s="317" t="s">
        <v>395</v>
      </c>
      <c r="D71" s="373"/>
      <c r="E71" s="318"/>
      <c r="F71" s="318"/>
      <c r="G71" s="318"/>
      <c r="H71" s="374">
        <f>H69-H67</f>
        <v>2528.8380300000135</v>
      </c>
      <c r="I71" s="318"/>
      <c r="J71" s="374">
        <f>J69-J67</f>
        <v>591.43744249999872</v>
      </c>
      <c r="K71" s="318"/>
      <c r="L71" s="374">
        <f>L69-L67</f>
        <v>-218.99</v>
      </c>
      <c r="M71" s="318"/>
      <c r="N71" s="374">
        <f>N69-N67</f>
        <v>-202</v>
      </c>
      <c r="O71" s="374">
        <f>O69-O67</f>
        <v>2699.2854725000216</v>
      </c>
    </row>
    <row r="72" spans="1:15" ht="13.8" thickTop="1">
      <c r="A72" s="1"/>
      <c r="C72" s="1"/>
      <c r="D72" s="1"/>
      <c r="E72" s="1"/>
    </row>
    <row r="73" spans="1:15">
      <c r="A73" s="1"/>
      <c r="C73" s="1"/>
      <c r="D73" s="265" t="s">
        <v>371</v>
      </c>
      <c r="F73" s="261" t="s">
        <v>396</v>
      </c>
      <c r="G73" s="3" t="s">
        <v>397</v>
      </c>
      <c r="I73" s="261" t="s">
        <v>398</v>
      </c>
      <c r="J73" s="3" t="s">
        <v>399</v>
      </c>
      <c r="N73" s="261"/>
    </row>
    <row r="74" spans="1:15">
      <c r="A74" s="1"/>
      <c r="C74" s="1"/>
      <c r="D74" s="1"/>
      <c r="E74" s="1"/>
    </row>
    <row r="75" spans="1:15" ht="23.25" customHeight="1">
      <c r="A75" s="1"/>
      <c r="C75" s="273" t="s">
        <v>400</v>
      </c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</row>
    <row r="76" spans="1:15">
      <c r="A76" s="1"/>
    </row>
    <row r="77" spans="1:15">
      <c r="C77" s="375" t="s">
        <v>401</v>
      </c>
      <c r="D77" s="1"/>
      <c r="E77" s="1"/>
      <c r="G77" s="261"/>
      <c r="H77" s="322" t="s">
        <v>141</v>
      </c>
      <c r="I77" s="244" t="s">
        <v>15</v>
      </c>
    </row>
    <row r="78" spans="1:15">
      <c r="D78" s="1"/>
      <c r="E78" s="1"/>
    </row>
    <row r="79" spans="1:15">
      <c r="C79" s="3" t="s">
        <v>132</v>
      </c>
      <c r="D79" s="177"/>
      <c r="E79" s="177" t="s">
        <v>133</v>
      </c>
      <c r="G79" s="235"/>
      <c r="H79" s="181">
        <v>0.20168460108982075</v>
      </c>
      <c r="I79" s="235">
        <f>H79*$O$71</f>
        <v>544.40431374871514</v>
      </c>
    </row>
    <row r="80" spans="1:15">
      <c r="C80" s="3" t="s">
        <v>134</v>
      </c>
      <c r="D80" s="177"/>
      <c r="E80" s="177" t="s">
        <v>135</v>
      </c>
      <c r="G80" s="235"/>
      <c r="H80" s="181">
        <v>0.22469394080516555</v>
      </c>
      <c r="I80" s="235">
        <f t="shared" ref="I80:I83" si="12">H80*$O$71</f>
        <v>606.51309017416315</v>
      </c>
    </row>
    <row r="81" spans="3:11">
      <c r="C81" s="3" t="s">
        <v>136</v>
      </c>
      <c r="D81" s="177"/>
      <c r="E81" s="177" t="s">
        <v>112</v>
      </c>
      <c r="G81" s="235"/>
      <c r="H81" s="181">
        <v>9.6122150368652876E-2</v>
      </c>
      <c r="I81" s="235">
        <f t="shared" si="12"/>
        <v>259.46112407556728</v>
      </c>
    </row>
    <row r="82" spans="3:11">
      <c r="C82" s="3" t="s">
        <v>376</v>
      </c>
      <c r="D82" s="177"/>
      <c r="E82" s="177" t="s">
        <v>84</v>
      </c>
      <c r="G82" s="235"/>
      <c r="H82" s="181">
        <v>1.200128698103827E-2</v>
      </c>
      <c r="I82" s="235">
        <f t="shared" si="12"/>
        <v>32.394899599220246</v>
      </c>
    </row>
    <row r="83" spans="3:11">
      <c r="C83" s="3" t="s">
        <v>137</v>
      </c>
      <c r="D83" s="177"/>
      <c r="E83" s="177" t="s">
        <v>131</v>
      </c>
      <c r="G83" s="235"/>
      <c r="H83" s="181">
        <v>0.15628026068670753</v>
      </c>
      <c r="I83" s="235">
        <f t="shared" si="12"/>
        <v>421.84503731014587</v>
      </c>
    </row>
    <row r="84" spans="3:11">
      <c r="C84" s="325" t="s">
        <v>377</v>
      </c>
      <c r="D84" s="51"/>
      <c r="E84" s="51"/>
      <c r="F84" s="51"/>
      <c r="G84" s="159"/>
      <c r="H84" s="376">
        <f>SUM(H79:H83)</f>
        <v>0.69078223993138499</v>
      </c>
      <c r="I84" s="377">
        <f>SUM(I79:I83)</f>
        <v>1864.6184649078118</v>
      </c>
      <c r="J84" s="3" t="s">
        <v>378</v>
      </c>
      <c r="K84" s="375"/>
    </row>
    <row r="85" spans="3:11">
      <c r="D85" s="1"/>
      <c r="E85" s="1"/>
      <c r="G85" s="235"/>
      <c r="H85" s="181"/>
      <c r="I85" s="235"/>
    </row>
    <row r="86" spans="3:11">
      <c r="C86" s="3" t="s">
        <v>379</v>
      </c>
      <c r="D86" s="177"/>
      <c r="E86" s="177" t="s">
        <v>380</v>
      </c>
      <c r="G86" s="235"/>
      <c r="H86" s="181">
        <v>0.28440797523674066</v>
      </c>
      <c r="I86" s="235">
        <f>H86*$O$71</f>
        <v>767.69831581967992</v>
      </c>
    </row>
    <row r="87" spans="3:11">
      <c r="C87" s="3" t="s">
        <v>381</v>
      </c>
      <c r="D87" s="177"/>
      <c r="E87" s="177" t="s">
        <v>382</v>
      </c>
      <c r="G87" s="235"/>
      <c r="H87" s="181">
        <v>2.4809784831874335E-2</v>
      </c>
      <c r="I87" s="235">
        <f>H87*$O$71</f>
        <v>66.96869177252978</v>
      </c>
    </row>
    <row r="88" spans="3:11">
      <c r="C88" s="51"/>
      <c r="D88" s="51"/>
      <c r="E88" s="51" t="s">
        <v>22</v>
      </c>
      <c r="F88" s="51"/>
      <c r="G88" s="159"/>
      <c r="H88" s="376">
        <f>SUM(H86:H87)</f>
        <v>0.30921776006861501</v>
      </c>
      <c r="I88" s="159">
        <f>SUM(I86:I87)</f>
        <v>834.66700759220976</v>
      </c>
    </row>
    <row r="89" spans="3:11">
      <c r="D89" s="1"/>
      <c r="E89" s="1"/>
      <c r="G89" s="235"/>
      <c r="H89" s="181"/>
      <c r="I89" s="235"/>
    </row>
    <row r="90" spans="3:11" ht="13.8" thickBot="1">
      <c r="C90" s="4"/>
      <c r="D90" s="4"/>
      <c r="E90" s="331" t="s">
        <v>45</v>
      </c>
      <c r="F90" s="4"/>
      <c r="G90" s="378"/>
      <c r="H90" s="379">
        <v>1</v>
      </c>
      <c r="I90" s="378">
        <f>I84+I88</f>
        <v>2699.2854725000216</v>
      </c>
    </row>
    <row r="91" spans="3:11" ht="13.8" thickTop="1"/>
  </sheetData>
  <mergeCells count="9">
    <mergeCell ref="C75:N75"/>
    <mergeCell ref="A3:O3"/>
    <mergeCell ref="A4:O4"/>
    <mergeCell ref="A6:O6"/>
    <mergeCell ref="C8:F8"/>
    <mergeCell ref="G8:H8"/>
    <mergeCell ref="I8:J8"/>
    <mergeCell ref="K8:L8"/>
    <mergeCell ref="M8:N8"/>
  </mergeCells>
  <printOptions horizontalCentered="1"/>
  <pageMargins left="0.25" right="0.25" top="0.75" bottom="0.5" header="0.5" footer="0.5"/>
  <pageSetup scale="53" orientation="portrait" r:id="rId1"/>
  <headerFooter alignWithMargins="0"/>
  <rowBreaks count="1" manualBreakCount="1">
    <brk id="74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E6B6C-B18A-43CB-B1DA-6FC18FF7BD87}">
  <sheetPr>
    <tabColor theme="4" tint="0.79998168889431442"/>
    <pageSetUpPr fitToPage="1"/>
  </sheetPr>
  <dimension ref="A1:J51"/>
  <sheetViews>
    <sheetView topLeftCell="A34" zoomScale="75" zoomScaleNormal="75" workbookViewId="0">
      <selection activeCell="L6" sqref="L6"/>
    </sheetView>
  </sheetViews>
  <sheetFormatPr defaultColWidth="9.109375" defaultRowHeight="13.2"/>
  <cols>
    <col min="1" max="1" width="5.88671875" style="10" customWidth="1"/>
    <col min="2" max="2" width="2.33203125" style="11" customWidth="1"/>
    <col min="3" max="3" width="10.44140625" style="10" bestFit="1" customWidth="1"/>
    <col min="4" max="4" width="8.33203125" style="10" customWidth="1"/>
    <col min="5" max="5" width="26.33203125" style="11" bestFit="1" customWidth="1"/>
    <col min="6" max="6" width="11.88671875" style="11" customWidth="1"/>
    <col min="7" max="7" width="1.5546875" style="11" customWidth="1"/>
    <col min="8" max="8" width="24.33203125" style="11" bestFit="1" customWidth="1"/>
    <col min="9" max="9" width="11.109375" style="11" customWidth="1"/>
    <col min="10" max="10" width="9.6640625" style="10" customWidth="1"/>
    <col min="11" max="16384" width="9.109375" style="11"/>
  </cols>
  <sheetData>
    <row r="1" spans="1:10">
      <c r="D1" s="264"/>
      <c r="H1" s="277" t="s">
        <v>354</v>
      </c>
      <c r="I1" s="10" t="s">
        <v>427</v>
      </c>
      <c r="J1" s="6"/>
    </row>
    <row r="2" spans="1:10" ht="20.25" customHeight="1">
      <c r="D2" s="264"/>
      <c r="F2" s="6"/>
      <c r="G2" s="6"/>
    </row>
    <row r="3" spans="1:10">
      <c r="A3" s="268" t="s">
        <v>355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0">
      <c r="A4" s="268" t="s">
        <v>232</v>
      </c>
      <c r="B4" s="268"/>
      <c r="C4" s="268"/>
      <c r="D4" s="268"/>
      <c r="E4" s="268"/>
      <c r="F4" s="268"/>
      <c r="G4" s="268"/>
      <c r="H4" s="268"/>
      <c r="I4" s="268"/>
      <c r="J4" s="268"/>
    </row>
    <row r="6" spans="1:10" s="7" customFormat="1" ht="15" customHeight="1">
      <c r="A6" s="380" t="s">
        <v>402</v>
      </c>
      <c r="B6" s="380"/>
      <c r="C6" s="380"/>
      <c r="D6" s="380"/>
      <c r="E6" s="380"/>
      <c r="F6" s="380"/>
      <c r="G6" s="380"/>
      <c r="H6" s="380"/>
      <c r="I6" s="380"/>
      <c r="J6" s="380"/>
    </row>
    <row r="7" spans="1:10">
      <c r="I7" s="10" t="s">
        <v>403</v>
      </c>
    </row>
    <row r="8" spans="1:10">
      <c r="A8" s="10" t="s">
        <v>0</v>
      </c>
      <c r="C8" s="10" t="s">
        <v>404</v>
      </c>
      <c r="D8" s="10" t="s">
        <v>122</v>
      </c>
      <c r="E8" s="10" t="s">
        <v>41</v>
      </c>
      <c r="F8" s="10" t="s">
        <v>405</v>
      </c>
      <c r="G8" s="10"/>
      <c r="H8" s="10" t="s">
        <v>1</v>
      </c>
      <c r="I8" s="10" t="s">
        <v>406</v>
      </c>
      <c r="J8" s="7"/>
    </row>
    <row r="9" spans="1:10">
      <c r="A9" s="126" t="s">
        <v>21</v>
      </c>
      <c r="C9" s="13" t="s">
        <v>18</v>
      </c>
      <c r="D9" s="13" t="s">
        <v>20</v>
      </c>
      <c r="E9" s="13" t="s">
        <v>19</v>
      </c>
      <c r="F9" s="13" t="s">
        <v>25</v>
      </c>
      <c r="G9" s="13"/>
      <c r="H9" s="13" t="s">
        <v>51</v>
      </c>
      <c r="I9" s="13" t="s">
        <v>52</v>
      </c>
      <c r="J9" s="11"/>
    </row>
    <row r="10" spans="1:10">
      <c r="I10" s="263"/>
      <c r="J10" s="7"/>
    </row>
    <row r="11" spans="1:10">
      <c r="A11" s="10">
        <f t="shared" ref="A11:A48" si="0">A10+1</f>
        <v>1</v>
      </c>
      <c r="C11" s="381">
        <v>43467</v>
      </c>
      <c r="D11" s="382">
        <v>8132114</v>
      </c>
      <c r="E11" s="383" t="s">
        <v>407</v>
      </c>
      <c r="F11" s="384">
        <v>1.08</v>
      </c>
      <c r="G11" s="384"/>
      <c r="H11" s="383" t="s">
        <v>408</v>
      </c>
      <c r="I11" s="385">
        <v>0</v>
      </c>
      <c r="J11" s="11"/>
    </row>
    <row r="12" spans="1:10">
      <c r="A12" s="10">
        <f t="shared" si="0"/>
        <v>2</v>
      </c>
      <c r="C12" s="381">
        <v>43467</v>
      </c>
      <c r="D12" s="10">
        <v>8132119</v>
      </c>
      <c r="E12" s="383" t="s">
        <v>409</v>
      </c>
      <c r="F12" s="384">
        <v>350</v>
      </c>
      <c r="G12" s="384"/>
      <c r="H12" s="383" t="s">
        <v>410</v>
      </c>
      <c r="I12" s="385">
        <v>0</v>
      </c>
      <c r="J12" s="11"/>
    </row>
    <row r="13" spans="1:10">
      <c r="A13" s="10">
        <f t="shared" si="0"/>
        <v>3</v>
      </c>
      <c r="C13" s="381">
        <v>43482</v>
      </c>
      <c r="D13" s="10">
        <v>8132232</v>
      </c>
      <c r="E13" s="383" t="s">
        <v>411</v>
      </c>
      <c r="F13" s="384">
        <v>10500</v>
      </c>
      <c r="G13" s="384"/>
      <c r="H13" s="383" t="s">
        <v>412</v>
      </c>
      <c r="I13" s="385">
        <v>0</v>
      </c>
      <c r="J13" s="11"/>
    </row>
    <row r="14" spans="1:10">
      <c r="A14" s="10">
        <f t="shared" si="0"/>
        <v>4</v>
      </c>
      <c r="C14" s="381">
        <v>43496</v>
      </c>
      <c r="D14" s="382">
        <v>8132423</v>
      </c>
      <c r="E14" s="383" t="s">
        <v>413</v>
      </c>
      <c r="F14" s="384">
        <v>105.88</v>
      </c>
      <c r="G14" s="384"/>
      <c r="H14" s="383" t="s">
        <v>414</v>
      </c>
      <c r="I14" s="385">
        <f>F14</f>
        <v>105.88</v>
      </c>
      <c r="J14" s="11"/>
    </row>
    <row r="15" spans="1:10">
      <c r="A15" s="10">
        <f t="shared" si="0"/>
        <v>5</v>
      </c>
      <c r="C15" s="381">
        <v>43497</v>
      </c>
      <c r="D15" s="10">
        <v>8132349</v>
      </c>
      <c r="E15" s="383" t="s">
        <v>409</v>
      </c>
      <c r="F15" s="384">
        <v>350</v>
      </c>
      <c r="G15" s="384"/>
      <c r="H15" s="383" t="s">
        <v>410</v>
      </c>
      <c r="I15" s="385">
        <v>0</v>
      </c>
      <c r="J15" s="11"/>
    </row>
    <row r="16" spans="1:10">
      <c r="A16" s="10">
        <f t="shared" si="0"/>
        <v>6</v>
      </c>
      <c r="C16" s="381">
        <v>43497</v>
      </c>
      <c r="D16" s="382">
        <v>8132365</v>
      </c>
      <c r="E16" s="383" t="s">
        <v>407</v>
      </c>
      <c r="F16" s="384">
        <v>1.08</v>
      </c>
      <c r="G16" s="384"/>
      <c r="H16" s="383" t="s">
        <v>408</v>
      </c>
      <c r="I16" s="385">
        <v>0</v>
      </c>
      <c r="J16" s="11"/>
    </row>
    <row r="17" spans="1:10">
      <c r="A17" s="10">
        <f t="shared" si="0"/>
        <v>7</v>
      </c>
      <c r="C17" s="381">
        <v>43525</v>
      </c>
      <c r="D17" s="10">
        <v>8132547</v>
      </c>
      <c r="E17" s="383" t="s">
        <v>409</v>
      </c>
      <c r="F17" s="384">
        <v>350</v>
      </c>
      <c r="G17" s="384"/>
      <c r="H17" s="383" t="s">
        <v>410</v>
      </c>
      <c r="I17" s="385">
        <v>0</v>
      </c>
      <c r="J17" s="11"/>
    </row>
    <row r="18" spans="1:10">
      <c r="A18" s="10">
        <f t="shared" si="0"/>
        <v>8</v>
      </c>
      <c r="C18" s="381">
        <v>43525</v>
      </c>
      <c r="D18" s="382">
        <v>8132579</v>
      </c>
      <c r="E18" s="383" t="s">
        <v>407</v>
      </c>
      <c r="F18" s="384">
        <v>1.08</v>
      </c>
      <c r="G18" s="384"/>
      <c r="H18" s="383" t="s">
        <v>408</v>
      </c>
      <c r="I18" s="385">
        <v>0</v>
      </c>
      <c r="J18" s="11"/>
    </row>
    <row r="19" spans="1:10">
      <c r="A19" s="10">
        <f t="shared" si="0"/>
        <v>9</v>
      </c>
      <c r="C19" s="381">
        <v>43556</v>
      </c>
      <c r="D19" s="382">
        <v>8132831</v>
      </c>
      <c r="E19" s="383" t="s">
        <v>409</v>
      </c>
      <c r="F19" s="384">
        <v>350</v>
      </c>
      <c r="G19" s="384"/>
      <c r="H19" s="383" t="s">
        <v>410</v>
      </c>
      <c r="I19" s="385">
        <v>0</v>
      </c>
      <c r="J19" s="11"/>
    </row>
    <row r="20" spans="1:10">
      <c r="A20" s="10">
        <f t="shared" si="0"/>
        <v>10</v>
      </c>
      <c r="C20" s="381">
        <v>43556</v>
      </c>
      <c r="D20" s="382">
        <v>8132865</v>
      </c>
      <c r="E20" s="383" t="s">
        <v>407</v>
      </c>
      <c r="F20" s="384">
        <v>1.08</v>
      </c>
      <c r="G20" s="384"/>
      <c r="H20" s="383" t="s">
        <v>408</v>
      </c>
      <c r="I20" s="385">
        <v>0</v>
      </c>
      <c r="J20" s="11"/>
    </row>
    <row r="21" spans="1:10">
      <c r="A21" s="10">
        <f t="shared" si="0"/>
        <v>11</v>
      </c>
      <c r="C21" s="381">
        <v>43579</v>
      </c>
      <c r="D21" s="382">
        <v>8132973</v>
      </c>
      <c r="E21" s="383" t="s">
        <v>411</v>
      </c>
      <c r="F21" s="384">
        <v>1800</v>
      </c>
      <c r="G21" s="384"/>
      <c r="H21" s="383" t="s">
        <v>415</v>
      </c>
      <c r="I21" s="385">
        <v>0</v>
      </c>
      <c r="J21" s="11"/>
    </row>
    <row r="22" spans="1:10">
      <c r="A22" s="10">
        <f t="shared" si="0"/>
        <v>12</v>
      </c>
      <c r="C22" s="381">
        <v>43586</v>
      </c>
      <c r="D22" s="10">
        <v>8133062</v>
      </c>
      <c r="E22" s="383" t="s">
        <v>409</v>
      </c>
      <c r="F22" s="384">
        <v>350</v>
      </c>
      <c r="G22" s="384"/>
      <c r="H22" s="383" t="s">
        <v>410</v>
      </c>
      <c r="I22" s="385">
        <v>0</v>
      </c>
      <c r="J22" s="11"/>
    </row>
    <row r="23" spans="1:10">
      <c r="A23" s="10">
        <f t="shared" si="0"/>
        <v>13</v>
      </c>
      <c r="C23" s="381">
        <v>43586</v>
      </c>
      <c r="D23" s="382">
        <v>8133078</v>
      </c>
      <c r="E23" s="383" t="s">
        <v>407</v>
      </c>
      <c r="F23" s="384">
        <v>1.08</v>
      </c>
      <c r="G23" s="384"/>
      <c r="H23" s="383" t="s">
        <v>408</v>
      </c>
      <c r="I23" s="385">
        <v>0</v>
      </c>
      <c r="J23" s="11"/>
    </row>
    <row r="24" spans="1:10">
      <c r="A24" s="10">
        <f t="shared" si="0"/>
        <v>14</v>
      </c>
      <c r="C24" s="381">
        <v>43619</v>
      </c>
      <c r="D24" s="382">
        <v>8133306</v>
      </c>
      <c r="E24" s="383" t="s">
        <v>409</v>
      </c>
      <c r="F24" s="384">
        <v>350</v>
      </c>
      <c r="G24" s="384"/>
      <c r="H24" s="383" t="s">
        <v>410</v>
      </c>
      <c r="I24" s="385">
        <v>0</v>
      </c>
      <c r="J24" s="11"/>
    </row>
    <row r="25" spans="1:10">
      <c r="A25" s="10">
        <f t="shared" si="0"/>
        <v>15</v>
      </c>
      <c r="C25" s="381">
        <v>43619</v>
      </c>
      <c r="D25" s="382">
        <v>8133322</v>
      </c>
      <c r="E25" s="383" t="s">
        <v>407</v>
      </c>
      <c r="F25" s="384">
        <v>1.08</v>
      </c>
      <c r="G25" s="384"/>
      <c r="H25" s="383" t="s">
        <v>408</v>
      </c>
      <c r="I25" s="385">
        <v>0</v>
      </c>
      <c r="J25" s="11"/>
    </row>
    <row r="26" spans="1:10">
      <c r="A26" s="10">
        <f t="shared" si="0"/>
        <v>16</v>
      </c>
      <c r="C26" s="381">
        <v>43647</v>
      </c>
      <c r="D26" s="382">
        <v>8133634</v>
      </c>
      <c r="E26" s="383" t="s">
        <v>409</v>
      </c>
      <c r="F26" s="384">
        <v>350</v>
      </c>
      <c r="G26" s="384"/>
      <c r="H26" s="383" t="s">
        <v>410</v>
      </c>
      <c r="I26" s="385">
        <v>0</v>
      </c>
      <c r="J26" s="11"/>
    </row>
    <row r="27" spans="1:10">
      <c r="A27" s="10">
        <f t="shared" si="0"/>
        <v>17</v>
      </c>
      <c r="C27" s="381">
        <v>43647</v>
      </c>
      <c r="D27" s="382">
        <v>8133651</v>
      </c>
      <c r="E27" s="383" t="s">
        <v>407</v>
      </c>
      <c r="F27" s="384">
        <v>1.08</v>
      </c>
      <c r="G27" s="384"/>
      <c r="H27" s="383" t="s">
        <v>408</v>
      </c>
      <c r="I27" s="385">
        <v>0</v>
      </c>
      <c r="J27" s="11"/>
    </row>
    <row r="28" spans="1:10">
      <c r="A28" s="10">
        <f t="shared" si="0"/>
        <v>18</v>
      </c>
      <c r="C28" s="381">
        <v>43678</v>
      </c>
      <c r="D28" s="382">
        <v>8133894</v>
      </c>
      <c r="E28" s="383" t="s">
        <v>409</v>
      </c>
      <c r="F28" s="384">
        <v>350</v>
      </c>
      <c r="G28" s="384"/>
      <c r="H28" s="383" t="s">
        <v>410</v>
      </c>
      <c r="I28" s="385">
        <v>0</v>
      </c>
      <c r="J28" s="11"/>
    </row>
    <row r="29" spans="1:10">
      <c r="A29" s="10">
        <f t="shared" si="0"/>
        <v>19</v>
      </c>
      <c r="C29" s="381">
        <v>43678</v>
      </c>
      <c r="D29" s="10">
        <v>8133913</v>
      </c>
      <c r="E29" s="383" t="s">
        <v>407</v>
      </c>
      <c r="F29" s="384">
        <v>1.08</v>
      </c>
      <c r="G29" s="384"/>
      <c r="H29" s="383" t="s">
        <v>408</v>
      </c>
      <c r="I29" s="385">
        <v>0</v>
      </c>
      <c r="J29" s="11"/>
    </row>
    <row r="30" spans="1:10">
      <c r="A30" s="10">
        <f t="shared" si="0"/>
        <v>20</v>
      </c>
      <c r="C30" s="381">
        <v>43711</v>
      </c>
      <c r="D30" s="382">
        <v>8134120</v>
      </c>
      <c r="E30" s="383" t="s">
        <v>409</v>
      </c>
      <c r="F30" s="384">
        <v>350</v>
      </c>
      <c r="G30" s="384"/>
      <c r="H30" s="383" t="s">
        <v>410</v>
      </c>
      <c r="I30" s="385">
        <v>0</v>
      </c>
      <c r="J30" s="11"/>
    </row>
    <row r="31" spans="1:10">
      <c r="A31" s="10">
        <f t="shared" si="0"/>
        <v>21</v>
      </c>
      <c r="C31" s="381">
        <v>43711</v>
      </c>
      <c r="D31" s="10">
        <v>8134137</v>
      </c>
      <c r="E31" s="383" t="s">
        <v>407</v>
      </c>
      <c r="F31" s="384">
        <v>1.08</v>
      </c>
      <c r="G31" s="384"/>
      <c r="H31" s="383" t="s">
        <v>408</v>
      </c>
      <c r="I31" s="385">
        <v>0</v>
      </c>
      <c r="J31" s="11"/>
    </row>
    <row r="32" spans="1:10">
      <c r="A32" s="10">
        <f t="shared" si="0"/>
        <v>22</v>
      </c>
      <c r="C32" s="381">
        <v>43739</v>
      </c>
      <c r="D32" s="382">
        <v>8134349</v>
      </c>
      <c r="E32" s="383" t="s">
        <v>409</v>
      </c>
      <c r="F32" s="384">
        <v>350</v>
      </c>
      <c r="G32" s="384"/>
      <c r="H32" s="383" t="s">
        <v>410</v>
      </c>
      <c r="I32" s="385">
        <v>0</v>
      </c>
      <c r="J32" s="11"/>
    </row>
    <row r="33" spans="1:10">
      <c r="A33" s="10">
        <f t="shared" si="0"/>
        <v>23</v>
      </c>
      <c r="C33" s="381">
        <v>43739</v>
      </c>
      <c r="D33" s="10">
        <v>8134365</v>
      </c>
      <c r="E33" s="383" t="s">
        <v>407</v>
      </c>
      <c r="F33" s="384">
        <v>1.08</v>
      </c>
      <c r="G33" s="384"/>
      <c r="H33" s="383" t="s">
        <v>408</v>
      </c>
      <c r="I33" s="385">
        <v>0</v>
      </c>
      <c r="J33" s="11"/>
    </row>
    <row r="34" spans="1:10">
      <c r="A34" s="10">
        <f t="shared" si="0"/>
        <v>24</v>
      </c>
      <c r="C34" s="381">
        <v>43767</v>
      </c>
      <c r="D34" s="382">
        <v>8134579</v>
      </c>
      <c r="E34" s="383" t="s">
        <v>407</v>
      </c>
      <c r="F34" s="384">
        <v>43</v>
      </c>
      <c r="G34" s="384"/>
      <c r="H34" s="383" t="s">
        <v>416</v>
      </c>
      <c r="I34" s="385">
        <v>0</v>
      </c>
      <c r="J34" s="11"/>
    </row>
    <row r="35" spans="1:10">
      <c r="A35" s="10">
        <f t="shared" si="0"/>
        <v>25</v>
      </c>
      <c r="C35" s="381">
        <v>43769</v>
      </c>
      <c r="D35" s="10">
        <v>8134691</v>
      </c>
      <c r="E35" s="383" t="s">
        <v>417</v>
      </c>
      <c r="F35" s="384">
        <v>3844.62</v>
      </c>
      <c r="G35" s="384"/>
      <c r="H35" s="383" t="s">
        <v>418</v>
      </c>
      <c r="I35" s="385">
        <v>0</v>
      </c>
      <c r="J35" s="11"/>
    </row>
    <row r="36" spans="1:10">
      <c r="A36" s="10">
        <f t="shared" si="0"/>
        <v>26</v>
      </c>
      <c r="C36" s="381">
        <v>43770</v>
      </c>
      <c r="D36" s="382">
        <v>8134630</v>
      </c>
      <c r="E36" s="383" t="s">
        <v>409</v>
      </c>
      <c r="F36" s="384">
        <v>350</v>
      </c>
      <c r="G36" s="384"/>
      <c r="H36" s="383" t="s">
        <v>410</v>
      </c>
      <c r="I36" s="385">
        <v>0</v>
      </c>
      <c r="J36" s="11"/>
    </row>
    <row r="37" spans="1:10">
      <c r="A37" s="10">
        <f t="shared" si="0"/>
        <v>27</v>
      </c>
      <c r="C37" s="381">
        <v>43770</v>
      </c>
      <c r="D37" s="382">
        <v>8134644</v>
      </c>
      <c r="E37" s="383" t="s">
        <v>407</v>
      </c>
      <c r="F37" s="384">
        <v>1.08</v>
      </c>
      <c r="G37" s="384"/>
      <c r="H37" s="383" t="s">
        <v>408</v>
      </c>
      <c r="I37" s="385">
        <v>0</v>
      </c>
      <c r="J37" s="11"/>
    </row>
    <row r="38" spans="1:10">
      <c r="A38" s="10">
        <f t="shared" si="0"/>
        <v>28</v>
      </c>
      <c r="C38" s="381">
        <v>43794</v>
      </c>
      <c r="D38" s="382">
        <v>8134815</v>
      </c>
      <c r="E38" s="383" t="s">
        <v>407</v>
      </c>
      <c r="F38" s="384">
        <v>185</v>
      </c>
      <c r="G38" s="384"/>
      <c r="H38" s="383" t="s">
        <v>419</v>
      </c>
      <c r="I38" s="385">
        <v>0</v>
      </c>
      <c r="J38" s="11"/>
    </row>
    <row r="39" spans="1:10">
      <c r="A39" s="10">
        <f t="shared" si="0"/>
        <v>29</v>
      </c>
      <c r="C39" s="381">
        <v>43801</v>
      </c>
      <c r="D39" s="382">
        <v>8134842</v>
      </c>
      <c r="E39" s="383" t="s">
        <v>409</v>
      </c>
      <c r="F39" s="384">
        <v>350</v>
      </c>
      <c r="G39" s="384"/>
      <c r="H39" s="383" t="s">
        <v>410</v>
      </c>
      <c r="I39" s="385">
        <v>0</v>
      </c>
      <c r="J39" s="11"/>
    </row>
    <row r="40" spans="1:10">
      <c r="A40" s="10">
        <f t="shared" si="0"/>
        <v>30</v>
      </c>
      <c r="C40" s="381">
        <v>43801</v>
      </c>
      <c r="D40" s="382">
        <v>8134877</v>
      </c>
      <c r="E40" s="383" t="s">
        <v>407</v>
      </c>
      <c r="F40" s="384">
        <v>1.08</v>
      </c>
      <c r="G40" s="384"/>
      <c r="H40" s="383" t="s">
        <v>408</v>
      </c>
      <c r="I40" s="385">
        <v>0</v>
      </c>
      <c r="J40" s="11"/>
    </row>
    <row r="41" spans="1:10">
      <c r="A41" s="10">
        <f t="shared" si="0"/>
        <v>31</v>
      </c>
      <c r="C41" s="381">
        <v>43808</v>
      </c>
      <c r="D41" s="382">
        <v>8134927</v>
      </c>
      <c r="E41" s="383" t="s">
        <v>420</v>
      </c>
      <c r="F41" s="384">
        <v>5000</v>
      </c>
      <c r="G41" s="384"/>
      <c r="H41" s="383" t="s">
        <v>412</v>
      </c>
      <c r="I41" s="385">
        <v>0</v>
      </c>
      <c r="J41" s="11"/>
    </row>
    <row r="42" spans="1:10">
      <c r="A42" s="10">
        <f t="shared" si="0"/>
        <v>32</v>
      </c>
      <c r="C42" s="381">
        <v>43819</v>
      </c>
      <c r="D42" s="10">
        <v>8135008</v>
      </c>
      <c r="E42" s="383" t="s">
        <v>421</v>
      </c>
      <c r="F42" s="384">
        <v>390</v>
      </c>
      <c r="G42" s="384"/>
      <c r="H42" s="383" t="s">
        <v>422</v>
      </c>
      <c r="I42" s="385">
        <v>0</v>
      </c>
      <c r="J42" s="11"/>
    </row>
    <row r="43" spans="1:10">
      <c r="A43" s="10">
        <f t="shared" si="0"/>
        <v>33</v>
      </c>
      <c r="C43" s="381">
        <v>43830</v>
      </c>
      <c r="D43" s="10">
        <v>8135178</v>
      </c>
      <c r="E43" s="15" t="s">
        <v>423</v>
      </c>
      <c r="F43" s="386">
        <v>159.33000000000001</v>
      </c>
      <c r="G43" s="386"/>
      <c r="H43" s="15" t="s">
        <v>414</v>
      </c>
      <c r="I43" s="385">
        <f>F43</f>
        <v>159.33000000000001</v>
      </c>
      <c r="J43" s="11"/>
    </row>
    <row r="44" spans="1:10">
      <c r="A44" s="10">
        <f t="shared" si="0"/>
        <v>34</v>
      </c>
      <c r="C44" s="16"/>
      <c r="D44" s="387"/>
      <c r="E44" s="388" t="s">
        <v>37</v>
      </c>
      <c r="F44" s="389">
        <f>SUM(F11:F43)</f>
        <v>26240.790000000005</v>
      </c>
      <c r="G44" s="389"/>
      <c r="H44" s="16"/>
      <c r="I44" s="390">
        <f>SUM(I11:I43)</f>
        <v>265.21000000000004</v>
      </c>
      <c r="J44" s="11"/>
    </row>
    <row r="45" spans="1:10">
      <c r="A45" s="10">
        <f t="shared" si="0"/>
        <v>35</v>
      </c>
      <c r="C45" s="11"/>
      <c r="E45" s="15"/>
      <c r="F45" s="386"/>
      <c r="G45" s="386"/>
      <c r="I45" s="386"/>
      <c r="J45" s="11"/>
    </row>
    <row r="46" spans="1:10">
      <c r="A46" s="10">
        <f t="shared" si="0"/>
        <v>36</v>
      </c>
      <c r="C46" s="11"/>
      <c r="E46" s="15" t="s">
        <v>169</v>
      </c>
      <c r="F46" s="386">
        <f>F44-I44</f>
        <v>25975.580000000005</v>
      </c>
      <c r="G46" s="386"/>
      <c r="I46" s="386"/>
      <c r="J46" s="11"/>
    </row>
    <row r="47" spans="1:10">
      <c r="A47" s="10">
        <f t="shared" si="0"/>
        <v>37</v>
      </c>
      <c r="I47" s="386"/>
      <c r="J47" s="11"/>
    </row>
    <row r="48" spans="1:10" ht="13.8" thickBot="1">
      <c r="A48" s="10">
        <f t="shared" si="0"/>
        <v>38</v>
      </c>
      <c r="C48" s="391" t="s">
        <v>15</v>
      </c>
      <c r="D48" s="391"/>
      <c r="E48" s="21"/>
      <c r="F48" s="392">
        <f>F46-F44</f>
        <v>-265.20999999999913</v>
      </c>
      <c r="G48" s="11" t="s">
        <v>378</v>
      </c>
      <c r="I48" s="386"/>
      <c r="J48" s="11"/>
    </row>
    <row r="49" spans="3:9" ht="13.8" thickTop="1"/>
    <row r="51" spans="3:9" ht="27.75" customHeight="1">
      <c r="C51" s="270" t="s">
        <v>424</v>
      </c>
      <c r="D51" s="270"/>
      <c r="E51" s="270"/>
      <c r="F51" s="270"/>
      <c r="G51" s="270"/>
      <c r="H51" s="270"/>
      <c r="I51" s="270"/>
    </row>
  </sheetData>
  <mergeCells count="4">
    <mergeCell ref="A3:J3"/>
    <mergeCell ref="A4:J4"/>
    <mergeCell ref="A6:J6"/>
    <mergeCell ref="C51:I51"/>
  </mergeCells>
  <printOptions horizontalCentered="1"/>
  <pageMargins left="0.25" right="0.25" top="0.75" bottom="0.5" header="0.5" footer="0.5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fitToPage="1"/>
  </sheetPr>
  <dimension ref="A1:J33"/>
  <sheetViews>
    <sheetView tabSelected="1" zoomScale="75" zoomScaleNormal="75" workbookViewId="0">
      <selection activeCell="K11" sqref="K11"/>
    </sheetView>
  </sheetViews>
  <sheetFormatPr defaultColWidth="9.109375" defaultRowHeight="13.2"/>
  <cols>
    <col min="1" max="1" width="3.5546875" style="11" customWidth="1"/>
    <col min="2" max="2" width="9.109375" style="10"/>
    <col min="3" max="3" width="37.44140625" style="11" bestFit="1" customWidth="1"/>
    <col min="4" max="5" width="13.5546875" style="11" bestFit="1" customWidth="1"/>
    <col min="6" max="6" width="11.88671875" style="11" customWidth="1"/>
    <col min="7" max="7" width="10.88671875" style="11" bestFit="1" customWidth="1"/>
    <col min="8" max="8" width="9.109375" style="11"/>
    <col min="9" max="9" width="11.6640625" style="11" bestFit="1" customWidth="1"/>
    <col min="10" max="16384" width="9.109375" style="11"/>
  </cols>
  <sheetData>
    <row r="1" spans="1:7">
      <c r="A1" s="266" t="str">
        <f>RevReq!A1</f>
        <v>LICKING VALLEY R.E.C.C.</v>
      </c>
      <c r="B1" s="266"/>
      <c r="C1" s="266"/>
      <c r="D1" s="266"/>
      <c r="E1" s="266"/>
      <c r="F1" s="266"/>
      <c r="G1" s="266"/>
    </row>
    <row r="2" spans="1:7">
      <c r="A2" s="266" t="s">
        <v>172</v>
      </c>
      <c r="B2" s="266"/>
      <c r="C2" s="266"/>
      <c r="D2" s="266"/>
      <c r="E2" s="266"/>
      <c r="F2" s="266"/>
      <c r="G2" s="266"/>
    </row>
    <row r="4" spans="1:7" ht="47.25" customHeight="1">
      <c r="B4" s="44" t="s">
        <v>177</v>
      </c>
      <c r="C4" s="30" t="s">
        <v>41</v>
      </c>
      <c r="D4" s="65" t="s">
        <v>23</v>
      </c>
      <c r="E4" s="65" t="s">
        <v>24</v>
      </c>
      <c r="F4" s="65" t="s">
        <v>174</v>
      </c>
      <c r="G4" s="65" t="s">
        <v>175</v>
      </c>
    </row>
    <row r="5" spans="1:7">
      <c r="B5" s="45" t="s">
        <v>21</v>
      </c>
      <c r="C5" s="46">
        <v>1</v>
      </c>
      <c r="D5" s="46">
        <f>C5+1</f>
        <v>2</v>
      </c>
      <c r="E5" s="46">
        <f>D5+1</f>
        <v>3</v>
      </c>
      <c r="F5" s="46">
        <f>E5+1</f>
        <v>4</v>
      </c>
      <c r="G5" s="46">
        <f>F5+1</f>
        <v>5</v>
      </c>
    </row>
    <row r="6" spans="1:7">
      <c r="B6" s="11"/>
      <c r="C6" s="66"/>
      <c r="D6" s="66"/>
      <c r="E6" s="66"/>
      <c r="F6" s="66"/>
      <c r="G6" s="66"/>
    </row>
    <row r="7" spans="1:7">
      <c r="B7" s="10">
        <f>'Adj IS'!C4</f>
        <v>1.01</v>
      </c>
      <c r="C7" s="11" t="s">
        <v>173</v>
      </c>
      <c r="D7" s="24">
        <f>'1.01 FAC'!F31</f>
        <v>1047746.55</v>
      </c>
      <c r="E7" s="24">
        <f>'1.01 FAC'!H31</f>
        <v>1072147</v>
      </c>
      <c r="F7" s="24">
        <v>0</v>
      </c>
      <c r="G7" s="24">
        <f>D7-E7+F7</f>
        <v>-24400.449999999953</v>
      </c>
    </row>
    <row r="8" spans="1:7">
      <c r="B8" s="10">
        <f>'Adj IS'!D4</f>
        <v>1.02</v>
      </c>
      <c r="C8" s="11" t="s">
        <v>127</v>
      </c>
      <c r="D8" s="24">
        <f>'1.02 ES'!F31</f>
        <v>-2415914.83</v>
      </c>
      <c r="E8" s="24">
        <f>'1.02 ES'!H31</f>
        <v>-2414656</v>
      </c>
      <c r="F8" s="24">
        <v>0</v>
      </c>
      <c r="G8" s="24">
        <f t="shared" ref="G8:G20" si="0">D8-E8+F8</f>
        <v>-1258.8300000000745</v>
      </c>
    </row>
    <row r="9" spans="1:7">
      <c r="B9" s="10">
        <f>'Adj IS'!E4</f>
        <v>1.03</v>
      </c>
      <c r="C9" s="11" t="s">
        <v>31</v>
      </c>
      <c r="D9" s="24">
        <v>0</v>
      </c>
      <c r="E9" s="24">
        <f>'1.03 RC'!E23</f>
        <v>16666.669999999998</v>
      </c>
      <c r="F9" s="24">
        <v>0</v>
      </c>
      <c r="G9" s="24">
        <f t="shared" si="0"/>
        <v>-16666.669999999998</v>
      </c>
    </row>
    <row r="10" spans="1:7">
      <c r="B10" s="10">
        <f>'Adj IS'!F4</f>
        <v>1.04</v>
      </c>
      <c r="C10" s="11" t="s">
        <v>250</v>
      </c>
      <c r="D10" s="24">
        <f>'1.04 CUST'!J36</f>
        <v>-14464.149799096691</v>
      </c>
      <c r="E10" s="24">
        <f>'1.04 CUST'!J40</f>
        <v>-9250.38169925486</v>
      </c>
      <c r="F10" s="24">
        <v>0</v>
      </c>
      <c r="G10" s="24">
        <f t="shared" si="0"/>
        <v>-5213.7680998418309</v>
      </c>
    </row>
    <row r="11" spans="1:7">
      <c r="B11" s="10">
        <f>'Adj IS'!G4</f>
        <v>1.05</v>
      </c>
      <c r="C11" s="11" t="s">
        <v>77</v>
      </c>
      <c r="D11" s="24">
        <v>0</v>
      </c>
      <c r="E11" s="24">
        <v>0</v>
      </c>
      <c r="F11" s="25">
        <f>'1.05 GTCC'!F18</f>
        <v>-989382</v>
      </c>
      <c r="G11" s="24">
        <f t="shared" si="0"/>
        <v>-989382</v>
      </c>
    </row>
    <row r="12" spans="1:7">
      <c r="B12" s="10">
        <f>'Adj IS'!H4</f>
        <v>1.06</v>
      </c>
      <c r="C12" s="26" t="s">
        <v>301</v>
      </c>
      <c r="D12" s="24">
        <v>0</v>
      </c>
      <c r="E12" s="24">
        <f>'1.06 Health'!G21</f>
        <v>-11154.490500000073</v>
      </c>
      <c r="F12" s="24">
        <v>0</v>
      </c>
      <c r="G12" s="24">
        <f t="shared" si="0"/>
        <v>11154.490500000073</v>
      </c>
    </row>
    <row r="13" spans="1:7">
      <c r="B13" s="10">
        <f>'Adj IS'!I4</f>
        <v>1.07</v>
      </c>
      <c r="C13" s="3" t="s">
        <v>246</v>
      </c>
      <c r="D13" s="24">
        <v>0</v>
      </c>
      <c r="E13" s="24">
        <f>'1.07 Depr'!J40</f>
        <v>5873.1199999999662</v>
      </c>
      <c r="F13" s="24">
        <v>0</v>
      </c>
      <c r="G13" s="24">
        <f t="shared" si="0"/>
        <v>-5873.1199999999662</v>
      </c>
    </row>
    <row r="14" spans="1:7">
      <c r="B14" s="10">
        <f>'Adj IS'!J4</f>
        <v>1.08</v>
      </c>
      <c r="C14" s="3" t="s">
        <v>318</v>
      </c>
      <c r="D14" s="24">
        <v>0</v>
      </c>
      <c r="E14" s="24">
        <f>'1.08 AdsDonat'!F20</f>
        <v>-185472.88</v>
      </c>
      <c r="F14" s="24">
        <v>0</v>
      </c>
      <c r="G14" s="24">
        <f t="shared" si="0"/>
        <v>185472.88</v>
      </c>
    </row>
    <row r="15" spans="1:7">
      <c r="B15" s="10">
        <f>'Adj IS'!K4</f>
        <v>1.0900000000000001</v>
      </c>
      <c r="C15" s="3" t="s">
        <v>249</v>
      </c>
      <c r="D15" s="24">
        <v>0</v>
      </c>
      <c r="E15" s="24">
        <f>'1.09 Dir'!K24</f>
        <v>-18292.589999999997</v>
      </c>
      <c r="F15" s="24">
        <v>0</v>
      </c>
      <c r="G15" s="24">
        <f t="shared" si="0"/>
        <v>18292.589999999997</v>
      </c>
    </row>
    <row r="16" spans="1:7">
      <c r="B16" s="28">
        <f>'Adj IS'!L4</f>
        <v>1.1000000000000001</v>
      </c>
      <c r="C16" s="3" t="s">
        <v>244</v>
      </c>
      <c r="D16" s="24">
        <v>0</v>
      </c>
      <c r="E16" s="24">
        <f>'1.10 Life Insur'!H63</f>
        <v>-14975.70727318609</v>
      </c>
      <c r="F16" s="24">
        <v>0</v>
      </c>
      <c r="G16" s="24">
        <f t="shared" si="0"/>
        <v>14975.70727318609</v>
      </c>
    </row>
    <row r="17" spans="2:10">
      <c r="B17" s="292" t="s">
        <v>338</v>
      </c>
      <c r="C17" s="38" t="s">
        <v>337</v>
      </c>
      <c r="D17" s="25">
        <v>0</v>
      </c>
      <c r="E17" s="25">
        <f>'PSC1-12 Int'!J44</f>
        <v>-42241.307463800033</v>
      </c>
      <c r="F17" s="25">
        <v>0</v>
      </c>
      <c r="G17" s="25">
        <f t="shared" si="0"/>
        <v>42241.307463800033</v>
      </c>
      <c r="H17" s="10"/>
    </row>
    <row r="18" spans="2:10">
      <c r="B18" s="292" t="s">
        <v>339</v>
      </c>
      <c r="C18" s="38" t="s">
        <v>340</v>
      </c>
      <c r="D18" s="25">
        <v>0</v>
      </c>
      <c r="E18" s="25">
        <f>'PSC1-14-Wages'!P76</f>
        <v>-14690.240738693563</v>
      </c>
      <c r="F18" s="25">
        <v>0</v>
      </c>
      <c r="G18" s="25">
        <f t="shared" si="0"/>
        <v>14690.240738693563</v>
      </c>
      <c r="H18" s="10"/>
      <c r="J18" s="11" t="s">
        <v>428</v>
      </c>
    </row>
    <row r="19" spans="2:10">
      <c r="B19" s="292" t="s">
        <v>341</v>
      </c>
      <c r="C19" s="38" t="s">
        <v>342</v>
      </c>
      <c r="D19" s="25">
        <v>0</v>
      </c>
      <c r="E19" s="25">
        <f>'PSC1-16-PayrTx'!I84</f>
        <v>1864.6184649078118</v>
      </c>
      <c r="F19" s="25">
        <v>0</v>
      </c>
      <c r="G19" s="25">
        <f t="shared" si="0"/>
        <v>-1864.6184649078118</v>
      </c>
      <c r="H19" s="10"/>
      <c r="J19" s="11" t="s">
        <v>428</v>
      </c>
    </row>
    <row r="20" spans="2:10">
      <c r="B20" s="60" t="s">
        <v>343</v>
      </c>
      <c r="C20" s="38" t="s">
        <v>344</v>
      </c>
      <c r="D20" s="25"/>
      <c r="E20" s="25">
        <f>'PSC1-18-Prof'!F48</f>
        <v>-265.20999999999913</v>
      </c>
      <c r="F20" s="25">
        <v>0</v>
      </c>
      <c r="G20" s="25">
        <f t="shared" si="0"/>
        <v>265.20999999999913</v>
      </c>
      <c r="H20" s="10"/>
      <c r="J20" s="11" t="s">
        <v>428</v>
      </c>
    </row>
    <row r="21" spans="2:10">
      <c r="B21" s="28"/>
      <c r="C21" s="3"/>
      <c r="D21" s="24"/>
      <c r="E21" s="24"/>
      <c r="F21" s="24"/>
      <c r="G21" s="24"/>
    </row>
    <row r="22" spans="2:10">
      <c r="B22" s="11"/>
    </row>
    <row r="23" spans="2:10" s="64" customFormat="1" ht="21.75" customHeight="1" thickBot="1">
      <c r="B23" s="93"/>
      <c r="C23" s="94" t="s">
        <v>45</v>
      </c>
      <c r="D23" s="95">
        <f>SUM(D7:D21)</f>
        <v>-1382632.4297990967</v>
      </c>
      <c r="E23" s="95">
        <f>SUM(E7:E21)</f>
        <v>-1614447.3992100274</v>
      </c>
      <c r="F23" s="95">
        <f>SUM(F7:F21)</f>
        <v>-989382</v>
      </c>
      <c r="G23" s="95">
        <f>SUM(G7:G21)</f>
        <v>-757567.03058907005</v>
      </c>
      <c r="I23" s="11"/>
      <c r="J23" s="11"/>
    </row>
    <row r="24" spans="2:10" ht="13.8" thickTop="1">
      <c r="D24" s="31"/>
      <c r="E24" s="31"/>
      <c r="F24" s="31"/>
      <c r="G24" s="24"/>
    </row>
    <row r="25" spans="2:10">
      <c r="D25" s="24"/>
      <c r="F25" s="24"/>
      <c r="G25" s="24"/>
    </row>
    <row r="26" spans="2:10">
      <c r="D26" s="27"/>
      <c r="E26" s="27"/>
      <c r="F26" s="27"/>
      <c r="G26" s="27"/>
    </row>
    <row r="27" spans="2:10">
      <c r="E27" s="24">
        <f>E23-D23</f>
        <v>-231814.96941093076</v>
      </c>
    </row>
    <row r="28" spans="2:10">
      <c r="B28" s="10" t="s">
        <v>258</v>
      </c>
    </row>
    <row r="29" spans="2:10">
      <c r="C29" s="11" t="s">
        <v>259</v>
      </c>
      <c r="D29" s="24">
        <f>RevReq!E11</f>
        <v>-1382632.4300000002</v>
      </c>
      <c r="E29" s="24">
        <f>RevReq!E29</f>
        <v>-1614447.3975107719</v>
      </c>
      <c r="F29" s="24">
        <f>RevReq!E33+RevReq!E34+RevReq!E35+RevReq!E36+RevReq!E37</f>
        <v>-989382</v>
      </c>
      <c r="G29" s="24">
        <f>RevReq!E39</f>
        <v>-757567.0324892283</v>
      </c>
    </row>
    <row r="30" spans="2:10" ht="13.8">
      <c r="C30" s="11" t="s">
        <v>171</v>
      </c>
      <c r="D30" s="91">
        <f>ROUND(D29-D23,0)</f>
        <v>0</v>
      </c>
      <c r="E30" s="91">
        <f t="shared" ref="E30:G30" si="1">ROUND(E29-E23,0)</f>
        <v>0</v>
      </c>
      <c r="F30" s="91">
        <f t="shared" si="1"/>
        <v>0</v>
      </c>
      <c r="G30" s="91">
        <f t="shared" si="1"/>
        <v>0</v>
      </c>
    </row>
    <row r="32" spans="2:10">
      <c r="C32" s="11" t="s">
        <v>260</v>
      </c>
      <c r="D32" s="144">
        <f>'Adj IS'!U12</f>
        <v>-1382632.4297990967</v>
      </c>
      <c r="E32" s="144">
        <f>'Adj IS'!U31</f>
        <v>-1614447.3992100274</v>
      </c>
      <c r="F32" s="144">
        <f>'Adj IS'!U40</f>
        <v>-989382</v>
      </c>
      <c r="G32" s="144">
        <f>'Adj IS'!U42</f>
        <v>-757567.03058907005</v>
      </c>
    </row>
    <row r="33" spans="3:7" ht="13.8">
      <c r="C33" s="11" t="s">
        <v>171</v>
      </c>
      <c r="D33" s="91">
        <f>ROUND(D32-D23,0)</f>
        <v>0</v>
      </c>
      <c r="E33" s="91">
        <f t="shared" ref="E33:G33" si="2">ROUND(E32-E23,0)</f>
        <v>0</v>
      </c>
      <c r="F33" s="91">
        <f t="shared" si="2"/>
        <v>0</v>
      </c>
      <c r="G33" s="91">
        <f t="shared" si="2"/>
        <v>0</v>
      </c>
    </row>
  </sheetData>
  <mergeCells count="2">
    <mergeCell ref="A1:G1"/>
    <mergeCell ref="A2:G2"/>
  </mergeCells>
  <phoneticPr fontId="28" type="noConversion"/>
  <conditionalFormatting sqref="D30:G30">
    <cfRule type="cellIs" dxfId="15" priority="5" operator="notEqual">
      <formula>0</formula>
    </cfRule>
    <cfRule type="cellIs" dxfId="14" priority="6" operator="equal">
      <formula>0</formula>
    </cfRule>
  </conditionalFormatting>
  <conditionalFormatting sqref="D33:G33">
    <cfRule type="cellIs" dxfId="13" priority="1" operator="notEqual">
      <formula>0</formula>
    </cfRule>
    <cfRule type="cellIs" dxfId="12" priority="2" operator="equal">
      <formula>0</formula>
    </cfRule>
  </conditionalFormatting>
  <printOptions horizontalCentered="1"/>
  <pageMargins left="1" right="0.75" top="0.75" bottom="0.5" header="0.5" footer="0.5"/>
  <pageSetup orientation="landscape" r:id="rId1"/>
  <headerFooter alignWithMargins="0">
    <oddFooter>&amp;RRevised Exhibit JW-2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74"/>
  <sheetViews>
    <sheetView zoomScale="75" zoomScaleNormal="75" workbookViewId="0">
      <selection activeCell="K64" sqref="K64"/>
    </sheetView>
  </sheetViews>
  <sheetFormatPr defaultColWidth="9.109375" defaultRowHeight="14.4"/>
  <cols>
    <col min="1" max="1" width="9.109375" style="72"/>
    <col min="2" max="2" width="1.5546875" style="72" customWidth="1"/>
    <col min="3" max="3" width="40.33203125" style="68" bestFit="1" customWidth="1"/>
    <col min="4" max="4" width="13.5546875" style="117" bestFit="1" customWidth="1"/>
    <col min="5" max="5" width="16.33203125" style="110" bestFit="1" customWidth="1"/>
    <col min="6" max="6" width="17.5546875" style="68" bestFit="1" customWidth="1"/>
    <col min="7" max="7" width="4.5546875" style="68" customWidth="1"/>
    <col min="8" max="8" width="13.44140625" style="68" bestFit="1" customWidth="1"/>
    <col min="9" max="9" width="5.88671875" style="68" customWidth="1"/>
    <col min="10" max="16384" width="9.109375" style="68"/>
  </cols>
  <sheetData>
    <row r="1" spans="1:7">
      <c r="A1" s="267" t="str">
        <f>RevReq!A1</f>
        <v>LICKING VALLEY R.E.C.C.</v>
      </c>
      <c r="B1" s="267"/>
      <c r="C1" s="267"/>
      <c r="D1" s="267"/>
      <c r="E1" s="267"/>
      <c r="F1" s="267"/>
      <c r="G1" s="103"/>
    </row>
    <row r="2" spans="1:7">
      <c r="A2" s="267" t="s">
        <v>179</v>
      </c>
      <c r="B2" s="267"/>
      <c r="C2" s="267"/>
      <c r="D2" s="267"/>
      <c r="E2" s="267"/>
      <c r="F2" s="267"/>
      <c r="G2" s="103"/>
    </row>
    <row r="3" spans="1:7">
      <c r="A3" s="103"/>
      <c r="B3" s="103"/>
      <c r="C3" s="103"/>
      <c r="D3" s="113"/>
      <c r="E3" s="107"/>
      <c r="F3" s="103"/>
      <c r="G3" s="103"/>
    </row>
    <row r="4" spans="1:7">
      <c r="A4" s="60"/>
      <c r="B4" s="60"/>
      <c r="C4" s="26"/>
      <c r="D4" s="129"/>
      <c r="E4" s="67"/>
      <c r="F4" s="67"/>
      <c r="G4" s="70"/>
    </row>
    <row r="5" spans="1:7" s="99" customFormat="1">
      <c r="A5" s="67" t="s">
        <v>0</v>
      </c>
      <c r="B5" s="67"/>
      <c r="C5" s="67" t="s">
        <v>1</v>
      </c>
      <c r="D5" s="129" t="s">
        <v>117</v>
      </c>
      <c r="E5" s="108" t="s">
        <v>227</v>
      </c>
      <c r="F5" s="67" t="s">
        <v>118</v>
      </c>
      <c r="G5" s="70"/>
    </row>
    <row r="6" spans="1:7" s="102" customFormat="1">
      <c r="A6" s="100" t="s">
        <v>21</v>
      </c>
      <c r="B6" s="100"/>
      <c r="C6" s="101">
        <v>1</v>
      </c>
      <c r="D6" s="101">
        <f>C6+1</f>
        <v>2</v>
      </c>
      <c r="E6" s="101">
        <f>D6+1</f>
        <v>3</v>
      </c>
      <c r="F6" s="101" t="s">
        <v>25</v>
      </c>
    </row>
    <row r="7" spans="1:7">
      <c r="A7" s="60">
        <v>1</v>
      </c>
      <c r="B7" s="106" t="s">
        <v>180</v>
      </c>
      <c r="C7" s="26"/>
      <c r="D7" s="38"/>
      <c r="E7" s="25"/>
      <c r="F7" s="26"/>
    </row>
    <row r="8" spans="1:7">
      <c r="A8" s="60">
        <f>A7+1</f>
        <v>2</v>
      </c>
      <c r="B8" s="60"/>
      <c r="C8" s="26" t="s">
        <v>181</v>
      </c>
      <c r="D8" s="104">
        <v>77607640</v>
      </c>
      <c r="E8" s="104">
        <v>0</v>
      </c>
      <c r="F8" s="104">
        <f>D8+E8</f>
        <v>77607640</v>
      </c>
    </row>
    <row r="9" spans="1:7">
      <c r="A9" s="60">
        <f t="shared" ref="A9:A68" si="0">A8+1</f>
        <v>3</v>
      </c>
      <c r="B9" s="60"/>
      <c r="C9" s="26" t="s">
        <v>182</v>
      </c>
      <c r="D9" s="104">
        <v>1038553</v>
      </c>
      <c r="E9" s="104">
        <v>0</v>
      </c>
      <c r="F9" s="104">
        <f>D9+E9</f>
        <v>1038553</v>
      </c>
    </row>
    <row r="10" spans="1:7">
      <c r="A10" s="60">
        <f t="shared" si="0"/>
        <v>4</v>
      </c>
      <c r="B10" s="60"/>
      <c r="C10" s="26" t="s">
        <v>183</v>
      </c>
      <c r="D10" s="104">
        <f>D8+D9</f>
        <v>78646193</v>
      </c>
      <c r="E10" s="104">
        <v>0</v>
      </c>
      <c r="F10" s="104">
        <f>D10+E10</f>
        <v>78646193</v>
      </c>
    </row>
    <row r="11" spans="1:7">
      <c r="A11" s="60">
        <f t="shared" si="0"/>
        <v>5</v>
      </c>
      <c r="B11" s="60"/>
      <c r="C11" s="26" t="s">
        <v>184</v>
      </c>
      <c r="D11" s="104">
        <v>29996724</v>
      </c>
      <c r="E11" s="104">
        <v>0</v>
      </c>
      <c r="F11" s="104">
        <f>D11+E11</f>
        <v>29996724</v>
      </c>
    </row>
    <row r="12" spans="1:7">
      <c r="A12" s="60">
        <f t="shared" si="0"/>
        <v>6</v>
      </c>
      <c r="B12" s="60"/>
      <c r="C12" s="63" t="s">
        <v>185</v>
      </c>
      <c r="D12" s="109">
        <f>SUM(D10:D10)-D11</f>
        <v>48649469</v>
      </c>
      <c r="E12" s="109">
        <f t="shared" ref="E12:F12" si="1">SUM(E10:E10)-E11</f>
        <v>0</v>
      </c>
      <c r="F12" s="109">
        <f t="shared" si="1"/>
        <v>48649469</v>
      </c>
    </row>
    <row r="13" spans="1:7">
      <c r="A13" s="60">
        <f t="shared" si="0"/>
        <v>7</v>
      </c>
      <c r="B13" s="60"/>
      <c r="C13" s="26"/>
      <c r="D13" s="104"/>
      <c r="E13" s="104"/>
      <c r="F13" s="104"/>
    </row>
    <row r="14" spans="1:7">
      <c r="A14" s="60">
        <f t="shared" si="0"/>
        <v>8</v>
      </c>
      <c r="B14" s="60"/>
      <c r="C14" s="26" t="s">
        <v>268</v>
      </c>
      <c r="D14" s="104">
        <v>0</v>
      </c>
      <c r="E14" s="104">
        <v>0</v>
      </c>
      <c r="F14" s="104">
        <f t="shared" ref="F14:F20" si="2">D14+E14</f>
        <v>0</v>
      </c>
    </row>
    <row r="15" spans="1:7">
      <c r="A15" s="60">
        <f t="shared" si="0"/>
        <v>9</v>
      </c>
      <c r="B15" s="60"/>
      <c r="C15" s="26" t="s">
        <v>186</v>
      </c>
      <c r="D15" s="104">
        <v>18430483</v>
      </c>
      <c r="E15" s="104">
        <v>0</v>
      </c>
      <c r="F15" s="104">
        <f t="shared" si="2"/>
        <v>18430483</v>
      </c>
    </row>
    <row r="16" spans="1:7">
      <c r="A16" s="60">
        <f t="shared" si="0"/>
        <v>10</v>
      </c>
      <c r="B16" s="60"/>
      <c r="C16" s="26" t="s">
        <v>187</v>
      </c>
      <c r="D16" s="104">
        <v>0</v>
      </c>
      <c r="E16" s="104">
        <v>0</v>
      </c>
      <c r="F16" s="104">
        <f t="shared" si="2"/>
        <v>0</v>
      </c>
    </row>
    <row r="17" spans="1:6">
      <c r="A17" s="60">
        <f t="shared" si="0"/>
        <v>11</v>
      </c>
      <c r="B17" s="60"/>
      <c r="C17" s="26" t="s">
        <v>188</v>
      </c>
      <c r="D17" s="104">
        <v>653512</v>
      </c>
      <c r="E17" s="104">
        <v>0</v>
      </c>
      <c r="F17" s="104">
        <f t="shared" si="2"/>
        <v>653512</v>
      </c>
    </row>
    <row r="18" spans="1:6">
      <c r="A18" s="60">
        <f t="shared" si="0"/>
        <v>12</v>
      </c>
      <c r="B18" s="60"/>
      <c r="C18" s="26" t="s">
        <v>269</v>
      </c>
      <c r="D18" s="104">
        <v>0</v>
      </c>
      <c r="E18" s="104">
        <v>0</v>
      </c>
      <c r="F18" s="104">
        <f t="shared" si="2"/>
        <v>0</v>
      </c>
    </row>
    <row r="19" spans="1:6">
      <c r="A19" s="60">
        <f t="shared" si="0"/>
        <v>13</v>
      </c>
      <c r="B19" s="60"/>
      <c r="C19" s="26" t="s">
        <v>189</v>
      </c>
      <c r="D19" s="104">
        <v>0</v>
      </c>
      <c r="E19" s="104">
        <v>0</v>
      </c>
      <c r="F19" s="104">
        <f t="shared" si="2"/>
        <v>0</v>
      </c>
    </row>
    <row r="20" spans="1:6">
      <c r="A20" s="60">
        <f t="shared" si="0"/>
        <v>14</v>
      </c>
      <c r="B20" s="60"/>
      <c r="C20" s="26" t="s">
        <v>270</v>
      </c>
      <c r="D20" s="104">
        <v>0</v>
      </c>
      <c r="E20" s="104">
        <v>0</v>
      </c>
      <c r="F20" s="104">
        <f t="shared" si="2"/>
        <v>0</v>
      </c>
    </row>
    <row r="21" spans="1:6">
      <c r="A21" s="60">
        <f t="shared" si="0"/>
        <v>15</v>
      </c>
      <c r="B21" s="60"/>
      <c r="C21" s="63" t="s">
        <v>190</v>
      </c>
      <c r="D21" s="109">
        <f>SUM(D14:D20)</f>
        <v>19083995</v>
      </c>
      <c r="E21" s="109">
        <f t="shared" ref="E21:F21" si="3">SUM(E14:E20)</f>
        <v>0</v>
      </c>
      <c r="F21" s="109">
        <f t="shared" si="3"/>
        <v>19083995</v>
      </c>
    </row>
    <row r="22" spans="1:6">
      <c r="A22" s="60">
        <f t="shared" si="0"/>
        <v>16</v>
      </c>
      <c r="B22" s="60"/>
      <c r="C22" s="26"/>
      <c r="D22" s="104"/>
      <c r="E22" s="104"/>
      <c r="F22" s="104"/>
    </row>
    <row r="23" spans="1:6">
      <c r="A23" s="60">
        <f t="shared" si="0"/>
        <v>17</v>
      </c>
      <c r="B23" s="60"/>
      <c r="C23" s="26" t="s">
        <v>191</v>
      </c>
      <c r="D23" s="104">
        <v>497248</v>
      </c>
      <c r="E23" s="104">
        <v>0</v>
      </c>
      <c r="F23" s="104">
        <f t="shared" ref="F23:F32" si="4">D23+E23</f>
        <v>497248</v>
      </c>
    </row>
    <row r="24" spans="1:6">
      <c r="A24" s="60">
        <f t="shared" si="0"/>
        <v>18</v>
      </c>
      <c r="B24" s="60"/>
      <c r="C24" s="26" t="s">
        <v>192</v>
      </c>
      <c r="D24" s="104">
        <v>0</v>
      </c>
      <c r="E24" s="104">
        <v>0</v>
      </c>
      <c r="F24" s="104">
        <f t="shared" si="4"/>
        <v>0</v>
      </c>
    </row>
    <row r="25" spans="1:6">
      <c r="A25" s="60">
        <f t="shared" si="0"/>
        <v>19</v>
      </c>
      <c r="B25" s="60"/>
      <c r="C25" s="26" t="s">
        <v>193</v>
      </c>
      <c r="D25" s="104">
        <v>0</v>
      </c>
      <c r="E25" s="104">
        <v>0</v>
      </c>
      <c r="F25" s="104">
        <f t="shared" si="4"/>
        <v>0</v>
      </c>
    </row>
    <row r="26" spans="1:6">
      <c r="A26" s="60">
        <f t="shared" si="0"/>
        <v>20</v>
      </c>
      <c r="B26" s="60"/>
      <c r="C26" s="26" t="s">
        <v>194</v>
      </c>
      <c r="D26" s="104">
        <v>0</v>
      </c>
      <c r="E26" s="104">
        <v>0</v>
      </c>
      <c r="F26" s="104">
        <f t="shared" si="4"/>
        <v>0</v>
      </c>
    </row>
    <row r="27" spans="1:6">
      <c r="A27" s="60">
        <f t="shared" si="0"/>
        <v>21</v>
      </c>
      <c r="B27" s="60"/>
      <c r="C27" s="26" t="s">
        <v>196</v>
      </c>
      <c r="D27" s="104">
        <v>5055303</v>
      </c>
      <c r="E27" s="104">
        <v>0</v>
      </c>
      <c r="F27" s="104">
        <f t="shared" si="4"/>
        <v>5055303</v>
      </c>
    </row>
    <row r="28" spans="1:6">
      <c r="A28" s="60">
        <f t="shared" si="0"/>
        <v>22</v>
      </c>
      <c r="B28" s="60"/>
      <c r="C28" s="26" t="s">
        <v>195</v>
      </c>
      <c r="D28" s="104">
        <v>104221</v>
      </c>
      <c r="E28" s="104">
        <v>0</v>
      </c>
      <c r="F28" s="104">
        <f t="shared" si="4"/>
        <v>104221</v>
      </c>
    </row>
    <row r="29" spans="1:6">
      <c r="A29" s="60">
        <f t="shared" si="0"/>
        <v>23</v>
      </c>
      <c r="B29" s="60"/>
      <c r="C29" s="26" t="s">
        <v>197</v>
      </c>
      <c r="D29" s="232">
        <v>0</v>
      </c>
      <c r="E29" s="104">
        <v>0</v>
      </c>
      <c r="F29" s="104">
        <f t="shared" si="4"/>
        <v>0</v>
      </c>
    </row>
    <row r="30" spans="1:6">
      <c r="A30" s="60">
        <f t="shared" si="0"/>
        <v>24</v>
      </c>
      <c r="B30" s="60"/>
      <c r="C30" s="26" t="s">
        <v>198</v>
      </c>
      <c r="D30" s="104">
        <v>781409</v>
      </c>
      <c r="E30" s="104">
        <v>0</v>
      </c>
      <c r="F30" s="104">
        <f t="shared" si="4"/>
        <v>781409</v>
      </c>
    </row>
    <row r="31" spans="1:6">
      <c r="A31" s="60">
        <f t="shared" si="0"/>
        <v>25</v>
      </c>
      <c r="B31" s="60"/>
      <c r="C31" s="26" t="s">
        <v>199</v>
      </c>
      <c r="D31" s="104">
        <v>198064</v>
      </c>
      <c r="E31" s="104">
        <v>0</v>
      </c>
      <c r="F31" s="104">
        <f t="shared" si="4"/>
        <v>198064</v>
      </c>
    </row>
    <row r="32" spans="1:6">
      <c r="A32" s="60">
        <f t="shared" si="0"/>
        <v>26</v>
      </c>
      <c r="B32" s="60"/>
      <c r="C32" s="26" t="s">
        <v>200</v>
      </c>
      <c r="D32" s="104">
        <v>0</v>
      </c>
      <c r="E32" s="104">
        <v>0</v>
      </c>
      <c r="F32" s="104">
        <f t="shared" si="4"/>
        <v>0</v>
      </c>
    </row>
    <row r="33" spans="1:6">
      <c r="A33" s="60">
        <f t="shared" si="0"/>
        <v>27</v>
      </c>
      <c r="B33" s="60"/>
      <c r="C33" s="63" t="s">
        <v>201</v>
      </c>
      <c r="D33" s="109">
        <f>SUM(D23:D32)</f>
        <v>6636245</v>
      </c>
      <c r="E33" s="109">
        <f>SUM(E23:E32)</f>
        <v>0</v>
      </c>
      <c r="F33" s="109">
        <f>SUM(F23:F32)</f>
        <v>6636245</v>
      </c>
    </row>
    <row r="34" spans="1:6">
      <c r="A34" s="60">
        <f t="shared" si="0"/>
        <v>28</v>
      </c>
      <c r="B34" s="60"/>
      <c r="C34" s="26"/>
      <c r="D34" s="104"/>
      <c r="E34" s="104"/>
      <c r="F34" s="104"/>
    </row>
    <row r="35" spans="1:6">
      <c r="A35" s="60">
        <f t="shared" si="0"/>
        <v>29</v>
      </c>
      <c r="B35" s="60"/>
      <c r="C35" s="26" t="s">
        <v>202</v>
      </c>
      <c r="D35" s="104">
        <v>0</v>
      </c>
      <c r="E35" s="104">
        <v>0</v>
      </c>
      <c r="F35" s="104">
        <f>D35+E35</f>
        <v>0</v>
      </c>
    </row>
    <row r="36" spans="1:6">
      <c r="A36" s="60">
        <f t="shared" si="0"/>
        <v>30</v>
      </c>
      <c r="B36" s="60"/>
      <c r="C36" s="26" t="s">
        <v>203</v>
      </c>
      <c r="D36" s="104">
        <v>0</v>
      </c>
      <c r="E36" s="104">
        <v>0</v>
      </c>
      <c r="F36" s="104">
        <f>D36+E36</f>
        <v>0</v>
      </c>
    </row>
    <row r="37" spans="1:6">
      <c r="A37" s="60">
        <f t="shared" si="0"/>
        <v>31</v>
      </c>
      <c r="B37" s="60"/>
      <c r="C37" s="26"/>
      <c r="D37" s="35"/>
      <c r="E37" s="104"/>
      <c r="F37" s="104"/>
    </row>
    <row r="38" spans="1:6" ht="15" thickBot="1">
      <c r="A38" s="60">
        <f t="shared" si="0"/>
        <v>32</v>
      </c>
      <c r="B38" s="60"/>
      <c r="C38" s="71" t="s">
        <v>204</v>
      </c>
      <c r="D38" s="112">
        <f>D36+D35+D33+D21+D12</f>
        <v>74369709</v>
      </c>
      <c r="E38" s="112">
        <f>E36+E35+E33+E21+E12</f>
        <v>0</v>
      </c>
      <c r="F38" s="112">
        <f>F36+F35+F33+F21+F12</f>
        <v>74369709</v>
      </c>
    </row>
    <row r="39" spans="1:6" ht="15" thickTop="1">
      <c r="A39" s="60">
        <f t="shared" si="0"/>
        <v>33</v>
      </c>
      <c r="B39" s="60"/>
      <c r="C39" s="98"/>
      <c r="D39" s="111"/>
      <c r="E39" s="104"/>
      <c r="F39" s="104"/>
    </row>
    <row r="40" spans="1:6">
      <c r="A40" s="60">
        <f t="shared" si="0"/>
        <v>34</v>
      </c>
      <c r="B40" s="105" t="s">
        <v>205</v>
      </c>
      <c r="C40" s="26"/>
      <c r="D40" s="104"/>
      <c r="E40" s="104"/>
      <c r="F40" s="104"/>
    </row>
    <row r="41" spans="1:6">
      <c r="A41" s="60">
        <f t="shared" si="0"/>
        <v>35</v>
      </c>
      <c r="B41" s="60"/>
      <c r="C41" s="26" t="s">
        <v>206</v>
      </c>
      <c r="D41" s="104">
        <v>217010</v>
      </c>
      <c r="E41" s="25">
        <v>0</v>
      </c>
      <c r="F41" s="104">
        <f t="shared" ref="F41:F46" si="5">D41+E41</f>
        <v>217010</v>
      </c>
    </row>
    <row r="42" spans="1:6">
      <c r="A42" s="60">
        <f t="shared" si="0"/>
        <v>36</v>
      </c>
      <c r="B42" s="60"/>
      <c r="C42" s="26" t="s">
        <v>207</v>
      </c>
      <c r="D42" s="104">
        <v>36400208</v>
      </c>
      <c r="E42" s="104">
        <v>0</v>
      </c>
      <c r="F42" s="104">
        <f t="shared" si="5"/>
        <v>36400208</v>
      </c>
    </row>
    <row r="43" spans="1:6">
      <c r="A43" s="60">
        <f t="shared" si="0"/>
        <v>37</v>
      </c>
      <c r="B43" s="60"/>
      <c r="C43" s="26" t="s">
        <v>336</v>
      </c>
      <c r="D43" s="104">
        <v>-2065079</v>
      </c>
      <c r="E43" s="104">
        <v>0</v>
      </c>
      <c r="F43" s="104">
        <f t="shared" si="5"/>
        <v>-2065079</v>
      </c>
    </row>
    <row r="44" spans="1:6">
      <c r="A44" s="60">
        <f t="shared" si="0"/>
        <v>38</v>
      </c>
      <c r="B44" s="60"/>
      <c r="C44" s="26" t="s">
        <v>208</v>
      </c>
      <c r="D44" s="104">
        <v>923775</v>
      </c>
      <c r="E44" s="104">
        <v>0</v>
      </c>
      <c r="F44" s="104">
        <f t="shared" si="5"/>
        <v>923775</v>
      </c>
    </row>
    <row r="45" spans="1:6">
      <c r="A45" s="60">
        <f t="shared" si="0"/>
        <v>39</v>
      </c>
      <c r="B45" s="60"/>
      <c r="C45" s="26" t="s">
        <v>209</v>
      </c>
      <c r="D45" s="104">
        <v>33083</v>
      </c>
      <c r="E45" s="104">
        <v>0</v>
      </c>
      <c r="F45" s="104">
        <f t="shared" si="5"/>
        <v>33083</v>
      </c>
    </row>
    <row r="46" spans="1:6">
      <c r="A46" s="60">
        <f t="shared" si="0"/>
        <v>40</v>
      </c>
      <c r="B46" s="60"/>
      <c r="C46" s="26" t="s">
        <v>210</v>
      </c>
      <c r="D46" s="104">
        <v>-455215</v>
      </c>
      <c r="E46" s="104">
        <v>0</v>
      </c>
      <c r="F46" s="104">
        <f t="shared" si="5"/>
        <v>-455215</v>
      </c>
    </row>
    <row r="47" spans="1:6">
      <c r="A47" s="60">
        <f t="shared" si="0"/>
        <v>41</v>
      </c>
      <c r="B47" s="60"/>
      <c r="C47" s="63" t="s">
        <v>211</v>
      </c>
      <c r="D47" s="109">
        <f>SUM(D41:D46)</f>
        <v>35053782</v>
      </c>
      <c r="E47" s="109">
        <f>SUM(E41:E46)</f>
        <v>0</v>
      </c>
      <c r="F47" s="109">
        <f>SUM(F41:F46)</f>
        <v>35053782</v>
      </c>
    </row>
    <row r="48" spans="1:6">
      <c r="A48" s="60">
        <f t="shared" si="0"/>
        <v>42</v>
      </c>
      <c r="B48" s="60"/>
      <c r="C48" s="26"/>
      <c r="D48" s="104"/>
      <c r="E48" s="104"/>
      <c r="F48" s="104"/>
    </row>
    <row r="49" spans="1:6">
      <c r="A49" s="60">
        <f t="shared" si="0"/>
        <v>43</v>
      </c>
      <c r="B49" s="60"/>
      <c r="C49" s="26" t="s">
        <v>212</v>
      </c>
      <c r="D49" s="111">
        <v>3057673</v>
      </c>
      <c r="E49" s="104">
        <v>0</v>
      </c>
      <c r="F49" s="104">
        <f>D49+E49</f>
        <v>3057673</v>
      </c>
    </row>
    <row r="50" spans="1:6">
      <c r="A50" s="60">
        <f t="shared" si="0"/>
        <v>44</v>
      </c>
      <c r="B50" s="60"/>
      <c r="C50" s="26" t="s">
        <v>213</v>
      </c>
      <c r="D50" s="111">
        <v>25778020</v>
      </c>
      <c r="E50" s="104">
        <v>0</v>
      </c>
      <c r="F50" s="104">
        <f>D50+E50</f>
        <v>25778020</v>
      </c>
    </row>
    <row r="51" spans="1:6">
      <c r="A51" s="60">
        <f t="shared" si="0"/>
        <v>45</v>
      </c>
      <c r="B51" s="60"/>
      <c r="C51" s="26" t="s">
        <v>214</v>
      </c>
      <c r="D51" s="111">
        <v>0</v>
      </c>
      <c r="E51" s="104">
        <v>0</v>
      </c>
      <c r="F51" s="104">
        <f>D51+E51</f>
        <v>0</v>
      </c>
    </row>
    <row r="52" spans="1:6">
      <c r="A52" s="60">
        <f t="shared" si="0"/>
        <v>46</v>
      </c>
      <c r="B52" s="60"/>
      <c r="C52" s="26" t="s">
        <v>215</v>
      </c>
      <c r="D52" s="111">
        <v>1514789</v>
      </c>
      <c r="E52" s="104">
        <v>0</v>
      </c>
      <c r="F52" s="104">
        <f>D52+E52</f>
        <v>1514789</v>
      </c>
    </row>
    <row r="53" spans="1:6">
      <c r="A53" s="60">
        <f t="shared" si="0"/>
        <v>47</v>
      </c>
      <c r="B53" s="60"/>
      <c r="C53" s="26" t="s">
        <v>216</v>
      </c>
      <c r="D53" s="111">
        <v>0</v>
      </c>
      <c r="E53" s="104">
        <v>0</v>
      </c>
      <c r="F53" s="104">
        <f>D53+E53</f>
        <v>0</v>
      </c>
    </row>
    <row r="54" spans="1:6">
      <c r="A54" s="60">
        <f t="shared" si="0"/>
        <v>48</v>
      </c>
      <c r="B54" s="60"/>
      <c r="C54" s="63" t="s">
        <v>217</v>
      </c>
      <c r="D54" s="109">
        <f>SUM(D49:D53)</f>
        <v>30350482</v>
      </c>
      <c r="E54" s="109">
        <f>SUM(E49:E53)</f>
        <v>0</v>
      </c>
      <c r="F54" s="109">
        <f>SUM(F49:F53)</f>
        <v>30350482</v>
      </c>
    </row>
    <row r="55" spans="1:6">
      <c r="A55" s="60">
        <f t="shared" si="0"/>
        <v>49</v>
      </c>
      <c r="B55" s="60"/>
      <c r="C55" s="26"/>
      <c r="D55" s="104"/>
      <c r="E55" s="104"/>
      <c r="F55" s="104"/>
    </row>
    <row r="56" spans="1:6">
      <c r="A56" s="60">
        <f t="shared" si="0"/>
        <v>50</v>
      </c>
      <c r="B56" s="60"/>
      <c r="C56" s="98" t="s">
        <v>218</v>
      </c>
      <c r="D56" s="104">
        <v>3298863</v>
      </c>
      <c r="E56" s="104">
        <v>0</v>
      </c>
      <c r="F56" s="104">
        <f>D56+E56</f>
        <v>3298863</v>
      </c>
    </row>
    <row r="57" spans="1:6">
      <c r="A57" s="60">
        <f t="shared" si="0"/>
        <v>51</v>
      </c>
      <c r="B57" s="60"/>
      <c r="C57" s="26"/>
      <c r="D57" s="104"/>
      <c r="E57" s="104"/>
      <c r="F57" s="104"/>
    </row>
    <row r="58" spans="1:6">
      <c r="A58" s="60">
        <f t="shared" si="0"/>
        <v>52</v>
      </c>
      <c r="B58" s="60"/>
      <c r="C58" s="98" t="s">
        <v>219</v>
      </c>
      <c r="D58" s="104">
        <v>0</v>
      </c>
      <c r="E58" s="104">
        <v>0</v>
      </c>
      <c r="F58" s="104">
        <f t="shared" ref="F58:F63" si="6">D58+E58</f>
        <v>0</v>
      </c>
    </row>
    <row r="59" spans="1:6">
      <c r="A59" s="60">
        <f t="shared" si="0"/>
        <v>53</v>
      </c>
      <c r="B59" s="60"/>
      <c r="C59" s="98" t="s">
        <v>220</v>
      </c>
      <c r="D59" s="104">
        <v>2203037</v>
      </c>
      <c r="E59" s="104">
        <v>0</v>
      </c>
      <c r="F59" s="104">
        <f t="shared" si="6"/>
        <v>2203037</v>
      </c>
    </row>
    <row r="60" spans="1:6">
      <c r="A60" s="60">
        <f t="shared" si="0"/>
        <v>54</v>
      </c>
      <c r="B60" s="60"/>
      <c r="C60" s="98" t="s">
        <v>221</v>
      </c>
      <c r="D60" s="104">
        <v>1273932</v>
      </c>
      <c r="E60" s="104">
        <v>0</v>
      </c>
      <c r="F60" s="104">
        <f t="shared" si="6"/>
        <v>1273932</v>
      </c>
    </row>
    <row r="61" spans="1:6">
      <c r="A61" s="60">
        <f t="shared" si="0"/>
        <v>55</v>
      </c>
      <c r="B61" s="60"/>
      <c r="C61" s="98" t="s">
        <v>271</v>
      </c>
      <c r="D61" s="104">
        <v>1328000</v>
      </c>
      <c r="E61" s="104">
        <v>0</v>
      </c>
      <c r="F61" s="104">
        <f t="shared" si="6"/>
        <v>1328000</v>
      </c>
    </row>
    <row r="62" spans="1:6">
      <c r="A62" s="60">
        <f t="shared" si="0"/>
        <v>56</v>
      </c>
      <c r="B62" s="60"/>
      <c r="C62" s="98" t="s">
        <v>272</v>
      </c>
      <c r="D62" s="104">
        <v>0</v>
      </c>
      <c r="E62" s="104">
        <v>0</v>
      </c>
      <c r="F62" s="104">
        <f t="shared" si="6"/>
        <v>0</v>
      </c>
    </row>
    <row r="63" spans="1:6">
      <c r="A63" s="60">
        <f t="shared" si="0"/>
        <v>57</v>
      </c>
      <c r="B63" s="60"/>
      <c r="C63" s="98" t="s">
        <v>222</v>
      </c>
      <c r="D63" s="104">
        <v>696534</v>
      </c>
      <c r="E63" s="104">
        <v>0</v>
      </c>
      <c r="F63" s="104">
        <f t="shared" si="6"/>
        <v>696534</v>
      </c>
    </row>
    <row r="64" spans="1:6">
      <c r="A64" s="60">
        <f t="shared" si="0"/>
        <v>58</v>
      </c>
      <c r="B64" s="60"/>
      <c r="C64" s="63" t="s">
        <v>223</v>
      </c>
      <c r="D64" s="109">
        <f>SUM(D58:D63)</f>
        <v>5501503</v>
      </c>
      <c r="E64" s="109">
        <f>SUM(E58:E63)</f>
        <v>0</v>
      </c>
      <c r="F64" s="109">
        <f>SUM(F58:F63)</f>
        <v>5501503</v>
      </c>
    </row>
    <row r="65" spans="1:6">
      <c r="A65" s="60">
        <f t="shared" si="0"/>
        <v>59</v>
      </c>
      <c r="B65" s="60"/>
      <c r="C65" s="26"/>
      <c r="D65" s="104"/>
      <c r="E65" s="104"/>
      <c r="F65" s="104"/>
    </row>
    <row r="66" spans="1:6">
      <c r="A66" s="60">
        <f t="shared" si="0"/>
        <v>60</v>
      </c>
      <c r="B66" s="60"/>
      <c r="C66" s="98" t="s">
        <v>224</v>
      </c>
      <c r="D66" s="104">
        <v>0</v>
      </c>
      <c r="E66" s="104">
        <v>0</v>
      </c>
      <c r="F66" s="104">
        <f>D66+E66</f>
        <v>0</v>
      </c>
    </row>
    <row r="67" spans="1:6">
      <c r="A67" s="60">
        <f t="shared" si="0"/>
        <v>61</v>
      </c>
      <c r="B67" s="60"/>
      <c r="C67" s="98" t="s">
        <v>225</v>
      </c>
      <c r="D67" s="104">
        <v>165079</v>
      </c>
      <c r="E67" s="104">
        <v>0</v>
      </c>
      <c r="F67" s="104">
        <f>D67+E67</f>
        <v>165079</v>
      </c>
    </row>
    <row r="68" spans="1:6" ht="15" thickBot="1">
      <c r="A68" s="60">
        <f t="shared" si="0"/>
        <v>62</v>
      </c>
      <c r="B68" s="60"/>
      <c r="C68" s="71" t="s">
        <v>226</v>
      </c>
      <c r="D68" s="112">
        <f>D67+D66+D64+D56+D54+D47</f>
        <v>74369709</v>
      </c>
      <c r="E68" s="112">
        <f>E67+E66+E64+E56+E54+E47</f>
        <v>0</v>
      </c>
      <c r="F68" s="112">
        <f>F67+F66+F64+F56+F54+F47</f>
        <v>74369709</v>
      </c>
    </row>
    <row r="69" spans="1:6" ht="15" thickTop="1">
      <c r="A69" s="60"/>
      <c r="B69" s="60"/>
      <c r="C69" s="26"/>
      <c r="D69" s="104"/>
      <c r="E69" s="104"/>
      <c r="F69" s="104"/>
    </row>
    <row r="70" spans="1:6">
      <c r="A70" s="60"/>
      <c r="B70" s="60"/>
      <c r="C70" s="98"/>
      <c r="D70" s="35"/>
      <c r="E70" s="104"/>
      <c r="F70" s="104"/>
    </row>
    <row r="71" spans="1:6">
      <c r="A71" s="60"/>
      <c r="B71" s="60"/>
      <c r="C71" s="98"/>
      <c r="D71" s="35"/>
      <c r="E71" s="104"/>
      <c r="F71" s="104"/>
    </row>
    <row r="72" spans="1:6">
      <c r="A72" s="60"/>
      <c r="B72" s="60"/>
      <c r="C72" s="98"/>
      <c r="D72" s="35"/>
      <c r="E72" s="104"/>
      <c r="F72" s="104"/>
    </row>
    <row r="73" spans="1:6">
      <c r="A73" s="60"/>
      <c r="B73" s="60"/>
      <c r="C73" s="98"/>
      <c r="D73" s="35"/>
      <c r="E73" s="104"/>
      <c r="F73" s="104"/>
    </row>
    <row r="74" spans="1:6">
      <c r="C74" s="98"/>
      <c r="D74" s="35"/>
      <c r="E74" s="104"/>
      <c r="F74" s="104"/>
    </row>
  </sheetData>
  <mergeCells count="2">
    <mergeCell ref="A1:F1"/>
    <mergeCell ref="A2:F2"/>
  </mergeCells>
  <printOptions horizontalCentered="1"/>
  <pageMargins left="1" right="0.75" top="0.75" bottom="0.75" header="0.3" footer="0.3"/>
  <pageSetup scale="69" orientation="portrait" r:id="rId1"/>
  <headerFooter>
    <oddFooter>&amp;RRevised Exhibit  JW-2
Page &amp;P of &amp;N</oddFooter>
  </headerFooter>
  <ignoredErrors>
    <ignoredError sqref="F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4">
    <tabColor theme="4" tint="0.79998168889431442"/>
    <pageSetUpPr fitToPage="1"/>
  </sheetPr>
  <dimension ref="A1:AH151"/>
  <sheetViews>
    <sheetView defaultGridColor="0" colorId="22" zoomScale="75" zoomScaleNormal="75" workbookViewId="0">
      <selection activeCell="O14" sqref="O14"/>
    </sheetView>
  </sheetViews>
  <sheetFormatPr defaultColWidth="12.5546875" defaultRowHeight="13.8"/>
  <cols>
    <col min="1" max="1" width="6.109375" style="78" customWidth="1"/>
    <col min="2" max="2" width="33.109375" style="76" customWidth="1"/>
    <col min="3" max="3" width="12.33203125" style="76" customWidth="1"/>
    <col min="4" max="4" width="15.5546875" style="76" customWidth="1"/>
    <col min="5" max="5" width="13" style="76" bestFit="1" customWidth="1"/>
    <col min="6" max="6" width="14.33203125" style="76" customWidth="1"/>
    <col min="7" max="7" width="11.88671875" style="76" bestFit="1" customWidth="1"/>
    <col min="8" max="8" width="11.44140625" style="76" bestFit="1" customWidth="1"/>
    <col min="9" max="9" width="14.33203125" style="76" customWidth="1"/>
    <col min="10" max="10" width="12.88671875" style="76" bestFit="1" customWidth="1"/>
    <col min="11" max="11" width="9.6640625" style="76" bestFit="1" customWidth="1"/>
    <col min="12" max="12" width="10.77734375" style="76" customWidth="1"/>
    <col min="13" max="13" width="11.109375" style="76" customWidth="1"/>
    <col min="14" max="14" width="10" style="76" customWidth="1"/>
    <col min="15" max="15" width="11.88671875" style="76" customWidth="1"/>
    <col min="16" max="16" width="13.33203125" style="76" customWidth="1"/>
    <col min="17" max="17" width="12" style="76" hidden="1" customWidth="1"/>
    <col min="18" max="18" width="14.44140625" style="76" hidden="1" customWidth="1"/>
    <col min="19" max="19" width="11.44140625" style="76" hidden="1" customWidth="1"/>
    <col min="20" max="20" width="1.33203125" style="76" customWidth="1"/>
    <col min="21" max="21" width="11.88671875" style="76" bestFit="1" customWidth="1"/>
    <col min="22" max="22" width="3.5546875" style="76" customWidth="1"/>
    <col min="23" max="23" width="15.5546875" style="76" bestFit="1" customWidth="1"/>
    <col min="24" max="24" width="12.6640625" style="76" bestFit="1" customWidth="1"/>
    <col min="25" max="16384" width="12.5546875" style="76"/>
  </cols>
  <sheetData>
    <row r="1" spans="1:34">
      <c r="A1" s="77"/>
      <c r="B1" s="92" t="str">
        <f>RevReq!A1</f>
        <v>LICKING VALLEY R.E.C.C.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>
      <c r="A2" s="77"/>
      <c r="B2" s="92" t="s">
        <v>178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1:34" s="78" customForma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</row>
    <row r="4" spans="1:34">
      <c r="A4" s="77"/>
      <c r="B4" s="74" t="s">
        <v>263</v>
      </c>
      <c r="C4" s="77">
        <v>1.01</v>
      </c>
      <c r="D4" s="77">
        <v>1.02</v>
      </c>
      <c r="E4" s="77">
        <v>1.03</v>
      </c>
      <c r="F4" s="77">
        <v>1.04</v>
      </c>
      <c r="G4" s="77">
        <v>1.05</v>
      </c>
      <c r="H4" s="77">
        <v>1.06</v>
      </c>
      <c r="I4" s="77">
        <v>1.07</v>
      </c>
      <c r="J4" s="77">
        <v>1.08</v>
      </c>
      <c r="K4" s="77">
        <v>1.0900000000000001</v>
      </c>
      <c r="L4" s="79">
        <v>1.1000000000000001</v>
      </c>
      <c r="M4" s="394" t="str">
        <f>'Adj List'!B17</f>
        <v>PSC 1-12</v>
      </c>
      <c r="N4" s="394" t="str">
        <f>'Adj List'!B18</f>
        <v>PSC 1-14</v>
      </c>
      <c r="O4" s="394" t="str">
        <f>'Adj List'!B19</f>
        <v>PSC 1-16</v>
      </c>
      <c r="P4" s="395" t="str">
        <f>'Adj List'!B20</f>
        <v>PSC 1-18</v>
      </c>
      <c r="Q4" s="77">
        <v>1.1499999999999999</v>
      </c>
      <c r="R4" s="77">
        <v>1.1599999999999999</v>
      </c>
      <c r="S4" s="77">
        <v>1.17</v>
      </c>
      <c r="T4" s="77">
        <v>1.18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</row>
    <row r="5" spans="1:34" ht="9" customHeight="1">
      <c r="A5" s="77"/>
      <c r="B5" s="75"/>
      <c r="C5" s="77"/>
      <c r="D5" s="77"/>
      <c r="E5" s="77"/>
      <c r="F5" s="77"/>
      <c r="G5" s="77"/>
      <c r="H5" s="77"/>
      <c r="I5" s="77"/>
      <c r="J5" s="77"/>
      <c r="K5" s="77"/>
      <c r="L5" s="77"/>
      <c r="M5" s="395"/>
      <c r="N5" s="395"/>
      <c r="O5" s="395"/>
      <c r="P5" s="395"/>
      <c r="Q5" s="80"/>
      <c r="R5" s="80"/>
      <c r="S5" s="77"/>
      <c r="T5" s="77"/>
      <c r="U5" s="77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34" s="82" customFormat="1" ht="44.25" customHeight="1">
      <c r="A6" s="81"/>
      <c r="B6" s="143" t="s">
        <v>264</v>
      </c>
      <c r="C6" s="81" t="str">
        <f>'Adj List'!C7</f>
        <v>Fuel Adjustment Clause</v>
      </c>
      <c r="D6" s="81" t="str">
        <f>'Adj List'!C8</f>
        <v>Environmental Surcharge</v>
      </c>
      <c r="E6" s="81" t="str">
        <f>'Adj List'!C9</f>
        <v>Rate Case Expenses</v>
      </c>
      <c r="F6" s="81" t="str">
        <f>'Adj List'!C10</f>
        <v>Year-End Customer Normalization</v>
      </c>
      <c r="G6" s="81" t="str">
        <f>'Adj List'!C11</f>
        <v>GTCC</v>
      </c>
      <c r="H6" s="81" t="str">
        <f>'Adj List'!C12</f>
        <v>Health Insurance Premiums</v>
      </c>
      <c r="I6" s="81" t="str">
        <f>'Adj List'!C13</f>
        <v>Depreciation Expense Normalization</v>
      </c>
      <c r="J6" s="81" t="str">
        <f>'Adj List'!C14</f>
        <v>Donations, Advertising &amp; Dues</v>
      </c>
      <c r="K6" s="81" t="str">
        <f>'Adj List'!C15</f>
        <v>Directors Expense</v>
      </c>
      <c r="L6" s="81" t="str">
        <f>'Adj List'!C16</f>
        <v>Life Insurance Premiums</v>
      </c>
      <c r="M6" s="396" t="str">
        <f>'Adj List'!C17</f>
        <v>Long Term Interest</v>
      </c>
      <c r="N6" s="396" t="str">
        <f>'Adj List'!C18</f>
        <v>Wages &amp; Salaries</v>
      </c>
      <c r="O6" s="396" t="str">
        <f>'Adj List'!C19</f>
        <v>Payroll Taxes</v>
      </c>
      <c r="P6" s="396" t="str">
        <f>'Adj List'!C20</f>
        <v>Professional Services</v>
      </c>
      <c r="Q6" s="81"/>
      <c r="R6" s="81"/>
      <c r="S6" s="81"/>
      <c r="T6" s="81"/>
      <c r="U6" s="81" t="s">
        <v>14</v>
      </c>
      <c r="V6" s="81"/>
      <c r="W6" s="81" t="s">
        <v>261</v>
      </c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</row>
    <row r="7" spans="1:34">
      <c r="A7" s="77">
        <v>1</v>
      </c>
      <c r="B7" s="75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75"/>
      <c r="W7" s="75"/>
      <c r="X7" s="75"/>
      <c r="Y7" s="59"/>
      <c r="Z7" s="59"/>
      <c r="AA7" s="59"/>
      <c r="AB7" s="59"/>
      <c r="AC7" s="59"/>
      <c r="AD7" s="59"/>
      <c r="AE7" s="59"/>
      <c r="AF7" s="59"/>
      <c r="AG7" s="59"/>
      <c r="AH7" s="75"/>
    </row>
    <row r="8" spans="1:34">
      <c r="A8" s="77">
        <f t="shared" ref="A8:A42" si="0">(A7+1)</f>
        <v>2</v>
      </c>
      <c r="B8" s="83" t="s">
        <v>98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75"/>
      <c r="W8" s="75"/>
      <c r="X8" s="75"/>
      <c r="Y8" s="59"/>
      <c r="Z8" s="59"/>
      <c r="AA8" s="59"/>
      <c r="AB8" s="59"/>
      <c r="AC8" s="59"/>
      <c r="AD8" s="59"/>
      <c r="AE8" s="59"/>
      <c r="AF8" s="59"/>
      <c r="AG8" s="59"/>
      <c r="AH8" s="75"/>
    </row>
    <row r="9" spans="1:34">
      <c r="A9" s="77">
        <f t="shared" si="0"/>
        <v>3</v>
      </c>
      <c r="B9" s="75" t="s">
        <v>107</v>
      </c>
      <c r="C9" s="59"/>
      <c r="D9" s="59"/>
      <c r="E9" s="59"/>
      <c r="F9" s="59">
        <f>'Adj List'!D10</f>
        <v>-14464.149799096691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>
        <f>SUM(C9:T9)</f>
        <v>-14464.149799096691</v>
      </c>
      <c r="V9" s="75"/>
      <c r="W9" s="75"/>
      <c r="X9" s="75"/>
      <c r="Y9" s="59"/>
      <c r="Z9" s="59"/>
      <c r="AA9" s="59"/>
      <c r="AB9" s="59"/>
      <c r="AC9" s="59"/>
      <c r="AD9" s="59"/>
      <c r="AE9" s="59"/>
      <c r="AF9" s="59"/>
      <c r="AG9" s="59"/>
      <c r="AH9" s="75"/>
    </row>
    <row r="10" spans="1:34">
      <c r="A10" s="77">
        <f t="shared" si="0"/>
        <v>4</v>
      </c>
      <c r="B10" s="75" t="s">
        <v>108</v>
      </c>
      <c r="C10" s="59">
        <f>'Adj List'!D7</f>
        <v>1047746.55</v>
      </c>
      <c r="D10" s="59">
        <f>'Adj List'!D8</f>
        <v>-2415914.83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>
        <f t="shared" ref="U10:U47" si="1">SUM(C10:T10)</f>
        <v>-1368168.28</v>
      </c>
      <c r="V10" s="75"/>
      <c r="W10" s="84"/>
      <c r="X10" s="84"/>
      <c r="Y10" s="59"/>
      <c r="Z10" s="59"/>
      <c r="AA10" s="59"/>
      <c r="AB10" s="59"/>
      <c r="AC10" s="59"/>
      <c r="AD10" s="59"/>
      <c r="AE10" s="59"/>
      <c r="AF10" s="59"/>
      <c r="AG10" s="59"/>
      <c r="AH10" s="75"/>
    </row>
    <row r="11" spans="1:34">
      <c r="A11" s="77">
        <f t="shared" si="0"/>
        <v>5</v>
      </c>
      <c r="B11" s="75" t="s">
        <v>109</v>
      </c>
      <c r="C11" s="59"/>
      <c r="D11" s="59"/>
      <c r="E11" s="59"/>
      <c r="F11" s="59"/>
      <c r="G11" s="59"/>
      <c r="H11" s="59">
        <f>'Adj List'!D12</f>
        <v>0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85">
        <f t="shared" si="1"/>
        <v>0</v>
      </c>
      <c r="V11" s="75"/>
      <c r="W11" s="75"/>
      <c r="X11" s="75"/>
      <c r="Y11" s="59"/>
      <c r="Z11" s="59"/>
      <c r="AA11" s="59"/>
      <c r="AB11" s="59"/>
      <c r="AC11" s="59"/>
      <c r="AD11" s="59"/>
      <c r="AE11" s="59"/>
      <c r="AF11" s="59"/>
      <c r="AG11" s="59"/>
      <c r="AH11" s="75"/>
    </row>
    <row r="12" spans="1:34">
      <c r="A12" s="77">
        <f t="shared" si="0"/>
        <v>6</v>
      </c>
      <c r="B12" s="86" t="s">
        <v>101</v>
      </c>
      <c r="C12" s="87">
        <f t="shared" ref="C12:S12" si="2">SUM(C7:C11)</f>
        <v>1047746.55</v>
      </c>
      <c r="D12" s="87">
        <f t="shared" si="2"/>
        <v>-2415914.83</v>
      </c>
      <c r="E12" s="87">
        <f t="shared" si="2"/>
        <v>0</v>
      </c>
      <c r="F12" s="87">
        <f t="shared" si="2"/>
        <v>-14464.149799096691</v>
      </c>
      <c r="G12" s="87">
        <f t="shared" si="2"/>
        <v>0</v>
      </c>
      <c r="H12" s="87">
        <f t="shared" si="2"/>
        <v>0</v>
      </c>
      <c r="I12" s="87">
        <f t="shared" si="2"/>
        <v>0</v>
      </c>
      <c r="J12" s="87">
        <f t="shared" si="2"/>
        <v>0</v>
      </c>
      <c r="K12" s="87">
        <f t="shared" si="2"/>
        <v>0</v>
      </c>
      <c r="L12" s="87">
        <f t="shared" si="2"/>
        <v>0</v>
      </c>
      <c r="M12" s="87">
        <f t="shared" si="2"/>
        <v>0</v>
      </c>
      <c r="N12" s="87">
        <f t="shared" si="2"/>
        <v>0</v>
      </c>
      <c r="O12" s="87">
        <f t="shared" si="2"/>
        <v>0</v>
      </c>
      <c r="P12" s="87">
        <f t="shared" si="2"/>
        <v>0</v>
      </c>
      <c r="Q12" s="87">
        <f t="shared" si="2"/>
        <v>0</v>
      </c>
      <c r="R12" s="87">
        <f t="shared" si="2"/>
        <v>0</v>
      </c>
      <c r="S12" s="87">
        <f t="shared" si="2"/>
        <v>0</v>
      </c>
      <c r="T12" s="87"/>
      <c r="U12" s="87">
        <f t="shared" si="1"/>
        <v>-1382632.4297990967</v>
      </c>
      <c r="V12" s="75"/>
      <c r="W12" s="91">
        <f>U12-'Adj List'!D23</f>
        <v>0</v>
      </c>
      <c r="X12" s="75"/>
      <c r="Y12" s="59"/>
      <c r="Z12" s="59"/>
      <c r="AA12" s="59"/>
      <c r="AB12" s="59"/>
      <c r="AC12" s="59"/>
      <c r="AD12" s="59"/>
      <c r="AE12" s="59"/>
      <c r="AF12" s="59"/>
      <c r="AG12" s="59"/>
      <c r="AH12" s="75"/>
    </row>
    <row r="13" spans="1:34">
      <c r="A13" s="77">
        <f t="shared" si="0"/>
        <v>7</v>
      </c>
      <c r="B13" s="75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75"/>
      <c r="W13" s="75"/>
      <c r="X13" s="75"/>
      <c r="Y13" s="59"/>
      <c r="Z13" s="59"/>
      <c r="AA13" s="59"/>
      <c r="AB13" s="59"/>
      <c r="AC13" s="59"/>
      <c r="AD13" s="59"/>
      <c r="AE13" s="59"/>
      <c r="AF13" s="59"/>
      <c r="AG13" s="59"/>
      <c r="AH13" s="75"/>
    </row>
    <row r="14" spans="1:34">
      <c r="A14" s="77">
        <f t="shared" si="0"/>
        <v>8</v>
      </c>
      <c r="B14" s="83" t="s">
        <v>79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75"/>
      <c r="W14" s="75"/>
      <c r="X14" s="75"/>
      <c r="Y14" s="59"/>
      <c r="Z14" s="59"/>
      <c r="AA14" s="59"/>
      <c r="AB14" s="59"/>
      <c r="AC14" s="59"/>
      <c r="AD14" s="59"/>
      <c r="AE14" s="59"/>
      <c r="AF14" s="59"/>
      <c r="AG14" s="59"/>
      <c r="AH14" s="75"/>
    </row>
    <row r="15" spans="1:34">
      <c r="A15" s="77">
        <f t="shared" si="0"/>
        <v>9</v>
      </c>
      <c r="B15" s="75" t="s">
        <v>80</v>
      </c>
      <c r="C15" s="59"/>
      <c r="D15" s="59"/>
      <c r="E15" s="59"/>
      <c r="F15" s="59">
        <f>'Adj List'!E10</f>
        <v>-9250.38169925486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>
        <f t="shared" si="1"/>
        <v>-9250.38169925486</v>
      </c>
      <c r="V15" s="75"/>
      <c r="W15" s="75"/>
      <c r="X15" s="75"/>
      <c r="Y15" s="59"/>
      <c r="Z15" s="59"/>
      <c r="AA15" s="59"/>
      <c r="AB15" s="59"/>
      <c r="AC15" s="59"/>
      <c r="AD15" s="59"/>
      <c r="AE15" s="59"/>
      <c r="AF15" s="59"/>
      <c r="AG15" s="59"/>
      <c r="AH15" s="75"/>
    </row>
    <row r="16" spans="1:34">
      <c r="A16" s="77">
        <f t="shared" si="0"/>
        <v>10</v>
      </c>
      <c r="B16" s="75" t="s">
        <v>102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>
        <f t="shared" si="1"/>
        <v>0</v>
      </c>
      <c r="V16" s="75"/>
      <c r="W16" s="75"/>
      <c r="X16" s="75"/>
      <c r="Y16" s="59"/>
      <c r="Z16" s="59"/>
      <c r="AA16" s="59"/>
      <c r="AB16" s="59"/>
      <c r="AC16" s="59"/>
      <c r="AD16" s="59"/>
      <c r="AE16" s="59"/>
      <c r="AF16" s="59"/>
      <c r="AG16" s="59"/>
      <c r="AH16" s="75"/>
    </row>
    <row r="17" spans="1:34">
      <c r="A17" s="77">
        <f t="shared" si="0"/>
        <v>11</v>
      </c>
      <c r="B17" s="75" t="s">
        <v>99</v>
      </c>
      <c r="C17" s="59">
        <f>'Adj List'!E7</f>
        <v>1072147</v>
      </c>
      <c r="D17" s="59">
        <f>'Adj List'!E8</f>
        <v>-2414656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>
        <f t="shared" si="1"/>
        <v>-1342509</v>
      </c>
      <c r="V17" s="75"/>
      <c r="W17" s="75"/>
      <c r="X17" s="75"/>
      <c r="Y17" s="59"/>
      <c r="Z17" s="59"/>
      <c r="AA17" s="59"/>
      <c r="AB17" s="59"/>
      <c r="AC17" s="59"/>
      <c r="AD17" s="59"/>
      <c r="AE17" s="59"/>
      <c r="AF17" s="59"/>
      <c r="AG17" s="59"/>
      <c r="AH17" s="75"/>
    </row>
    <row r="18" spans="1:34">
      <c r="A18" s="77">
        <f t="shared" si="0"/>
        <v>12</v>
      </c>
      <c r="B18" s="75" t="s">
        <v>110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>
        <f t="shared" si="1"/>
        <v>0</v>
      </c>
      <c r="V18" s="75"/>
      <c r="W18" s="75"/>
      <c r="X18" s="75"/>
      <c r="Y18" s="59"/>
      <c r="Z18" s="59"/>
      <c r="AA18" s="59"/>
      <c r="AB18" s="59"/>
      <c r="AC18" s="59"/>
      <c r="AD18" s="59"/>
      <c r="AE18" s="59"/>
      <c r="AF18" s="59"/>
      <c r="AG18" s="59"/>
      <c r="AH18" s="75"/>
    </row>
    <row r="19" spans="1:34">
      <c r="A19" s="77">
        <f t="shared" si="0"/>
        <v>13</v>
      </c>
      <c r="B19" s="75" t="s">
        <v>111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>
        <f t="shared" si="1"/>
        <v>0</v>
      </c>
      <c r="V19" s="75"/>
      <c r="W19" s="75"/>
      <c r="X19" s="75"/>
      <c r="Y19" s="59"/>
      <c r="Z19" s="59"/>
      <c r="AA19" s="59"/>
      <c r="AB19" s="59"/>
      <c r="AC19" s="59"/>
      <c r="AD19" s="59"/>
      <c r="AE19" s="59"/>
      <c r="AF19" s="59"/>
      <c r="AG19" s="59"/>
      <c r="AH19" s="75"/>
    </row>
    <row r="20" spans="1:34">
      <c r="A20" s="77">
        <f t="shared" si="0"/>
        <v>14</v>
      </c>
      <c r="B20" s="75" t="s">
        <v>112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>
        <f t="shared" si="1"/>
        <v>0</v>
      </c>
      <c r="V20" s="75"/>
      <c r="W20" s="75"/>
      <c r="X20" s="75"/>
      <c r="Y20" s="59"/>
      <c r="Z20" s="59"/>
      <c r="AA20" s="59"/>
      <c r="AB20" s="59"/>
      <c r="AC20" s="59"/>
      <c r="AD20" s="59"/>
      <c r="AE20" s="59"/>
      <c r="AF20" s="59"/>
      <c r="AG20" s="59"/>
      <c r="AH20" s="75"/>
    </row>
    <row r="21" spans="1:34">
      <c r="A21" s="77">
        <f t="shared" si="0"/>
        <v>15</v>
      </c>
      <c r="B21" s="75" t="s">
        <v>84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>
        <f t="shared" si="1"/>
        <v>0</v>
      </c>
      <c r="V21" s="75"/>
      <c r="W21" s="75"/>
      <c r="X21" s="75"/>
      <c r="Y21" s="59"/>
      <c r="Z21" s="59"/>
      <c r="AA21" s="59"/>
      <c r="AB21" s="59"/>
      <c r="AC21" s="59"/>
      <c r="AD21" s="59"/>
      <c r="AE21" s="59"/>
      <c r="AF21" s="59"/>
      <c r="AG21" s="59"/>
      <c r="AH21" s="75"/>
    </row>
    <row r="22" spans="1:34">
      <c r="A22" s="77">
        <f t="shared" si="0"/>
        <v>16</v>
      </c>
      <c r="B22" s="75" t="s">
        <v>113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>
        <f t="shared" si="1"/>
        <v>0</v>
      </c>
      <c r="V22" s="75"/>
      <c r="W22" s="75"/>
      <c r="X22" s="75"/>
      <c r="Y22" s="59"/>
      <c r="Z22" s="59"/>
      <c r="AA22" s="59"/>
      <c r="AB22" s="59"/>
      <c r="AC22" s="59"/>
      <c r="AD22" s="59"/>
      <c r="AE22" s="59"/>
      <c r="AF22" s="59"/>
      <c r="AG22" s="59"/>
      <c r="AH22" s="75"/>
    </row>
    <row r="23" spans="1:34">
      <c r="A23" s="77">
        <f t="shared" si="0"/>
        <v>17</v>
      </c>
      <c r="B23" s="75" t="s">
        <v>114</v>
      </c>
      <c r="C23" s="59"/>
      <c r="D23" s="59"/>
      <c r="E23" s="59">
        <f>'Adj List'!E9</f>
        <v>16666.669999999998</v>
      </c>
      <c r="F23" s="59"/>
      <c r="G23" s="59"/>
      <c r="H23" s="59">
        <f>'Adj List'!E12</f>
        <v>-11154.490500000073</v>
      </c>
      <c r="I23" s="59"/>
      <c r="J23" s="59">
        <f>'Adj List'!E14</f>
        <v>-185472.88</v>
      </c>
      <c r="K23" s="59">
        <f>'Adj List'!E15</f>
        <v>-18292.589999999997</v>
      </c>
      <c r="L23" s="59"/>
      <c r="M23" s="59"/>
      <c r="N23" s="59">
        <f>'Adj List'!E18</f>
        <v>-14690.240738693563</v>
      </c>
      <c r="O23" s="59">
        <f>'Adj List'!E19</f>
        <v>1864.6184649078118</v>
      </c>
      <c r="P23" s="59">
        <f>'Adj List'!E20</f>
        <v>-265.20999999999913</v>
      </c>
      <c r="Q23" s="59"/>
      <c r="R23" s="59"/>
      <c r="S23" s="59"/>
      <c r="T23" s="59"/>
      <c r="U23" s="59">
        <f t="shared" si="1"/>
        <v>-211344.12277378584</v>
      </c>
      <c r="V23" s="75"/>
      <c r="W23" s="75"/>
      <c r="X23" s="75"/>
      <c r="Y23" s="59"/>
      <c r="Z23" s="59"/>
      <c r="AA23" s="59"/>
      <c r="AB23" s="59"/>
      <c r="AC23" s="59"/>
      <c r="AD23" s="59"/>
      <c r="AE23" s="59"/>
      <c r="AF23" s="59"/>
      <c r="AG23" s="59"/>
      <c r="AH23" s="75"/>
    </row>
    <row r="24" spans="1:34">
      <c r="A24" s="77">
        <f t="shared" si="0"/>
        <v>18</v>
      </c>
      <c r="B24" s="86" t="s">
        <v>103</v>
      </c>
      <c r="C24" s="87">
        <f t="shared" ref="C24:S24" si="3">SUM(C15:C23)</f>
        <v>1072147</v>
      </c>
      <c r="D24" s="87">
        <f t="shared" si="3"/>
        <v>-2414656</v>
      </c>
      <c r="E24" s="87">
        <f t="shared" si="3"/>
        <v>16666.669999999998</v>
      </c>
      <c r="F24" s="87">
        <f t="shared" si="3"/>
        <v>-9250.38169925486</v>
      </c>
      <c r="G24" s="87">
        <f t="shared" si="3"/>
        <v>0</v>
      </c>
      <c r="H24" s="87">
        <f t="shared" si="3"/>
        <v>-11154.490500000073</v>
      </c>
      <c r="I24" s="87">
        <f t="shared" si="3"/>
        <v>0</v>
      </c>
      <c r="J24" s="87">
        <f t="shared" si="3"/>
        <v>-185472.88</v>
      </c>
      <c r="K24" s="87">
        <f t="shared" si="3"/>
        <v>-18292.589999999997</v>
      </c>
      <c r="L24" s="87">
        <f t="shared" si="3"/>
        <v>0</v>
      </c>
      <c r="M24" s="87">
        <f t="shared" si="3"/>
        <v>0</v>
      </c>
      <c r="N24" s="87">
        <f t="shared" si="3"/>
        <v>-14690.240738693563</v>
      </c>
      <c r="O24" s="87">
        <f t="shared" si="3"/>
        <v>1864.6184649078118</v>
      </c>
      <c r="P24" s="87">
        <f t="shared" si="3"/>
        <v>-265.20999999999913</v>
      </c>
      <c r="Q24" s="87">
        <f t="shared" si="3"/>
        <v>0</v>
      </c>
      <c r="R24" s="87">
        <f t="shared" si="3"/>
        <v>0</v>
      </c>
      <c r="S24" s="87">
        <f t="shared" si="3"/>
        <v>0</v>
      </c>
      <c r="T24" s="87">
        <f>SUM(T15:T23)</f>
        <v>0</v>
      </c>
      <c r="U24" s="87">
        <f t="shared" si="1"/>
        <v>-1563103.5044730408</v>
      </c>
      <c r="V24" s="75"/>
      <c r="W24" s="91"/>
      <c r="X24" s="75"/>
      <c r="Y24" s="59"/>
      <c r="Z24" s="59"/>
      <c r="AA24" s="59"/>
      <c r="AB24" s="59"/>
      <c r="AC24" s="59"/>
      <c r="AD24" s="59"/>
      <c r="AE24" s="59"/>
      <c r="AF24" s="59"/>
      <c r="AG24" s="59"/>
      <c r="AH24" s="75"/>
    </row>
    <row r="25" spans="1:34">
      <c r="A25" s="77">
        <f t="shared" si="0"/>
        <v>19</v>
      </c>
      <c r="B25" s="75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75"/>
      <c r="W25" s="75"/>
      <c r="X25" s="75"/>
      <c r="Y25" s="59"/>
      <c r="Z25" s="59"/>
      <c r="AA25" s="59"/>
      <c r="AB25" s="59"/>
      <c r="AC25" s="59"/>
      <c r="AD25" s="59"/>
      <c r="AE25" s="59"/>
      <c r="AF25" s="59"/>
      <c r="AG25" s="59"/>
      <c r="AH25" s="75"/>
    </row>
    <row r="26" spans="1:34">
      <c r="A26" s="77">
        <f t="shared" si="0"/>
        <v>20</v>
      </c>
      <c r="B26" s="75" t="s">
        <v>29</v>
      </c>
      <c r="C26" s="59"/>
      <c r="D26" s="59"/>
      <c r="E26" s="59"/>
      <c r="F26" s="59"/>
      <c r="G26" s="59"/>
      <c r="H26" s="59"/>
      <c r="I26" s="59">
        <f>'Adj List'!E13</f>
        <v>5873.1199999999662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>
        <f t="shared" si="1"/>
        <v>5873.1199999999662</v>
      </c>
      <c r="V26" s="75"/>
      <c r="W26" s="75"/>
      <c r="X26" s="75"/>
      <c r="Y26" s="59"/>
      <c r="Z26" s="59"/>
      <c r="AA26" s="59"/>
      <c r="AB26" s="59"/>
      <c r="AC26" s="59"/>
      <c r="AD26" s="59"/>
      <c r="AE26" s="59"/>
      <c r="AF26" s="59"/>
      <c r="AG26" s="59"/>
      <c r="AH26" s="75"/>
    </row>
    <row r="27" spans="1:34">
      <c r="A27" s="77">
        <f t="shared" si="0"/>
        <v>21</v>
      </c>
      <c r="B27" s="75" t="s">
        <v>89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>
        <f t="shared" si="1"/>
        <v>0</v>
      </c>
      <c r="V27" s="75"/>
      <c r="W27" s="75"/>
      <c r="X27" s="75"/>
      <c r="Y27" s="59"/>
      <c r="Z27" s="59"/>
      <c r="AA27" s="59"/>
      <c r="AB27" s="59"/>
      <c r="AC27" s="59"/>
      <c r="AD27" s="59"/>
      <c r="AE27" s="59"/>
      <c r="AF27" s="59"/>
      <c r="AG27" s="59"/>
      <c r="AH27" s="75"/>
    </row>
    <row r="28" spans="1:34">
      <c r="A28" s="77">
        <f t="shared" si="0"/>
        <v>22</v>
      </c>
      <c r="B28" s="75" t="s">
        <v>105</v>
      </c>
      <c r="C28" s="59"/>
      <c r="D28" s="59"/>
      <c r="E28" s="59"/>
      <c r="F28" s="59"/>
      <c r="G28" s="59"/>
      <c r="H28" s="59"/>
      <c r="I28" s="59"/>
      <c r="J28" s="59"/>
      <c r="K28" s="59"/>
      <c r="L28" s="59">
        <f>'Adj List'!E16</f>
        <v>-14975.70727318609</v>
      </c>
      <c r="M28" s="59">
        <f>'Adj List'!E17</f>
        <v>-42241.307463800033</v>
      </c>
      <c r="N28" s="59"/>
      <c r="O28" s="59"/>
      <c r="P28" s="59"/>
      <c r="Q28" s="59"/>
      <c r="R28" s="59"/>
      <c r="S28" s="59"/>
      <c r="T28" s="59"/>
      <c r="U28" s="59">
        <f t="shared" si="1"/>
        <v>-57217.014736986122</v>
      </c>
      <c r="V28" s="75"/>
      <c r="W28" s="75"/>
      <c r="X28" s="75"/>
      <c r="Y28" s="59"/>
      <c r="Z28" s="59"/>
      <c r="AA28" s="59"/>
      <c r="AB28" s="59"/>
      <c r="AC28" s="59"/>
      <c r="AD28" s="59"/>
      <c r="AE28" s="59"/>
      <c r="AF28" s="59"/>
      <c r="AG28" s="59"/>
      <c r="AH28" s="75"/>
    </row>
    <row r="29" spans="1:34">
      <c r="A29" s="77">
        <f>(A28+1)</f>
        <v>23</v>
      </c>
      <c r="B29" s="75" t="s">
        <v>106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>
        <f t="shared" si="1"/>
        <v>0</v>
      </c>
      <c r="V29" s="75"/>
      <c r="W29" s="75"/>
      <c r="X29" s="75"/>
      <c r="Y29" s="59"/>
      <c r="Z29" s="59"/>
      <c r="AA29" s="59"/>
      <c r="AB29" s="59"/>
      <c r="AC29" s="59"/>
      <c r="AD29" s="59"/>
      <c r="AE29" s="59"/>
      <c r="AF29" s="59"/>
      <c r="AG29" s="59"/>
      <c r="AH29" s="75"/>
    </row>
    <row r="30" spans="1:34">
      <c r="A30" s="77">
        <f>(A29+1)</f>
        <v>24</v>
      </c>
      <c r="B30" s="75" t="s">
        <v>91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>
        <f t="shared" si="1"/>
        <v>0</v>
      </c>
      <c r="V30" s="75"/>
      <c r="W30" s="75"/>
      <c r="X30" s="75"/>
      <c r="Y30" s="59"/>
      <c r="Z30" s="59"/>
      <c r="AA30" s="59"/>
      <c r="AB30" s="59"/>
      <c r="AC30" s="59"/>
      <c r="AD30" s="59"/>
      <c r="AE30" s="59"/>
      <c r="AF30" s="59"/>
      <c r="AG30" s="59"/>
      <c r="AH30" s="75"/>
    </row>
    <row r="31" spans="1:34">
      <c r="A31" s="77">
        <f t="shared" si="0"/>
        <v>25</v>
      </c>
      <c r="B31" s="86" t="s">
        <v>34</v>
      </c>
      <c r="C31" s="87">
        <f t="shared" ref="C31:S31" si="4">SUM(C24:C30)</f>
        <v>1072147</v>
      </c>
      <c r="D31" s="87">
        <f t="shared" si="4"/>
        <v>-2414656</v>
      </c>
      <c r="E31" s="87">
        <f t="shared" si="4"/>
        <v>16666.669999999998</v>
      </c>
      <c r="F31" s="87">
        <f t="shared" si="4"/>
        <v>-9250.38169925486</v>
      </c>
      <c r="G31" s="87">
        <f t="shared" si="4"/>
        <v>0</v>
      </c>
      <c r="H31" s="87">
        <f t="shared" si="4"/>
        <v>-11154.490500000073</v>
      </c>
      <c r="I31" s="87">
        <f t="shared" si="4"/>
        <v>5873.1199999999662</v>
      </c>
      <c r="J31" s="87">
        <f t="shared" si="4"/>
        <v>-185472.88</v>
      </c>
      <c r="K31" s="87">
        <f t="shared" si="4"/>
        <v>-18292.589999999997</v>
      </c>
      <c r="L31" s="87">
        <f t="shared" si="4"/>
        <v>-14975.70727318609</v>
      </c>
      <c r="M31" s="87">
        <f t="shared" si="4"/>
        <v>-42241.307463800033</v>
      </c>
      <c r="N31" s="87">
        <f t="shared" si="4"/>
        <v>-14690.240738693563</v>
      </c>
      <c r="O31" s="87">
        <f t="shared" si="4"/>
        <v>1864.6184649078118</v>
      </c>
      <c r="P31" s="87">
        <f t="shared" si="4"/>
        <v>-265.20999999999913</v>
      </c>
      <c r="Q31" s="87">
        <f t="shared" si="4"/>
        <v>0</v>
      </c>
      <c r="R31" s="87">
        <f t="shared" si="4"/>
        <v>0</v>
      </c>
      <c r="S31" s="87">
        <f t="shared" si="4"/>
        <v>0</v>
      </c>
      <c r="T31" s="87">
        <f>SUM(T24:T30)</f>
        <v>0</v>
      </c>
      <c r="U31" s="87">
        <f t="shared" si="1"/>
        <v>-1614447.3992100274</v>
      </c>
      <c r="V31" s="75"/>
      <c r="W31" s="91">
        <f>U31-'Adj List'!E23</f>
        <v>0</v>
      </c>
      <c r="X31" s="75"/>
      <c r="Y31" s="59"/>
      <c r="Z31" s="59"/>
      <c r="AA31" s="59"/>
      <c r="AB31" s="59"/>
      <c r="AC31" s="59"/>
      <c r="AD31" s="59"/>
      <c r="AE31" s="59"/>
      <c r="AF31" s="59"/>
      <c r="AG31" s="59"/>
      <c r="AH31" s="75"/>
    </row>
    <row r="32" spans="1:34">
      <c r="A32" s="77">
        <f t="shared" si="0"/>
        <v>26</v>
      </c>
      <c r="B32" s="75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75"/>
      <c r="W32" s="75"/>
      <c r="X32" s="75"/>
      <c r="Y32" s="59"/>
      <c r="Z32" s="59"/>
      <c r="AA32" s="59"/>
      <c r="AB32" s="59"/>
      <c r="AC32" s="59"/>
      <c r="AD32" s="59"/>
      <c r="AE32" s="59"/>
      <c r="AF32" s="59"/>
      <c r="AG32" s="59"/>
      <c r="AH32" s="75"/>
    </row>
    <row r="33" spans="1:34">
      <c r="A33" s="77">
        <f t="shared" si="0"/>
        <v>27</v>
      </c>
      <c r="B33" s="75" t="s">
        <v>92</v>
      </c>
      <c r="C33" s="59">
        <f t="shared" ref="C33:S33" si="5">(+C12-C31)</f>
        <v>-24400.449999999953</v>
      </c>
      <c r="D33" s="59">
        <f t="shared" si="5"/>
        <v>-1258.8300000000745</v>
      </c>
      <c r="E33" s="59">
        <f t="shared" si="5"/>
        <v>-16666.669999999998</v>
      </c>
      <c r="F33" s="59">
        <f t="shared" si="5"/>
        <v>-5213.7680998418309</v>
      </c>
      <c r="G33" s="59">
        <f t="shared" si="5"/>
        <v>0</v>
      </c>
      <c r="H33" s="59">
        <f t="shared" si="5"/>
        <v>11154.490500000073</v>
      </c>
      <c r="I33" s="59">
        <f t="shared" si="5"/>
        <v>-5873.1199999999662</v>
      </c>
      <c r="J33" s="59">
        <f t="shared" si="5"/>
        <v>185472.88</v>
      </c>
      <c r="K33" s="59">
        <f t="shared" si="5"/>
        <v>18292.589999999997</v>
      </c>
      <c r="L33" s="59">
        <f t="shared" si="5"/>
        <v>14975.70727318609</v>
      </c>
      <c r="M33" s="59">
        <f t="shared" si="5"/>
        <v>42241.307463800033</v>
      </c>
      <c r="N33" s="59">
        <f t="shared" si="5"/>
        <v>14690.240738693563</v>
      </c>
      <c r="O33" s="59">
        <f t="shared" si="5"/>
        <v>-1864.6184649078118</v>
      </c>
      <c r="P33" s="59">
        <f t="shared" si="5"/>
        <v>265.20999999999913</v>
      </c>
      <c r="Q33" s="59">
        <f t="shared" si="5"/>
        <v>0</v>
      </c>
      <c r="R33" s="59">
        <f t="shared" si="5"/>
        <v>0</v>
      </c>
      <c r="S33" s="59">
        <f t="shared" si="5"/>
        <v>0</v>
      </c>
      <c r="T33" s="59">
        <f>(+T12-T31)</f>
        <v>0</v>
      </c>
      <c r="U33" s="59">
        <f t="shared" si="1"/>
        <v>231814.96941093015</v>
      </c>
      <c r="V33" s="75"/>
      <c r="W33" s="75"/>
      <c r="X33" s="75"/>
      <c r="Y33" s="59"/>
      <c r="Z33" s="59"/>
      <c r="AA33" s="59"/>
      <c r="AB33" s="59"/>
      <c r="AC33" s="59"/>
      <c r="AD33" s="59"/>
      <c r="AE33" s="59"/>
      <c r="AF33" s="59"/>
      <c r="AG33" s="59"/>
      <c r="AH33" s="75"/>
    </row>
    <row r="34" spans="1:34">
      <c r="A34" s="77">
        <f t="shared" si="0"/>
        <v>28</v>
      </c>
      <c r="B34" s="75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75"/>
      <c r="W34" s="75"/>
      <c r="X34" s="75"/>
      <c r="Y34" s="59"/>
      <c r="Z34" s="59"/>
      <c r="AA34" s="59"/>
      <c r="AB34" s="59"/>
      <c r="AC34" s="59"/>
      <c r="AD34" s="59"/>
      <c r="AE34" s="59"/>
      <c r="AF34" s="59"/>
      <c r="AG34" s="59"/>
      <c r="AH34" s="75"/>
    </row>
    <row r="35" spans="1:34">
      <c r="A35" s="77">
        <f t="shared" si="0"/>
        <v>29</v>
      </c>
      <c r="B35" s="75" t="s">
        <v>35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>
        <f t="shared" si="1"/>
        <v>0</v>
      </c>
      <c r="V35" s="75"/>
      <c r="W35" s="75"/>
      <c r="X35" s="75"/>
      <c r="Y35" s="59"/>
      <c r="Z35" s="59"/>
      <c r="AA35" s="59"/>
      <c r="AB35" s="59"/>
      <c r="AC35" s="59"/>
      <c r="AD35" s="59"/>
      <c r="AE35" s="59"/>
      <c r="AF35" s="59"/>
      <c r="AG35" s="59"/>
      <c r="AH35" s="75"/>
    </row>
    <row r="36" spans="1:34">
      <c r="A36" s="77" t="s">
        <v>230</v>
      </c>
      <c r="B36" s="75" t="s">
        <v>231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75"/>
      <c r="W36" s="75"/>
      <c r="X36" s="75"/>
      <c r="Y36" s="59"/>
      <c r="Z36" s="59"/>
      <c r="AA36" s="59"/>
      <c r="AB36" s="59"/>
      <c r="AC36" s="59"/>
      <c r="AD36" s="59"/>
      <c r="AE36" s="59"/>
      <c r="AF36" s="59"/>
      <c r="AG36" s="59"/>
      <c r="AH36" s="75"/>
    </row>
    <row r="37" spans="1:34">
      <c r="A37" s="77">
        <f>(A35+1)</f>
        <v>30</v>
      </c>
      <c r="B37" s="75" t="s">
        <v>36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>
        <f t="shared" si="1"/>
        <v>0</v>
      </c>
      <c r="V37" s="75"/>
      <c r="W37" s="75"/>
      <c r="X37" s="75"/>
      <c r="Y37" s="59"/>
      <c r="Z37" s="59"/>
      <c r="AA37" s="59"/>
      <c r="AB37" s="59"/>
      <c r="AC37" s="59"/>
      <c r="AD37" s="59"/>
      <c r="AE37" s="59"/>
      <c r="AF37" s="59"/>
      <c r="AG37" s="59"/>
      <c r="AH37" s="75"/>
    </row>
    <row r="38" spans="1:34">
      <c r="A38" s="77">
        <f t="shared" si="0"/>
        <v>31</v>
      </c>
      <c r="B38" s="75" t="s">
        <v>32</v>
      </c>
      <c r="C38" s="59"/>
      <c r="D38" s="59"/>
      <c r="E38" s="59"/>
      <c r="F38" s="59"/>
      <c r="G38" s="59">
        <f>'Adj List'!F11</f>
        <v>-989382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>
        <f t="shared" si="1"/>
        <v>-989382</v>
      </c>
      <c r="V38" s="75"/>
      <c r="W38" s="75"/>
      <c r="X38" s="75"/>
      <c r="Y38" s="59"/>
      <c r="Z38" s="59"/>
      <c r="AA38" s="59"/>
      <c r="AB38" s="59"/>
      <c r="AC38" s="59"/>
      <c r="AD38" s="59"/>
      <c r="AE38" s="59"/>
      <c r="AF38" s="59"/>
      <c r="AG38" s="59"/>
      <c r="AH38" s="75"/>
    </row>
    <row r="39" spans="1:34">
      <c r="A39" s="77">
        <f t="shared" si="0"/>
        <v>32</v>
      </c>
      <c r="B39" s="75" t="s">
        <v>93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>
        <f t="shared" si="1"/>
        <v>0</v>
      </c>
      <c r="V39" s="75"/>
      <c r="W39" s="75"/>
      <c r="X39" s="75"/>
      <c r="Y39" s="59"/>
      <c r="Z39" s="59"/>
      <c r="AA39" s="59"/>
      <c r="AB39" s="59"/>
      <c r="AC39" s="59"/>
      <c r="AD39" s="59"/>
      <c r="AE39" s="59"/>
      <c r="AF39" s="59"/>
      <c r="AG39" s="59"/>
      <c r="AH39" s="75"/>
    </row>
    <row r="40" spans="1:34">
      <c r="A40" s="77">
        <f t="shared" si="0"/>
        <v>33</v>
      </c>
      <c r="B40" s="86" t="s">
        <v>104</v>
      </c>
      <c r="C40" s="87">
        <f t="shared" ref="C40:S40" si="6">SUM(C35:C39)</f>
        <v>0</v>
      </c>
      <c r="D40" s="87">
        <f t="shared" si="6"/>
        <v>0</v>
      </c>
      <c r="E40" s="87">
        <f t="shared" si="6"/>
        <v>0</v>
      </c>
      <c r="F40" s="87">
        <f t="shared" si="6"/>
        <v>0</v>
      </c>
      <c r="G40" s="87">
        <f t="shared" si="6"/>
        <v>-989382</v>
      </c>
      <c r="H40" s="87">
        <f t="shared" si="6"/>
        <v>0</v>
      </c>
      <c r="I40" s="87">
        <f t="shared" si="6"/>
        <v>0</v>
      </c>
      <c r="J40" s="87">
        <f t="shared" si="6"/>
        <v>0</v>
      </c>
      <c r="K40" s="87">
        <f t="shared" si="6"/>
        <v>0</v>
      </c>
      <c r="L40" s="87">
        <f t="shared" si="6"/>
        <v>0</v>
      </c>
      <c r="M40" s="87">
        <f t="shared" si="6"/>
        <v>0</v>
      </c>
      <c r="N40" s="87">
        <f t="shared" si="6"/>
        <v>0</v>
      </c>
      <c r="O40" s="87">
        <f t="shared" si="6"/>
        <v>0</v>
      </c>
      <c r="P40" s="87">
        <f t="shared" si="6"/>
        <v>0</v>
      </c>
      <c r="Q40" s="87">
        <f t="shared" si="6"/>
        <v>0</v>
      </c>
      <c r="R40" s="87">
        <f t="shared" si="6"/>
        <v>0</v>
      </c>
      <c r="S40" s="87">
        <f t="shared" si="6"/>
        <v>0</v>
      </c>
      <c r="T40" s="87">
        <f>SUM(T35:T39)</f>
        <v>0</v>
      </c>
      <c r="U40" s="87">
        <f t="shared" si="1"/>
        <v>-989382</v>
      </c>
      <c r="V40" s="75"/>
      <c r="W40" s="91">
        <f>U40-'Adj List'!F23</f>
        <v>0</v>
      </c>
      <c r="X40" s="75"/>
      <c r="Y40" s="59"/>
      <c r="Z40" s="59"/>
      <c r="AA40" s="59"/>
      <c r="AB40" s="59"/>
      <c r="AC40" s="59"/>
      <c r="AD40" s="59"/>
      <c r="AE40" s="59"/>
      <c r="AF40" s="59"/>
      <c r="AG40" s="59"/>
      <c r="AH40" s="75"/>
    </row>
    <row r="41" spans="1:34">
      <c r="A41" s="77">
        <f t="shared" si="0"/>
        <v>34</v>
      </c>
      <c r="B41" s="75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75"/>
      <c r="W41" s="75"/>
      <c r="X41" s="75"/>
      <c r="Y41" s="59"/>
      <c r="Z41" s="59"/>
      <c r="AA41" s="59"/>
      <c r="AB41" s="59"/>
      <c r="AC41" s="59"/>
      <c r="AD41" s="59"/>
      <c r="AE41" s="59"/>
      <c r="AF41" s="59"/>
      <c r="AG41" s="59"/>
      <c r="AH41" s="75"/>
    </row>
    <row r="42" spans="1:34" ht="14.4" thickBot="1">
      <c r="A42" s="77">
        <f t="shared" si="0"/>
        <v>35</v>
      </c>
      <c r="B42" s="89" t="s">
        <v>94</v>
      </c>
      <c r="C42" s="90">
        <f t="shared" ref="C42:S42" si="7">+C33+C40</f>
        <v>-24400.449999999953</v>
      </c>
      <c r="D42" s="90">
        <f t="shared" si="7"/>
        <v>-1258.8300000000745</v>
      </c>
      <c r="E42" s="90">
        <f t="shared" si="7"/>
        <v>-16666.669999999998</v>
      </c>
      <c r="F42" s="90">
        <f t="shared" si="7"/>
        <v>-5213.7680998418309</v>
      </c>
      <c r="G42" s="90">
        <f t="shared" si="7"/>
        <v>-989382</v>
      </c>
      <c r="H42" s="90">
        <f t="shared" si="7"/>
        <v>11154.490500000073</v>
      </c>
      <c r="I42" s="90">
        <f t="shared" si="7"/>
        <v>-5873.1199999999662</v>
      </c>
      <c r="J42" s="90">
        <f t="shared" si="7"/>
        <v>185472.88</v>
      </c>
      <c r="K42" s="90">
        <f t="shared" si="7"/>
        <v>18292.589999999997</v>
      </c>
      <c r="L42" s="90">
        <f t="shared" si="7"/>
        <v>14975.70727318609</v>
      </c>
      <c r="M42" s="90">
        <f t="shared" si="7"/>
        <v>42241.307463800033</v>
      </c>
      <c r="N42" s="90">
        <f t="shared" si="7"/>
        <v>14690.240738693563</v>
      </c>
      <c r="O42" s="90">
        <f t="shared" si="7"/>
        <v>-1864.6184649078118</v>
      </c>
      <c r="P42" s="90">
        <f t="shared" si="7"/>
        <v>265.20999999999913</v>
      </c>
      <c r="Q42" s="90">
        <f t="shared" si="7"/>
        <v>0</v>
      </c>
      <c r="R42" s="90">
        <f t="shared" si="7"/>
        <v>0</v>
      </c>
      <c r="S42" s="90">
        <f t="shared" si="7"/>
        <v>0</v>
      </c>
      <c r="T42" s="90">
        <f>+T33+T40</f>
        <v>0</v>
      </c>
      <c r="U42" s="90">
        <f t="shared" si="1"/>
        <v>-757567.03058907005</v>
      </c>
      <c r="V42" s="75"/>
      <c r="W42" s="91">
        <f>U42-'Adj List'!G23</f>
        <v>0</v>
      </c>
      <c r="X42" s="75"/>
      <c r="Y42" s="59"/>
      <c r="Z42" s="59"/>
      <c r="AA42" s="59"/>
      <c r="AB42" s="59"/>
      <c r="AC42" s="59"/>
      <c r="AD42" s="59"/>
      <c r="AE42" s="59"/>
      <c r="AF42" s="59"/>
      <c r="AG42" s="59"/>
      <c r="AH42" s="75"/>
    </row>
    <row r="43" spans="1:34" ht="18" customHeight="1" thickTop="1">
      <c r="A43" s="77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</row>
    <row r="44" spans="1:34" ht="18" customHeight="1">
      <c r="A44" s="77"/>
      <c r="B44" s="75" t="s">
        <v>120</v>
      </c>
      <c r="C44" s="91">
        <f>C12</f>
        <v>1047746.55</v>
      </c>
      <c r="D44" s="91">
        <f t="shared" ref="D44:S44" si="8">D12</f>
        <v>-2415914.83</v>
      </c>
      <c r="E44" s="91">
        <f t="shared" si="8"/>
        <v>0</v>
      </c>
      <c r="F44" s="91">
        <f t="shared" si="8"/>
        <v>-14464.149799096691</v>
      </c>
      <c r="G44" s="91">
        <f t="shared" si="8"/>
        <v>0</v>
      </c>
      <c r="H44" s="91">
        <f t="shared" si="8"/>
        <v>0</v>
      </c>
      <c r="I44" s="91">
        <f t="shared" si="8"/>
        <v>0</v>
      </c>
      <c r="J44" s="91">
        <f t="shared" si="8"/>
        <v>0</v>
      </c>
      <c r="K44" s="91">
        <f t="shared" si="8"/>
        <v>0</v>
      </c>
      <c r="L44" s="91">
        <f t="shared" si="8"/>
        <v>0</v>
      </c>
      <c r="M44" s="91">
        <f t="shared" si="8"/>
        <v>0</v>
      </c>
      <c r="N44" s="91">
        <f t="shared" si="8"/>
        <v>0</v>
      </c>
      <c r="O44" s="91">
        <f t="shared" si="8"/>
        <v>0</v>
      </c>
      <c r="P44" s="91">
        <f t="shared" si="8"/>
        <v>0</v>
      </c>
      <c r="Q44" s="91">
        <f t="shared" si="8"/>
        <v>0</v>
      </c>
      <c r="R44" s="91">
        <f t="shared" si="8"/>
        <v>0</v>
      </c>
      <c r="S44" s="91">
        <f t="shared" si="8"/>
        <v>0</v>
      </c>
      <c r="T44" s="91">
        <f>T12</f>
        <v>0</v>
      </c>
      <c r="U44" s="91">
        <f t="shared" si="1"/>
        <v>-1382632.4297990967</v>
      </c>
      <c r="V44" s="75"/>
      <c r="W44" s="91">
        <f>U44-'Adj List'!D23</f>
        <v>0</v>
      </c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</row>
    <row r="45" spans="1:34" ht="18" customHeight="1">
      <c r="A45" s="77"/>
      <c r="B45" s="75" t="s">
        <v>119</v>
      </c>
      <c r="C45" s="91">
        <f>C31</f>
        <v>1072147</v>
      </c>
      <c r="D45" s="91">
        <f t="shared" ref="D45:M45" si="9">D31</f>
        <v>-2414656</v>
      </c>
      <c r="E45" s="91">
        <f t="shared" si="9"/>
        <v>16666.669999999998</v>
      </c>
      <c r="F45" s="91">
        <f t="shared" si="9"/>
        <v>-9250.38169925486</v>
      </c>
      <c r="G45" s="91">
        <f t="shared" si="9"/>
        <v>0</v>
      </c>
      <c r="H45" s="91">
        <f t="shared" si="9"/>
        <v>-11154.490500000073</v>
      </c>
      <c r="I45" s="91">
        <f t="shared" si="9"/>
        <v>5873.1199999999662</v>
      </c>
      <c r="J45" s="91">
        <f t="shared" si="9"/>
        <v>-185472.88</v>
      </c>
      <c r="K45" s="91">
        <f t="shared" si="9"/>
        <v>-18292.589999999997</v>
      </c>
      <c r="L45" s="91">
        <f t="shared" si="9"/>
        <v>-14975.70727318609</v>
      </c>
      <c r="M45" s="91">
        <f t="shared" si="9"/>
        <v>-42241.307463800033</v>
      </c>
      <c r="N45" s="91">
        <f t="shared" ref="N45:S45" si="10">N31-N40</f>
        <v>-14690.240738693563</v>
      </c>
      <c r="O45" s="91">
        <f t="shared" si="10"/>
        <v>1864.6184649078118</v>
      </c>
      <c r="P45" s="91">
        <f t="shared" si="10"/>
        <v>-265.20999999999913</v>
      </c>
      <c r="Q45" s="91">
        <f t="shared" si="10"/>
        <v>0</v>
      </c>
      <c r="R45" s="91">
        <f t="shared" si="10"/>
        <v>0</v>
      </c>
      <c r="S45" s="91">
        <f t="shared" si="10"/>
        <v>0</v>
      </c>
      <c r="T45" s="91">
        <f>T31-T40</f>
        <v>0</v>
      </c>
      <c r="U45" s="91">
        <f t="shared" si="1"/>
        <v>-1614447.3992100274</v>
      </c>
      <c r="V45" s="75"/>
      <c r="W45" s="91">
        <f>U45-'Adj List'!E23</f>
        <v>0</v>
      </c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</row>
    <row r="46" spans="1:34" ht="18" customHeight="1">
      <c r="A46" s="77"/>
      <c r="B46" s="75" t="s">
        <v>262</v>
      </c>
      <c r="C46" s="91">
        <f>C40</f>
        <v>0</v>
      </c>
      <c r="D46" s="91">
        <f t="shared" ref="D46:M46" si="11">D40</f>
        <v>0</v>
      </c>
      <c r="E46" s="91">
        <f t="shared" si="11"/>
        <v>0</v>
      </c>
      <c r="F46" s="91">
        <f t="shared" si="11"/>
        <v>0</v>
      </c>
      <c r="G46" s="91">
        <f t="shared" si="11"/>
        <v>-989382</v>
      </c>
      <c r="H46" s="91">
        <f t="shared" si="11"/>
        <v>0</v>
      </c>
      <c r="I46" s="91">
        <f t="shared" si="11"/>
        <v>0</v>
      </c>
      <c r="J46" s="91">
        <f t="shared" si="11"/>
        <v>0</v>
      </c>
      <c r="K46" s="91">
        <f t="shared" si="11"/>
        <v>0</v>
      </c>
      <c r="L46" s="91">
        <f t="shared" si="11"/>
        <v>0</v>
      </c>
      <c r="M46" s="91">
        <f t="shared" si="11"/>
        <v>0</v>
      </c>
      <c r="N46" s="91"/>
      <c r="O46" s="91"/>
      <c r="P46" s="91"/>
      <c r="Q46" s="91"/>
      <c r="R46" s="91"/>
      <c r="S46" s="91"/>
      <c r="T46" s="91"/>
      <c r="U46" s="91">
        <f t="shared" si="1"/>
        <v>-989382</v>
      </c>
      <c r="V46" s="75"/>
      <c r="W46" s="91">
        <f>U46-'Adj List'!F23</f>
        <v>0</v>
      </c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</row>
    <row r="47" spans="1:34" ht="18" customHeight="1">
      <c r="A47" s="77"/>
      <c r="B47" s="75" t="s">
        <v>121</v>
      </c>
      <c r="C47" s="91">
        <f>C44-C45+C46</f>
        <v>-24400.449999999953</v>
      </c>
      <c r="D47" s="91">
        <f t="shared" ref="D47:M47" si="12">D44-D45+D46</f>
        <v>-1258.8300000000745</v>
      </c>
      <c r="E47" s="91">
        <f t="shared" si="12"/>
        <v>-16666.669999999998</v>
      </c>
      <c r="F47" s="91">
        <f t="shared" si="12"/>
        <v>-5213.7680998418309</v>
      </c>
      <c r="G47" s="91">
        <f t="shared" si="12"/>
        <v>-989382</v>
      </c>
      <c r="H47" s="91">
        <f t="shared" si="12"/>
        <v>11154.490500000073</v>
      </c>
      <c r="I47" s="91">
        <f t="shared" si="12"/>
        <v>-5873.1199999999662</v>
      </c>
      <c r="J47" s="91">
        <f t="shared" si="12"/>
        <v>185472.88</v>
      </c>
      <c r="K47" s="91">
        <f t="shared" si="12"/>
        <v>18292.589999999997</v>
      </c>
      <c r="L47" s="91">
        <f t="shared" si="12"/>
        <v>14975.70727318609</v>
      </c>
      <c r="M47" s="91">
        <f t="shared" si="12"/>
        <v>42241.307463800033</v>
      </c>
      <c r="N47" s="91">
        <f t="shared" ref="N47:T47" si="13">N44-N45</f>
        <v>14690.240738693563</v>
      </c>
      <c r="O47" s="91">
        <f t="shared" si="13"/>
        <v>-1864.6184649078118</v>
      </c>
      <c r="P47" s="91">
        <f t="shared" si="13"/>
        <v>265.20999999999913</v>
      </c>
      <c r="Q47" s="91">
        <f t="shared" si="13"/>
        <v>0</v>
      </c>
      <c r="R47" s="91">
        <f t="shared" si="13"/>
        <v>0</v>
      </c>
      <c r="S47" s="91">
        <f t="shared" si="13"/>
        <v>0</v>
      </c>
      <c r="T47" s="91">
        <f t="shared" si="13"/>
        <v>0</v>
      </c>
      <c r="U47" s="91">
        <f t="shared" si="1"/>
        <v>-757567.03058907005</v>
      </c>
      <c r="V47" s="75"/>
      <c r="W47" s="91">
        <f>U47-'Adj List'!G23</f>
        <v>0</v>
      </c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</row>
    <row r="48" spans="1:34" ht="18" customHeight="1">
      <c r="A48" s="77"/>
      <c r="B48" s="75" t="s">
        <v>122</v>
      </c>
      <c r="C48" s="91">
        <f t="shared" ref="C48:U48" si="14">C47-C42</f>
        <v>0</v>
      </c>
      <c r="D48" s="91">
        <f t="shared" si="14"/>
        <v>0</v>
      </c>
      <c r="E48" s="91">
        <f t="shared" si="14"/>
        <v>0</v>
      </c>
      <c r="F48" s="91">
        <f t="shared" si="14"/>
        <v>0</v>
      </c>
      <c r="G48" s="91">
        <f t="shared" si="14"/>
        <v>0</v>
      </c>
      <c r="H48" s="91">
        <f t="shared" si="14"/>
        <v>0</v>
      </c>
      <c r="I48" s="91">
        <f t="shared" si="14"/>
        <v>0</v>
      </c>
      <c r="J48" s="91">
        <f t="shared" si="14"/>
        <v>0</v>
      </c>
      <c r="K48" s="91">
        <f t="shared" si="14"/>
        <v>0</v>
      </c>
      <c r="L48" s="91">
        <f t="shared" si="14"/>
        <v>0</v>
      </c>
      <c r="M48" s="91">
        <f t="shared" si="14"/>
        <v>0</v>
      </c>
      <c r="N48" s="91">
        <f t="shared" si="14"/>
        <v>0</v>
      </c>
      <c r="O48" s="91">
        <f t="shared" si="14"/>
        <v>0</v>
      </c>
      <c r="P48" s="91">
        <f t="shared" si="14"/>
        <v>0</v>
      </c>
      <c r="Q48" s="91">
        <f t="shared" si="14"/>
        <v>0</v>
      </c>
      <c r="R48" s="91">
        <f t="shared" si="14"/>
        <v>0</v>
      </c>
      <c r="S48" s="91">
        <f t="shared" si="14"/>
        <v>0</v>
      </c>
      <c r="T48" s="91">
        <f t="shared" si="14"/>
        <v>0</v>
      </c>
      <c r="U48" s="91">
        <f t="shared" si="14"/>
        <v>0</v>
      </c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</row>
    <row r="49" spans="1:34" ht="18" customHeight="1">
      <c r="A49" s="77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</row>
    <row r="50" spans="1:34" ht="18" customHeight="1">
      <c r="A50" s="77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</row>
    <row r="51" spans="1:34">
      <c r="A51" s="77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</row>
    <row r="52" spans="1:34">
      <c r="A52" s="77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</row>
    <row r="53" spans="1:34">
      <c r="A53" s="77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</row>
    <row r="54" spans="1:34">
      <c r="A54" s="77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</row>
    <row r="55" spans="1:34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</row>
    <row r="56" spans="1:34">
      <c r="A56" s="77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</row>
    <row r="57" spans="1:34">
      <c r="A57" s="77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</row>
    <row r="58" spans="1:34">
      <c r="A58" s="77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</row>
    <row r="59" spans="1:34">
      <c r="A59" s="77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</row>
    <row r="60" spans="1:34">
      <c r="A60" s="77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</row>
    <row r="61" spans="1:34">
      <c r="A61" s="77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</row>
    <row r="62" spans="1:34">
      <c r="A62" s="77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</row>
    <row r="63" spans="1:34">
      <c r="A63" s="77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</row>
    <row r="64" spans="1:34">
      <c r="A64" s="77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</row>
    <row r="65" spans="1:34">
      <c r="A65" s="77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</row>
    <row r="66" spans="1:34">
      <c r="A66" s="77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</row>
    <row r="67" spans="1:34">
      <c r="A67" s="77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</row>
    <row r="68" spans="1:34">
      <c r="A68" s="77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</row>
    <row r="69" spans="1:34">
      <c r="A69" s="77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</row>
    <row r="70" spans="1:34">
      <c r="A70" s="77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</row>
    <row r="71" spans="1:34">
      <c r="A71" s="77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</row>
    <row r="72" spans="1:34">
      <c r="A72" s="77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</row>
    <row r="73" spans="1:34">
      <c r="A73" s="77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</row>
    <row r="74" spans="1:34">
      <c r="A74" s="77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</row>
    <row r="75" spans="1:34">
      <c r="A75" s="77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</row>
    <row r="76" spans="1:34">
      <c r="A76" s="77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</row>
    <row r="77" spans="1:34">
      <c r="A77" s="77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</row>
    <row r="78" spans="1:34">
      <c r="A78" s="77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</row>
    <row r="79" spans="1:34">
      <c r="A79" s="77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</row>
    <row r="80" spans="1:34">
      <c r="A80" s="77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</row>
    <row r="81" spans="1:34">
      <c r="A81" s="77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</row>
    <row r="82" spans="1:34">
      <c r="A82" s="77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</row>
    <row r="83" spans="1:34">
      <c r="A83" s="77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</row>
    <row r="84" spans="1:34">
      <c r="A84" s="77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</row>
    <row r="85" spans="1:34">
      <c r="A85" s="77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</row>
    <row r="86" spans="1:34">
      <c r="A86" s="77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</row>
    <row r="87" spans="1:34">
      <c r="A87" s="77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</row>
    <row r="88" spans="1:34">
      <c r="A88" s="77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</row>
    <row r="89" spans="1:34">
      <c r="A89" s="77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</row>
    <row r="90" spans="1:34">
      <c r="A90" s="77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</row>
    <row r="91" spans="1:34">
      <c r="A91" s="77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</row>
    <row r="92" spans="1:34">
      <c r="A92" s="77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</row>
    <row r="93" spans="1:34">
      <c r="A93" s="77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</row>
    <row r="94" spans="1:34">
      <c r="A94" s="77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</row>
    <row r="95" spans="1:34">
      <c r="A95" s="77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</row>
    <row r="96" spans="1:34">
      <c r="A96" s="77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</row>
    <row r="97" spans="1:34">
      <c r="A97" s="77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</row>
    <row r="98" spans="1:34">
      <c r="A98" s="77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</row>
    <row r="99" spans="1:34">
      <c r="A99" s="77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</row>
    <row r="100" spans="1:34">
      <c r="A100" s="77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</row>
    <row r="101" spans="1:34">
      <c r="A101" s="77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</row>
    <row r="102" spans="1:34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</row>
    <row r="103" spans="1:34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</row>
    <row r="104" spans="1:34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</row>
    <row r="105" spans="1:34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</row>
    <row r="106" spans="1:34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</row>
    <row r="107" spans="1:34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</row>
    <row r="108" spans="1:34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</row>
    <row r="109" spans="1:34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</row>
    <row r="110" spans="1:34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</row>
    <row r="111" spans="1:34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</row>
    <row r="112" spans="1:34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</row>
    <row r="113" spans="2:28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</row>
    <row r="114" spans="2:28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</row>
    <row r="115" spans="2:28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</row>
    <row r="116" spans="2:28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</row>
    <row r="117" spans="2:28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</row>
    <row r="118" spans="2:28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</row>
    <row r="119" spans="2:28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</row>
    <row r="120" spans="2:28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</row>
    <row r="121" spans="2:28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</row>
    <row r="122" spans="2:28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</row>
    <row r="123" spans="2:28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</row>
    <row r="124" spans="2:28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</row>
    <row r="125" spans="2:28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</row>
    <row r="126" spans="2:28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</row>
    <row r="127" spans="2:28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</row>
    <row r="128" spans="2:28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</row>
    <row r="129" spans="2:28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</row>
    <row r="130" spans="2:28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</row>
    <row r="131" spans="2:28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</row>
    <row r="132" spans="2:28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</row>
    <row r="133" spans="2:28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</row>
    <row r="134" spans="2:28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</row>
    <row r="135" spans="2:28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</row>
    <row r="136" spans="2:28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</row>
    <row r="137" spans="2:28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</row>
    <row r="138" spans="2:28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</row>
    <row r="139" spans="2:28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</row>
    <row r="140" spans="2:28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</row>
    <row r="141" spans="2:28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</row>
    <row r="142" spans="2:28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</row>
    <row r="143" spans="2:28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</row>
    <row r="144" spans="2:28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</row>
    <row r="145" spans="2:28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</row>
    <row r="146" spans="2:28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</row>
    <row r="147" spans="2:28">
      <c r="V147" s="75"/>
      <c r="W147" s="75"/>
      <c r="X147" s="75"/>
      <c r="Y147" s="75"/>
      <c r="Z147" s="75"/>
      <c r="AA147" s="75"/>
      <c r="AB147" s="75"/>
    </row>
    <row r="148" spans="2:28">
      <c r="V148" s="75"/>
      <c r="W148" s="75"/>
      <c r="X148" s="75"/>
      <c r="Y148" s="75"/>
      <c r="Z148" s="75"/>
      <c r="AA148" s="75"/>
      <c r="AB148" s="75"/>
    </row>
    <row r="149" spans="2:28">
      <c r="V149" s="75"/>
      <c r="W149" s="75"/>
      <c r="X149" s="75"/>
      <c r="Y149" s="75"/>
      <c r="Z149" s="75"/>
      <c r="AA149" s="75"/>
      <c r="AB149" s="75"/>
    </row>
    <row r="150" spans="2:28">
      <c r="V150" s="75"/>
      <c r="W150" s="75"/>
      <c r="X150" s="75"/>
      <c r="Y150" s="75"/>
      <c r="Z150" s="75"/>
      <c r="AA150" s="75"/>
      <c r="AB150" s="75"/>
    </row>
    <row r="151" spans="2:28">
      <c r="V151" s="75"/>
      <c r="W151" s="75"/>
      <c r="X151" s="75"/>
      <c r="Y151" s="75"/>
      <c r="Z151" s="75"/>
      <c r="AA151" s="75"/>
      <c r="AB151" s="75"/>
    </row>
  </sheetData>
  <conditionalFormatting sqref="W12">
    <cfRule type="cellIs" dxfId="11" priority="11" operator="notEqual">
      <formula>0</formula>
    </cfRule>
    <cfRule type="cellIs" dxfId="10" priority="12" operator="equal">
      <formula>0</formula>
    </cfRule>
  </conditionalFormatting>
  <conditionalFormatting sqref="W31">
    <cfRule type="cellIs" dxfId="9" priority="9" operator="notEqual">
      <formula>0</formula>
    </cfRule>
    <cfRule type="cellIs" dxfId="8" priority="10" operator="equal">
      <formula>0</formula>
    </cfRule>
  </conditionalFormatting>
  <conditionalFormatting sqref="W40">
    <cfRule type="cellIs" dxfId="7" priority="7" operator="notEqual">
      <formula>0</formula>
    </cfRule>
    <cfRule type="cellIs" dxfId="6" priority="8" operator="equal">
      <formula>0</formula>
    </cfRule>
  </conditionalFormatting>
  <conditionalFormatting sqref="W42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W44:W47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C48:U48">
    <cfRule type="cellIs" dxfId="1" priority="1" operator="notEqual">
      <formula>0</formula>
    </cfRule>
    <cfRule type="cellIs" dxfId="0" priority="2" operator="equal">
      <formula>0</formula>
    </cfRule>
  </conditionalFormatting>
  <printOptions horizontalCentered="1"/>
  <pageMargins left="0.25" right="0.25" top="0.75" bottom="0.75" header="0.3" footer="0.3"/>
  <pageSetup scale="71" orientation="landscape" r:id="rId1"/>
  <headerFooter>
    <oddFooter>&amp;RRevised Exhibit  JW-2
Page &amp;P of &amp;N</oddFooter>
  </headerFooter>
  <ignoredErrors>
    <ignoredError sqref="C31:U37 C48:U48 C38:F38 H38:U38 C39:U44 N45:U45 N47:U4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0">
    <pageSetUpPr fitToPage="1"/>
  </sheetPr>
  <dimension ref="A1:O34"/>
  <sheetViews>
    <sheetView zoomScale="75" zoomScaleNormal="75" workbookViewId="0">
      <selection activeCell="B7" sqref="B7:H7"/>
    </sheetView>
  </sheetViews>
  <sheetFormatPr defaultColWidth="9.109375" defaultRowHeight="13.2"/>
  <cols>
    <col min="1" max="1" width="5.88671875" style="11" customWidth="1"/>
    <col min="2" max="2" width="2.33203125" style="11" customWidth="1"/>
    <col min="3" max="3" width="11.6640625" style="11" customWidth="1"/>
    <col min="4" max="4" width="10.88671875" style="11" customWidth="1"/>
    <col min="5" max="5" width="5.88671875" style="11" customWidth="1"/>
    <col min="6" max="6" width="15.33203125" style="3" customWidth="1"/>
    <col min="7" max="7" width="3.33203125" style="3" customWidth="1"/>
    <col min="8" max="8" width="15.6640625" style="3" customWidth="1"/>
    <col min="9" max="10" width="9.109375" style="11"/>
    <col min="11" max="11" width="12.5546875" style="11" customWidth="1"/>
    <col min="12" max="16384" width="9.109375" style="11"/>
  </cols>
  <sheetData>
    <row r="1" spans="1:15">
      <c r="G1" s="173"/>
      <c r="H1" s="173" t="s">
        <v>27</v>
      </c>
    </row>
    <row r="2" spans="1:15" ht="20.25" customHeight="1">
      <c r="G2" s="173"/>
      <c r="H2" s="173"/>
    </row>
    <row r="3" spans="1:15">
      <c r="G3" s="173"/>
      <c r="H3" s="173"/>
    </row>
    <row r="4" spans="1:15">
      <c r="A4" s="268" t="str">
        <f>RevReq!A1</f>
        <v>LICKING VALLEY R.E.C.C.</v>
      </c>
      <c r="B4" s="268"/>
      <c r="C4" s="268"/>
      <c r="D4" s="268"/>
      <c r="E4" s="268"/>
      <c r="F4" s="268"/>
      <c r="G4" s="268"/>
      <c r="H4" s="268"/>
      <c r="J4" s="8"/>
      <c r="K4" s="8"/>
      <c r="L4" s="8"/>
      <c r="M4" s="8"/>
      <c r="N4" s="8"/>
      <c r="O4" s="8"/>
    </row>
    <row r="5" spans="1:15">
      <c r="A5" s="268" t="str">
        <f>RevReq!A3</f>
        <v>For the 12 Months Ended December 31, 2019</v>
      </c>
      <c r="B5" s="268"/>
      <c r="C5" s="268"/>
      <c r="D5" s="268"/>
      <c r="E5" s="268"/>
      <c r="F5" s="268"/>
      <c r="G5" s="268"/>
      <c r="H5" s="268"/>
    </row>
    <row r="7" spans="1:15" s="7" customFormat="1" ht="15" customHeight="1">
      <c r="A7" s="269" t="s">
        <v>173</v>
      </c>
      <c r="B7" s="269"/>
      <c r="C7" s="269"/>
      <c r="D7" s="269"/>
      <c r="E7" s="269"/>
      <c r="F7" s="269"/>
      <c r="G7" s="269"/>
      <c r="H7" s="269"/>
    </row>
    <row r="9" spans="1:15">
      <c r="A9" s="10" t="s">
        <v>0</v>
      </c>
      <c r="C9" s="10" t="s">
        <v>16</v>
      </c>
      <c r="D9" s="10" t="s">
        <v>17</v>
      </c>
      <c r="E9" s="10"/>
      <c r="F9" s="1" t="s">
        <v>23</v>
      </c>
      <c r="G9" s="1"/>
      <c r="H9" s="1" t="s">
        <v>24</v>
      </c>
    </row>
    <row r="10" spans="1:15">
      <c r="A10" s="12" t="s">
        <v>21</v>
      </c>
      <c r="C10" s="13" t="s">
        <v>18</v>
      </c>
      <c r="D10" s="13" t="s">
        <v>20</v>
      </c>
      <c r="E10" s="10"/>
      <c r="F10" s="176" t="s">
        <v>19</v>
      </c>
      <c r="G10" s="176"/>
      <c r="H10" s="176" t="s">
        <v>25</v>
      </c>
    </row>
    <row r="11" spans="1:15">
      <c r="A11" s="10"/>
    </row>
    <row r="12" spans="1:15">
      <c r="A12" s="10"/>
    </row>
    <row r="13" spans="1:15">
      <c r="A13" s="10">
        <v>1</v>
      </c>
      <c r="C13" s="10">
        <v>2019</v>
      </c>
      <c r="D13" s="1" t="s">
        <v>6</v>
      </c>
      <c r="E13" s="14"/>
      <c r="F13" s="163">
        <v>47746.01</v>
      </c>
      <c r="G13" s="163"/>
      <c r="H13" s="163">
        <v>-132826</v>
      </c>
      <c r="K13" s="195"/>
    </row>
    <row r="14" spans="1:15">
      <c r="A14" s="10">
        <v>2</v>
      </c>
      <c r="C14" s="10">
        <f>C13</f>
        <v>2019</v>
      </c>
      <c r="D14" s="1" t="s">
        <v>7</v>
      </c>
      <c r="E14" s="14"/>
      <c r="F14" s="163">
        <v>-104525.38</v>
      </c>
      <c r="G14" s="163"/>
      <c r="H14" s="163">
        <v>-57722</v>
      </c>
      <c r="K14" s="195"/>
    </row>
    <row r="15" spans="1:15">
      <c r="A15" s="10">
        <v>3</v>
      </c>
      <c r="C15" s="10">
        <f t="shared" ref="C15:C24" si="0">C14</f>
        <v>2019</v>
      </c>
      <c r="D15" s="1" t="s">
        <v>8</v>
      </c>
      <c r="E15" s="14"/>
      <c r="F15" s="163">
        <v>-57782.74</v>
      </c>
      <c r="G15" s="163"/>
      <c r="H15" s="163">
        <v>-103044</v>
      </c>
      <c r="K15" s="195"/>
    </row>
    <row r="16" spans="1:15">
      <c r="A16" s="10">
        <v>4</v>
      </c>
      <c r="C16" s="10">
        <f t="shared" si="0"/>
        <v>2019</v>
      </c>
      <c r="D16" s="1" t="s">
        <v>9</v>
      </c>
      <c r="E16" s="14"/>
      <c r="F16" s="163">
        <v>-84292.22</v>
      </c>
      <c r="G16" s="163"/>
      <c r="H16" s="163">
        <v>-27445</v>
      </c>
      <c r="K16" s="195"/>
    </row>
    <row r="17" spans="1:11">
      <c r="A17" s="10">
        <v>5</v>
      </c>
      <c r="C17" s="10">
        <f t="shared" si="0"/>
        <v>2019</v>
      </c>
      <c r="D17" s="1" t="s">
        <v>10</v>
      </c>
      <c r="E17" s="14"/>
      <c r="F17" s="163">
        <v>-34613.199999999997</v>
      </c>
      <c r="G17" s="163"/>
      <c r="H17" s="163">
        <v>-65571</v>
      </c>
      <c r="K17" s="195"/>
    </row>
    <row r="18" spans="1:11">
      <c r="A18" s="10">
        <v>6</v>
      </c>
      <c r="C18" s="10">
        <f t="shared" si="0"/>
        <v>2019</v>
      </c>
      <c r="D18" s="1" t="s">
        <v>11</v>
      </c>
      <c r="E18" s="14"/>
      <c r="F18" s="163">
        <v>-123569.33</v>
      </c>
      <c r="G18" s="163"/>
      <c r="H18" s="163">
        <v>-62664</v>
      </c>
      <c r="K18" s="195"/>
    </row>
    <row r="19" spans="1:11">
      <c r="A19" s="10">
        <v>7</v>
      </c>
      <c r="C19" s="10">
        <f t="shared" si="0"/>
        <v>2019</v>
      </c>
      <c r="D19" s="1" t="s">
        <v>12</v>
      </c>
      <c r="E19" s="14"/>
      <c r="F19" s="163">
        <v>-75339.13</v>
      </c>
      <c r="G19" s="163"/>
      <c r="H19" s="163">
        <v>-109093</v>
      </c>
      <c r="K19" s="195"/>
    </row>
    <row r="20" spans="1:11">
      <c r="A20" s="10">
        <v>8</v>
      </c>
      <c r="C20" s="10">
        <f t="shared" si="0"/>
        <v>2019</v>
      </c>
      <c r="D20" s="1" t="s">
        <v>13</v>
      </c>
      <c r="E20" s="14"/>
      <c r="F20" s="163">
        <v>-87269.17</v>
      </c>
      <c r="G20" s="163"/>
      <c r="H20" s="163">
        <v>-112669</v>
      </c>
      <c r="K20" s="195"/>
    </row>
    <row r="21" spans="1:11">
      <c r="A21" s="10">
        <v>9</v>
      </c>
      <c r="C21" s="10">
        <f t="shared" si="0"/>
        <v>2019</v>
      </c>
      <c r="D21" s="1" t="s">
        <v>2</v>
      </c>
      <c r="E21" s="14"/>
      <c r="F21" s="163">
        <v>-80010.990000000005</v>
      </c>
      <c r="G21" s="163"/>
      <c r="H21" s="163">
        <v>-119551</v>
      </c>
      <c r="K21" s="195"/>
    </row>
    <row r="22" spans="1:11">
      <c r="A22" s="10">
        <v>10</v>
      </c>
      <c r="C22" s="10">
        <f t="shared" si="0"/>
        <v>2019</v>
      </c>
      <c r="D22" s="1" t="s">
        <v>3</v>
      </c>
      <c r="E22" s="14"/>
      <c r="F22" s="163">
        <v>-122308.13</v>
      </c>
      <c r="G22" s="163"/>
      <c r="H22" s="163">
        <v>-96396</v>
      </c>
      <c r="K22" s="195"/>
    </row>
    <row r="23" spans="1:11">
      <c r="A23" s="10">
        <v>11</v>
      </c>
      <c r="C23" s="10">
        <f t="shared" si="0"/>
        <v>2019</v>
      </c>
      <c r="D23" s="1" t="s">
        <v>4</v>
      </c>
      <c r="E23" s="14"/>
      <c r="F23" s="163">
        <v>-160512.26</v>
      </c>
      <c r="G23" s="163"/>
      <c r="H23" s="163">
        <v>-155005</v>
      </c>
      <c r="K23" s="195"/>
    </row>
    <row r="24" spans="1:11">
      <c r="A24" s="10">
        <v>12</v>
      </c>
      <c r="C24" s="10">
        <f t="shared" si="0"/>
        <v>2019</v>
      </c>
      <c r="D24" s="1" t="s">
        <v>5</v>
      </c>
      <c r="E24" s="14"/>
      <c r="F24" s="163">
        <v>-165270.01</v>
      </c>
      <c r="G24" s="163"/>
      <c r="H24" s="163">
        <v>-30161</v>
      </c>
      <c r="K24" s="195"/>
    </row>
    <row r="25" spans="1:11">
      <c r="A25" s="10">
        <v>13</v>
      </c>
      <c r="C25" s="16"/>
      <c r="D25" s="5" t="s">
        <v>14</v>
      </c>
      <c r="E25" s="17"/>
      <c r="F25" s="233">
        <f>SUM(F13:F24)</f>
        <v>-1047746.55</v>
      </c>
      <c r="G25" s="233"/>
      <c r="H25" s="233">
        <f>SUM(H13:H24)</f>
        <v>-1072147</v>
      </c>
    </row>
    <row r="26" spans="1:11">
      <c r="A26" s="10">
        <v>14</v>
      </c>
      <c r="C26" s="18"/>
      <c r="D26" s="2"/>
      <c r="E26" s="19"/>
      <c r="F26" s="161"/>
      <c r="G26" s="161"/>
    </row>
    <row r="27" spans="1:11">
      <c r="A27" s="10">
        <v>15</v>
      </c>
      <c r="C27" s="2" t="s">
        <v>37</v>
      </c>
      <c r="D27" s="2"/>
      <c r="E27" s="19"/>
      <c r="F27" s="146">
        <f>F25</f>
        <v>-1047746.55</v>
      </c>
      <c r="G27" s="146"/>
      <c r="H27" s="146">
        <f>H25</f>
        <v>-1072147</v>
      </c>
    </row>
    <row r="28" spans="1:11">
      <c r="A28" s="10">
        <v>16</v>
      </c>
      <c r="C28" s="2"/>
      <c r="D28" s="2"/>
      <c r="E28" s="19"/>
      <c r="F28" s="161"/>
      <c r="G28" s="161"/>
    </row>
    <row r="29" spans="1:11">
      <c r="A29" s="10">
        <v>17</v>
      </c>
      <c r="C29" s="3" t="s">
        <v>38</v>
      </c>
      <c r="E29" s="14"/>
      <c r="F29" s="163">
        <v>0</v>
      </c>
      <c r="G29" s="163"/>
      <c r="H29" s="163">
        <v>0</v>
      </c>
    </row>
    <row r="30" spans="1:11">
      <c r="A30" s="10">
        <v>18</v>
      </c>
      <c r="C30" s="3"/>
    </row>
    <row r="31" spans="1:11" ht="13.8" thickBot="1">
      <c r="A31" s="10">
        <v>19</v>
      </c>
      <c r="C31" s="4" t="s">
        <v>15</v>
      </c>
      <c r="D31" s="21"/>
      <c r="E31" s="22"/>
      <c r="F31" s="171">
        <f>ROUND(F29-F27,2)</f>
        <v>1047746.55</v>
      </c>
      <c r="G31" s="234"/>
      <c r="H31" s="171">
        <f>ROUND(H29-H27,2)</f>
        <v>1072147</v>
      </c>
    </row>
    <row r="32" spans="1:11" ht="13.8" thickTop="1"/>
    <row r="34" spans="3:8" ht="30" customHeight="1">
      <c r="C34" s="270" t="s">
        <v>39</v>
      </c>
      <c r="D34" s="270"/>
      <c r="E34" s="270"/>
      <c r="F34" s="270"/>
      <c r="G34" s="270"/>
      <c r="H34" s="270"/>
    </row>
  </sheetData>
  <mergeCells count="4">
    <mergeCell ref="A4:H4"/>
    <mergeCell ref="A5:H5"/>
    <mergeCell ref="A7:H7"/>
    <mergeCell ref="C34:H34"/>
  </mergeCells>
  <printOptions horizontalCentered="1"/>
  <pageMargins left="1" right="0.75" top="0.75" bottom="0.5" header="0.5" footer="0.5"/>
  <pageSetup orientation="portrait" r:id="rId1"/>
  <headerFooter alignWithMargins="0">
    <oddFooter>&amp;RRevised Exhibit JW-2
Page &amp;P of &amp;N</oddFooter>
  </headerFooter>
  <ignoredErrors>
    <ignoredError sqref="D10:H11 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1">
    <pageSetUpPr fitToPage="1"/>
  </sheetPr>
  <dimension ref="A1:K34"/>
  <sheetViews>
    <sheetView topLeftCell="A19" zoomScale="75" zoomScaleNormal="75" workbookViewId="0">
      <selection activeCell="B7" sqref="B7:H7"/>
    </sheetView>
  </sheetViews>
  <sheetFormatPr defaultColWidth="9.109375" defaultRowHeight="13.2"/>
  <cols>
    <col min="1" max="1" width="5.88671875" style="11" customWidth="1"/>
    <col min="2" max="2" width="2.33203125" style="11" customWidth="1"/>
    <col min="3" max="3" width="11.6640625" style="11" customWidth="1"/>
    <col min="4" max="4" width="10.88671875" style="11" customWidth="1"/>
    <col min="5" max="5" width="5.88671875" style="11" customWidth="1"/>
    <col min="6" max="6" width="15.33203125" style="3" customWidth="1"/>
    <col min="7" max="7" width="3.33203125" style="3" customWidth="1"/>
    <col min="8" max="8" width="14.44140625" style="3" customWidth="1"/>
    <col min="9" max="10" width="9.109375" style="11"/>
    <col min="11" max="11" width="9.88671875" style="11" bestFit="1" customWidth="1"/>
    <col min="12" max="16384" width="9.109375" style="11"/>
  </cols>
  <sheetData>
    <row r="1" spans="1:11">
      <c r="G1" s="173"/>
      <c r="H1" s="173" t="s">
        <v>26</v>
      </c>
    </row>
    <row r="2" spans="1:11" ht="20.25" customHeight="1">
      <c r="G2" s="173"/>
      <c r="H2" s="173"/>
    </row>
    <row r="3" spans="1:11">
      <c r="G3" s="173"/>
      <c r="H3" s="173"/>
    </row>
    <row r="4" spans="1:11">
      <c r="A4" s="268" t="str">
        <f>RevReq!A1</f>
        <v>LICKING VALLEY R.E.C.C.</v>
      </c>
      <c r="B4" s="268"/>
      <c r="C4" s="268"/>
      <c r="D4" s="268"/>
      <c r="E4" s="268"/>
      <c r="F4" s="268"/>
      <c r="G4" s="268"/>
      <c r="H4" s="268"/>
    </row>
    <row r="5" spans="1:11">
      <c r="A5" s="268" t="str">
        <f>RevReq!A3</f>
        <v>For the 12 Months Ended December 31, 2019</v>
      </c>
      <c r="B5" s="268"/>
      <c r="C5" s="268"/>
      <c r="D5" s="268"/>
      <c r="E5" s="268"/>
      <c r="F5" s="268"/>
      <c r="G5" s="268"/>
      <c r="H5" s="268"/>
    </row>
    <row r="7" spans="1:11" s="7" customFormat="1" ht="15" customHeight="1">
      <c r="A7" s="269" t="s">
        <v>127</v>
      </c>
      <c r="B7" s="269"/>
      <c r="C7" s="269"/>
      <c r="D7" s="269"/>
      <c r="E7" s="269"/>
      <c r="F7" s="269"/>
      <c r="G7" s="269"/>
      <c r="H7" s="269"/>
    </row>
    <row r="9" spans="1:11">
      <c r="A9" s="10" t="s">
        <v>0</v>
      </c>
      <c r="C9" s="10" t="s">
        <v>16</v>
      </c>
      <c r="D9" s="10" t="s">
        <v>17</v>
      </c>
      <c r="E9" s="10"/>
      <c r="F9" s="1" t="s">
        <v>23</v>
      </c>
      <c r="G9" s="1"/>
      <c r="H9" s="1" t="s">
        <v>24</v>
      </c>
    </row>
    <row r="10" spans="1:11">
      <c r="A10" s="12" t="s">
        <v>21</v>
      </c>
      <c r="C10" s="13" t="s">
        <v>18</v>
      </c>
      <c r="D10" s="13" t="s">
        <v>20</v>
      </c>
      <c r="E10" s="10"/>
      <c r="F10" s="176" t="s">
        <v>19</v>
      </c>
      <c r="G10" s="176"/>
      <c r="H10" s="176" t="s">
        <v>25</v>
      </c>
    </row>
    <row r="11" spans="1:11">
      <c r="A11" s="10"/>
    </row>
    <row r="12" spans="1:11">
      <c r="A12" s="10"/>
    </row>
    <row r="13" spans="1:11">
      <c r="A13" s="10">
        <v>1</v>
      </c>
      <c r="C13" s="10">
        <v>2019</v>
      </c>
      <c r="D13" s="1" t="s">
        <v>6</v>
      </c>
      <c r="E13" s="14"/>
      <c r="F13" s="163">
        <v>230370.33</v>
      </c>
      <c r="G13" s="163"/>
      <c r="H13" s="163">
        <v>239382</v>
      </c>
      <c r="K13" s="195"/>
    </row>
    <row r="14" spans="1:11">
      <c r="A14" s="10">
        <v>2</v>
      </c>
      <c r="C14" s="10">
        <f>C13</f>
        <v>2019</v>
      </c>
      <c r="D14" s="1" t="s">
        <v>7</v>
      </c>
      <c r="E14" s="14"/>
      <c r="F14" s="163">
        <v>169063.52</v>
      </c>
      <c r="G14" s="163"/>
      <c r="H14" s="163">
        <v>154795</v>
      </c>
      <c r="K14" s="195"/>
    </row>
    <row r="15" spans="1:11">
      <c r="A15" s="10">
        <v>3</v>
      </c>
      <c r="C15" s="10">
        <f t="shared" ref="C15:C24" si="0">C14</f>
        <v>2019</v>
      </c>
      <c r="D15" s="1" t="s">
        <v>8</v>
      </c>
      <c r="E15" s="14"/>
      <c r="F15" s="163">
        <v>151382.48000000001</v>
      </c>
      <c r="G15" s="163"/>
      <c r="H15" s="163">
        <v>163317</v>
      </c>
      <c r="K15" s="195"/>
    </row>
    <row r="16" spans="1:11">
      <c r="A16" s="10">
        <v>4</v>
      </c>
      <c r="C16" s="10">
        <f t="shared" si="0"/>
        <v>2019</v>
      </c>
      <c r="D16" s="1" t="s">
        <v>9</v>
      </c>
      <c r="E16" s="14"/>
      <c r="F16" s="163">
        <v>147695</v>
      </c>
      <c r="G16" s="163"/>
      <c r="H16" s="163">
        <v>158612</v>
      </c>
      <c r="K16" s="195"/>
    </row>
    <row r="17" spans="1:11">
      <c r="A17" s="10">
        <v>5</v>
      </c>
      <c r="C17" s="10">
        <f t="shared" si="0"/>
        <v>2019</v>
      </c>
      <c r="D17" s="1" t="s">
        <v>10</v>
      </c>
      <c r="E17" s="14"/>
      <c r="F17" s="163">
        <v>177338.94</v>
      </c>
      <c r="G17" s="163"/>
      <c r="H17" s="163">
        <v>163496</v>
      </c>
      <c r="K17" s="195"/>
    </row>
    <row r="18" spans="1:11">
      <c r="A18" s="10">
        <v>6</v>
      </c>
      <c r="C18" s="10">
        <f t="shared" si="0"/>
        <v>2019</v>
      </c>
      <c r="D18" s="1" t="s">
        <v>11</v>
      </c>
      <c r="E18" s="14"/>
      <c r="F18" s="163">
        <v>222253.91</v>
      </c>
      <c r="G18" s="163"/>
      <c r="H18" s="163">
        <v>206390</v>
      </c>
      <c r="K18" s="195"/>
    </row>
    <row r="19" spans="1:11">
      <c r="A19" s="10">
        <v>7</v>
      </c>
      <c r="C19" s="10">
        <f t="shared" si="0"/>
        <v>2019</v>
      </c>
      <c r="D19" s="1" t="s">
        <v>12</v>
      </c>
      <c r="E19" s="14"/>
      <c r="F19" s="163">
        <v>247878.78</v>
      </c>
      <c r="G19" s="163"/>
      <c r="H19" s="163">
        <v>240989</v>
      </c>
      <c r="K19" s="195"/>
    </row>
    <row r="20" spans="1:11">
      <c r="A20" s="10">
        <v>8</v>
      </c>
      <c r="C20" s="10">
        <f t="shared" si="0"/>
        <v>2019</v>
      </c>
      <c r="D20" s="1" t="s">
        <v>13</v>
      </c>
      <c r="E20" s="14"/>
      <c r="F20" s="163">
        <v>223362.99</v>
      </c>
      <c r="G20" s="163"/>
      <c r="H20" s="163">
        <v>224139</v>
      </c>
      <c r="K20" s="195"/>
    </row>
    <row r="21" spans="1:11">
      <c r="A21" s="10">
        <v>9</v>
      </c>
      <c r="C21" s="10">
        <f t="shared" si="0"/>
        <v>2019</v>
      </c>
      <c r="D21" s="1" t="s">
        <v>2</v>
      </c>
      <c r="E21" s="14"/>
      <c r="F21" s="163">
        <v>165090.39000000001</v>
      </c>
      <c r="G21" s="163"/>
      <c r="H21" s="163">
        <v>173867</v>
      </c>
      <c r="K21" s="195"/>
    </row>
    <row r="22" spans="1:11">
      <c r="A22" s="10">
        <v>10</v>
      </c>
      <c r="C22" s="10">
        <f t="shared" si="0"/>
        <v>2019</v>
      </c>
      <c r="D22" s="1" t="s">
        <v>3</v>
      </c>
      <c r="E22" s="14"/>
      <c r="F22" s="163">
        <v>177722.07</v>
      </c>
      <c r="G22" s="163"/>
      <c r="H22" s="163">
        <v>159611</v>
      </c>
      <c r="K22" s="195"/>
    </row>
    <row r="23" spans="1:11">
      <c r="A23" s="10">
        <v>11</v>
      </c>
      <c r="C23" s="10">
        <f t="shared" si="0"/>
        <v>2019</v>
      </c>
      <c r="D23" s="1" t="s">
        <v>4</v>
      </c>
      <c r="E23" s="14"/>
      <c r="F23" s="163">
        <v>235178.3</v>
      </c>
      <c r="G23" s="163"/>
      <c r="H23" s="163">
        <v>230149</v>
      </c>
      <c r="K23" s="195"/>
    </row>
    <row r="24" spans="1:11">
      <c r="A24" s="10">
        <v>12</v>
      </c>
      <c r="C24" s="10">
        <f t="shared" si="0"/>
        <v>2019</v>
      </c>
      <c r="D24" s="1" t="s">
        <v>5</v>
      </c>
      <c r="E24" s="14"/>
      <c r="F24" s="163">
        <v>268578.12</v>
      </c>
      <c r="G24" s="163"/>
      <c r="H24" s="163">
        <v>299909</v>
      </c>
      <c r="K24" s="195"/>
    </row>
    <row r="25" spans="1:11">
      <c r="A25" s="10">
        <v>13</v>
      </c>
      <c r="C25" s="16"/>
      <c r="D25" s="5" t="s">
        <v>14</v>
      </c>
      <c r="E25" s="17"/>
      <c r="F25" s="233">
        <f>SUM(F13:F24)</f>
        <v>2415914.83</v>
      </c>
      <c r="G25" s="233"/>
      <c r="H25" s="233">
        <f>SUM(H13:H24)</f>
        <v>2414656</v>
      </c>
      <c r="K25" s="195"/>
    </row>
    <row r="26" spans="1:11">
      <c r="A26" s="10">
        <v>14</v>
      </c>
      <c r="C26" s="18"/>
      <c r="D26" s="2"/>
      <c r="E26" s="19"/>
      <c r="F26" s="161"/>
      <c r="G26" s="161"/>
    </row>
    <row r="27" spans="1:11">
      <c r="A27" s="10">
        <v>15</v>
      </c>
      <c r="C27" s="2" t="s">
        <v>37</v>
      </c>
      <c r="D27" s="2"/>
      <c r="E27" s="19"/>
      <c r="F27" s="146">
        <f>F25</f>
        <v>2415914.83</v>
      </c>
      <c r="G27" s="146"/>
      <c r="H27" s="146">
        <f>H25</f>
        <v>2414656</v>
      </c>
    </row>
    <row r="28" spans="1:11">
      <c r="A28" s="10">
        <v>16</v>
      </c>
      <c r="C28" s="2"/>
      <c r="D28" s="2"/>
      <c r="E28" s="19"/>
      <c r="F28" s="146"/>
      <c r="G28" s="146"/>
      <c r="H28" s="38"/>
    </row>
    <row r="29" spans="1:11">
      <c r="A29" s="10">
        <v>17</v>
      </c>
      <c r="C29" s="3" t="s">
        <v>38</v>
      </c>
      <c r="E29" s="14"/>
      <c r="F29" s="163">
        <v>0</v>
      </c>
      <c r="G29" s="163"/>
      <c r="H29" s="163">
        <v>0</v>
      </c>
    </row>
    <row r="30" spans="1:11">
      <c r="A30" s="10">
        <v>18</v>
      </c>
      <c r="C30" s="3"/>
    </row>
    <row r="31" spans="1:11" ht="13.8" thickBot="1">
      <c r="A31" s="10">
        <v>19</v>
      </c>
      <c r="C31" s="4" t="s">
        <v>15</v>
      </c>
      <c r="D31" s="21"/>
      <c r="E31" s="22"/>
      <c r="F31" s="171">
        <f>ROUND(F29-F27,2)</f>
        <v>-2415914.83</v>
      </c>
      <c r="G31" s="234"/>
      <c r="H31" s="171">
        <f>ROUND(H29-H27,2)</f>
        <v>-2414656</v>
      </c>
    </row>
    <row r="32" spans="1:11" ht="13.8" thickTop="1"/>
    <row r="34" spans="3:8" ht="29.25" customHeight="1">
      <c r="C34" s="270" t="s">
        <v>40</v>
      </c>
      <c r="D34" s="270"/>
      <c r="E34" s="270"/>
      <c r="F34" s="270"/>
      <c r="G34" s="270"/>
      <c r="H34" s="270"/>
    </row>
  </sheetData>
  <mergeCells count="4">
    <mergeCell ref="A4:H4"/>
    <mergeCell ref="A5:H5"/>
    <mergeCell ref="A7:H7"/>
    <mergeCell ref="C34:H34"/>
  </mergeCells>
  <printOptions horizontalCentered="1"/>
  <pageMargins left="1" right="0.75" top="0.75" bottom="0.5" header="0.5" footer="0.5"/>
  <pageSetup orientation="portrait" r:id="rId1"/>
  <headerFooter alignWithMargins="0">
    <oddFooter>&amp;RRevised Exhibit JW-2
Page &amp;P of &amp;N</oddFooter>
  </headerFooter>
  <ignoredErrors>
    <ignoredError sqref="C10:H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pageSetUpPr fitToPage="1"/>
  </sheetPr>
  <dimension ref="A1:E26"/>
  <sheetViews>
    <sheetView zoomScale="75" zoomScaleNormal="75" workbookViewId="0">
      <selection activeCell="B7" sqref="B7:H7"/>
    </sheetView>
  </sheetViews>
  <sheetFormatPr defaultColWidth="9.109375" defaultRowHeight="13.2"/>
  <cols>
    <col min="1" max="1" width="5.88671875" style="11" customWidth="1"/>
    <col min="2" max="2" width="2.33203125" style="11" customWidth="1"/>
    <col min="3" max="3" width="37.6640625" style="11" bestFit="1" customWidth="1"/>
    <col min="4" max="4" width="2.44140625" style="11" customWidth="1"/>
    <col min="5" max="5" width="15.6640625" style="11" customWidth="1"/>
    <col min="6" max="16384" width="9.109375" style="11"/>
  </cols>
  <sheetData>
    <row r="1" spans="1:5">
      <c r="E1" s="6" t="s">
        <v>125</v>
      </c>
    </row>
    <row r="2" spans="1:5" ht="20.25" customHeight="1">
      <c r="E2" s="6"/>
    </row>
    <row r="3" spans="1:5">
      <c r="A3" s="268" t="str">
        <f>RevReq!A1</f>
        <v>LICKING VALLEY R.E.C.C.</v>
      </c>
      <c r="B3" s="268"/>
      <c r="C3" s="268"/>
      <c r="D3" s="268"/>
      <c r="E3" s="268"/>
    </row>
    <row r="4" spans="1:5">
      <c r="A4" s="268" t="str">
        <f>RevReq!A3</f>
        <v>For the 12 Months Ended December 31, 2019</v>
      </c>
      <c r="B4" s="268"/>
      <c r="C4" s="268"/>
      <c r="D4" s="268"/>
      <c r="E4" s="268"/>
    </row>
    <row r="6" spans="1:5" s="7" customFormat="1" ht="15" customHeight="1">
      <c r="A6" s="271" t="s">
        <v>31</v>
      </c>
      <c r="B6" s="271"/>
      <c r="C6" s="271"/>
      <c r="D6" s="271"/>
      <c r="E6" s="271"/>
    </row>
    <row r="8" spans="1:5">
      <c r="A8" s="10" t="s">
        <v>0</v>
      </c>
      <c r="C8" s="10" t="s">
        <v>41</v>
      </c>
      <c r="D8" s="10"/>
      <c r="E8" s="10" t="s">
        <v>24</v>
      </c>
    </row>
    <row r="9" spans="1:5">
      <c r="A9" s="12" t="s">
        <v>21</v>
      </c>
      <c r="C9" s="13" t="s">
        <v>18</v>
      </c>
      <c r="D9" s="13"/>
      <c r="E9" s="13" t="s">
        <v>20</v>
      </c>
    </row>
    <row r="10" spans="1:5">
      <c r="A10" s="10"/>
    </row>
    <row r="11" spans="1:5">
      <c r="A11" s="10">
        <v>1</v>
      </c>
      <c r="C11" s="15" t="s">
        <v>115</v>
      </c>
      <c r="E11" s="156">
        <v>30000</v>
      </c>
    </row>
    <row r="12" spans="1:5">
      <c r="A12" s="10">
        <f>A11+1</f>
        <v>2</v>
      </c>
      <c r="C12" s="15" t="s">
        <v>116</v>
      </c>
      <c r="E12" s="156">
        <v>20000</v>
      </c>
    </row>
    <row r="13" spans="1:5">
      <c r="A13" s="10">
        <f t="shared" ref="A13:A23" si="0">A12+1</f>
        <v>3</v>
      </c>
      <c r="C13" s="16" t="s">
        <v>22</v>
      </c>
      <c r="D13" s="5"/>
      <c r="E13" s="34">
        <f>SUM(E11:E12)</f>
        <v>50000</v>
      </c>
    </row>
    <row r="14" spans="1:5">
      <c r="A14" s="10">
        <f t="shared" si="0"/>
        <v>4</v>
      </c>
      <c r="C14" s="18"/>
      <c r="D14" s="2"/>
    </row>
    <row r="15" spans="1:5">
      <c r="A15" s="10">
        <f t="shared" si="0"/>
        <v>5</v>
      </c>
      <c r="C15" s="2" t="s">
        <v>43</v>
      </c>
      <c r="D15" s="2"/>
      <c r="E15" s="20">
        <f>E13</f>
        <v>50000</v>
      </c>
    </row>
    <row r="16" spans="1:5">
      <c r="A16" s="10">
        <f t="shared" si="0"/>
        <v>6</v>
      </c>
      <c r="C16" s="2" t="s">
        <v>44</v>
      </c>
      <c r="D16" s="2"/>
      <c r="E16" s="20">
        <v>3</v>
      </c>
    </row>
    <row r="17" spans="1:5">
      <c r="A17" s="10">
        <f t="shared" si="0"/>
        <v>7</v>
      </c>
      <c r="C17" s="2" t="s">
        <v>46</v>
      </c>
      <c r="D17" s="2"/>
      <c r="E17" s="20">
        <f>E15/E16</f>
        <v>16666.666666666668</v>
      </c>
    </row>
    <row r="18" spans="1:5">
      <c r="A18" s="10">
        <f t="shared" si="0"/>
        <v>8</v>
      </c>
      <c r="C18" s="2"/>
      <c r="D18" s="2"/>
      <c r="E18" s="20"/>
    </row>
    <row r="19" spans="1:5">
      <c r="A19" s="10">
        <f t="shared" si="0"/>
        <v>9</v>
      </c>
      <c r="C19" s="2" t="s">
        <v>37</v>
      </c>
      <c r="D19" s="2"/>
      <c r="E19" s="20">
        <v>0</v>
      </c>
    </row>
    <row r="20" spans="1:5">
      <c r="A20" s="10">
        <f t="shared" si="0"/>
        <v>10</v>
      </c>
      <c r="C20" s="2"/>
      <c r="D20" s="2"/>
    </row>
    <row r="21" spans="1:5">
      <c r="A21" s="10">
        <f t="shared" si="0"/>
        <v>11</v>
      </c>
      <c r="C21" s="3" t="s">
        <v>38</v>
      </c>
      <c r="E21" s="14">
        <f>E17</f>
        <v>16666.666666666668</v>
      </c>
    </row>
    <row r="22" spans="1:5">
      <c r="A22" s="10">
        <f t="shared" si="0"/>
        <v>12</v>
      </c>
      <c r="C22" s="3"/>
    </row>
    <row r="23" spans="1:5" ht="13.8" thickBot="1">
      <c r="A23" s="10">
        <f t="shared" si="0"/>
        <v>13</v>
      </c>
      <c r="C23" s="4" t="s">
        <v>15</v>
      </c>
      <c r="D23" s="21"/>
      <c r="E23" s="23">
        <f>ROUND(E21-E19,2)</f>
        <v>16666.669999999998</v>
      </c>
    </row>
    <row r="24" spans="1:5" ht="13.8" thickTop="1"/>
    <row r="26" spans="1:5" ht="30" customHeight="1">
      <c r="C26" s="270" t="s">
        <v>47</v>
      </c>
      <c r="D26" s="270"/>
      <c r="E26" s="270"/>
    </row>
  </sheetData>
  <mergeCells count="4">
    <mergeCell ref="C26:E26"/>
    <mergeCell ref="A3:E3"/>
    <mergeCell ref="A4:E4"/>
    <mergeCell ref="A6:E6"/>
  </mergeCells>
  <printOptions horizontalCentered="1"/>
  <pageMargins left="1" right="0.75" top="0.75" bottom="0.5" header="0.5" footer="0.5"/>
  <pageSetup orientation="portrait" r:id="rId1"/>
  <headerFooter alignWithMargins="0">
    <oddFooter>&amp;RRevised Exhibit JW-2
Page &amp;P of &amp;N</oddFooter>
  </headerFooter>
  <ignoredErrors>
    <ignoredError sqref="C9:E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2"/>
  <dimension ref="A1:J59"/>
  <sheetViews>
    <sheetView topLeftCell="A13" zoomScale="75" zoomScaleNormal="75" workbookViewId="0">
      <selection activeCell="B7" sqref="B7:H7"/>
    </sheetView>
  </sheetViews>
  <sheetFormatPr defaultColWidth="9.109375" defaultRowHeight="13.2"/>
  <cols>
    <col min="1" max="1" width="5.88671875" style="3" customWidth="1"/>
    <col min="2" max="2" width="2.33203125" style="3" customWidth="1"/>
    <col min="3" max="3" width="13.33203125" style="3" customWidth="1"/>
    <col min="4" max="4" width="10.88671875" style="3" customWidth="1"/>
    <col min="5" max="5" width="4.109375" style="3" customWidth="1"/>
    <col min="6" max="7" width="12.5546875" style="3" bestFit="1" customWidth="1"/>
    <col min="8" max="8" width="11.44140625" style="3" bestFit="1" customWidth="1"/>
    <col min="9" max="9" width="11.5546875" style="3" bestFit="1" customWidth="1"/>
    <col min="10" max="10" width="11.6640625" style="3" customWidth="1"/>
    <col min="11" max="16384" width="9.109375" style="3"/>
  </cols>
  <sheetData>
    <row r="1" spans="1:10">
      <c r="J1" s="173" t="s">
        <v>124</v>
      </c>
    </row>
    <row r="2" spans="1:10" ht="20.25" customHeight="1">
      <c r="J2" s="173"/>
    </row>
    <row r="3" spans="1:10">
      <c r="G3" s="173"/>
    </row>
    <row r="4" spans="1:10">
      <c r="A4" s="272" t="str">
        <f>RevReq!A1</f>
        <v>LICKING VALLEY R.E.C.C.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>
      <c r="A5" s="272" t="str">
        <f>RevReq!A3</f>
        <v>For the 12 Months Ended December 31, 2019</v>
      </c>
      <c r="B5" s="272"/>
      <c r="C5" s="272"/>
      <c r="D5" s="272"/>
      <c r="E5" s="272"/>
      <c r="F5" s="272"/>
      <c r="G5" s="272"/>
      <c r="H5" s="272"/>
      <c r="I5" s="272"/>
      <c r="J5" s="272"/>
    </row>
    <row r="7" spans="1:10" s="174" customFormat="1" ht="15" customHeight="1">
      <c r="A7" s="269" t="s">
        <v>50</v>
      </c>
      <c r="B7" s="269"/>
      <c r="C7" s="269"/>
      <c r="D7" s="269"/>
      <c r="E7" s="269"/>
      <c r="F7" s="269"/>
      <c r="G7" s="269"/>
      <c r="H7" s="269"/>
      <c r="I7" s="269"/>
      <c r="J7" s="269"/>
    </row>
    <row r="9" spans="1:10" ht="39.6">
      <c r="A9" s="1" t="s">
        <v>0</v>
      </c>
      <c r="C9" s="1" t="s">
        <v>16</v>
      </c>
      <c r="D9" s="1" t="s">
        <v>17</v>
      </c>
      <c r="E9" s="1"/>
      <c r="F9" s="179" t="s">
        <v>279</v>
      </c>
      <c r="G9" s="179" t="s">
        <v>280</v>
      </c>
      <c r="H9" s="179" t="s">
        <v>281</v>
      </c>
      <c r="I9" s="179" t="s">
        <v>282</v>
      </c>
      <c r="J9" s="1" t="s">
        <v>45</v>
      </c>
    </row>
    <row r="10" spans="1:10">
      <c r="A10" s="175" t="s">
        <v>21</v>
      </c>
      <c r="C10" s="176" t="s">
        <v>18</v>
      </c>
      <c r="D10" s="176" t="s">
        <v>20</v>
      </c>
      <c r="E10" s="1"/>
      <c r="F10" s="176" t="s">
        <v>19</v>
      </c>
      <c r="G10" s="176" t="s">
        <v>25</v>
      </c>
      <c r="H10" s="176" t="s">
        <v>51</v>
      </c>
      <c r="I10" s="176" t="s">
        <v>52</v>
      </c>
      <c r="J10" s="176" t="s">
        <v>53</v>
      </c>
    </row>
    <row r="11" spans="1:10">
      <c r="A11" s="1"/>
    </row>
    <row r="12" spans="1:10">
      <c r="A12" s="1"/>
    </row>
    <row r="13" spans="1:10">
      <c r="A13" s="1">
        <v>1</v>
      </c>
      <c r="C13" s="1">
        <v>2019</v>
      </c>
      <c r="D13" s="1" t="s">
        <v>6</v>
      </c>
      <c r="E13" s="163"/>
      <c r="F13" s="235">
        <v>16063</v>
      </c>
      <c r="G13" s="235">
        <v>875</v>
      </c>
      <c r="H13" s="235">
        <v>221</v>
      </c>
      <c r="I13" s="235">
        <v>5</v>
      </c>
      <c r="J13" s="157"/>
    </row>
    <row r="14" spans="1:10">
      <c r="A14" s="1">
        <v>2</v>
      </c>
      <c r="C14" s="1">
        <v>2019</v>
      </c>
      <c r="D14" s="1" t="s">
        <v>7</v>
      </c>
      <c r="E14" s="163"/>
      <c r="F14" s="235">
        <v>16049</v>
      </c>
      <c r="G14" s="235">
        <v>870</v>
      </c>
      <c r="H14" s="235">
        <v>220</v>
      </c>
      <c r="I14" s="235">
        <v>4</v>
      </c>
      <c r="J14" s="158"/>
    </row>
    <row r="15" spans="1:10">
      <c r="A15" s="1">
        <v>3</v>
      </c>
      <c r="C15" s="1">
        <v>2019</v>
      </c>
      <c r="D15" s="1" t="s">
        <v>8</v>
      </c>
      <c r="E15" s="163"/>
      <c r="F15" s="235">
        <v>16065</v>
      </c>
      <c r="G15" s="235">
        <v>866</v>
      </c>
      <c r="H15" s="235">
        <v>221</v>
      </c>
      <c r="I15" s="235">
        <v>4</v>
      </c>
      <c r="J15" s="158"/>
    </row>
    <row r="16" spans="1:10">
      <c r="A16" s="1">
        <v>4</v>
      </c>
      <c r="C16" s="1">
        <v>2019</v>
      </c>
      <c r="D16" s="1" t="s">
        <v>9</v>
      </c>
      <c r="E16" s="163"/>
      <c r="F16" s="235">
        <v>16059</v>
      </c>
      <c r="G16" s="235">
        <v>866</v>
      </c>
      <c r="H16" s="235">
        <v>222</v>
      </c>
      <c r="I16" s="235">
        <v>4</v>
      </c>
      <c r="J16" s="158"/>
    </row>
    <row r="17" spans="1:10">
      <c r="A17" s="1">
        <v>5</v>
      </c>
      <c r="C17" s="1">
        <v>2019</v>
      </c>
      <c r="D17" s="1" t="s">
        <v>10</v>
      </c>
      <c r="E17" s="163"/>
      <c r="F17" s="235">
        <v>16050</v>
      </c>
      <c r="G17" s="235">
        <v>867</v>
      </c>
      <c r="H17" s="235">
        <v>225</v>
      </c>
      <c r="I17" s="235">
        <v>4</v>
      </c>
      <c r="J17" s="158"/>
    </row>
    <row r="18" spans="1:10">
      <c r="A18" s="1">
        <v>6</v>
      </c>
      <c r="C18" s="1">
        <v>2019</v>
      </c>
      <c r="D18" s="1" t="s">
        <v>11</v>
      </c>
      <c r="E18" s="163"/>
      <c r="F18" s="235">
        <v>16021</v>
      </c>
      <c r="G18" s="235">
        <v>854</v>
      </c>
      <c r="H18" s="235">
        <v>223</v>
      </c>
      <c r="I18" s="235">
        <v>4</v>
      </c>
      <c r="J18" s="158"/>
    </row>
    <row r="19" spans="1:10">
      <c r="A19" s="1">
        <v>7</v>
      </c>
      <c r="C19" s="1">
        <v>2019</v>
      </c>
      <c r="D19" s="1" t="s">
        <v>12</v>
      </c>
      <c r="E19" s="163"/>
      <c r="F19" s="235">
        <v>16069</v>
      </c>
      <c r="G19" s="235">
        <v>861</v>
      </c>
      <c r="H19" s="235">
        <v>221</v>
      </c>
      <c r="I19" s="235">
        <v>4</v>
      </c>
      <c r="J19" s="158"/>
    </row>
    <row r="20" spans="1:10">
      <c r="A20" s="1">
        <v>8</v>
      </c>
      <c r="C20" s="1">
        <v>2019</v>
      </c>
      <c r="D20" s="1" t="s">
        <v>13</v>
      </c>
      <c r="E20" s="163"/>
      <c r="F20" s="235">
        <v>16045</v>
      </c>
      <c r="G20" s="235">
        <v>863</v>
      </c>
      <c r="H20" s="235">
        <v>221</v>
      </c>
      <c r="I20" s="235">
        <v>4</v>
      </c>
      <c r="J20" s="158"/>
    </row>
    <row r="21" spans="1:10">
      <c r="A21" s="1">
        <v>9</v>
      </c>
      <c r="C21" s="1">
        <v>2019</v>
      </c>
      <c r="D21" s="1" t="s">
        <v>2</v>
      </c>
      <c r="E21" s="163"/>
      <c r="F21" s="235">
        <v>16061</v>
      </c>
      <c r="G21" s="235">
        <v>856</v>
      </c>
      <c r="H21" s="235">
        <v>223</v>
      </c>
      <c r="I21" s="235">
        <v>4</v>
      </c>
      <c r="J21" s="158"/>
    </row>
    <row r="22" spans="1:10">
      <c r="A22" s="1">
        <v>10</v>
      </c>
      <c r="C22" s="1">
        <v>2019</v>
      </c>
      <c r="D22" s="1" t="s">
        <v>3</v>
      </c>
      <c r="E22" s="163"/>
      <c r="F22" s="235">
        <v>16091</v>
      </c>
      <c r="G22" s="235">
        <v>858</v>
      </c>
      <c r="H22" s="235">
        <v>221</v>
      </c>
      <c r="I22" s="235">
        <v>4</v>
      </c>
      <c r="J22" s="158"/>
    </row>
    <row r="23" spans="1:10">
      <c r="A23" s="1">
        <v>11</v>
      </c>
      <c r="C23" s="1">
        <v>2019</v>
      </c>
      <c r="D23" s="1" t="s">
        <v>4</v>
      </c>
      <c r="E23" s="163"/>
      <c r="F23" s="235">
        <v>16089</v>
      </c>
      <c r="G23" s="235">
        <v>863</v>
      </c>
      <c r="H23" s="235">
        <v>221</v>
      </c>
      <c r="I23" s="235">
        <v>4</v>
      </c>
      <c r="J23" s="158"/>
    </row>
    <row r="24" spans="1:10">
      <c r="A24" s="1">
        <v>12</v>
      </c>
      <c r="C24" s="1">
        <v>2019</v>
      </c>
      <c r="D24" s="1" t="s">
        <v>5</v>
      </c>
      <c r="E24" s="163"/>
      <c r="F24" s="235">
        <v>16076</v>
      </c>
      <c r="G24" s="235">
        <v>861</v>
      </c>
      <c r="H24" s="235">
        <v>220</v>
      </c>
      <c r="I24" s="235">
        <v>4</v>
      </c>
      <c r="J24" s="158"/>
    </row>
    <row r="25" spans="1:10">
      <c r="A25" s="1">
        <v>13</v>
      </c>
      <c r="C25" s="5" t="s">
        <v>55</v>
      </c>
      <c r="D25" s="51"/>
      <c r="E25" s="161"/>
      <c r="F25" s="159">
        <f>ROUND(AVERAGE(F13:F24),0)</f>
        <v>16062</v>
      </c>
      <c r="G25" s="159">
        <f>ROUND(AVERAGE(G13:G24),0)</f>
        <v>863</v>
      </c>
      <c r="H25" s="159">
        <f>ROUND(AVERAGE(H13:H24),0)</f>
        <v>222</v>
      </c>
      <c r="I25" s="159">
        <f>ROUND(AVERAGE(I13:I24),0)</f>
        <v>4</v>
      </c>
      <c r="J25" s="158"/>
    </row>
    <row r="26" spans="1:10">
      <c r="A26" s="1">
        <v>14</v>
      </c>
      <c r="C26" s="2"/>
    </row>
    <row r="27" spans="1:10">
      <c r="A27" s="1">
        <v>15</v>
      </c>
      <c r="C27" s="32" t="s">
        <v>70</v>
      </c>
      <c r="E27" s="161"/>
      <c r="F27" s="160">
        <f>F24-F25</f>
        <v>14</v>
      </c>
      <c r="G27" s="160">
        <f>G24-G25</f>
        <v>-2</v>
      </c>
      <c r="H27" s="160">
        <f>H24-H25</f>
        <v>-2</v>
      </c>
      <c r="I27" s="160">
        <f>I24-I25</f>
        <v>0</v>
      </c>
      <c r="J27" s="158"/>
    </row>
    <row r="28" spans="1:10">
      <c r="A28" s="1">
        <v>16</v>
      </c>
      <c r="C28" s="2"/>
      <c r="D28" s="29"/>
      <c r="E28" s="161"/>
      <c r="F28" s="161"/>
      <c r="G28" s="161"/>
    </row>
    <row r="29" spans="1:10">
      <c r="A29" s="1">
        <v>17</v>
      </c>
      <c r="C29" s="2" t="s">
        <v>56</v>
      </c>
      <c r="D29" s="29"/>
      <c r="E29" s="161"/>
      <c r="F29" s="160">
        <v>186684568</v>
      </c>
      <c r="G29" s="160">
        <v>9952200</v>
      </c>
      <c r="H29" s="160">
        <v>31925800</v>
      </c>
      <c r="I29" s="160">
        <v>11088688</v>
      </c>
      <c r="J29" s="158"/>
    </row>
    <row r="30" spans="1:10">
      <c r="A30" s="1">
        <v>18</v>
      </c>
      <c r="C30" s="2" t="s">
        <v>57</v>
      </c>
      <c r="D30" s="29"/>
      <c r="E30" s="161"/>
      <c r="F30" s="160">
        <f>F29/F25</f>
        <v>11622.747354003237</v>
      </c>
      <c r="G30" s="160">
        <f>G29/G25</f>
        <v>11532.097334878332</v>
      </c>
      <c r="H30" s="160">
        <f>H29/H25</f>
        <v>143809.90990990991</v>
      </c>
      <c r="I30" s="160">
        <f>I29/I25</f>
        <v>2772172</v>
      </c>
      <c r="J30" s="158"/>
    </row>
    <row r="31" spans="1:10">
      <c r="A31" s="1">
        <v>19</v>
      </c>
      <c r="C31" s="2" t="s">
        <v>58</v>
      </c>
      <c r="D31" s="29"/>
      <c r="E31" s="161"/>
      <c r="F31" s="160">
        <f>F30*F27</f>
        <v>162718.46295604532</v>
      </c>
      <c r="G31" s="160">
        <f>G30*G27</f>
        <v>-23064.194669756664</v>
      </c>
      <c r="H31" s="160">
        <f>H30*H27</f>
        <v>-287619.81981981982</v>
      </c>
      <c r="I31" s="160">
        <f>I30*I27</f>
        <v>0</v>
      </c>
      <c r="J31" s="162">
        <f>SUM(F31:I31)</f>
        <v>-147965.55153353116</v>
      </c>
    </row>
    <row r="32" spans="1:10">
      <c r="A32" s="1">
        <v>20</v>
      </c>
      <c r="C32" s="2"/>
      <c r="D32" s="29"/>
      <c r="E32" s="161"/>
      <c r="F32" s="161"/>
      <c r="G32" s="161"/>
    </row>
    <row r="33" spans="1:10">
      <c r="A33" s="1">
        <v>21</v>
      </c>
      <c r="C33" s="236" t="s">
        <v>62</v>
      </c>
      <c r="D33" s="29"/>
      <c r="E33" s="161"/>
      <c r="F33" s="161"/>
      <c r="G33" s="161"/>
    </row>
    <row r="34" spans="1:10">
      <c r="A34" s="1">
        <v>22</v>
      </c>
      <c r="C34" s="2" t="s">
        <v>59</v>
      </c>
      <c r="D34" s="29"/>
      <c r="E34" s="161"/>
      <c r="F34" s="161">
        <v>19873685.625135999</v>
      </c>
      <c r="G34" s="161">
        <v>1098604.0120000001</v>
      </c>
      <c r="H34" s="163">
        <v>3245694.2786000003</v>
      </c>
      <c r="I34" s="163">
        <v>800861.62161199993</v>
      </c>
      <c r="J34" s="158"/>
    </row>
    <row r="35" spans="1:10">
      <c r="A35" s="1">
        <v>23</v>
      </c>
      <c r="C35" s="2" t="s">
        <v>60</v>
      </c>
      <c r="D35" s="29"/>
      <c r="E35" s="161"/>
      <c r="F35" s="164">
        <f>F34/F29</f>
        <v>0.10645596386486536</v>
      </c>
      <c r="G35" s="164">
        <f>G34/G29</f>
        <v>0.1103880561081972</v>
      </c>
      <c r="H35" s="164">
        <f>H34/H29</f>
        <v>0.10166367886161037</v>
      </c>
      <c r="I35" s="164">
        <f>I34/I29</f>
        <v>7.2223298338991951E-2</v>
      </c>
      <c r="J35" s="158"/>
    </row>
    <row r="36" spans="1:10">
      <c r="A36" s="1">
        <v>24</v>
      </c>
      <c r="C36" s="2" t="s">
        <v>61</v>
      </c>
      <c r="D36" s="29"/>
      <c r="E36" s="161"/>
      <c r="F36" s="161">
        <f>F35*F31</f>
        <v>17322.350812595192</v>
      </c>
      <c r="G36" s="161">
        <f>G35*G31</f>
        <v>-2546.0116152954815</v>
      </c>
      <c r="H36" s="161">
        <f>H35*H31</f>
        <v>-29240.488996396401</v>
      </c>
      <c r="I36" s="161">
        <f>I35*I31</f>
        <v>0</v>
      </c>
      <c r="J36" s="162">
        <f>SUM(F36:I36)</f>
        <v>-14464.149799096691</v>
      </c>
    </row>
    <row r="37" spans="1:10">
      <c r="A37" s="1">
        <v>25</v>
      </c>
      <c r="C37" s="2"/>
      <c r="D37" s="29"/>
      <c r="E37" s="161"/>
      <c r="F37" s="161"/>
      <c r="G37" s="161"/>
      <c r="H37" s="161"/>
      <c r="I37" s="161"/>
    </row>
    <row r="38" spans="1:10">
      <c r="A38" s="1">
        <v>26</v>
      </c>
      <c r="C38" s="236" t="s">
        <v>63</v>
      </c>
      <c r="D38" s="29"/>
      <c r="E38" s="161"/>
      <c r="F38" s="161"/>
      <c r="G38" s="161"/>
      <c r="H38" s="161"/>
      <c r="I38" s="161"/>
    </row>
    <row r="39" spans="1:10">
      <c r="A39" s="1">
        <v>27</v>
      </c>
      <c r="C39" s="2" t="s">
        <v>73</v>
      </c>
      <c r="D39" s="29"/>
      <c r="E39" s="161"/>
      <c r="F39" s="165">
        <f>G56/G57</f>
        <v>6.2517130530605883E-2</v>
      </c>
      <c r="G39" s="165">
        <f>F39</f>
        <v>6.2517130530605883E-2</v>
      </c>
      <c r="H39" s="165">
        <f>G39</f>
        <v>6.2517130530605883E-2</v>
      </c>
      <c r="I39" s="165">
        <f>H39</f>
        <v>6.2517130530605883E-2</v>
      </c>
      <c r="J39" s="158"/>
    </row>
    <row r="40" spans="1:10">
      <c r="A40" s="1">
        <v>28</v>
      </c>
      <c r="C40" s="2" t="s">
        <v>64</v>
      </c>
      <c r="D40" s="29"/>
      <c r="E40" s="161"/>
      <c r="F40" s="161">
        <f>F39*F31</f>
        <v>10172.691388362644</v>
      </c>
      <c r="G40" s="161">
        <f>G39*G31</f>
        <v>-1441.9072687524817</v>
      </c>
      <c r="H40" s="161">
        <f>H39*H31</f>
        <v>-17981.165818865022</v>
      </c>
      <c r="I40" s="161">
        <f>I39*I31</f>
        <v>0</v>
      </c>
      <c r="J40" s="166">
        <f>SUM(F40:I40)</f>
        <v>-9250.38169925486</v>
      </c>
    </row>
    <row r="41" spans="1:10" ht="13.8" thickBot="1">
      <c r="A41" s="1">
        <v>29</v>
      </c>
      <c r="C41" s="168"/>
      <c r="D41" s="33"/>
      <c r="E41" s="167"/>
      <c r="F41" s="167"/>
      <c r="G41" s="167"/>
      <c r="H41" s="167"/>
      <c r="I41" s="167"/>
      <c r="J41" s="168"/>
    </row>
    <row r="42" spans="1:10" ht="13.8" thickTop="1">
      <c r="A42" s="1">
        <v>30</v>
      </c>
      <c r="C42" s="2"/>
      <c r="D42" s="29"/>
      <c r="E42" s="161"/>
    </row>
    <row r="43" spans="1:10">
      <c r="A43" s="1">
        <v>31</v>
      </c>
      <c r="C43" s="2"/>
      <c r="D43" s="2"/>
      <c r="E43" s="161"/>
      <c r="F43" s="169" t="s">
        <v>33</v>
      </c>
      <c r="G43" s="169" t="s">
        <v>24</v>
      </c>
      <c r="J43" s="169" t="s">
        <v>74</v>
      </c>
    </row>
    <row r="44" spans="1:10">
      <c r="A44" s="1">
        <v>32</v>
      </c>
      <c r="C44" s="2" t="s">
        <v>37</v>
      </c>
      <c r="D44" s="2"/>
      <c r="E44" s="161"/>
      <c r="F44" s="146">
        <v>0</v>
      </c>
      <c r="G44" s="146">
        <v>0</v>
      </c>
      <c r="J44" s="170">
        <f>F44-G44</f>
        <v>0</v>
      </c>
    </row>
    <row r="45" spans="1:10">
      <c r="A45" s="1">
        <v>33</v>
      </c>
      <c r="C45" s="2"/>
      <c r="D45" s="2"/>
      <c r="E45" s="161"/>
      <c r="F45" s="161"/>
    </row>
    <row r="46" spans="1:10">
      <c r="A46" s="1">
        <v>34</v>
      </c>
      <c r="C46" s="3" t="s">
        <v>38</v>
      </c>
      <c r="E46" s="163"/>
      <c r="F46" s="163">
        <f>J36</f>
        <v>-14464.149799096691</v>
      </c>
      <c r="G46" s="163">
        <f>J40</f>
        <v>-9250.38169925486</v>
      </c>
      <c r="J46" s="170">
        <f>F46-G46</f>
        <v>-5213.7680998418309</v>
      </c>
    </row>
    <row r="47" spans="1:10">
      <c r="A47" s="1">
        <v>35</v>
      </c>
    </row>
    <row r="48" spans="1:10" ht="13.8" thickBot="1">
      <c r="A48" s="1">
        <v>36</v>
      </c>
      <c r="C48" s="4" t="s">
        <v>15</v>
      </c>
      <c r="D48" s="4"/>
      <c r="E48" s="234"/>
      <c r="F48" s="171">
        <f>ROUND(F46-F44,2)</f>
        <v>-14464.15</v>
      </c>
      <c r="G48" s="171">
        <f>ROUND(G46-G44,2)</f>
        <v>-9250.3799999999992</v>
      </c>
      <c r="J48" s="171">
        <f>ROUND(J46-J44,2)</f>
        <v>-5213.7700000000004</v>
      </c>
    </row>
    <row r="49" spans="1:10" ht="13.8" thickTop="1">
      <c r="A49" s="1">
        <v>37</v>
      </c>
    </row>
    <row r="50" spans="1:10">
      <c r="A50" s="1">
        <v>38</v>
      </c>
    </row>
    <row r="51" spans="1:10">
      <c r="A51" s="1">
        <v>39</v>
      </c>
      <c r="C51" s="209" t="s">
        <v>71</v>
      </c>
      <c r="G51" s="172" t="s">
        <v>245</v>
      </c>
    </row>
    <row r="52" spans="1:10">
      <c r="A52" s="1">
        <v>40</v>
      </c>
      <c r="C52" s="2" t="s">
        <v>65</v>
      </c>
      <c r="D52" s="29"/>
      <c r="E52" s="161"/>
      <c r="G52" s="161">
        <v>17295449.879999999</v>
      </c>
    </row>
    <row r="53" spans="1:10">
      <c r="A53" s="1">
        <v>41</v>
      </c>
      <c r="C53" s="2" t="s">
        <v>67</v>
      </c>
      <c r="D53" s="29"/>
      <c r="E53" s="161"/>
      <c r="G53" s="161">
        <v>1072147</v>
      </c>
    </row>
    <row r="54" spans="1:10">
      <c r="A54" s="1">
        <v>42</v>
      </c>
      <c r="C54" s="2" t="s">
        <v>66</v>
      </c>
      <c r="D54" s="29"/>
      <c r="E54" s="161"/>
      <c r="G54" s="161">
        <v>-2414656</v>
      </c>
    </row>
    <row r="55" spans="1:10">
      <c r="A55" s="1">
        <v>43</v>
      </c>
      <c r="C55" s="2" t="s">
        <v>72</v>
      </c>
      <c r="D55" s="29"/>
      <c r="E55" s="161"/>
      <c r="G55" s="161">
        <v>1818</v>
      </c>
    </row>
    <row r="56" spans="1:10">
      <c r="A56" s="1">
        <v>44</v>
      </c>
      <c r="C56" s="2" t="s">
        <v>68</v>
      </c>
      <c r="D56" s="29"/>
      <c r="E56" s="161"/>
      <c r="G56" s="161">
        <f>SUM(G52:G55)</f>
        <v>15954758.879999999</v>
      </c>
    </row>
    <row r="57" spans="1:10">
      <c r="A57" s="1">
        <v>45</v>
      </c>
      <c r="C57" s="2" t="s">
        <v>69</v>
      </c>
      <c r="D57" s="29"/>
      <c r="E57" s="161"/>
      <c r="G57" s="160">
        <v>255206193</v>
      </c>
    </row>
    <row r="59" spans="1:10" ht="27" customHeight="1">
      <c r="C59" s="273" t="s">
        <v>176</v>
      </c>
      <c r="D59" s="273"/>
      <c r="E59" s="273"/>
      <c r="F59" s="273"/>
      <c r="G59" s="273"/>
      <c r="H59" s="273"/>
      <c r="I59" s="273"/>
      <c r="J59" s="47"/>
    </row>
  </sheetData>
  <mergeCells count="4">
    <mergeCell ref="A4:J4"/>
    <mergeCell ref="A5:J5"/>
    <mergeCell ref="A7:J7"/>
    <mergeCell ref="C59:I59"/>
  </mergeCells>
  <printOptions horizontalCentered="1"/>
  <pageMargins left="0.25" right="0.25" top="0.75" bottom="0.75" header="0.5" footer="0.25"/>
  <pageSetup scale="75" orientation="portrait" r:id="rId1"/>
  <headerFooter alignWithMargins="0">
    <oddFooter>&amp;RRevised Exhibit JW-2
Page &amp;P of &amp;N</oddFooter>
  </headerFooter>
  <ignoredErrors>
    <ignoredError sqref="C10:J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/>
  <dimension ref="A1:F21"/>
  <sheetViews>
    <sheetView zoomScale="75" zoomScaleNormal="75" workbookViewId="0">
      <selection activeCell="B7" sqref="B7:H7"/>
    </sheetView>
  </sheetViews>
  <sheetFormatPr defaultColWidth="9.109375" defaultRowHeight="13.2"/>
  <cols>
    <col min="1" max="1" width="5.88671875" style="3" customWidth="1"/>
    <col min="2" max="2" width="2.33203125" style="3" customWidth="1"/>
    <col min="3" max="3" width="37.6640625" style="3" bestFit="1" customWidth="1"/>
    <col min="4" max="4" width="9.44140625" style="3" customWidth="1"/>
    <col min="5" max="5" width="2.44140625" style="3" customWidth="1"/>
    <col min="6" max="6" width="15.6640625" style="3" customWidth="1"/>
    <col min="7" max="16384" width="9.109375" style="3"/>
  </cols>
  <sheetData>
    <row r="1" spans="1:6">
      <c r="D1" s="173"/>
      <c r="F1" s="173" t="s">
        <v>123</v>
      </c>
    </row>
    <row r="2" spans="1:6" ht="20.25" customHeight="1">
      <c r="D2" s="173"/>
      <c r="F2" s="173"/>
    </row>
    <row r="3" spans="1:6">
      <c r="A3" s="272" t="str">
        <f>RevReq!A1</f>
        <v>LICKING VALLEY R.E.C.C.</v>
      </c>
      <c r="B3" s="272"/>
      <c r="C3" s="272"/>
      <c r="D3" s="272"/>
      <c r="E3" s="272"/>
      <c r="F3" s="272"/>
    </row>
    <row r="4" spans="1:6">
      <c r="A4" s="272" t="str">
        <f>RevReq!A3</f>
        <v>For the 12 Months Ended December 31, 2019</v>
      </c>
      <c r="B4" s="272"/>
      <c r="C4" s="272"/>
      <c r="D4" s="272"/>
      <c r="E4" s="272"/>
      <c r="F4" s="272"/>
    </row>
    <row r="6" spans="1:6" s="174" customFormat="1" ht="15" customHeight="1">
      <c r="A6" s="269" t="s">
        <v>32</v>
      </c>
      <c r="B6" s="269"/>
      <c r="C6" s="269"/>
      <c r="D6" s="269"/>
      <c r="E6" s="269"/>
      <c r="F6" s="269"/>
    </row>
    <row r="8" spans="1:6">
      <c r="A8" s="1" t="s">
        <v>0</v>
      </c>
      <c r="C8" s="1" t="s">
        <v>41</v>
      </c>
      <c r="D8" s="1" t="s">
        <v>42</v>
      </c>
      <c r="E8" s="1"/>
      <c r="F8" s="1" t="s">
        <v>24</v>
      </c>
    </row>
    <row r="9" spans="1:6">
      <c r="A9" s="175" t="s">
        <v>21</v>
      </c>
      <c r="C9" s="176" t="s">
        <v>18</v>
      </c>
      <c r="D9" s="176" t="s">
        <v>20</v>
      </c>
      <c r="E9" s="176"/>
      <c r="F9" s="176" t="s">
        <v>19</v>
      </c>
    </row>
    <row r="10" spans="1:6">
      <c r="A10" s="1"/>
    </row>
    <row r="11" spans="1:6">
      <c r="A11" s="1"/>
    </row>
    <row r="12" spans="1:6">
      <c r="A12" s="1">
        <v>1</v>
      </c>
      <c r="C12" s="177" t="s">
        <v>49</v>
      </c>
      <c r="D12" s="178">
        <v>424</v>
      </c>
      <c r="E12" s="1"/>
      <c r="F12" s="146">
        <v>989382</v>
      </c>
    </row>
    <row r="13" spans="1:6">
      <c r="A13" s="1">
        <v>2</v>
      </c>
      <c r="C13" s="2"/>
      <c r="D13" s="2"/>
      <c r="E13" s="2"/>
      <c r="F13" s="146"/>
    </row>
    <row r="14" spans="1:6">
      <c r="A14" s="1">
        <v>3</v>
      </c>
      <c r="C14" s="2" t="s">
        <v>37</v>
      </c>
      <c r="D14" s="2"/>
      <c r="E14" s="2"/>
      <c r="F14" s="146">
        <f>F12</f>
        <v>989382</v>
      </c>
    </row>
    <row r="15" spans="1:6">
      <c r="A15" s="1">
        <v>4</v>
      </c>
      <c r="C15" s="2"/>
      <c r="D15" s="2"/>
      <c r="E15" s="2"/>
    </row>
    <row r="16" spans="1:6">
      <c r="A16" s="1">
        <v>5</v>
      </c>
      <c r="C16" s="3" t="s">
        <v>38</v>
      </c>
      <c r="F16" s="163">
        <v>0</v>
      </c>
    </row>
    <row r="17" spans="1:6">
      <c r="A17" s="1">
        <v>6</v>
      </c>
    </row>
    <row r="18" spans="1:6" ht="13.8" thickBot="1">
      <c r="A18" s="1">
        <v>7</v>
      </c>
      <c r="C18" s="4" t="s">
        <v>15</v>
      </c>
      <c r="D18" s="4"/>
      <c r="E18" s="4"/>
      <c r="F18" s="171">
        <f>ROUND(F16-F14,2)</f>
        <v>-989382</v>
      </c>
    </row>
    <row r="19" spans="1:6" ht="13.8" thickTop="1"/>
    <row r="21" spans="1:6" ht="30" customHeight="1">
      <c r="C21" s="273" t="s">
        <v>48</v>
      </c>
      <c r="D21" s="273"/>
      <c r="E21" s="273"/>
      <c r="F21" s="273"/>
    </row>
  </sheetData>
  <mergeCells count="4">
    <mergeCell ref="A3:F3"/>
    <mergeCell ref="A4:F4"/>
    <mergeCell ref="A6:F6"/>
    <mergeCell ref="C21:F21"/>
  </mergeCells>
  <printOptions horizontalCentered="1"/>
  <pageMargins left="1" right="0.75" top="0.75" bottom="0.5" header="0.5" footer="0.5"/>
  <pageSetup orientation="portrait" r:id="rId1"/>
  <headerFooter alignWithMargins="0">
    <oddFooter>&amp;RRevised Exhibit JW-2
Page &amp;P of &amp;N</oddFooter>
  </headerFooter>
  <ignoredErrors>
    <ignoredError sqref="C9:D9 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23</vt:i4>
      </vt:variant>
    </vt:vector>
  </HeadingPairs>
  <TitlesOfParts>
    <vt:vector size="41" baseType="lpstr">
      <vt:lpstr>RevReq</vt:lpstr>
      <vt:lpstr>Adj List</vt:lpstr>
      <vt:lpstr>Adj BS</vt:lpstr>
      <vt:lpstr>Adj IS</vt:lpstr>
      <vt:lpstr>1.01 FAC</vt:lpstr>
      <vt:lpstr>1.02 ES</vt:lpstr>
      <vt:lpstr>1.03 RC</vt:lpstr>
      <vt:lpstr>1.04 CUST</vt:lpstr>
      <vt:lpstr>1.05 GTCC</vt:lpstr>
      <vt:lpstr>1.06 Health</vt:lpstr>
      <vt:lpstr>1.07 Depr</vt:lpstr>
      <vt:lpstr>1.08 AdsDonat</vt:lpstr>
      <vt:lpstr>1.09 Dir</vt:lpstr>
      <vt:lpstr>1.10 Life Insur</vt:lpstr>
      <vt:lpstr>PSC1-12 Int</vt:lpstr>
      <vt:lpstr>PSC1-14-Wages</vt:lpstr>
      <vt:lpstr>PSC1-16-PayrTx</vt:lpstr>
      <vt:lpstr>PSC1-18-Prof</vt:lpstr>
      <vt:lpstr>'1.01 FAC'!Print_Area</vt:lpstr>
      <vt:lpstr>'1.02 ES'!Print_Area</vt:lpstr>
      <vt:lpstr>'1.03 RC'!Print_Area</vt:lpstr>
      <vt:lpstr>'1.04 CUST'!Print_Area</vt:lpstr>
      <vt:lpstr>'1.05 GTCC'!Print_Area</vt:lpstr>
      <vt:lpstr>'1.06 Health'!Print_Area</vt:lpstr>
      <vt:lpstr>'1.07 Depr'!Print_Area</vt:lpstr>
      <vt:lpstr>'1.08 AdsDonat'!Print_Area</vt:lpstr>
      <vt:lpstr>'1.09 Dir'!Print_Area</vt:lpstr>
      <vt:lpstr>'1.10 Life Insur'!Print_Area</vt:lpstr>
      <vt:lpstr>'Adj BS'!Print_Area</vt:lpstr>
      <vt:lpstr>'Adj IS'!Print_Area</vt:lpstr>
      <vt:lpstr>'Adj List'!Print_Area</vt:lpstr>
      <vt:lpstr>'PSC1-12 Int'!Print_Area</vt:lpstr>
      <vt:lpstr>'PSC1-14-Wages'!Print_Area</vt:lpstr>
      <vt:lpstr>'PSC1-16-PayrTx'!Print_Area</vt:lpstr>
      <vt:lpstr>'PSC1-18-Prof'!Print_Area</vt:lpstr>
      <vt:lpstr>RevReq!Print_Area</vt:lpstr>
      <vt:lpstr>'1.04 CUST'!Print_Titles</vt:lpstr>
      <vt:lpstr>'1.08 AdsDonat'!Print_Titles</vt:lpstr>
      <vt:lpstr>'1.10 Life Insur'!Print_Titles</vt:lpstr>
      <vt:lpstr>'PSC1-14-Wages'!Print_Titles</vt:lpstr>
      <vt:lpstr>'PSC1-16-PayrTx'!Print_Titles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2020-12-09T17:07:09Z</cp:lastPrinted>
  <dcterms:created xsi:type="dcterms:W3CDTF">2012-11-02T18:45:21Z</dcterms:created>
  <dcterms:modified xsi:type="dcterms:W3CDTF">2021-03-18T14:53:09Z</dcterms:modified>
</cp:coreProperties>
</file>