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2001\PSC Filing\"/>
    </mc:Choice>
  </mc:AlternateContent>
  <xr:revisionPtr revIDLastSave="0" documentId="8_{4DEA8320-D4A2-4021-A0CA-9E9564887F85}" xr6:coauthVersionLast="45" xr6:coauthVersionMax="45" xr10:uidLastSave="{00000000-0000-0000-0000-000000000000}"/>
  <bookViews>
    <workbookView xWindow="-120" yWindow="-120" windowWidth="24240" windowHeight="13140" xr2:uid="{BCCA538E-F2FB-4ED1-83B8-1739D279757B}"/>
  </bookViews>
  <sheets>
    <sheet name="2017-2019" sheetId="1" r:id="rId1"/>
    <sheet name="Projected 20-23" sheetId="3" r:id="rId2"/>
    <sheet name="debt servic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3" l="1"/>
  <c r="B6" i="3" s="1"/>
  <c r="B33" i="3"/>
  <c r="F9" i="3"/>
  <c r="D17" i="2"/>
  <c r="D3" i="2"/>
  <c r="E9" i="3"/>
  <c r="C27" i="3"/>
  <c r="B27" i="3"/>
  <c r="B34" i="3" l="1"/>
  <c r="D9" i="3"/>
  <c r="C9" i="3"/>
  <c r="C6" i="3" s="1"/>
  <c r="F4" i="2"/>
  <c r="F6" i="2"/>
  <c r="B35" i="3" l="1"/>
  <c r="D6" i="3"/>
  <c r="D7" i="3" s="1"/>
  <c r="D10" i="3" s="1"/>
  <c r="B7" i="3"/>
  <c r="B10" i="3" s="1"/>
  <c r="C7" i="3"/>
  <c r="C10" i="3" s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44" i="2" s="1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B36" i="3" l="1"/>
  <c r="F6" i="3" s="1"/>
  <c r="F7" i="3" s="1"/>
  <c r="F10" i="3" s="1"/>
  <c r="E6" i="3"/>
  <c r="E7" i="3" s="1"/>
  <c r="E10" i="3" s="1"/>
  <c r="E44" i="2"/>
  <c r="C7" i="1"/>
  <c r="C10" i="1" s="1"/>
  <c r="B7" i="1"/>
  <c r="B10" i="1" s="1"/>
  <c r="D7" i="1"/>
  <c r="D10" i="1" s="1"/>
  <c r="D43" i="2" l="1"/>
  <c r="G43" i="2" s="1"/>
  <c r="H43" i="2" s="1"/>
  <c r="D42" i="2"/>
  <c r="G42" i="2" s="1"/>
  <c r="H42" i="2" s="1"/>
  <c r="D41" i="2"/>
  <c r="G41" i="2" s="1"/>
  <c r="D40" i="2"/>
  <c r="G40" i="2" s="1"/>
  <c r="D39" i="2"/>
  <c r="G39" i="2" s="1"/>
  <c r="H39" i="2" s="1"/>
  <c r="D38" i="2"/>
  <c r="G38" i="2" s="1"/>
  <c r="H38" i="2" s="1"/>
  <c r="D37" i="2"/>
  <c r="G37" i="2" s="1"/>
  <c r="D36" i="2"/>
  <c r="G36" i="2" s="1"/>
  <c r="D35" i="2"/>
  <c r="G35" i="2" s="1"/>
  <c r="H35" i="2" s="1"/>
  <c r="D34" i="2"/>
  <c r="G34" i="2" s="1"/>
  <c r="H34" i="2" s="1"/>
  <c r="D33" i="2"/>
  <c r="G33" i="2" s="1"/>
  <c r="D32" i="2"/>
  <c r="G32" i="2" s="1"/>
  <c r="D31" i="2"/>
  <c r="G31" i="2" s="1"/>
  <c r="D30" i="2"/>
  <c r="G30" i="2" s="1"/>
  <c r="H30" i="2" s="1"/>
  <c r="D29" i="2"/>
  <c r="G29" i="2" s="1"/>
  <c r="D28" i="2"/>
  <c r="G28" i="2" s="1"/>
  <c r="D27" i="2"/>
  <c r="G27" i="2" s="1"/>
  <c r="D26" i="2"/>
  <c r="G26" i="2" s="1"/>
  <c r="H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G17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G3" i="2"/>
  <c r="D4" i="2"/>
  <c r="D5" i="2"/>
  <c r="G5" i="2" s="1"/>
  <c r="G4" i="2" l="1"/>
  <c r="H3" i="2" s="1"/>
  <c r="B12" i="1" s="1"/>
  <c r="B14" i="1" s="1"/>
  <c r="D44" i="2"/>
  <c r="H31" i="2"/>
  <c r="H6" i="2"/>
  <c r="B12" i="3" s="1"/>
  <c r="B14" i="3" s="1"/>
  <c r="H10" i="2"/>
  <c r="F12" i="3" s="1"/>
  <c r="F14" i="3" s="1"/>
  <c r="H14" i="2"/>
  <c r="H18" i="2"/>
  <c r="H11" i="2"/>
  <c r="H15" i="2"/>
  <c r="H19" i="2"/>
  <c r="H22" i="2"/>
  <c r="H23" i="2"/>
  <c r="H27" i="2"/>
  <c r="H8" i="2"/>
  <c r="D12" i="3" s="1"/>
  <c r="D14" i="3" s="1"/>
  <c r="H12" i="2"/>
  <c r="H16" i="2"/>
  <c r="H20" i="2"/>
  <c r="H24" i="2"/>
  <c r="H28" i="2"/>
  <c r="H32" i="2"/>
  <c r="H36" i="2"/>
  <c r="H40" i="2"/>
  <c r="H5" i="2"/>
  <c r="D12" i="1" s="1"/>
  <c r="D14" i="1" s="1"/>
  <c r="H9" i="2"/>
  <c r="E12" i="3" s="1"/>
  <c r="E14" i="3" s="1"/>
  <c r="H13" i="2"/>
  <c r="H17" i="2"/>
  <c r="H21" i="2"/>
  <c r="H25" i="2"/>
  <c r="H29" i="2"/>
  <c r="H33" i="2"/>
  <c r="H37" i="2"/>
  <c r="H41" i="2"/>
  <c r="H7" i="2"/>
  <c r="C12" i="3" s="1"/>
  <c r="C14" i="3" s="1"/>
  <c r="H4" i="2" l="1"/>
  <c r="C12" i="1" s="1"/>
  <c r="C14" i="1" s="1"/>
</calcChain>
</file>

<file path=xl/sharedStrings.xml><?xml version="1.0" encoding="utf-8"?>
<sst xmlns="http://schemas.openxmlformats.org/spreadsheetml/2006/main" count="36" uniqueCount="27">
  <si>
    <t>Western Pulaski County Water District</t>
  </si>
  <si>
    <t>Debt Service Coverage</t>
  </si>
  <si>
    <t>principal</t>
  </si>
  <si>
    <t xml:space="preserve"> interest</t>
  </si>
  <si>
    <t>Operating Revenues</t>
  </si>
  <si>
    <t xml:space="preserve">Operating Expenses </t>
  </si>
  <si>
    <t>Operating Income (Loss)</t>
  </si>
  <si>
    <t>Average Annual Debt Service</t>
  </si>
  <si>
    <t>Debt Service Coverage Ratio</t>
  </si>
  <si>
    <t>Add back: Depreciation Expense</t>
  </si>
  <si>
    <t>annual debt service</t>
  </si>
  <si>
    <t>KIA $3,304,000</t>
  </si>
  <si>
    <t>KIA $1,146,000</t>
  </si>
  <si>
    <t>Add back: Actuarial Pension/OPEB Expense</t>
  </si>
  <si>
    <t xml:space="preserve">Rural Development requires debt service coverage ratio of 120% </t>
  </si>
  <si>
    <t>existing</t>
  </si>
  <si>
    <t>Total Debt Service</t>
  </si>
  <si>
    <t>Increase in 2020 depreciation due to full year depreciation on plant put  in service in Dec 2019</t>
  </si>
  <si>
    <t>914 Transmission project $2,166,335 in service in early 2021, estimated 3/4 of a year depreciation</t>
  </si>
  <si>
    <t>Fishing Creek water line replacement $1,865,000 in service in mid 2021 estimated 1/2 year depreciation</t>
  </si>
  <si>
    <t>project cost</t>
  </si>
  <si>
    <t>annual depreciation</t>
  </si>
  <si>
    <t>depreciable life per PSC guidelines</t>
  </si>
  <si>
    <t>Add back: Actuarial Pension &amp; OPEB expense</t>
  </si>
  <si>
    <t>Not yet finalized</t>
  </si>
  <si>
    <t>operating expenses less depr and actuarial exp</t>
  </si>
  <si>
    <t>2% inflationary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</si>
</sst>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* #,##0.0_);_(* \(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u val="singleAccounting"/>
      <sz val="10"/>
      <name val="Arial"/>
      <family val="2"/>
    </font>
    <font>
      <b/>
      <u/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0" fontId="17" fillId="0" borderId="0"/>
    <xf numFmtId="165" fontId="17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23" fillId="0" borderId="0"/>
  </cellStyleXfs>
  <cellXfs count="27">
    <xf numFmtId="0" fontId="0" fillId="0" borderId="0" xfId="0"/>
    <xf numFmtId="0" fontId="16" fillId="0" borderId="0" xfId="0" applyFont="1" applyAlignment="1">
      <alignment horizontal="center"/>
    </xf>
    <xf numFmtId="0" fontId="21" fillId="0" borderId="0" xfId="56" applyFont="1" applyAlignment="1">
      <alignment horizontal="center"/>
    </xf>
    <xf numFmtId="43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164" fontId="22" fillId="0" borderId="0" xfId="1" applyNumberFormat="1" applyFont="1"/>
    <xf numFmtId="9" fontId="0" fillId="0" borderId="0" xfId="2" applyFont="1"/>
    <xf numFmtId="43" fontId="21" fillId="0" borderId="0" xfId="36" applyFont="1" applyAlignment="1">
      <alignment horizontal="center"/>
    </xf>
    <xf numFmtId="43" fontId="0" fillId="0" borderId="0" xfId="1" applyFont="1"/>
    <xf numFmtId="43" fontId="17" fillId="0" borderId="0" xfId="36" applyFont="1"/>
    <xf numFmtId="43" fontId="20" fillId="0" borderId="0" xfId="56" applyNumberFormat="1" applyFont="1"/>
    <xf numFmtId="43" fontId="17" fillId="0" borderId="0" xfId="56" applyNumberFormat="1" applyFont="1"/>
    <xf numFmtId="43" fontId="20" fillId="0" borderId="0" xfId="36" applyFont="1"/>
    <xf numFmtId="0" fontId="24" fillId="0" borderId="0" xfId="0" applyFont="1"/>
    <xf numFmtId="0" fontId="25" fillId="0" borderId="0" xfId="0" applyFont="1" applyAlignment="1">
      <alignment horizontal="center"/>
    </xf>
    <xf numFmtId="43" fontId="24" fillId="0" borderId="0" xfId="0" applyNumberFormat="1" applyFont="1"/>
    <xf numFmtId="43" fontId="24" fillId="0" borderId="0" xfId="1" applyFont="1"/>
    <xf numFmtId="164" fontId="24" fillId="0" borderId="0" xfId="0" applyNumberFormat="1" applyFont="1"/>
    <xf numFmtId="164" fontId="24" fillId="0" borderId="0" xfId="1" applyNumberFormat="1" applyFont="1"/>
    <xf numFmtId="43" fontId="26" fillId="0" borderId="0" xfId="0" applyNumberFormat="1" applyFont="1"/>
    <xf numFmtId="43" fontId="26" fillId="0" borderId="0" xfId="1" applyFont="1"/>
    <xf numFmtId="0" fontId="27" fillId="0" borderId="0" xfId="0" applyFont="1" applyAlignment="1">
      <alignment horizontal="center"/>
    </xf>
    <xf numFmtId="166" fontId="0" fillId="0" borderId="0" xfId="1" applyNumberFormat="1" applyFont="1"/>
    <xf numFmtId="1" fontId="25" fillId="0" borderId="0" xfId="0" applyNumberFormat="1" applyFont="1"/>
    <xf numFmtId="1" fontId="28" fillId="0" borderId="0" xfId="56" applyNumberFormat="1" applyFont="1"/>
    <xf numFmtId="0" fontId="25" fillId="0" borderId="10" xfId="0" applyFont="1" applyBorder="1" applyAlignment="1">
      <alignment horizontal="center"/>
    </xf>
  </cellXfs>
  <cellStyles count="74">
    <cellStyle name="20% - Accent1" xfId="18" builtinId="30" customBuiltin="1"/>
    <cellStyle name="20% - Accent1 2" xfId="57" xr:uid="{C096C422-3FD0-4489-B509-6808E5D97DE5}"/>
    <cellStyle name="20% - Accent2" xfId="21" builtinId="34" customBuiltin="1"/>
    <cellStyle name="20% - Accent2 2" xfId="59" xr:uid="{B8692F8F-CA9C-4E75-AC52-554B667319FE}"/>
    <cellStyle name="20% - Accent3" xfId="24" builtinId="38" customBuiltin="1"/>
    <cellStyle name="20% - Accent3 2" xfId="61" xr:uid="{3155829F-98A9-48C0-9870-423A5DDAE345}"/>
    <cellStyle name="20% - Accent4" xfId="27" builtinId="42" customBuiltin="1"/>
    <cellStyle name="20% - Accent4 2" xfId="63" xr:uid="{1C3AA532-380D-429B-B16F-DFC2BE682A47}"/>
    <cellStyle name="20% - Accent5" xfId="30" builtinId="46" customBuiltin="1"/>
    <cellStyle name="20% - Accent5 2" xfId="65" xr:uid="{0D21916E-8F10-40FE-889B-CD1E2E14EF15}"/>
    <cellStyle name="20% - Accent6" xfId="33" builtinId="50" customBuiltin="1"/>
    <cellStyle name="20% - Accent6 2" xfId="67" xr:uid="{F65EC9BE-5B2C-45C7-9216-6E47B2AE4DB7}"/>
    <cellStyle name="40% - Accent1" xfId="19" builtinId="31" customBuiltin="1"/>
    <cellStyle name="40% - Accent1 2" xfId="58" xr:uid="{BC604269-9609-4167-B34F-023DFEE2DD4F}"/>
    <cellStyle name="40% - Accent2" xfId="22" builtinId="35" customBuiltin="1"/>
    <cellStyle name="40% - Accent2 2" xfId="60" xr:uid="{E020A9AB-8A42-49E9-83D2-65F6D0645636}"/>
    <cellStyle name="40% - Accent3" xfId="25" builtinId="39" customBuiltin="1"/>
    <cellStyle name="40% - Accent3 2" xfId="62" xr:uid="{7C1FD8D7-F0DF-49CB-9656-14766ED63757}"/>
    <cellStyle name="40% - Accent4" xfId="28" builtinId="43" customBuiltin="1"/>
    <cellStyle name="40% - Accent4 2" xfId="64" xr:uid="{D51343D7-3AC7-4E23-940D-4C912266A3A4}"/>
    <cellStyle name="40% - Accent5" xfId="31" builtinId="47" customBuiltin="1"/>
    <cellStyle name="40% - Accent5 2" xfId="66" xr:uid="{38B58F52-7927-4276-AD6F-2D73D4A7D93F}"/>
    <cellStyle name="40% - Accent6" xfId="34" builtinId="51" customBuiltin="1"/>
    <cellStyle name="40% - Accent6 2" xfId="68" xr:uid="{FF0ED047-DCE0-4D25-8E81-C6D7EA236CEC}"/>
    <cellStyle name="60% - Accent1 2" xfId="40" xr:uid="{3092B2C4-B655-410F-9E63-0A1F14B7505D}"/>
    <cellStyle name="60% - Accent2 2" xfId="41" xr:uid="{598EC404-A995-42BD-86AF-F327D3204875}"/>
    <cellStyle name="60% - Accent3 2" xfId="42" xr:uid="{106E00D3-27F2-42FC-A7CB-94BB1966CADD}"/>
    <cellStyle name="60% - Accent4 2" xfId="43" xr:uid="{6B983771-2D1F-438A-AC0D-8B4CCFD0CB54}"/>
    <cellStyle name="60% - Accent5 2" xfId="44" xr:uid="{8ACB6E18-2105-48AA-A563-0E12B213A4DE}"/>
    <cellStyle name="60% - Accent6 2" xfId="45" xr:uid="{566ACD13-62C9-4303-A34A-D761BE11B58A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36" xr:uid="{383DD822-2C24-45E3-8A90-3BE4FB699232}"/>
    <cellStyle name="Comma 2 2" xfId="55" xr:uid="{FCCFA3B9-07E5-44D7-8487-687594D7BB16}"/>
    <cellStyle name="Currency 2" xfId="54" xr:uid="{074AC785-0D6A-48DF-9A62-152E34F00551}"/>
    <cellStyle name="Currency 3" xfId="52" xr:uid="{D1382D58-3E33-4C6F-8B6B-5F2C7F5DE282}"/>
    <cellStyle name="Currency 3 2" xfId="72" xr:uid="{43AE1D06-394B-4218-A9D6-E4D4531427A0}"/>
    <cellStyle name="Currency 4" xfId="37" xr:uid="{B80554D1-666D-4056-AC87-DC397A0A2CC6}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9" xr:uid="{CA1D5F18-30F1-4214-8E65-D04F3662BC80}"/>
    <cellStyle name="Normal" xfId="0" builtinId="0"/>
    <cellStyle name="Normal 2" xfId="46" xr:uid="{B4CE845E-CBA4-4A70-94BE-9233B7150A47}"/>
    <cellStyle name="Normal 2 2" xfId="56" xr:uid="{506DE6C7-EA23-4FB6-94CA-D5AD90FCCFA8}"/>
    <cellStyle name="Normal 2 3" xfId="69" xr:uid="{2DF28931-3684-4085-B6DA-6647A15109E3}"/>
    <cellStyle name="Normal 3" xfId="49" xr:uid="{FACC3810-D88F-474B-80EE-7FAE328207A5}"/>
    <cellStyle name="Normal 3 3" xfId="53" xr:uid="{1BF8E338-71DD-47F2-9798-78D8103E27A0}"/>
    <cellStyle name="Normal 4" xfId="35" xr:uid="{36409731-87E3-438B-9A6A-5D52BC5B880A}"/>
    <cellStyle name="Normal 5" xfId="50" xr:uid="{6DC92FC5-EC01-491E-B772-F4F2630900FC}"/>
    <cellStyle name="Normal 6" xfId="51" xr:uid="{2992547A-581A-4923-A7B5-0D12E117696C}"/>
    <cellStyle name="Normal 6 2" xfId="71" xr:uid="{D5391B8F-2563-4B04-9FFA-DDC2889EAE95}"/>
    <cellStyle name="Normal 7" xfId="73" xr:uid="{F93523BD-430C-47C5-8707-E71B906CA1E6}"/>
    <cellStyle name="Note 2" xfId="47" xr:uid="{50A7496B-7396-41C1-B934-323768DEBD93}"/>
    <cellStyle name="Note 2 2" xfId="70" xr:uid="{340324F6-BDBC-414D-B994-7330136D4C2C}"/>
    <cellStyle name="Output" xfId="10" builtinId="21" customBuiltin="1"/>
    <cellStyle name="Percent" xfId="2" builtinId="5"/>
    <cellStyle name="Percent 2" xfId="48" xr:uid="{1D3989A0-7859-4778-8EAB-E070D6B64104}"/>
    <cellStyle name="Title 2" xfId="38" xr:uid="{826BA8DB-1638-43C7-AF84-16398E3B49CF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2C5E7-FEFE-4745-B72E-631167C14EF3}">
  <dimension ref="A1:T18"/>
  <sheetViews>
    <sheetView tabSelected="1" workbookViewId="0">
      <selection activeCell="E6" sqref="E6"/>
    </sheetView>
  </sheetViews>
  <sheetFormatPr defaultRowHeight="15" x14ac:dyDescent="0.25"/>
  <cols>
    <col min="1" max="1" width="38.5703125" customWidth="1"/>
    <col min="2" max="4" width="12.7109375" customWidth="1"/>
    <col min="5" max="5" width="10" bestFit="1" customWidth="1"/>
  </cols>
  <sheetData>
    <row r="1" spans="1:20" x14ac:dyDescent="0.25">
      <c r="A1" t="s">
        <v>0</v>
      </c>
    </row>
    <row r="2" spans="1:20" x14ac:dyDescent="0.25">
      <c r="A2" t="s">
        <v>1</v>
      </c>
    </row>
    <row r="4" spans="1:20" x14ac:dyDescent="0.25">
      <c r="B4" s="1">
        <v>2017</v>
      </c>
      <c r="C4" s="1">
        <v>2018</v>
      </c>
      <c r="D4" s="1">
        <v>2019</v>
      </c>
    </row>
    <row r="5" spans="1:20" x14ac:dyDescent="0.25">
      <c r="A5" t="s">
        <v>4</v>
      </c>
      <c r="B5" s="5">
        <v>2921392</v>
      </c>
      <c r="C5" s="5">
        <v>2999184</v>
      </c>
      <c r="D5" s="5">
        <v>3385440</v>
      </c>
      <c r="T5">
        <v>8</v>
      </c>
    </row>
    <row r="6" spans="1:20" ht="17.25" x14ac:dyDescent="0.4">
      <c r="A6" t="s">
        <v>5</v>
      </c>
      <c r="B6" s="6">
        <v>2627129</v>
      </c>
      <c r="C6" s="6">
        <v>2995583</v>
      </c>
      <c r="D6" s="6">
        <v>2918177</v>
      </c>
      <c r="E6" s="4"/>
    </row>
    <row r="7" spans="1:20" x14ac:dyDescent="0.25">
      <c r="A7" t="s">
        <v>6</v>
      </c>
      <c r="B7" s="5">
        <f>+B5-B6</f>
        <v>294263</v>
      </c>
      <c r="C7" s="5">
        <f t="shared" ref="C7" si="0">+C5-C6</f>
        <v>3601</v>
      </c>
      <c r="D7" s="5">
        <f>+D5-D6</f>
        <v>467263</v>
      </c>
    </row>
    <row r="8" spans="1:20" x14ac:dyDescent="0.25">
      <c r="A8" t="s">
        <v>13</v>
      </c>
      <c r="B8" s="5">
        <v>26872</v>
      </c>
      <c r="C8" s="5">
        <v>226436</v>
      </c>
      <c r="D8" s="5">
        <v>74307</v>
      </c>
    </row>
    <row r="9" spans="1:20" ht="17.25" x14ac:dyDescent="0.4">
      <c r="A9" t="s">
        <v>9</v>
      </c>
      <c r="B9" s="6">
        <v>440250</v>
      </c>
      <c r="C9" s="6">
        <v>409689</v>
      </c>
      <c r="D9" s="6">
        <v>446529</v>
      </c>
    </row>
    <row r="10" spans="1:20" x14ac:dyDescent="0.25">
      <c r="B10" s="5">
        <f>+B7+B9+B8</f>
        <v>761385</v>
      </c>
      <c r="C10" s="5">
        <f t="shared" ref="C10" si="1">+C7+C9+C8</f>
        <v>639726</v>
      </c>
      <c r="D10" s="5">
        <f>+D7+D9+D8</f>
        <v>988099</v>
      </c>
    </row>
    <row r="11" spans="1:20" x14ac:dyDescent="0.25">
      <c r="B11" s="5"/>
      <c r="C11" s="5"/>
      <c r="D11" s="5"/>
    </row>
    <row r="12" spans="1:20" x14ac:dyDescent="0.25">
      <c r="A12" t="s">
        <v>7</v>
      </c>
      <c r="B12" s="5">
        <f>+'debt service'!H3</f>
        <v>397779.33658536588</v>
      </c>
      <c r="C12" s="5">
        <f>+'debt service'!H4</f>
        <v>399078.44500000001</v>
      </c>
      <c r="D12" s="5">
        <f>+'debt service'!H5</f>
        <v>400061.84615384613</v>
      </c>
    </row>
    <row r="14" spans="1:20" x14ac:dyDescent="0.25">
      <c r="A14" t="s">
        <v>8</v>
      </c>
      <c r="B14" s="7">
        <f>+B10/B12</f>
        <v>1.9140888678027199</v>
      </c>
      <c r="C14" s="7">
        <f>+C10/C12</f>
        <v>1.6030081504401972</v>
      </c>
      <c r="D14" s="7">
        <f>+D10/D12</f>
        <v>2.4698656207770955</v>
      </c>
    </row>
    <row r="18" spans="1:1" x14ac:dyDescent="0.25">
      <c r="A18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FC26-5AC4-4637-A116-0563754861E8}">
  <dimension ref="A1:N36"/>
  <sheetViews>
    <sheetView topLeftCell="A3" workbookViewId="0">
      <selection activeCell="D9" sqref="D9"/>
    </sheetView>
  </sheetViews>
  <sheetFormatPr defaultRowHeight="15" x14ac:dyDescent="0.25"/>
  <cols>
    <col min="1" max="1" width="40.7109375" customWidth="1"/>
    <col min="2" max="4" width="12.7109375" customWidth="1"/>
    <col min="5" max="5" width="12.5703125" bestFit="1" customWidth="1"/>
    <col min="6" max="7" width="12.5703125" style="9" bestFit="1" customWidth="1"/>
    <col min="8" max="11" width="12.5703125" bestFit="1" customWidth="1"/>
    <col min="14" max="14" width="12.5703125" style="9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B4" s="1">
        <v>2020</v>
      </c>
      <c r="C4" s="1">
        <v>2021</v>
      </c>
      <c r="D4" s="1">
        <v>2022</v>
      </c>
      <c r="E4" s="1">
        <v>2023</v>
      </c>
      <c r="F4" s="1">
        <v>2024</v>
      </c>
    </row>
    <row r="5" spans="1:6" x14ac:dyDescent="0.25">
      <c r="A5" t="s">
        <v>4</v>
      </c>
      <c r="B5" s="5">
        <v>3385440</v>
      </c>
      <c r="C5" s="5">
        <v>3385440</v>
      </c>
      <c r="D5" s="5">
        <v>3385440</v>
      </c>
      <c r="E5" s="5">
        <v>3385440</v>
      </c>
      <c r="F5" s="5">
        <v>3385440</v>
      </c>
    </row>
    <row r="6" spans="1:6" ht="17.25" x14ac:dyDescent="0.4">
      <c r="A6" t="s">
        <v>5</v>
      </c>
      <c r="B6" s="6">
        <f>+B32+B8+B9</f>
        <v>3020287.82</v>
      </c>
      <c r="C6" s="6">
        <f>+B33+C8+C9</f>
        <v>3110193.5763999997</v>
      </c>
      <c r="D6" s="6">
        <f>+B34+D8+D9</f>
        <v>3184077.4479279998</v>
      </c>
      <c r="E6" s="6">
        <f>+B35+E8+E9</f>
        <v>3234958.9968865598</v>
      </c>
      <c r="F6" s="6">
        <f>+B36+F8+F9</f>
        <v>3286858.1768242908</v>
      </c>
    </row>
    <row r="7" spans="1:6" x14ac:dyDescent="0.25">
      <c r="A7" t="s">
        <v>6</v>
      </c>
      <c r="B7" s="5">
        <f>+B5-B6</f>
        <v>365152.18000000017</v>
      </c>
      <c r="C7" s="5">
        <f t="shared" ref="C7:D7" si="0">+C5-C6</f>
        <v>275246.42360000033</v>
      </c>
      <c r="D7" s="5">
        <f t="shared" si="0"/>
        <v>201362.55207200022</v>
      </c>
      <c r="E7" s="5">
        <f t="shared" ref="E7:F7" si="1">+E5-E6</f>
        <v>150481.00311344024</v>
      </c>
      <c r="F7" s="5">
        <f t="shared" si="1"/>
        <v>98581.823175709229</v>
      </c>
    </row>
    <row r="8" spans="1:6" x14ac:dyDescent="0.25">
      <c r="A8" t="s">
        <v>23</v>
      </c>
      <c r="B8" s="5">
        <v>75000</v>
      </c>
      <c r="C8" s="5">
        <v>75000</v>
      </c>
      <c r="D8" s="5">
        <v>75000</v>
      </c>
      <c r="E8" s="5">
        <v>75000</v>
      </c>
      <c r="F8" s="5">
        <v>75000</v>
      </c>
    </row>
    <row r="9" spans="1:6" ht="17.25" x14ac:dyDescent="0.4">
      <c r="A9" t="s">
        <v>9</v>
      </c>
      <c r="B9" s="6">
        <v>500000</v>
      </c>
      <c r="C9" s="6">
        <f>500000+26000+15000</f>
        <v>541000</v>
      </c>
      <c r="D9" s="6">
        <f>500000+35000+30000</f>
        <v>565000</v>
      </c>
      <c r="E9" s="6">
        <f>500000+35000+30000</f>
        <v>565000</v>
      </c>
      <c r="F9" s="6">
        <f>500000+35000+30000</f>
        <v>565000</v>
      </c>
    </row>
    <row r="10" spans="1:6" x14ac:dyDescent="0.25">
      <c r="B10" s="5">
        <f>+B7+B9</f>
        <v>865152.18000000017</v>
      </c>
      <c r="C10" s="5">
        <f t="shared" ref="C10:D10" si="2">+C7+C9</f>
        <v>816246.42360000033</v>
      </c>
      <c r="D10" s="5">
        <f t="shared" si="2"/>
        <v>766362.55207200022</v>
      </c>
      <c r="E10" s="5">
        <f t="shared" ref="E10" si="3">+E7+E9</f>
        <v>715481.00311344024</v>
      </c>
      <c r="F10" s="5">
        <f>+F7+F9</f>
        <v>663581.82317570923</v>
      </c>
    </row>
    <row r="11" spans="1:6" x14ac:dyDescent="0.25">
      <c r="B11" s="5"/>
      <c r="C11" s="5"/>
      <c r="D11" s="5"/>
      <c r="E11" s="5"/>
      <c r="F11" s="5"/>
    </row>
    <row r="12" spans="1:6" x14ac:dyDescent="0.25">
      <c r="A12" t="s">
        <v>7</v>
      </c>
      <c r="B12" s="5">
        <f>+'debt service'!H6</f>
        <v>401023.63157894736</v>
      </c>
      <c r="C12" s="5">
        <f>+'debt service'!H7</f>
        <v>398511.21621621621</v>
      </c>
      <c r="D12" s="5">
        <f>+'debt service'!H8</f>
        <v>390868.33333333331</v>
      </c>
      <c r="E12" s="5">
        <f>+'debt service'!H9</f>
        <v>381808.28571428574</v>
      </c>
      <c r="F12" s="5">
        <f>+'debt service'!H10</f>
        <v>372344.8823529412</v>
      </c>
    </row>
    <row r="13" spans="1:6" x14ac:dyDescent="0.25">
      <c r="F13"/>
    </row>
    <row r="14" spans="1:6" x14ac:dyDescent="0.25">
      <c r="A14" t="s">
        <v>8</v>
      </c>
      <c r="B14" s="7">
        <f>+B10/B12</f>
        <v>2.1573595964747585</v>
      </c>
      <c r="C14" s="7">
        <f>+C10/C12</f>
        <v>2.0482395234696171</v>
      </c>
      <c r="D14" s="7">
        <f>+D10/D12</f>
        <v>1.9606667686185892</v>
      </c>
      <c r="E14" s="7">
        <f>+E10/E12</f>
        <v>1.8739273868164505</v>
      </c>
      <c r="F14" s="7">
        <f>+F10/F12</f>
        <v>1.7821698501195138</v>
      </c>
    </row>
    <row r="15" spans="1:6" x14ac:dyDescent="0.25">
      <c r="B15" s="9"/>
      <c r="C15" s="9"/>
      <c r="D15" s="9"/>
      <c r="E15" s="9"/>
    </row>
    <row r="16" spans="1:6" x14ac:dyDescent="0.25">
      <c r="B16" s="7"/>
      <c r="C16" s="7"/>
      <c r="D16" s="7"/>
      <c r="E16" s="7"/>
      <c r="F16" s="7"/>
    </row>
    <row r="17" spans="1:11" x14ac:dyDescent="0.25">
      <c r="H17" s="3"/>
    </row>
    <row r="18" spans="1:11" x14ac:dyDescent="0.25">
      <c r="H18" s="3"/>
    </row>
    <row r="21" spans="1:11" x14ac:dyDescent="0.25">
      <c r="A21" t="s">
        <v>17</v>
      </c>
    </row>
    <row r="22" spans="1:11" x14ac:dyDescent="0.25">
      <c r="A22" t="s">
        <v>18</v>
      </c>
      <c r="H22" s="5"/>
      <c r="I22" s="5"/>
      <c r="J22" s="5"/>
      <c r="K22" s="5"/>
    </row>
    <row r="23" spans="1:11" x14ac:dyDescent="0.25">
      <c r="A23" t="s">
        <v>19</v>
      </c>
    </row>
    <row r="25" spans="1:11" x14ac:dyDescent="0.25">
      <c r="A25" t="s">
        <v>20</v>
      </c>
      <c r="B25" s="5">
        <v>2166335</v>
      </c>
      <c r="C25" s="5">
        <v>1865000</v>
      </c>
    </row>
    <row r="26" spans="1:11" x14ac:dyDescent="0.25">
      <c r="A26" t="s">
        <v>22</v>
      </c>
      <c r="B26" s="23">
        <v>62.5</v>
      </c>
      <c r="C26" s="23">
        <v>62.5</v>
      </c>
    </row>
    <row r="27" spans="1:11" x14ac:dyDescent="0.25">
      <c r="A27" t="s">
        <v>21</v>
      </c>
      <c r="B27" s="5">
        <f>+B25/B26</f>
        <v>34661.360000000001</v>
      </c>
      <c r="C27" s="5">
        <f>+C25/C26</f>
        <v>29840</v>
      </c>
    </row>
    <row r="30" spans="1:11" x14ac:dyDescent="0.25">
      <c r="A30" t="s">
        <v>25</v>
      </c>
      <c r="B30" t="s">
        <v>26</v>
      </c>
    </row>
    <row r="31" spans="1:11" x14ac:dyDescent="0.25">
      <c r="A31">
        <v>2019</v>
      </c>
      <c r="B31" s="5">
        <v>2397341</v>
      </c>
    </row>
    <row r="32" spans="1:11" x14ac:dyDescent="0.25">
      <c r="A32">
        <v>2020</v>
      </c>
      <c r="B32" s="5">
        <f>+B31*1.02</f>
        <v>2445287.8199999998</v>
      </c>
    </row>
    <row r="33" spans="1:2" x14ac:dyDescent="0.25">
      <c r="A33">
        <v>2021</v>
      </c>
      <c r="B33" s="5">
        <f>+B32*1.02</f>
        <v>2494193.5763999997</v>
      </c>
    </row>
    <row r="34" spans="1:2" x14ac:dyDescent="0.25">
      <c r="A34">
        <v>2022</v>
      </c>
      <c r="B34" s="5">
        <f>+B33*1.02</f>
        <v>2544077.4479279998</v>
      </c>
    </row>
    <row r="35" spans="1:2" x14ac:dyDescent="0.25">
      <c r="A35">
        <v>2023</v>
      </c>
      <c r="B35" s="5">
        <f>+B34*1.02</f>
        <v>2594958.9968865598</v>
      </c>
    </row>
    <row r="36" spans="1:2" x14ac:dyDescent="0.25">
      <c r="A36">
        <v>2024</v>
      </c>
      <c r="B36" s="5">
        <f>+B35*1.02</f>
        <v>2646858.1768242908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AAB6-9ECB-4D29-86BC-5B4B4DF0D849}">
  <dimension ref="A1:H44"/>
  <sheetViews>
    <sheetView workbookViewId="0">
      <selection activeCell="F12" sqref="F12"/>
    </sheetView>
  </sheetViews>
  <sheetFormatPr defaultColWidth="8.85546875" defaultRowHeight="12.75" x14ac:dyDescent="0.2"/>
  <cols>
    <col min="1" max="1" width="9" style="24" bestFit="1" customWidth="1"/>
    <col min="2" max="2" width="14.28515625" style="14" bestFit="1" customWidth="1"/>
    <col min="3" max="3" width="13.28515625" style="14" bestFit="1" customWidth="1"/>
    <col min="4" max="4" width="18.28515625" style="14" bestFit="1" customWidth="1"/>
    <col min="5" max="6" width="15.140625" style="14" bestFit="1" customWidth="1"/>
    <col min="7" max="7" width="17.28515625" style="14" bestFit="1" customWidth="1"/>
    <col min="8" max="8" width="26.7109375" style="14" bestFit="1" customWidth="1"/>
    <col min="9" max="16384" width="8.85546875" style="14"/>
  </cols>
  <sheetData>
    <row r="1" spans="1:8" x14ac:dyDescent="0.2">
      <c r="D1" s="15" t="s">
        <v>15</v>
      </c>
      <c r="E1" s="26" t="s">
        <v>24</v>
      </c>
      <c r="F1" s="26"/>
    </row>
    <row r="2" spans="1:8" x14ac:dyDescent="0.2">
      <c r="A2" s="25"/>
      <c r="B2" s="2" t="s">
        <v>3</v>
      </c>
      <c r="C2" s="8" t="s">
        <v>2</v>
      </c>
      <c r="D2" s="2" t="s">
        <v>10</v>
      </c>
      <c r="E2" s="8" t="s">
        <v>12</v>
      </c>
      <c r="F2" s="8" t="s">
        <v>11</v>
      </c>
      <c r="G2" s="22" t="s">
        <v>16</v>
      </c>
      <c r="H2" s="22" t="s">
        <v>7</v>
      </c>
    </row>
    <row r="3" spans="1:8" x14ac:dyDescent="0.2">
      <c r="A3" s="25">
        <v>2017</v>
      </c>
      <c r="B3" s="12">
        <v>156035</v>
      </c>
      <c r="C3" s="12">
        <v>186000</v>
      </c>
      <c r="D3" s="16">
        <f>SUM(B3:C3)</f>
        <v>342035</v>
      </c>
      <c r="E3" s="17">
        <v>0</v>
      </c>
      <c r="F3" s="19">
        <v>3780</v>
      </c>
      <c r="G3" s="18">
        <f>+D3+E3+F3</f>
        <v>345815</v>
      </c>
      <c r="H3" s="18">
        <f>+AVERAGE(G3:$G$43)</f>
        <v>397779.33658536588</v>
      </c>
    </row>
    <row r="4" spans="1:8" x14ac:dyDescent="0.2">
      <c r="A4" s="25">
        <v>2018</v>
      </c>
      <c r="B4" s="12">
        <v>151308</v>
      </c>
      <c r="C4" s="12">
        <v>192500</v>
      </c>
      <c r="D4" s="16">
        <f t="shared" ref="D4:D43" si="0">SUM(B4:C4)</f>
        <v>343808</v>
      </c>
      <c r="E4" s="17">
        <v>0</v>
      </c>
      <c r="F4" s="19">
        <f>7698.4+9219.4</f>
        <v>16917.8</v>
      </c>
      <c r="G4" s="18">
        <f>+D4+E4+F4</f>
        <v>360725.8</v>
      </c>
      <c r="H4" s="18">
        <f>+AVERAGE(G4:$G$43)</f>
        <v>399078.44500000001</v>
      </c>
    </row>
    <row r="5" spans="1:8" x14ac:dyDescent="0.2">
      <c r="A5" s="25">
        <v>2019</v>
      </c>
      <c r="B5" s="12">
        <v>146063</v>
      </c>
      <c r="C5" s="12">
        <v>196500</v>
      </c>
      <c r="D5" s="16">
        <f>SUM(B5:C5)</f>
        <v>342563</v>
      </c>
      <c r="E5" s="17">
        <v>0</v>
      </c>
      <c r="F5" s="19">
        <v>20951</v>
      </c>
      <c r="G5" s="18">
        <f t="shared" ref="G5:G43" si="1">+D5+E5+F5</f>
        <v>363514</v>
      </c>
      <c r="H5" s="18">
        <f>+AVERAGE(G5:$G$43)</f>
        <v>400061.84615384613</v>
      </c>
    </row>
    <row r="6" spans="1:8" x14ac:dyDescent="0.2">
      <c r="A6" s="25">
        <v>2020</v>
      </c>
      <c r="B6" s="12">
        <v>189403</v>
      </c>
      <c r="C6" s="12">
        <v>238500</v>
      </c>
      <c r="D6" s="16">
        <f t="shared" si="0"/>
        <v>427903</v>
      </c>
      <c r="E6" s="17">
        <v>0</v>
      </c>
      <c r="F6" s="19">
        <f>3304000*0.02</f>
        <v>66080</v>
      </c>
      <c r="G6" s="18">
        <f t="shared" si="1"/>
        <v>493983</v>
      </c>
      <c r="H6" s="18">
        <f>+AVERAGE(G6:$G$43)</f>
        <v>401023.63157894736</v>
      </c>
    </row>
    <row r="7" spans="1:8" x14ac:dyDescent="0.2">
      <c r="A7" s="25">
        <v>2021</v>
      </c>
      <c r="B7" s="12">
        <v>187559</v>
      </c>
      <c r="C7" s="12">
        <v>247000</v>
      </c>
      <c r="D7" s="16">
        <f t="shared" si="0"/>
        <v>434559</v>
      </c>
      <c r="E7" s="19">
        <v>34415</v>
      </c>
      <c r="F7" s="19">
        <f>102384+102297</f>
        <v>204681</v>
      </c>
      <c r="G7" s="18">
        <f>+D7+E7+F7</f>
        <v>673655</v>
      </c>
      <c r="H7" s="18">
        <f>+AVERAGE(G7:$G$43)</f>
        <v>398511.21621621621</v>
      </c>
    </row>
    <row r="8" spans="1:8" x14ac:dyDescent="0.2">
      <c r="A8" s="25">
        <v>2022</v>
      </c>
      <c r="B8" s="12">
        <v>179884</v>
      </c>
      <c r="C8" s="12">
        <v>255000</v>
      </c>
      <c r="D8" s="16">
        <f t="shared" si="0"/>
        <v>434884</v>
      </c>
      <c r="E8" s="19">
        <f>34390+34365</f>
        <v>68755</v>
      </c>
      <c r="F8" s="19">
        <f>102210+102121</f>
        <v>204331</v>
      </c>
      <c r="G8" s="18">
        <f t="shared" si="1"/>
        <v>707970</v>
      </c>
      <c r="H8" s="18">
        <f>+AVERAGE(G8:$G$43)</f>
        <v>390868.33333333331</v>
      </c>
    </row>
    <row r="9" spans="1:8" x14ac:dyDescent="0.2">
      <c r="A9" s="25">
        <v>2023</v>
      </c>
      <c r="B9" s="12">
        <v>171934</v>
      </c>
      <c r="C9" s="12">
        <v>259000</v>
      </c>
      <c r="D9" s="16">
        <f t="shared" si="0"/>
        <v>430934</v>
      </c>
      <c r="E9" s="19">
        <f>34340+34315</f>
        <v>68655</v>
      </c>
      <c r="F9" s="19">
        <f>102032+101943</f>
        <v>203975</v>
      </c>
      <c r="G9" s="18">
        <f t="shared" si="1"/>
        <v>703564</v>
      </c>
      <c r="H9" s="18">
        <f>+AVERAGE(G9:$G$43)</f>
        <v>381808.28571428574</v>
      </c>
    </row>
    <row r="10" spans="1:8" x14ac:dyDescent="0.2">
      <c r="A10" s="25">
        <v>2024</v>
      </c>
      <c r="B10" s="12">
        <v>163886</v>
      </c>
      <c r="C10" s="12">
        <v>266500</v>
      </c>
      <c r="D10" s="16">
        <f t="shared" si="0"/>
        <v>430386</v>
      </c>
      <c r="E10" s="19">
        <f>34289+34264</f>
        <v>68553</v>
      </c>
      <c r="F10" s="19">
        <f>101852+101761</f>
        <v>203613</v>
      </c>
      <c r="G10" s="18">
        <f t="shared" si="1"/>
        <v>702552</v>
      </c>
      <c r="H10" s="18">
        <f>+AVERAGE(G10:$G$43)</f>
        <v>372344.8823529412</v>
      </c>
    </row>
    <row r="11" spans="1:8" x14ac:dyDescent="0.2">
      <c r="A11" s="25">
        <v>2025</v>
      </c>
      <c r="B11" s="12">
        <v>155558</v>
      </c>
      <c r="C11" s="12">
        <v>281500</v>
      </c>
      <c r="D11" s="16">
        <f t="shared" si="0"/>
        <v>437058</v>
      </c>
      <c r="E11" s="19">
        <f>34238+34212</f>
        <v>68450</v>
      </c>
      <c r="F11" s="19">
        <f>101669+101576</f>
        <v>203245</v>
      </c>
      <c r="G11" s="18">
        <f t="shared" si="1"/>
        <v>708753</v>
      </c>
      <c r="H11" s="18">
        <f>+AVERAGE(G11:$G$43)</f>
        <v>362338.60606060608</v>
      </c>
    </row>
    <row r="12" spans="1:8" x14ac:dyDescent="0.2">
      <c r="A12" s="25">
        <v>2026</v>
      </c>
      <c r="B12" s="12">
        <v>146794</v>
      </c>
      <c r="C12" s="12">
        <v>168500</v>
      </c>
      <c r="D12" s="16">
        <f t="shared" si="0"/>
        <v>315294</v>
      </c>
      <c r="E12" s="19">
        <f>34186+34159</f>
        <v>68345</v>
      </c>
      <c r="F12" s="19">
        <f>101482+101387</f>
        <v>202869</v>
      </c>
      <c r="G12" s="18">
        <f t="shared" si="1"/>
        <v>586508</v>
      </c>
      <c r="H12" s="18">
        <f>+AVERAGE(G12:$G$43)</f>
        <v>351513.15625</v>
      </c>
    </row>
    <row r="13" spans="1:8" x14ac:dyDescent="0.2">
      <c r="A13" s="25">
        <v>2027</v>
      </c>
      <c r="B13" s="12">
        <v>141589</v>
      </c>
      <c r="C13" s="12">
        <v>174000</v>
      </c>
      <c r="D13" s="16">
        <f t="shared" si="0"/>
        <v>315589</v>
      </c>
      <c r="E13" s="19">
        <f>34133+34106</f>
        <v>68239</v>
      </c>
      <c r="F13" s="19">
        <f>101292+101196</f>
        <v>202488</v>
      </c>
      <c r="G13" s="18">
        <f t="shared" si="1"/>
        <v>586316</v>
      </c>
      <c r="H13" s="18">
        <f>+AVERAGE(G13:$G$43)</f>
        <v>343932.67741935485</v>
      </c>
    </row>
    <row r="14" spans="1:8" x14ac:dyDescent="0.2">
      <c r="A14" s="25">
        <v>2028</v>
      </c>
      <c r="B14" s="12">
        <v>136219</v>
      </c>
      <c r="C14" s="12">
        <v>178000</v>
      </c>
      <c r="D14" s="16">
        <f t="shared" si="0"/>
        <v>314219</v>
      </c>
      <c r="E14" s="19">
        <f>34079+34052</f>
        <v>68131</v>
      </c>
      <c r="F14" s="19">
        <f>101099+101001</f>
        <v>202100</v>
      </c>
      <c r="G14" s="18">
        <f t="shared" si="1"/>
        <v>584450</v>
      </c>
      <c r="H14" s="18">
        <f>+AVERAGE(G14:$G$43)</f>
        <v>335853.23333333334</v>
      </c>
    </row>
    <row r="15" spans="1:8" x14ac:dyDescent="0.2">
      <c r="A15" s="25">
        <v>2029</v>
      </c>
      <c r="B15" s="12">
        <v>130734</v>
      </c>
      <c r="C15" s="12">
        <v>186000</v>
      </c>
      <c r="D15" s="16">
        <f t="shared" si="0"/>
        <v>316734</v>
      </c>
      <c r="E15" s="19">
        <f>34024+33997</f>
        <v>68021</v>
      </c>
      <c r="F15" s="19">
        <f>100902+100802</f>
        <v>201704</v>
      </c>
      <c r="G15" s="18">
        <f t="shared" si="1"/>
        <v>586459</v>
      </c>
      <c r="H15" s="18">
        <f>+AVERAGE(G15:$G$43)</f>
        <v>327280.93103448278</v>
      </c>
    </row>
    <row r="16" spans="1:8" x14ac:dyDescent="0.2">
      <c r="A16" s="25">
        <v>2030</v>
      </c>
      <c r="B16" s="12">
        <v>124873</v>
      </c>
      <c r="C16" s="12">
        <v>192000</v>
      </c>
      <c r="D16" s="16">
        <f t="shared" si="0"/>
        <v>316873</v>
      </c>
      <c r="E16" s="19">
        <f>33969+33941</f>
        <v>67910</v>
      </c>
      <c r="F16" s="19">
        <f>100702+100600</f>
        <v>201302</v>
      </c>
      <c r="G16" s="18">
        <f t="shared" si="1"/>
        <v>586085</v>
      </c>
      <c r="H16" s="18">
        <f>+AVERAGE(G16:$G$43)</f>
        <v>318024.57142857142</v>
      </c>
    </row>
    <row r="17" spans="1:8" x14ac:dyDescent="0.2">
      <c r="A17" s="25">
        <v>2031</v>
      </c>
      <c r="B17" s="12">
        <v>118856</v>
      </c>
      <c r="C17" s="12">
        <v>195500</v>
      </c>
      <c r="D17" s="16">
        <f>SUM(B17:C17)</f>
        <v>314356</v>
      </c>
      <c r="E17" s="19">
        <f>33913+33884</f>
        <v>67797</v>
      </c>
      <c r="F17" s="19">
        <f>100498+100395</f>
        <v>200893</v>
      </c>
      <c r="G17" s="18">
        <f t="shared" si="1"/>
        <v>583046</v>
      </c>
      <c r="H17" s="18">
        <f>+AVERAGE(G17:$G$43)</f>
        <v>308096.40740740742</v>
      </c>
    </row>
    <row r="18" spans="1:8" x14ac:dyDescent="0.2">
      <c r="A18" s="25">
        <v>2032</v>
      </c>
      <c r="B18" s="12">
        <v>112645</v>
      </c>
      <c r="C18" s="12">
        <v>206000</v>
      </c>
      <c r="D18" s="16">
        <f t="shared" si="0"/>
        <v>318645</v>
      </c>
      <c r="E18" s="19">
        <f>33856+33827</f>
        <v>67683</v>
      </c>
      <c r="F18" s="19">
        <f>100291+100186</f>
        <v>200477</v>
      </c>
      <c r="G18" s="18">
        <f t="shared" si="1"/>
        <v>586805</v>
      </c>
      <c r="H18" s="18">
        <f>+AVERAGE(G18:$G$43)</f>
        <v>297521.42307692306</v>
      </c>
    </row>
    <row r="19" spans="1:8" x14ac:dyDescent="0.2">
      <c r="A19" s="25">
        <v>2033</v>
      </c>
      <c r="B19" s="12">
        <v>106090</v>
      </c>
      <c r="C19" s="12">
        <v>210500</v>
      </c>
      <c r="D19" s="16">
        <f t="shared" si="0"/>
        <v>316590</v>
      </c>
      <c r="E19" s="19">
        <f>33798+33768</f>
        <v>67566</v>
      </c>
      <c r="F19" s="19">
        <f>100080+99973</f>
        <v>200053</v>
      </c>
      <c r="G19" s="18">
        <f t="shared" si="1"/>
        <v>584209</v>
      </c>
      <c r="H19" s="18">
        <f>+AVERAGE(G19:$G$43)</f>
        <v>285950.08000000002</v>
      </c>
    </row>
    <row r="20" spans="1:8" x14ac:dyDescent="0.2">
      <c r="A20" s="25">
        <v>2034</v>
      </c>
      <c r="B20" s="12">
        <v>99308</v>
      </c>
      <c r="C20" s="12">
        <v>216500</v>
      </c>
      <c r="D20" s="16">
        <f t="shared" si="0"/>
        <v>315808</v>
      </c>
      <c r="E20" s="19">
        <f>33739+33709</f>
        <v>67448</v>
      </c>
      <c r="F20" s="19">
        <f>99865+99757</f>
        <v>199622</v>
      </c>
      <c r="G20" s="18">
        <f t="shared" si="1"/>
        <v>582878</v>
      </c>
      <c r="H20" s="18">
        <f>+AVERAGE(G20:$G$43)</f>
        <v>273522.625</v>
      </c>
    </row>
    <row r="21" spans="1:8" x14ac:dyDescent="0.2">
      <c r="A21" s="25">
        <v>2035</v>
      </c>
      <c r="B21" s="12">
        <v>92295</v>
      </c>
      <c r="C21" s="12">
        <v>225000</v>
      </c>
      <c r="D21" s="16">
        <f t="shared" si="0"/>
        <v>317295</v>
      </c>
      <c r="E21" s="19">
        <f>33679+33649</f>
        <v>67328</v>
      </c>
      <c r="F21" s="19">
        <f>99647+99536</f>
        <v>199183</v>
      </c>
      <c r="G21" s="18">
        <f t="shared" si="1"/>
        <v>583806</v>
      </c>
      <c r="H21" s="18">
        <f>+AVERAGE(G21:$G$43)</f>
        <v>260072.39130434784</v>
      </c>
    </row>
    <row r="22" spans="1:8" x14ac:dyDescent="0.2">
      <c r="A22" s="25">
        <v>2036</v>
      </c>
      <c r="B22" s="12">
        <v>84926</v>
      </c>
      <c r="C22" s="12">
        <v>176500</v>
      </c>
      <c r="D22" s="16">
        <f t="shared" si="0"/>
        <v>261426</v>
      </c>
      <c r="E22" s="19">
        <f>33619+33588</f>
        <v>67207</v>
      </c>
      <c r="F22" s="19">
        <f>99425+99312</f>
        <v>198737</v>
      </c>
      <c r="G22" s="18">
        <f t="shared" si="1"/>
        <v>527370</v>
      </c>
      <c r="H22" s="18">
        <f>+AVERAGE(G22:$G$43)</f>
        <v>245357.22727272726</v>
      </c>
    </row>
    <row r="23" spans="1:8" x14ac:dyDescent="0.2">
      <c r="A23" s="25">
        <v>2037</v>
      </c>
      <c r="B23" s="12">
        <v>79431</v>
      </c>
      <c r="C23" s="12">
        <v>180000</v>
      </c>
      <c r="D23" s="16">
        <f t="shared" si="0"/>
        <v>259431</v>
      </c>
      <c r="E23" s="19">
        <f>33557+33526</f>
        <v>67083</v>
      </c>
      <c r="F23" s="19">
        <f>99199+99084</f>
        <v>198283</v>
      </c>
      <c r="G23" s="18">
        <f t="shared" si="1"/>
        <v>524797</v>
      </c>
      <c r="H23" s="18">
        <f>+AVERAGE(G23:$G$43)</f>
        <v>231928.04761904763</v>
      </c>
    </row>
    <row r="24" spans="1:8" x14ac:dyDescent="0.2">
      <c r="A24" s="25">
        <v>2038</v>
      </c>
      <c r="B24" s="12">
        <v>73774</v>
      </c>
      <c r="C24" s="12">
        <v>186500</v>
      </c>
      <c r="D24" s="16">
        <f t="shared" si="0"/>
        <v>260274</v>
      </c>
      <c r="E24" s="19">
        <f>33495+33463</f>
        <v>66958</v>
      </c>
      <c r="F24" s="19">
        <f>98969+98852</f>
        <v>197821</v>
      </c>
      <c r="G24" s="18">
        <f t="shared" si="1"/>
        <v>525053</v>
      </c>
      <c r="H24" s="18">
        <f>+AVERAGE(G24:$G$43)</f>
        <v>217284.6</v>
      </c>
    </row>
    <row r="25" spans="1:8" x14ac:dyDescent="0.2">
      <c r="A25" s="25">
        <v>2039</v>
      </c>
      <c r="B25" s="12">
        <v>67896</v>
      </c>
      <c r="C25" s="12">
        <v>192500</v>
      </c>
      <c r="D25" s="16">
        <f t="shared" si="0"/>
        <v>260396</v>
      </c>
      <c r="E25" s="19">
        <f>33431+33399</f>
        <v>66830</v>
      </c>
      <c r="F25" s="19">
        <f>98734+98616</f>
        <v>197350</v>
      </c>
      <c r="G25" s="18">
        <f t="shared" si="1"/>
        <v>524576</v>
      </c>
      <c r="H25" s="18">
        <f>+AVERAGE(G25:$G$43)</f>
        <v>201086.26315789475</v>
      </c>
    </row>
    <row r="26" spans="1:8" x14ac:dyDescent="0.2">
      <c r="A26" s="25">
        <v>2040</v>
      </c>
      <c r="B26" s="12">
        <v>61806</v>
      </c>
      <c r="C26" s="12">
        <v>199000</v>
      </c>
      <c r="D26" s="16">
        <f t="shared" si="0"/>
        <v>260806</v>
      </c>
      <c r="E26" s="19">
        <f>33367+33334</f>
        <v>66701</v>
      </c>
      <c r="F26" s="19">
        <f>98496+98375</f>
        <v>196871</v>
      </c>
      <c r="G26" s="18">
        <f t="shared" si="1"/>
        <v>524378</v>
      </c>
      <c r="H26" s="18">
        <f>+AVERAGE(G26:$G$43)</f>
        <v>183114.61111111112</v>
      </c>
    </row>
    <row r="27" spans="1:8" x14ac:dyDescent="0.2">
      <c r="A27" s="25">
        <v>2041</v>
      </c>
      <c r="B27" s="12">
        <v>55504</v>
      </c>
      <c r="C27" s="12">
        <v>205000</v>
      </c>
      <c r="D27" s="16">
        <f t="shared" si="0"/>
        <v>260504</v>
      </c>
      <c r="E27" s="19">
        <v>33302</v>
      </c>
      <c r="F27" s="17">
        <v>0</v>
      </c>
      <c r="G27" s="18">
        <f t="shared" si="1"/>
        <v>293806</v>
      </c>
      <c r="H27" s="18">
        <f>+AVERAGE(G27:$G$43)</f>
        <v>163040.29411764705</v>
      </c>
    </row>
    <row r="28" spans="1:8" x14ac:dyDescent="0.2">
      <c r="A28" s="25">
        <v>2042</v>
      </c>
      <c r="B28" s="12">
        <v>48990</v>
      </c>
      <c r="C28" s="12">
        <v>211500</v>
      </c>
      <c r="D28" s="16">
        <f t="shared" si="0"/>
        <v>260490</v>
      </c>
      <c r="E28" s="17">
        <v>0</v>
      </c>
      <c r="F28" s="17">
        <v>0</v>
      </c>
      <c r="G28" s="18">
        <f t="shared" si="1"/>
        <v>260490</v>
      </c>
      <c r="H28" s="18">
        <f>+AVERAGE(G28:$G$43)</f>
        <v>154867.4375</v>
      </c>
    </row>
    <row r="29" spans="1:8" x14ac:dyDescent="0.2">
      <c r="A29" s="25">
        <v>2043</v>
      </c>
      <c r="B29" s="12">
        <v>44042</v>
      </c>
      <c r="C29" s="12">
        <v>138500</v>
      </c>
      <c r="D29" s="16">
        <f t="shared" si="0"/>
        <v>182542</v>
      </c>
      <c r="E29" s="17">
        <v>0</v>
      </c>
      <c r="F29" s="17">
        <v>0</v>
      </c>
      <c r="G29" s="18">
        <f t="shared" si="1"/>
        <v>182542</v>
      </c>
      <c r="H29" s="18">
        <f>+AVERAGE(G29:$G$43)</f>
        <v>147825.93333333332</v>
      </c>
    </row>
    <row r="30" spans="1:8" x14ac:dyDescent="0.2">
      <c r="A30" s="25">
        <v>2044</v>
      </c>
      <c r="B30" s="12">
        <v>40733</v>
      </c>
      <c r="C30" s="12">
        <v>141500</v>
      </c>
      <c r="D30" s="16">
        <f t="shared" si="0"/>
        <v>182233</v>
      </c>
      <c r="E30" s="17">
        <v>0</v>
      </c>
      <c r="F30" s="17">
        <v>0</v>
      </c>
      <c r="G30" s="18">
        <f t="shared" si="1"/>
        <v>182233</v>
      </c>
      <c r="H30" s="18">
        <f>+AVERAGE(G30:$G$43)</f>
        <v>145346.21428571429</v>
      </c>
    </row>
    <row r="31" spans="1:8" x14ac:dyDescent="0.2">
      <c r="A31" s="25">
        <v>2045</v>
      </c>
      <c r="B31" s="12">
        <v>37340</v>
      </c>
      <c r="C31" s="12">
        <v>145500</v>
      </c>
      <c r="D31" s="16">
        <f t="shared" si="0"/>
        <v>182840</v>
      </c>
      <c r="E31" s="17">
        <v>0</v>
      </c>
      <c r="F31" s="17">
        <v>0</v>
      </c>
      <c r="G31" s="18">
        <f t="shared" si="1"/>
        <v>182840</v>
      </c>
      <c r="H31" s="18">
        <f>+AVERAGE(G31:$G$43)</f>
        <v>142508.76923076922</v>
      </c>
    </row>
    <row r="32" spans="1:8" x14ac:dyDescent="0.2">
      <c r="A32" s="25">
        <v>2046</v>
      </c>
      <c r="B32" s="12">
        <v>33859</v>
      </c>
      <c r="C32" s="12">
        <v>149000</v>
      </c>
      <c r="D32" s="16">
        <f t="shared" si="0"/>
        <v>182859</v>
      </c>
      <c r="E32" s="17">
        <v>0</v>
      </c>
      <c r="F32" s="17">
        <v>0</v>
      </c>
      <c r="G32" s="18">
        <f t="shared" si="1"/>
        <v>182859</v>
      </c>
      <c r="H32" s="18">
        <f>+AVERAGE(G32:$G$43)</f>
        <v>139147.83333333334</v>
      </c>
    </row>
    <row r="33" spans="1:8" x14ac:dyDescent="0.2">
      <c r="A33" s="25">
        <v>2047</v>
      </c>
      <c r="B33" s="12">
        <v>30295</v>
      </c>
      <c r="C33" s="12">
        <v>152500</v>
      </c>
      <c r="D33" s="16">
        <f t="shared" si="0"/>
        <v>182795</v>
      </c>
      <c r="E33" s="17">
        <v>0</v>
      </c>
      <c r="F33" s="17">
        <v>0</v>
      </c>
      <c r="G33" s="18">
        <f t="shared" si="1"/>
        <v>182795</v>
      </c>
      <c r="H33" s="18">
        <f>+AVERAGE(G33:$G$43)</f>
        <v>135174.09090909091</v>
      </c>
    </row>
    <row r="34" spans="1:8" x14ac:dyDescent="0.2">
      <c r="A34" s="25">
        <v>2048</v>
      </c>
      <c r="B34" s="12">
        <v>26637</v>
      </c>
      <c r="C34" s="12">
        <v>157000</v>
      </c>
      <c r="D34" s="16">
        <f t="shared" si="0"/>
        <v>183637</v>
      </c>
      <c r="E34" s="17">
        <v>0</v>
      </c>
      <c r="F34" s="17">
        <v>0</v>
      </c>
      <c r="G34" s="18">
        <f t="shared" si="1"/>
        <v>183637</v>
      </c>
      <c r="H34" s="18">
        <f>+AVERAGE(G34:$G$43)</f>
        <v>130412</v>
      </c>
    </row>
    <row r="35" spans="1:8" x14ac:dyDescent="0.2">
      <c r="A35" s="25">
        <v>2049</v>
      </c>
      <c r="B35" s="12">
        <v>22929</v>
      </c>
      <c r="C35" s="12">
        <v>156500</v>
      </c>
      <c r="D35" s="16">
        <f t="shared" si="0"/>
        <v>179429</v>
      </c>
      <c r="E35" s="17">
        <v>0</v>
      </c>
      <c r="F35" s="17">
        <v>0</v>
      </c>
      <c r="G35" s="18">
        <f t="shared" si="1"/>
        <v>179429</v>
      </c>
      <c r="H35" s="18">
        <f>+AVERAGE(G35:$G$43)</f>
        <v>124498.11111111111</v>
      </c>
    </row>
    <row r="36" spans="1:8" x14ac:dyDescent="0.2">
      <c r="A36" s="25">
        <v>2050</v>
      </c>
      <c r="B36" s="12">
        <v>19572</v>
      </c>
      <c r="C36" s="12">
        <v>125500</v>
      </c>
      <c r="D36" s="16">
        <f t="shared" si="0"/>
        <v>145072</v>
      </c>
      <c r="E36" s="17">
        <v>0</v>
      </c>
      <c r="F36" s="17">
        <v>0</v>
      </c>
      <c r="G36" s="18">
        <f t="shared" si="1"/>
        <v>145072</v>
      </c>
      <c r="H36" s="18">
        <f>+AVERAGE(G36:$G$43)</f>
        <v>117631.75</v>
      </c>
    </row>
    <row r="37" spans="1:8" x14ac:dyDescent="0.2">
      <c r="A37" s="25">
        <v>2051</v>
      </c>
      <c r="B37" s="12">
        <v>16524</v>
      </c>
      <c r="C37" s="12">
        <v>128500</v>
      </c>
      <c r="D37" s="16">
        <f t="shared" si="0"/>
        <v>145024</v>
      </c>
      <c r="E37" s="17">
        <v>0</v>
      </c>
      <c r="F37" s="17">
        <v>0</v>
      </c>
      <c r="G37" s="18">
        <f t="shared" si="1"/>
        <v>145024</v>
      </c>
      <c r="H37" s="18">
        <f>+AVERAGE(G37:$G$43)</f>
        <v>113711.71428571429</v>
      </c>
    </row>
    <row r="38" spans="1:8" x14ac:dyDescent="0.2">
      <c r="A38" s="25">
        <v>2052</v>
      </c>
      <c r="B38" s="12">
        <v>13399</v>
      </c>
      <c r="C38" s="12">
        <v>132000</v>
      </c>
      <c r="D38" s="16">
        <f t="shared" si="0"/>
        <v>145399</v>
      </c>
      <c r="E38" s="17">
        <v>0</v>
      </c>
      <c r="F38" s="17">
        <v>0</v>
      </c>
      <c r="G38" s="18">
        <f t="shared" si="1"/>
        <v>145399</v>
      </c>
      <c r="H38" s="18">
        <f>+AVERAGE(G38:$G$43)</f>
        <v>108493</v>
      </c>
    </row>
    <row r="39" spans="1:8" x14ac:dyDescent="0.2">
      <c r="A39" s="25">
        <v>2053</v>
      </c>
      <c r="B39" s="12">
        <v>10195</v>
      </c>
      <c r="C39" s="12">
        <v>135000</v>
      </c>
      <c r="D39" s="16">
        <f t="shared" si="0"/>
        <v>145195</v>
      </c>
      <c r="E39" s="17">
        <v>0</v>
      </c>
      <c r="F39" s="17">
        <v>0</v>
      </c>
      <c r="G39" s="18">
        <f t="shared" si="1"/>
        <v>145195</v>
      </c>
      <c r="H39" s="18">
        <f>+AVERAGE(G39:$G$43)</f>
        <v>101111.8</v>
      </c>
    </row>
    <row r="40" spans="1:8" x14ac:dyDescent="0.2">
      <c r="A40" s="25">
        <v>2054</v>
      </c>
      <c r="B40" s="12">
        <v>7538</v>
      </c>
      <c r="C40" s="10">
        <v>83000</v>
      </c>
      <c r="D40" s="16">
        <f t="shared" si="0"/>
        <v>90538</v>
      </c>
      <c r="E40" s="17">
        <v>0</v>
      </c>
      <c r="F40" s="17">
        <v>0</v>
      </c>
      <c r="G40" s="18">
        <f t="shared" si="1"/>
        <v>90538</v>
      </c>
      <c r="H40" s="18">
        <f>+AVERAGE(G40:$G$43)</f>
        <v>90091</v>
      </c>
    </row>
    <row r="41" spans="1:8" x14ac:dyDescent="0.2">
      <c r="A41" s="25">
        <v>2055</v>
      </c>
      <c r="B41" s="12">
        <v>5438</v>
      </c>
      <c r="C41" s="10">
        <v>85000</v>
      </c>
      <c r="D41" s="16">
        <f t="shared" si="0"/>
        <v>90438</v>
      </c>
      <c r="E41" s="17">
        <v>0</v>
      </c>
      <c r="F41" s="17">
        <v>0</v>
      </c>
      <c r="G41" s="18">
        <f t="shared" si="1"/>
        <v>90438</v>
      </c>
      <c r="H41" s="18">
        <f>+AVERAGE(G41:$G$43)</f>
        <v>89942</v>
      </c>
    </row>
    <row r="42" spans="1:8" x14ac:dyDescent="0.2">
      <c r="A42" s="25">
        <v>2056</v>
      </c>
      <c r="B42" s="12">
        <v>3288</v>
      </c>
      <c r="C42" s="10">
        <v>87000</v>
      </c>
      <c r="D42" s="16">
        <f t="shared" si="0"/>
        <v>90288</v>
      </c>
      <c r="E42" s="17">
        <v>0</v>
      </c>
      <c r="F42" s="17">
        <v>0</v>
      </c>
      <c r="G42" s="18">
        <f t="shared" si="1"/>
        <v>90288</v>
      </c>
      <c r="H42" s="18">
        <f>+AVERAGE(G42:$G$43)</f>
        <v>89694</v>
      </c>
    </row>
    <row r="43" spans="1:8" ht="15" x14ac:dyDescent="0.35">
      <c r="A43" s="25">
        <v>2057</v>
      </c>
      <c r="B43" s="11">
        <v>1100</v>
      </c>
      <c r="C43" s="13">
        <v>88000</v>
      </c>
      <c r="D43" s="20">
        <f t="shared" si="0"/>
        <v>89100</v>
      </c>
      <c r="E43" s="21">
        <v>0</v>
      </c>
      <c r="F43" s="21">
        <v>0</v>
      </c>
      <c r="G43" s="18">
        <f t="shared" si="1"/>
        <v>89100</v>
      </c>
      <c r="H43" s="18">
        <f>+AVERAGE(G43:$G$43)</f>
        <v>89100</v>
      </c>
    </row>
    <row r="44" spans="1:8" x14ac:dyDescent="0.2">
      <c r="A44" s="25"/>
      <c r="B44" s="12">
        <v>3924565</v>
      </c>
      <c r="C44" s="10">
        <v>7818500</v>
      </c>
      <c r="D44" s="16">
        <f>SUM(D3:D43)</f>
        <v>10826249</v>
      </c>
      <c r="E44" s="16">
        <f t="shared" ref="E44:F44" si="2">SUM(E3:E43)</f>
        <v>1355377</v>
      </c>
      <c r="F44" s="16">
        <f t="shared" si="2"/>
        <v>4127326.8</v>
      </c>
    </row>
  </sheetData>
  <mergeCells count="1">
    <mergeCell ref="E1:F1"/>
  </mergeCells>
  <pageMargins left="0.7" right="0.7" top="0.75" bottom="0.75" header="0.3" footer="0.3"/>
  <pageSetup orientation="portrait" r:id="rId1"/>
  <ignoredErrors>
    <ignoredError sqref="D3:D17 D18:D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2017-2019</vt:lpstr>
      <vt:lpstr>Projected 20-23</vt:lpstr>
      <vt:lpstr>debt 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Glass</dc:creator>
  <cp:lastModifiedBy>Deron Byrne</cp:lastModifiedBy>
  <dcterms:created xsi:type="dcterms:W3CDTF">2020-11-23T16:48:20Z</dcterms:created>
  <dcterms:modified xsi:type="dcterms:W3CDTF">2020-11-25T14:19:11Z</dcterms:modified>
</cp:coreProperties>
</file>