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N\Documents\Columbia-Adair County\RD Project\"/>
    </mc:Choice>
  </mc:AlternateContent>
  <xr:revisionPtr revIDLastSave="0" documentId="13_ncr:1_{D0A64376-E905-4C53-B776-C1043DD6A6D1}" xr6:coauthVersionLast="45" xr6:coauthVersionMax="45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Water Users" sheetId="1" r:id="rId1"/>
    <sheet name="W Usage" sheetId="11" r:id="rId2"/>
    <sheet name="WW Users" sheetId="8" r:id="rId3"/>
    <sheet name="WW Usage" sheetId="10" r:id="rId4"/>
    <sheet name=" Forecast - W" sheetId="2" r:id="rId5"/>
    <sheet name="Forecast - WW" sheetId="9" r:id="rId6"/>
    <sheet name="W Budgets" sheetId="3" r:id="rId7"/>
    <sheet name="WW Budgets" sheetId="14" r:id="rId8"/>
    <sheet name="Rates" sheetId="4" r:id="rId9"/>
    <sheet name="Income - Summary" sheetId="5" r:id="rId10"/>
    <sheet name="Income - Water" sheetId="7" r:id="rId11"/>
    <sheet name="Income - Sewer" sheetId="6" r:id="rId12"/>
    <sheet name="Audit Compare" sheetId="12" r:id="rId13"/>
    <sheet name="Debt" sheetId="13" r:id="rId14"/>
  </sheets>
  <externalReferences>
    <externalReference r:id="rId15"/>
    <externalReference r:id="rId16"/>
    <externalReference r:id="rId1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0" i="1" l="1"/>
  <c r="K89" i="1"/>
  <c r="K88" i="1"/>
  <c r="K63" i="1"/>
  <c r="K62" i="1"/>
  <c r="K61" i="1"/>
  <c r="K53" i="1"/>
  <c r="K52" i="1"/>
  <c r="K51" i="1"/>
  <c r="K31" i="1"/>
  <c r="K30" i="1"/>
  <c r="K29" i="1"/>
  <c r="J97" i="2" l="1"/>
  <c r="L94" i="2"/>
  <c r="D94" i="2"/>
  <c r="K94" i="2" s="1"/>
  <c r="D93" i="2"/>
  <c r="K93" i="2" s="1"/>
  <c r="D92" i="2"/>
  <c r="F92" i="2" s="1"/>
  <c r="L92" i="2" s="1"/>
  <c r="F93" i="2" l="1"/>
  <c r="L93" i="2" s="1"/>
  <c r="L97" i="2" s="1"/>
  <c r="K92" i="2"/>
  <c r="K97" i="2" s="1"/>
  <c r="R47" i="3"/>
  <c r="AA47" i="14" l="1"/>
  <c r="Q43" i="14"/>
  <c r="H43" i="14"/>
  <c r="Q42" i="14"/>
  <c r="H42" i="14"/>
  <c r="Q41" i="14"/>
  <c r="Q40" i="14"/>
  <c r="H40" i="14"/>
  <c r="AA34" i="14"/>
  <c r="Q34" i="14"/>
  <c r="H34" i="14"/>
  <c r="AA23" i="14"/>
  <c r="Q23" i="14"/>
  <c r="H23" i="14"/>
  <c r="H12" i="14"/>
  <c r="H27" i="14" s="1"/>
  <c r="H36" i="14" s="1"/>
  <c r="AA6" i="14"/>
  <c r="AA12" i="14" s="1"/>
  <c r="AA27" i="14" s="1"/>
  <c r="AA36" i="14" s="1"/>
  <c r="AA49" i="14" s="1"/>
  <c r="Q47" i="14" l="1"/>
  <c r="H47" i="14"/>
  <c r="H49" i="14" s="1"/>
  <c r="D22" i="4"/>
  <c r="D17" i="4"/>
  <c r="D11" i="4"/>
  <c r="F17" i="12" l="1"/>
  <c r="F16" i="12"/>
  <c r="F15" i="12"/>
  <c r="F14" i="12"/>
  <c r="F13" i="12"/>
  <c r="F12" i="12"/>
  <c r="F8" i="12"/>
  <c r="F7" i="12"/>
  <c r="F6" i="12"/>
  <c r="F5" i="12"/>
  <c r="F4" i="12"/>
  <c r="F3" i="12"/>
  <c r="D18" i="12"/>
  <c r="C18" i="12"/>
  <c r="D9" i="12"/>
  <c r="C9" i="12"/>
  <c r="B18" i="12"/>
  <c r="B9" i="12"/>
  <c r="J7" i="9"/>
  <c r="L7" i="9" s="1"/>
  <c r="F7" i="9"/>
  <c r="E7" i="9"/>
  <c r="G7" i="9"/>
  <c r="I7" i="9" s="1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0" i="2"/>
  <c r="E59" i="2"/>
  <c r="E58" i="2"/>
  <c r="F61" i="2"/>
  <c r="F57" i="2"/>
  <c r="F56" i="2"/>
  <c r="E61" i="2"/>
  <c r="E57" i="2"/>
  <c r="E56" i="2"/>
  <c r="F39" i="2"/>
  <c r="F38" i="2"/>
  <c r="F37" i="2"/>
  <c r="F36" i="2"/>
  <c r="F35" i="2"/>
  <c r="E35" i="2"/>
  <c r="E39" i="2"/>
  <c r="E38" i="2"/>
  <c r="E37" i="2"/>
  <c r="E36" i="2"/>
  <c r="J87" i="2"/>
  <c r="K87" i="2" s="1"/>
  <c r="J85" i="2"/>
  <c r="J83" i="2"/>
  <c r="J79" i="2"/>
  <c r="J77" i="2"/>
  <c r="J76" i="2"/>
  <c r="J74" i="2"/>
  <c r="J72" i="2"/>
  <c r="J71" i="2"/>
  <c r="J70" i="2"/>
  <c r="J68" i="2"/>
  <c r="J67" i="2"/>
  <c r="J62" i="2"/>
  <c r="J61" i="2"/>
  <c r="J57" i="2"/>
  <c r="J56" i="2"/>
  <c r="J51" i="2"/>
  <c r="K51" i="2" s="1"/>
  <c r="J50" i="2"/>
  <c r="K50" i="2" s="1"/>
  <c r="J49" i="2"/>
  <c r="K49" i="2" s="1"/>
  <c r="J48" i="2"/>
  <c r="J45" i="2"/>
  <c r="J43" i="2"/>
  <c r="J42" i="2"/>
  <c r="J41" i="2"/>
  <c r="J40" i="2"/>
  <c r="J39" i="2"/>
  <c r="J38" i="2"/>
  <c r="J37" i="2"/>
  <c r="L37" i="2" s="1"/>
  <c r="J36" i="2"/>
  <c r="J35" i="2"/>
  <c r="G87" i="2"/>
  <c r="H87" i="2" s="1"/>
  <c r="G85" i="2"/>
  <c r="G84" i="2"/>
  <c r="G83" i="2"/>
  <c r="G81" i="2"/>
  <c r="G80" i="2"/>
  <c r="G78" i="2"/>
  <c r="I78" i="2" s="1"/>
  <c r="G77" i="2"/>
  <c r="G76" i="2"/>
  <c r="G75" i="2"/>
  <c r="G74" i="2"/>
  <c r="I74" i="2" s="1"/>
  <c r="G73" i="2"/>
  <c r="G72" i="2"/>
  <c r="G71" i="2"/>
  <c r="G70" i="2"/>
  <c r="I70" i="2" s="1"/>
  <c r="G69" i="2"/>
  <c r="G68" i="2"/>
  <c r="G67" i="2"/>
  <c r="G62" i="2"/>
  <c r="G60" i="2"/>
  <c r="G59" i="2"/>
  <c r="G58" i="2"/>
  <c r="I58" i="2" s="1"/>
  <c r="G57" i="2"/>
  <c r="G56" i="2"/>
  <c r="G51" i="2"/>
  <c r="H51" i="2" s="1"/>
  <c r="G46" i="2"/>
  <c r="G45" i="2"/>
  <c r="G44" i="2"/>
  <c r="G42" i="2"/>
  <c r="G41" i="2"/>
  <c r="G40" i="2"/>
  <c r="G39" i="2"/>
  <c r="G38" i="2"/>
  <c r="G37" i="2"/>
  <c r="G36" i="2"/>
  <c r="I36" i="2" s="1"/>
  <c r="G35" i="2"/>
  <c r="D82" i="2"/>
  <c r="C62" i="2"/>
  <c r="F8" i="2"/>
  <c r="E8" i="2"/>
  <c r="G88" i="1"/>
  <c r="E88" i="1"/>
  <c r="G63" i="1"/>
  <c r="E63" i="1"/>
  <c r="G52" i="1"/>
  <c r="E52" i="1"/>
  <c r="H86" i="1"/>
  <c r="D78" i="1"/>
  <c r="H78" i="1" s="1"/>
  <c r="F86" i="1"/>
  <c r="H61" i="1"/>
  <c r="H50" i="1"/>
  <c r="H49" i="1"/>
  <c r="H48" i="1"/>
  <c r="H47" i="1"/>
  <c r="F61" i="1"/>
  <c r="C61" i="1"/>
  <c r="F50" i="1"/>
  <c r="S283" i="11"/>
  <c r="R283" i="11"/>
  <c r="S301" i="11"/>
  <c r="R301" i="11"/>
  <c r="U301" i="11" s="1"/>
  <c r="U300" i="11"/>
  <c r="S300" i="11"/>
  <c r="R300" i="11"/>
  <c r="S299" i="11"/>
  <c r="R299" i="11"/>
  <c r="U299" i="11" s="1"/>
  <c r="S298" i="11"/>
  <c r="R298" i="11"/>
  <c r="U298" i="11" s="1"/>
  <c r="S297" i="11"/>
  <c r="R297" i="11"/>
  <c r="U297" i="11" s="1"/>
  <c r="S296" i="11"/>
  <c r="R296" i="11"/>
  <c r="U296" i="11" s="1"/>
  <c r="S295" i="11"/>
  <c r="U295" i="11" s="1"/>
  <c r="R295" i="11"/>
  <c r="S294" i="11"/>
  <c r="R294" i="11"/>
  <c r="U294" i="11" s="1"/>
  <c r="S293" i="11"/>
  <c r="R293" i="11"/>
  <c r="S292" i="11"/>
  <c r="R292" i="11"/>
  <c r="U292" i="11" s="1"/>
  <c r="S291" i="11"/>
  <c r="U291" i="11" s="1"/>
  <c r="R291" i="11"/>
  <c r="S290" i="11"/>
  <c r="R290" i="11"/>
  <c r="U290" i="11" s="1"/>
  <c r="S289" i="11"/>
  <c r="R289" i="11"/>
  <c r="S288" i="11"/>
  <c r="U288" i="11" s="1"/>
  <c r="R288" i="11"/>
  <c r="S287" i="11"/>
  <c r="S286" i="11"/>
  <c r="R286" i="11"/>
  <c r="S285" i="11"/>
  <c r="R285" i="11"/>
  <c r="U285" i="11" s="1"/>
  <c r="S284" i="11"/>
  <c r="S282" i="11"/>
  <c r="R282" i="11"/>
  <c r="S281" i="11"/>
  <c r="U280" i="11"/>
  <c r="S280" i="11"/>
  <c r="R280" i="11"/>
  <c r="S279" i="11"/>
  <c r="R279" i="11"/>
  <c r="U279" i="11" s="1"/>
  <c r="S278" i="11"/>
  <c r="R278" i="11"/>
  <c r="U278" i="11" s="1"/>
  <c r="S277" i="11"/>
  <c r="S276" i="11"/>
  <c r="R276" i="11"/>
  <c r="U276" i="11" s="1"/>
  <c r="S275" i="11"/>
  <c r="S274" i="11"/>
  <c r="S273" i="11"/>
  <c r="R273" i="11"/>
  <c r="U273" i="11" s="1"/>
  <c r="U272" i="11"/>
  <c r="S272" i="11"/>
  <c r="S271" i="11"/>
  <c r="R271" i="11"/>
  <c r="S270" i="11"/>
  <c r="R270" i="11"/>
  <c r="U270" i="11" s="1"/>
  <c r="S269" i="11"/>
  <c r="S268" i="11"/>
  <c r="R268" i="11"/>
  <c r="S267" i="11"/>
  <c r="S266" i="11"/>
  <c r="S265" i="11"/>
  <c r="R265" i="11"/>
  <c r="U265" i="11" s="1"/>
  <c r="S264" i="11"/>
  <c r="S263" i="11"/>
  <c r="R263" i="11"/>
  <c r="U263" i="11" s="1"/>
  <c r="S262" i="11"/>
  <c r="R262" i="11"/>
  <c r="U262" i="11" s="1"/>
  <c r="S261" i="11"/>
  <c r="S260" i="11"/>
  <c r="R260" i="11"/>
  <c r="U260" i="11" s="1"/>
  <c r="S259" i="11"/>
  <c r="S258" i="11"/>
  <c r="S257" i="11"/>
  <c r="S256" i="11"/>
  <c r="S255" i="11"/>
  <c r="R255" i="11"/>
  <c r="S254" i="11"/>
  <c r="S253" i="11"/>
  <c r="S252" i="11"/>
  <c r="S251" i="11"/>
  <c r="S250" i="11"/>
  <c r="R250" i="11"/>
  <c r="S249" i="11"/>
  <c r="R249" i="11"/>
  <c r="U249" i="11" s="1"/>
  <c r="U248" i="11"/>
  <c r="S248" i="11"/>
  <c r="S247" i="11"/>
  <c r="S246" i="11"/>
  <c r="S245" i="11"/>
  <c r="S244" i="11"/>
  <c r="R244" i="11"/>
  <c r="U244" i="11" s="1"/>
  <c r="S243" i="11"/>
  <c r="R243" i="11"/>
  <c r="U243" i="11" s="1"/>
  <c r="S242" i="11"/>
  <c r="R242" i="11"/>
  <c r="U242" i="11" s="1"/>
  <c r="S241" i="11"/>
  <c r="R241" i="11"/>
  <c r="U241" i="11" s="1"/>
  <c r="U240" i="11"/>
  <c r="S240" i="11"/>
  <c r="R240" i="11"/>
  <c r="S239" i="11"/>
  <c r="S238" i="11"/>
  <c r="S237" i="11"/>
  <c r="U237" i="11" s="1"/>
  <c r="S236" i="11"/>
  <c r="S235" i="11"/>
  <c r="R235" i="11"/>
  <c r="U235" i="11" s="1"/>
  <c r="S234" i="11"/>
  <c r="R234" i="11"/>
  <c r="U234" i="11" s="1"/>
  <c r="S233" i="11"/>
  <c r="S232" i="11"/>
  <c r="S231" i="11"/>
  <c r="S230" i="11"/>
  <c r="U229" i="11"/>
  <c r="S229" i="11"/>
  <c r="S228" i="11"/>
  <c r="S227" i="11"/>
  <c r="S226" i="11"/>
  <c r="S225" i="11"/>
  <c r="U224" i="11"/>
  <c r="S224" i="11"/>
  <c r="R224" i="11"/>
  <c r="S223" i="11"/>
  <c r="S222" i="11"/>
  <c r="R222" i="11"/>
  <c r="U222" i="11" s="1"/>
  <c r="D81" i="1" s="1"/>
  <c r="S221" i="11"/>
  <c r="S220" i="11"/>
  <c r="R220" i="11"/>
  <c r="S219" i="11"/>
  <c r="R219" i="11"/>
  <c r="U219" i="11" s="1"/>
  <c r="D79" i="2" s="1"/>
  <c r="S218" i="11"/>
  <c r="S217" i="11"/>
  <c r="S216" i="11"/>
  <c r="S215" i="11"/>
  <c r="S214" i="11"/>
  <c r="S213" i="11"/>
  <c r="S212" i="11"/>
  <c r="S211" i="11"/>
  <c r="S210" i="11"/>
  <c r="S209" i="11"/>
  <c r="S208" i="11"/>
  <c r="P287" i="11"/>
  <c r="R287" i="11" s="1"/>
  <c r="U287" i="11" s="1"/>
  <c r="P284" i="11"/>
  <c r="R284" i="11" s="1"/>
  <c r="U284" i="11" s="1"/>
  <c r="P282" i="11"/>
  <c r="P281" i="11"/>
  <c r="R281" i="11" s="1"/>
  <c r="U281" i="11" s="1"/>
  <c r="P279" i="11"/>
  <c r="P277" i="11"/>
  <c r="R277" i="11" s="1"/>
  <c r="U277" i="11" s="1"/>
  <c r="P275" i="11"/>
  <c r="R275" i="11" s="1"/>
  <c r="U275" i="11" s="1"/>
  <c r="P274" i="11"/>
  <c r="R274" i="11" s="1"/>
  <c r="U274" i="11" s="1"/>
  <c r="P272" i="11"/>
  <c r="R272" i="11" s="1"/>
  <c r="P269" i="11"/>
  <c r="R269" i="11" s="1"/>
  <c r="U269" i="11" s="1"/>
  <c r="P267" i="11"/>
  <c r="R267" i="11" s="1"/>
  <c r="U267" i="11" s="1"/>
  <c r="P266" i="11"/>
  <c r="R266" i="11" s="1"/>
  <c r="U266" i="11" s="1"/>
  <c r="P264" i="11"/>
  <c r="R264" i="11" s="1"/>
  <c r="U264" i="11" s="1"/>
  <c r="P261" i="11"/>
  <c r="R261" i="11" s="1"/>
  <c r="U261" i="11" s="1"/>
  <c r="P259" i="11"/>
  <c r="R259" i="11" s="1"/>
  <c r="U259" i="11" s="1"/>
  <c r="P258" i="11"/>
  <c r="R258" i="11" s="1"/>
  <c r="U258" i="11" s="1"/>
  <c r="P257" i="11"/>
  <c r="R257" i="11" s="1"/>
  <c r="U257" i="11" s="1"/>
  <c r="P256" i="11"/>
  <c r="R256" i="11" s="1"/>
  <c r="U256" i="11" s="1"/>
  <c r="P254" i="11"/>
  <c r="R254" i="11" s="1"/>
  <c r="U254" i="11" s="1"/>
  <c r="P253" i="11"/>
  <c r="P251" i="11"/>
  <c r="P249" i="11"/>
  <c r="P248" i="11"/>
  <c r="R248" i="11" s="1"/>
  <c r="P247" i="11"/>
  <c r="R247" i="11" s="1"/>
  <c r="U247" i="11" s="1"/>
  <c r="P245" i="11"/>
  <c r="R245" i="11" s="1"/>
  <c r="U245" i="11" s="1"/>
  <c r="P244" i="11"/>
  <c r="P242" i="11"/>
  <c r="P241" i="11"/>
  <c r="P239" i="11"/>
  <c r="R239" i="11" s="1"/>
  <c r="U239" i="11" s="1"/>
  <c r="P238" i="11"/>
  <c r="P237" i="11"/>
  <c r="R237" i="11" s="1"/>
  <c r="P236" i="11"/>
  <c r="P234" i="11"/>
  <c r="P233" i="11"/>
  <c r="P232" i="11"/>
  <c r="P230" i="11"/>
  <c r="R230" i="11" s="1"/>
  <c r="U230" i="11" s="1"/>
  <c r="P229" i="11"/>
  <c r="R229" i="11" s="1"/>
  <c r="P228" i="11"/>
  <c r="P227" i="11"/>
  <c r="P225" i="11"/>
  <c r="P223" i="11"/>
  <c r="P221" i="11"/>
  <c r="R221" i="11" s="1"/>
  <c r="U221" i="11" s="1"/>
  <c r="P220" i="11"/>
  <c r="P218" i="11"/>
  <c r="P217" i="11"/>
  <c r="P216" i="11"/>
  <c r="P211" i="11"/>
  <c r="R211" i="11" s="1"/>
  <c r="U211" i="11" s="1"/>
  <c r="P210" i="11"/>
  <c r="L72" i="2" l="1"/>
  <c r="I37" i="2"/>
  <c r="I38" i="2"/>
  <c r="I59" i="2"/>
  <c r="I81" i="2"/>
  <c r="D81" i="2"/>
  <c r="D80" i="1"/>
  <c r="J64" i="2"/>
  <c r="J53" i="2"/>
  <c r="D83" i="1"/>
  <c r="D84" i="2"/>
  <c r="U250" i="11"/>
  <c r="U255" i="11"/>
  <c r="U268" i="11"/>
  <c r="U282" i="11"/>
  <c r="G53" i="2"/>
  <c r="G64" i="2"/>
  <c r="I69" i="2"/>
  <c r="I73" i="2"/>
  <c r="I77" i="2"/>
  <c r="J89" i="2"/>
  <c r="D71" i="2"/>
  <c r="D70" i="1"/>
  <c r="H70" i="1" s="1"/>
  <c r="U220" i="11"/>
  <c r="U271" i="11"/>
  <c r="U289" i="11"/>
  <c r="U283" i="11"/>
  <c r="I39" i="2"/>
  <c r="U286" i="11"/>
  <c r="U293" i="11"/>
  <c r="G89" i="2"/>
  <c r="H62" i="2"/>
  <c r="L71" i="2"/>
  <c r="K62" i="2"/>
  <c r="K79" i="2"/>
  <c r="K71" i="2"/>
  <c r="I35" i="2"/>
  <c r="L38" i="2"/>
  <c r="L36" i="2"/>
  <c r="I68" i="2"/>
  <c r="I72" i="2"/>
  <c r="I76" i="2"/>
  <c r="L77" i="2"/>
  <c r="I67" i="2"/>
  <c r="I71" i="2"/>
  <c r="I75" i="2"/>
  <c r="I80" i="2"/>
  <c r="L67" i="2"/>
  <c r="L35" i="2"/>
  <c r="L56" i="2"/>
  <c r="L79" i="2"/>
  <c r="K48" i="2"/>
  <c r="L39" i="2"/>
  <c r="L57" i="2"/>
  <c r="L68" i="2"/>
  <c r="L74" i="2"/>
  <c r="I56" i="2"/>
  <c r="I60" i="2"/>
  <c r="L61" i="2"/>
  <c r="L70" i="2"/>
  <c r="L76" i="2"/>
  <c r="I57" i="2"/>
  <c r="Q207" i="11"/>
  <c r="Q303" i="11" s="1"/>
  <c r="P207" i="11"/>
  <c r="P303" i="11" s="1"/>
  <c r="N253" i="11"/>
  <c r="R253" i="11" s="1"/>
  <c r="U253" i="11" s="1"/>
  <c r="N252" i="11"/>
  <c r="R252" i="11" s="1"/>
  <c r="U252" i="11" s="1"/>
  <c r="N251" i="11"/>
  <c r="R251" i="11" s="1"/>
  <c r="U251" i="11" s="1"/>
  <c r="N246" i="11"/>
  <c r="R246" i="11" s="1"/>
  <c r="U246" i="11" s="1"/>
  <c r="N238" i="11"/>
  <c r="R238" i="11" s="1"/>
  <c r="U238" i="11" s="1"/>
  <c r="N236" i="11"/>
  <c r="R236" i="11" s="1"/>
  <c r="U236" i="11" s="1"/>
  <c r="N233" i="11"/>
  <c r="R233" i="11" s="1"/>
  <c r="U233" i="11" s="1"/>
  <c r="N232" i="11"/>
  <c r="R232" i="11" s="1"/>
  <c r="U232" i="11" s="1"/>
  <c r="N231" i="11"/>
  <c r="R231" i="11" s="1"/>
  <c r="U231" i="11" s="1"/>
  <c r="N228" i="11"/>
  <c r="R228" i="11" s="1"/>
  <c r="U228" i="11" s="1"/>
  <c r="N227" i="11"/>
  <c r="R227" i="11" s="1"/>
  <c r="U227" i="11" s="1"/>
  <c r="N226" i="11"/>
  <c r="R226" i="11" s="1"/>
  <c r="U226" i="11" s="1"/>
  <c r="N225" i="11"/>
  <c r="R225" i="11" s="1"/>
  <c r="U225" i="11" s="1"/>
  <c r="N223" i="11"/>
  <c r="R223" i="11" s="1"/>
  <c r="U223" i="11" s="1"/>
  <c r="N218" i="11"/>
  <c r="R218" i="11" s="1"/>
  <c r="U218" i="11" s="1"/>
  <c r="N217" i="11"/>
  <c r="R217" i="11" s="1"/>
  <c r="U217" i="11" s="1"/>
  <c r="N216" i="11"/>
  <c r="R216" i="11" s="1"/>
  <c r="U216" i="11" s="1"/>
  <c r="N215" i="11"/>
  <c r="R215" i="11" s="1"/>
  <c r="U215" i="11" s="1"/>
  <c r="N214" i="11"/>
  <c r="R214" i="11" s="1"/>
  <c r="U214" i="11" s="1"/>
  <c r="N213" i="11"/>
  <c r="R213" i="11" s="1"/>
  <c r="U213" i="11" s="1"/>
  <c r="N212" i="11"/>
  <c r="R212" i="11" s="1"/>
  <c r="U212" i="11" s="1"/>
  <c r="N210" i="11"/>
  <c r="R210" i="11" s="1"/>
  <c r="U210" i="11" s="1"/>
  <c r="N209" i="11"/>
  <c r="R209" i="11" s="1"/>
  <c r="U209" i="11" s="1"/>
  <c r="N208" i="11"/>
  <c r="R208" i="11" s="1"/>
  <c r="U208" i="11" s="1"/>
  <c r="O207" i="11"/>
  <c r="N207" i="11"/>
  <c r="S194" i="11"/>
  <c r="R194" i="11"/>
  <c r="U194" i="11" s="1"/>
  <c r="S193" i="11"/>
  <c r="R193" i="11"/>
  <c r="U193" i="11" s="1"/>
  <c r="S192" i="11"/>
  <c r="R192" i="11"/>
  <c r="S191" i="11"/>
  <c r="R191" i="11"/>
  <c r="U191" i="11" s="1"/>
  <c r="S190" i="11"/>
  <c r="R190" i="11"/>
  <c r="S189" i="11"/>
  <c r="R189" i="11"/>
  <c r="S188" i="11"/>
  <c r="U188" i="11" s="1"/>
  <c r="R188" i="11"/>
  <c r="S187" i="11"/>
  <c r="R187" i="11"/>
  <c r="S186" i="11"/>
  <c r="R186" i="11"/>
  <c r="U185" i="11"/>
  <c r="S185" i="11"/>
  <c r="S184" i="11"/>
  <c r="R184" i="11"/>
  <c r="S183" i="11"/>
  <c r="R183" i="11"/>
  <c r="S182" i="11"/>
  <c r="R182" i="11"/>
  <c r="U182" i="11" s="1"/>
  <c r="U181" i="11"/>
  <c r="S181" i="11"/>
  <c r="R181" i="11"/>
  <c r="S180" i="11"/>
  <c r="U180" i="11" s="1"/>
  <c r="R180" i="11"/>
  <c r="S179" i="11"/>
  <c r="R179" i="11"/>
  <c r="U179" i="11" s="1"/>
  <c r="U177" i="11"/>
  <c r="S177" i="11"/>
  <c r="R177" i="11"/>
  <c r="S176" i="11"/>
  <c r="R176" i="11"/>
  <c r="S175" i="11"/>
  <c r="R175" i="11"/>
  <c r="S174" i="11"/>
  <c r="R174" i="11"/>
  <c r="U174" i="11" s="1"/>
  <c r="U173" i="11"/>
  <c r="S173" i="11"/>
  <c r="R173" i="11"/>
  <c r="S172" i="11"/>
  <c r="U172" i="11" s="1"/>
  <c r="R172" i="11"/>
  <c r="S169" i="11"/>
  <c r="R169" i="11"/>
  <c r="U169" i="11" s="1"/>
  <c r="U161" i="11"/>
  <c r="S161" i="11"/>
  <c r="S160" i="11"/>
  <c r="Q196" i="11"/>
  <c r="P196" i="11"/>
  <c r="P161" i="11"/>
  <c r="R161" i="11" s="1"/>
  <c r="P160" i="11"/>
  <c r="R160" i="11" s="1"/>
  <c r="O196" i="11"/>
  <c r="N196" i="11"/>
  <c r="N185" i="11"/>
  <c r="R185" i="11" s="1"/>
  <c r="N180" i="11"/>
  <c r="U147" i="11"/>
  <c r="S147" i="11"/>
  <c r="R147" i="11"/>
  <c r="S146" i="11"/>
  <c r="U146" i="11" s="1"/>
  <c r="R146" i="11"/>
  <c r="S145" i="11"/>
  <c r="R145" i="11"/>
  <c r="U145" i="11" s="1"/>
  <c r="S144" i="11"/>
  <c r="R144" i="11"/>
  <c r="S143" i="11"/>
  <c r="R143" i="11"/>
  <c r="U143" i="11" s="1"/>
  <c r="S142" i="11"/>
  <c r="U142" i="11" s="1"/>
  <c r="R142" i="11"/>
  <c r="S141" i="11"/>
  <c r="R141" i="11"/>
  <c r="U141" i="11" s="1"/>
  <c r="S140" i="11"/>
  <c r="R140" i="11"/>
  <c r="S139" i="11"/>
  <c r="R139" i="11"/>
  <c r="U139" i="11" s="1"/>
  <c r="S138" i="11"/>
  <c r="R138" i="11"/>
  <c r="S137" i="11"/>
  <c r="R137" i="11"/>
  <c r="U137" i="11" s="1"/>
  <c r="S136" i="11"/>
  <c r="S135" i="11"/>
  <c r="S134" i="11"/>
  <c r="R134" i="11"/>
  <c r="S133" i="11"/>
  <c r="S132" i="11"/>
  <c r="U131" i="11"/>
  <c r="S131" i="11"/>
  <c r="R131" i="11"/>
  <c r="S130" i="11"/>
  <c r="R130" i="11"/>
  <c r="S129" i="11"/>
  <c r="S128" i="11"/>
  <c r="R128" i="11"/>
  <c r="U128" i="11" s="1"/>
  <c r="S127" i="11"/>
  <c r="S126" i="11"/>
  <c r="U126" i="11" s="1"/>
  <c r="R126" i="11"/>
  <c r="S125" i="11"/>
  <c r="R125" i="11"/>
  <c r="U125" i="11" s="1"/>
  <c r="S124" i="11"/>
  <c r="S123" i="11"/>
  <c r="R123" i="11"/>
  <c r="U123" i="11" s="1"/>
  <c r="S122" i="11"/>
  <c r="U122" i="11" s="1"/>
  <c r="R122" i="11"/>
  <c r="S121" i="11"/>
  <c r="R121" i="11"/>
  <c r="U121" i="11" s="1"/>
  <c r="S120" i="11"/>
  <c r="S119" i="11"/>
  <c r="S118" i="11"/>
  <c r="R118" i="11"/>
  <c r="S117" i="11"/>
  <c r="U115" i="11"/>
  <c r="S115" i="11"/>
  <c r="S114" i="11"/>
  <c r="S112" i="11"/>
  <c r="R112" i="11"/>
  <c r="Q149" i="11"/>
  <c r="P143" i="11"/>
  <c r="P135" i="11"/>
  <c r="R135" i="11" s="1"/>
  <c r="U135" i="11" s="1"/>
  <c r="P133" i="11"/>
  <c r="P132" i="11"/>
  <c r="R132" i="11" s="1"/>
  <c r="U132" i="11" s="1"/>
  <c r="P129" i="11"/>
  <c r="R129" i="11" s="1"/>
  <c r="U129" i="11" s="1"/>
  <c r="P128" i="11"/>
  <c r="P127" i="11"/>
  <c r="R127" i="11" s="1"/>
  <c r="U127" i="11" s="1"/>
  <c r="P124" i="11"/>
  <c r="R124" i="11" s="1"/>
  <c r="U124" i="11" s="1"/>
  <c r="P119" i="11"/>
  <c r="R119" i="11" s="1"/>
  <c r="U119" i="11" s="1"/>
  <c r="P118" i="11"/>
  <c r="P117" i="11"/>
  <c r="Q116" i="11"/>
  <c r="S116" i="11" s="1"/>
  <c r="P116" i="11"/>
  <c r="P115" i="11"/>
  <c r="P114" i="11"/>
  <c r="P113" i="11"/>
  <c r="Q112" i="11"/>
  <c r="P112" i="11"/>
  <c r="Q111" i="11"/>
  <c r="P111" i="11"/>
  <c r="P149" i="11" s="1"/>
  <c r="Q110" i="11"/>
  <c r="P110" i="11"/>
  <c r="N136" i="11"/>
  <c r="R136" i="11" s="1"/>
  <c r="U136" i="11" s="1"/>
  <c r="N134" i="11"/>
  <c r="N133" i="11"/>
  <c r="R133" i="11" s="1"/>
  <c r="U133" i="11" s="1"/>
  <c r="N130" i="11"/>
  <c r="N128" i="11"/>
  <c r="N120" i="11"/>
  <c r="R120" i="11" s="1"/>
  <c r="U120" i="11" s="1"/>
  <c r="N117" i="11"/>
  <c r="R117" i="11" s="1"/>
  <c r="U117" i="11" s="1"/>
  <c r="N116" i="11"/>
  <c r="R116" i="11" s="1"/>
  <c r="U116" i="11" s="1"/>
  <c r="N115" i="11"/>
  <c r="R115" i="11" s="1"/>
  <c r="O114" i="11"/>
  <c r="N114" i="11"/>
  <c r="R114" i="11" s="1"/>
  <c r="O113" i="11"/>
  <c r="S113" i="11" s="1"/>
  <c r="N113" i="11"/>
  <c r="N112" i="11"/>
  <c r="O111" i="11"/>
  <c r="S111" i="11" s="1"/>
  <c r="N111" i="11"/>
  <c r="O110" i="11"/>
  <c r="S110" i="11" s="1"/>
  <c r="N110" i="11"/>
  <c r="R110" i="11" s="1"/>
  <c r="U110" i="11" s="1"/>
  <c r="H284" i="11"/>
  <c r="G284" i="11"/>
  <c r="J283" i="11"/>
  <c r="H283" i="11"/>
  <c r="G283" i="11"/>
  <c r="H282" i="11"/>
  <c r="G282" i="11"/>
  <c r="J282" i="11" s="1"/>
  <c r="H281" i="11"/>
  <c r="G281" i="11"/>
  <c r="H280" i="11"/>
  <c r="G280" i="11"/>
  <c r="J280" i="11" s="1"/>
  <c r="J279" i="11"/>
  <c r="H279" i="11"/>
  <c r="G279" i="11"/>
  <c r="H278" i="11"/>
  <c r="G278" i="11"/>
  <c r="H277" i="11"/>
  <c r="G277" i="11"/>
  <c r="H276" i="11"/>
  <c r="G276" i="11"/>
  <c r="H275" i="11"/>
  <c r="G275" i="11"/>
  <c r="J275" i="11" s="1"/>
  <c r="H274" i="11"/>
  <c r="H273" i="11"/>
  <c r="G273" i="11"/>
  <c r="J273" i="11" s="1"/>
  <c r="J272" i="11"/>
  <c r="H272" i="11"/>
  <c r="G272" i="11"/>
  <c r="J271" i="11"/>
  <c r="H271" i="11"/>
  <c r="H270" i="11"/>
  <c r="H269" i="11"/>
  <c r="G269" i="11"/>
  <c r="H268" i="11"/>
  <c r="G268" i="11"/>
  <c r="H267" i="11"/>
  <c r="G267" i="11"/>
  <c r="J267" i="11" s="1"/>
  <c r="H266" i="11"/>
  <c r="G266" i="11"/>
  <c r="H265" i="11"/>
  <c r="J264" i="11"/>
  <c r="H264" i="11"/>
  <c r="G264" i="11"/>
  <c r="H263" i="11"/>
  <c r="J263" i="11" s="1"/>
  <c r="G263" i="11"/>
  <c r="H262" i="11"/>
  <c r="G262" i="11"/>
  <c r="J262" i="11" s="1"/>
  <c r="H261" i="11"/>
  <c r="H260" i="11"/>
  <c r="H259" i="11"/>
  <c r="G259" i="11"/>
  <c r="J259" i="11" s="1"/>
  <c r="H258" i="11"/>
  <c r="H257" i="11"/>
  <c r="G257" i="11"/>
  <c r="J257" i="11" s="1"/>
  <c r="J256" i="11"/>
  <c r="H256" i="11"/>
  <c r="G256" i="11"/>
  <c r="H255" i="11"/>
  <c r="H254" i="11"/>
  <c r="G254" i="11"/>
  <c r="J254" i="11" s="1"/>
  <c r="H253" i="11"/>
  <c r="H252" i="11"/>
  <c r="G252" i="11"/>
  <c r="H251" i="11"/>
  <c r="H250" i="11"/>
  <c r="G250" i="11"/>
  <c r="H249" i="11"/>
  <c r="G249" i="11"/>
  <c r="J249" i="11" s="1"/>
  <c r="H248" i="11"/>
  <c r="J247" i="11"/>
  <c r="H247" i="11"/>
  <c r="G247" i="11"/>
  <c r="H246" i="11"/>
  <c r="G246" i="11"/>
  <c r="J246" i="11" s="1"/>
  <c r="H245" i="11"/>
  <c r="G245" i="11"/>
  <c r="H244" i="11"/>
  <c r="G244" i="11"/>
  <c r="J244" i="11" s="1"/>
  <c r="H243" i="11"/>
  <c r="G243" i="11"/>
  <c r="J243" i="11" s="1"/>
  <c r="H242" i="11"/>
  <c r="H241" i="11"/>
  <c r="G241" i="11"/>
  <c r="J241" i="11" s="1"/>
  <c r="J240" i="11"/>
  <c r="H240" i="11"/>
  <c r="G240" i="11"/>
  <c r="H239" i="11"/>
  <c r="H238" i="11"/>
  <c r="H237" i="11"/>
  <c r="H236" i="11"/>
  <c r="G236" i="11"/>
  <c r="H235" i="11"/>
  <c r="G235" i="11"/>
  <c r="J235" i="11" s="1"/>
  <c r="H234" i="11"/>
  <c r="H233" i="11"/>
  <c r="G233" i="11"/>
  <c r="J233" i="11" s="1"/>
  <c r="J232" i="11"/>
  <c r="H232" i="11"/>
  <c r="G232" i="11"/>
  <c r="J231" i="11"/>
  <c r="H231" i="11"/>
  <c r="G231" i="11"/>
  <c r="H230" i="11"/>
  <c r="H229" i="11"/>
  <c r="H228" i="11"/>
  <c r="G228" i="11"/>
  <c r="H227" i="11"/>
  <c r="G227" i="11"/>
  <c r="J227" i="11" s="1"/>
  <c r="H226" i="11"/>
  <c r="G226" i="11"/>
  <c r="H225" i="11"/>
  <c r="H224" i="11"/>
  <c r="J223" i="11"/>
  <c r="H223" i="11"/>
  <c r="H222" i="11"/>
  <c r="G222" i="11"/>
  <c r="J222" i="11" s="1"/>
  <c r="H221" i="11"/>
  <c r="H220" i="11"/>
  <c r="H219" i="11"/>
  <c r="G219" i="11"/>
  <c r="J219" i="11" s="1"/>
  <c r="H218" i="11"/>
  <c r="H217" i="11"/>
  <c r="J216" i="11"/>
  <c r="H216" i="11"/>
  <c r="H215" i="11"/>
  <c r="G214" i="11"/>
  <c r="J214" i="11" s="1"/>
  <c r="H213" i="11"/>
  <c r="H212" i="11"/>
  <c r="H211" i="11"/>
  <c r="H210" i="11"/>
  <c r="H209" i="11"/>
  <c r="G209" i="11"/>
  <c r="J209" i="11" s="1"/>
  <c r="H208" i="11"/>
  <c r="H207" i="11"/>
  <c r="J207" i="11" s="1"/>
  <c r="G207" i="11"/>
  <c r="E243" i="11"/>
  <c r="F286" i="11"/>
  <c r="E265" i="11"/>
  <c r="G265" i="11" s="1"/>
  <c r="J265" i="11" s="1"/>
  <c r="E259" i="11"/>
  <c r="E254" i="11"/>
  <c r="E251" i="11"/>
  <c r="G251" i="11" s="1"/>
  <c r="J251" i="11" s="1"/>
  <c r="E248" i="11"/>
  <c r="E242" i="11"/>
  <c r="G242" i="11" s="1"/>
  <c r="J242" i="11" s="1"/>
  <c r="E239" i="11"/>
  <c r="E237" i="11"/>
  <c r="E234" i="11"/>
  <c r="E227" i="11"/>
  <c r="E225" i="11"/>
  <c r="E223" i="11"/>
  <c r="E220" i="11"/>
  <c r="E219" i="11"/>
  <c r="E217" i="11"/>
  <c r="E216" i="11"/>
  <c r="G216" i="11" s="1"/>
  <c r="E215" i="11"/>
  <c r="F214" i="11"/>
  <c r="H214" i="11" s="1"/>
  <c r="E214" i="11"/>
  <c r="E213" i="11"/>
  <c r="E212" i="11"/>
  <c r="G212" i="11" s="1"/>
  <c r="J212" i="11" s="1"/>
  <c r="E211" i="11"/>
  <c r="E210" i="11"/>
  <c r="E209" i="11"/>
  <c r="E208" i="11"/>
  <c r="F207" i="11"/>
  <c r="E207" i="11"/>
  <c r="D286" i="11"/>
  <c r="C274" i="11"/>
  <c r="G274" i="11" s="1"/>
  <c r="C273" i="11"/>
  <c r="C271" i="11"/>
  <c r="G271" i="11" s="1"/>
  <c r="C270" i="11"/>
  <c r="G270" i="11" s="1"/>
  <c r="J270" i="11" s="1"/>
  <c r="C268" i="11"/>
  <c r="C265" i="11"/>
  <c r="C261" i="11"/>
  <c r="G261" i="11" s="1"/>
  <c r="C260" i="11"/>
  <c r="G260" i="11" s="1"/>
  <c r="J260" i="11" s="1"/>
  <c r="C258" i="11"/>
  <c r="G258" i="11" s="1"/>
  <c r="J258" i="11" s="1"/>
  <c r="C255" i="11"/>
  <c r="G255" i="11" s="1"/>
  <c r="C253" i="11"/>
  <c r="G253" i="11" s="1"/>
  <c r="J253" i="11" s="1"/>
  <c r="C248" i="11"/>
  <c r="G248" i="11" s="1"/>
  <c r="J248" i="11" s="1"/>
  <c r="C246" i="11"/>
  <c r="C243" i="11"/>
  <c r="C239" i="11"/>
  <c r="G239" i="11" s="1"/>
  <c r="J239" i="11" s="1"/>
  <c r="C238" i="11"/>
  <c r="G238" i="11" s="1"/>
  <c r="J238" i="11" s="1"/>
  <c r="C237" i="11"/>
  <c r="G237" i="11" s="1"/>
  <c r="J237" i="11" s="1"/>
  <c r="C234" i="11"/>
  <c r="C233" i="11"/>
  <c r="C230" i="11"/>
  <c r="G230" i="11" s="1"/>
  <c r="J230" i="11" s="1"/>
  <c r="C229" i="11"/>
  <c r="G229" i="11" s="1"/>
  <c r="J229" i="11" s="1"/>
  <c r="C228" i="11"/>
  <c r="C225" i="11"/>
  <c r="G225" i="11" s="1"/>
  <c r="J225" i="11" s="1"/>
  <c r="C224" i="11"/>
  <c r="G224" i="11" s="1"/>
  <c r="J224" i="11" s="1"/>
  <c r="C223" i="11"/>
  <c r="G223" i="11" s="1"/>
  <c r="C222" i="11"/>
  <c r="C221" i="11"/>
  <c r="G221" i="11" s="1"/>
  <c r="C220" i="11"/>
  <c r="G220" i="11" s="1"/>
  <c r="J220" i="11" s="1"/>
  <c r="C219" i="11"/>
  <c r="C218" i="11"/>
  <c r="G218" i="11" s="1"/>
  <c r="J218" i="11" s="1"/>
  <c r="C217" i="11"/>
  <c r="G217" i="11" s="1"/>
  <c r="J217" i="11" s="1"/>
  <c r="C215" i="11"/>
  <c r="G215" i="11" s="1"/>
  <c r="J215" i="11" s="1"/>
  <c r="C213" i="11"/>
  <c r="G213" i="11" s="1"/>
  <c r="J213" i="11" s="1"/>
  <c r="C212" i="11"/>
  <c r="C211" i="11"/>
  <c r="G211" i="11" s="1"/>
  <c r="J211" i="11" s="1"/>
  <c r="C210" i="11"/>
  <c r="G210" i="11" s="1"/>
  <c r="J210" i="11" s="1"/>
  <c r="C209" i="11"/>
  <c r="C208" i="11"/>
  <c r="H184" i="11"/>
  <c r="G184" i="11"/>
  <c r="J184" i="11" s="1"/>
  <c r="H200" i="11"/>
  <c r="G200" i="11"/>
  <c r="J200" i="11" s="1"/>
  <c r="H199" i="11"/>
  <c r="G199" i="11"/>
  <c r="J199" i="11" s="1"/>
  <c r="H198" i="11"/>
  <c r="J198" i="11" s="1"/>
  <c r="G198" i="11"/>
  <c r="H197" i="11"/>
  <c r="G197" i="11"/>
  <c r="J197" i="11" s="1"/>
  <c r="H196" i="11"/>
  <c r="G196" i="11"/>
  <c r="H195" i="11"/>
  <c r="G195" i="11"/>
  <c r="J195" i="11" s="1"/>
  <c r="H194" i="11"/>
  <c r="J194" i="11" s="1"/>
  <c r="G194" i="11"/>
  <c r="H193" i="11"/>
  <c r="G193" i="11"/>
  <c r="J193" i="11" s="1"/>
  <c r="H192" i="11"/>
  <c r="G192" i="11"/>
  <c r="H191" i="11"/>
  <c r="J191" i="11" s="1"/>
  <c r="G191" i="11"/>
  <c r="H190" i="11"/>
  <c r="G190" i="11"/>
  <c r="H189" i="11"/>
  <c r="G189" i="11"/>
  <c r="H188" i="11"/>
  <c r="G188" i="11"/>
  <c r="J188" i="11" s="1"/>
  <c r="J187" i="11"/>
  <c r="H187" i="11"/>
  <c r="G187" i="11"/>
  <c r="H186" i="11"/>
  <c r="G186" i="11"/>
  <c r="H185" i="11"/>
  <c r="G185" i="11"/>
  <c r="J183" i="11"/>
  <c r="H183" i="11"/>
  <c r="H182" i="11"/>
  <c r="J182" i="11" s="1"/>
  <c r="G182" i="11"/>
  <c r="H181" i="11"/>
  <c r="G181" i="11"/>
  <c r="H180" i="11"/>
  <c r="G180" i="11"/>
  <c r="H179" i="11"/>
  <c r="G179" i="11"/>
  <c r="J179" i="11" s="1"/>
  <c r="H178" i="11"/>
  <c r="J178" i="11" s="1"/>
  <c r="G178" i="11"/>
  <c r="H174" i="11"/>
  <c r="G174" i="11"/>
  <c r="H173" i="11"/>
  <c r="G173" i="11"/>
  <c r="H172" i="11"/>
  <c r="G172" i="11"/>
  <c r="J172" i="11" s="1"/>
  <c r="H170" i="11"/>
  <c r="J170" i="11" s="1"/>
  <c r="G170" i="11"/>
  <c r="H169" i="11"/>
  <c r="G169" i="11"/>
  <c r="J169" i="11" s="1"/>
  <c r="H168" i="11"/>
  <c r="H167" i="11"/>
  <c r="H166" i="11"/>
  <c r="H165" i="11"/>
  <c r="G165" i="11"/>
  <c r="H164" i="11"/>
  <c r="H163" i="11"/>
  <c r="H162" i="11"/>
  <c r="G162" i="11"/>
  <c r="H161" i="11"/>
  <c r="H160" i="11"/>
  <c r="G160" i="11"/>
  <c r="F202" i="11"/>
  <c r="E183" i="11"/>
  <c r="G183" i="11" s="1"/>
  <c r="E168" i="11"/>
  <c r="G168" i="11" s="1"/>
  <c r="E167" i="11"/>
  <c r="D184" i="11"/>
  <c r="C167" i="11"/>
  <c r="G167" i="11" s="1"/>
  <c r="J167" i="11" s="1"/>
  <c r="C166" i="11"/>
  <c r="G166" i="11" s="1"/>
  <c r="C165" i="11"/>
  <c r="C164" i="11"/>
  <c r="G164" i="11" s="1"/>
  <c r="J164" i="11" s="1"/>
  <c r="C163" i="11"/>
  <c r="C161" i="11"/>
  <c r="G161" i="11" s="1"/>
  <c r="J161" i="11" s="1"/>
  <c r="H153" i="11"/>
  <c r="J153" i="11" s="1"/>
  <c r="G153" i="11"/>
  <c r="H152" i="11"/>
  <c r="G152" i="11"/>
  <c r="J152" i="11" s="1"/>
  <c r="H151" i="11"/>
  <c r="G151" i="11"/>
  <c r="H150" i="11"/>
  <c r="G150" i="11"/>
  <c r="J150" i="11" s="1"/>
  <c r="H149" i="11"/>
  <c r="J149" i="11" s="1"/>
  <c r="G149" i="11"/>
  <c r="H148" i="11"/>
  <c r="G148" i="11"/>
  <c r="J148" i="11" s="1"/>
  <c r="H147" i="11"/>
  <c r="G147" i="11"/>
  <c r="H146" i="11"/>
  <c r="J146" i="11" s="1"/>
  <c r="G146" i="11"/>
  <c r="H145" i="11"/>
  <c r="G145" i="11"/>
  <c r="H144" i="11"/>
  <c r="G144" i="11"/>
  <c r="H143" i="11"/>
  <c r="G143" i="11"/>
  <c r="J143" i="11" s="1"/>
  <c r="J142" i="11"/>
  <c r="H142" i="11"/>
  <c r="G142" i="11"/>
  <c r="H141" i="11"/>
  <c r="G141" i="11"/>
  <c r="H140" i="11"/>
  <c r="G140" i="11"/>
  <c r="H139" i="11"/>
  <c r="G139" i="11"/>
  <c r="J139" i="11" s="1"/>
  <c r="H138" i="11"/>
  <c r="G138" i="11"/>
  <c r="J138" i="11" s="1"/>
  <c r="H137" i="11"/>
  <c r="H136" i="11"/>
  <c r="G136" i="11"/>
  <c r="J136" i="11" s="1"/>
  <c r="H135" i="11"/>
  <c r="G135" i="11"/>
  <c r="H134" i="11"/>
  <c r="H133" i="11"/>
  <c r="J133" i="11" s="1"/>
  <c r="G133" i="11"/>
  <c r="H132" i="11"/>
  <c r="G132" i="11"/>
  <c r="H131" i="11"/>
  <c r="H130" i="11"/>
  <c r="J130" i="11" s="1"/>
  <c r="G130" i="11"/>
  <c r="H129" i="11"/>
  <c r="G129" i="11"/>
  <c r="H127" i="11"/>
  <c r="H126" i="11"/>
  <c r="G126" i="11"/>
  <c r="J126" i="11" s="1"/>
  <c r="H125" i="11"/>
  <c r="H124" i="11"/>
  <c r="H123" i="11"/>
  <c r="H122" i="11"/>
  <c r="J122" i="11" s="1"/>
  <c r="G122" i="11"/>
  <c r="H118" i="11"/>
  <c r="G117" i="11"/>
  <c r="H116" i="11"/>
  <c r="H115" i="11"/>
  <c r="G114" i="11"/>
  <c r="J114" i="11" s="1"/>
  <c r="H113" i="11"/>
  <c r="J113" i="11" s="1"/>
  <c r="G113" i="11"/>
  <c r="H111" i="11"/>
  <c r="G111" i="11"/>
  <c r="H110" i="11"/>
  <c r="G110" i="11"/>
  <c r="E124" i="11"/>
  <c r="G124" i="11" s="1"/>
  <c r="J124" i="11" s="1"/>
  <c r="F121" i="11"/>
  <c r="H121" i="11" s="1"/>
  <c r="E121" i="11"/>
  <c r="E119" i="11"/>
  <c r="E118" i="11"/>
  <c r="G118" i="11" s="1"/>
  <c r="J118" i="11" s="1"/>
  <c r="E116" i="11"/>
  <c r="F115" i="11"/>
  <c r="E115" i="11"/>
  <c r="F114" i="11"/>
  <c r="H114" i="11" s="1"/>
  <c r="E114" i="11"/>
  <c r="F113" i="11"/>
  <c r="E113" i="11"/>
  <c r="F112" i="11"/>
  <c r="E112" i="11"/>
  <c r="F111" i="11"/>
  <c r="E111" i="11"/>
  <c r="F110" i="11"/>
  <c r="F155" i="11" s="1"/>
  <c r="E110" i="11"/>
  <c r="C137" i="11"/>
  <c r="G137" i="11" s="1"/>
  <c r="C134" i="11"/>
  <c r="G134" i="11" s="1"/>
  <c r="C132" i="11"/>
  <c r="C131" i="11"/>
  <c r="G131" i="11" s="1"/>
  <c r="J131" i="11" s="1"/>
  <c r="C127" i="11"/>
  <c r="G127" i="11" s="1"/>
  <c r="J127" i="11" s="1"/>
  <c r="C125" i="11"/>
  <c r="G125" i="11" s="1"/>
  <c r="C123" i="11"/>
  <c r="G123" i="11" s="1"/>
  <c r="J123" i="11" s="1"/>
  <c r="C122" i="11"/>
  <c r="C121" i="11"/>
  <c r="G121" i="11" s="1"/>
  <c r="D120" i="11"/>
  <c r="H120" i="11" s="1"/>
  <c r="C120" i="11"/>
  <c r="G120" i="11" s="1"/>
  <c r="J120" i="11" s="1"/>
  <c r="D119" i="11"/>
  <c r="H119" i="11" s="1"/>
  <c r="C119" i="11"/>
  <c r="G119" i="11" s="1"/>
  <c r="J119" i="11" s="1"/>
  <c r="D117" i="11"/>
  <c r="H117" i="11" s="1"/>
  <c r="C117" i="11"/>
  <c r="D116" i="11"/>
  <c r="C116" i="11"/>
  <c r="G116" i="11" s="1"/>
  <c r="J116" i="11" s="1"/>
  <c r="C115" i="11"/>
  <c r="G115" i="11" s="1"/>
  <c r="D113" i="11"/>
  <c r="C113" i="11"/>
  <c r="D112" i="11"/>
  <c r="H112" i="11" s="1"/>
  <c r="C112" i="11"/>
  <c r="G112" i="11" s="1"/>
  <c r="D111" i="11"/>
  <c r="C111" i="11"/>
  <c r="D9" i="11"/>
  <c r="C9" i="11"/>
  <c r="C6" i="11"/>
  <c r="D6" i="11"/>
  <c r="D5" i="11"/>
  <c r="C5" i="11"/>
  <c r="D4" i="11"/>
  <c r="C4" i="11"/>
  <c r="D3" i="11"/>
  <c r="C3" i="11"/>
  <c r="G25" i="1"/>
  <c r="J26" i="2" s="1"/>
  <c r="G20" i="1"/>
  <c r="J21" i="2" s="1"/>
  <c r="D25" i="1"/>
  <c r="R6" i="11"/>
  <c r="U6" i="11" s="1"/>
  <c r="P35" i="11"/>
  <c r="P34" i="11"/>
  <c r="P33" i="11"/>
  <c r="Q32" i="11"/>
  <c r="P32" i="11"/>
  <c r="P29" i="11"/>
  <c r="P28" i="11"/>
  <c r="Q26" i="11"/>
  <c r="P26" i="11"/>
  <c r="P25" i="11"/>
  <c r="Q25" i="11"/>
  <c r="Q24" i="11"/>
  <c r="P24" i="11"/>
  <c r="Q23" i="11"/>
  <c r="P23" i="11"/>
  <c r="Q22" i="11"/>
  <c r="P22" i="11"/>
  <c r="Q20" i="11"/>
  <c r="P20" i="11"/>
  <c r="Q19" i="11"/>
  <c r="P19" i="11"/>
  <c r="Q18" i="11"/>
  <c r="S18" i="11" s="1"/>
  <c r="G22" i="1" s="1"/>
  <c r="J23" i="2" s="1"/>
  <c r="P18" i="11"/>
  <c r="R18" i="11" s="1"/>
  <c r="U18" i="11" s="1"/>
  <c r="Q17" i="11"/>
  <c r="P17" i="11"/>
  <c r="Q16" i="11"/>
  <c r="P16" i="11"/>
  <c r="Q15" i="11"/>
  <c r="P15" i="11"/>
  <c r="Q14" i="11"/>
  <c r="P14" i="11"/>
  <c r="R14" i="11" s="1"/>
  <c r="U14" i="11" s="1"/>
  <c r="Q13" i="11"/>
  <c r="P13" i="11"/>
  <c r="Q12" i="11"/>
  <c r="P12" i="11"/>
  <c r="R12" i="11" s="1"/>
  <c r="U12" i="11" s="1"/>
  <c r="Q11" i="11"/>
  <c r="P11" i="11"/>
  <c r="Q10" i="11"/>
  <c r="P10" i="11"/>
  <c r="Q9" i="11"/>
  <c r="P9" i="11"/>
  <c r="Q8" i="11"/>
  <c r="P8" i="11"/>
  <c r="Q7" i="11"/>
  <c r="P7" i="11"/>
  <c r="Q6" i="11"/>
  <c r="P6" i="11"/>
  <c r="Q5" i="11"/>
  <c r="P5" i="11"/>
  <c r="Q4" i="11"/>
  <c r="P4" i="11"/>
  <c r="R4" i="11" s="1"/>
  <c r="U4" i="11" s="1"/>
  <c r="Q3" i="11"/>
  <c r="P3" i="11"/>
  <c r="N14" i="11"/>
  <c r="N40" i="11"/>
  <c r="O38" i="11"/>
  <c r="N38" i="11"/>
  <c r="N37" i="11"/>
  <c r="O36" i="11"/>
  <c r="N36" i="11"/>
  <c r="O35" i="11"/>
  <c r="N35" i="11"/>
  <c r="O33" i="11"/>
  <c r="N33" i="11"/>
  <c r="O28" i="11"/>
  <c r="N28" i="11"/>
  <c r="O24" i="11"/>
  <c r="N24" i="11"/>
  <c r="O23" i="11"/>
  <c r="N23" i="11"/>
  <c r="O22" i="11"/>
  <c r="S22" i="11" s="1"/>
  <c r="G26" i="1" s="1"/>
  <c r="J27" i="2" s="1"/>
  <c r="N22" i="11"/>
  <c r="R22" i="11" s="1"/>
  <c r="U22" i="11" s="1"/>
  <c r="O21" i="11"/>
  <c r="S21" i="11" s="1"/>
  <c r="N21" i="11"/>
  <c r="R21" i="11" s="1"/>
  <c r="U21" i="11" s="1"/>
  <c r="D26" i="2" s="1"/>
  <c r="F26" i="2" s="1"/>
  <c r="O20" i="11"/>
  <c r="S20" i="11" s="1"/>
  <c r="G24" i="1" s="1"/>
  <c r="J25" i="2" s="1"/>
  <c r="N20" i="11"/>
  <c r="O19" i="11"/>
  <c r="N19" i="11"/>
  <c r="R19" i="11" s="1"/>
  <c r="O17" i="11"/>
  <c r="S17" i="11" s="1"/>
  <c r="G21" i="1" s="1"/>
  <c r="J22" i="2" s="1"/>
  <c r="N17" i="11"/>
  <c r="R17" i="11" s="1"/>
  <c r="O16" i="11"/>
  <c r="S16" i="11" s="1"/>
  <c r="N16" i="11"/>
  <c r="O15" i="11"/>
  <c r="S15" i="11" s="1"/>
  <c r="G19" i="1" s="1"/>
  <c r="J20" i="2" s="1"/>
  <c r="N15" i="11"/>
  <c r="R15" i="11" s="1"/>
  <c r="O14" i="11"/>
  <c r="S14" i="11" s="1"/>
  <c r="G18" i="1" s="1"/>
  <c r="J19" i="2" s="1"/>
  <c r="O13" i="11"/>
  <c r="N13" i="11"/>
  <c r="R13" i="11" s="1"/>
  <c r="O12" i="11"/>
  <c r="S12" i="11" s="1"/>
  <c r="G16" i="1" s="1"/>
  <c r="J17" i="2" s="1"/>
  <c r="N12" i="11"/>
  <c r="O11" i="11"/>
  <c r="N11" i="11"/>
  <c r="R11" i="11" s="1"/>
  <c r="O10" i="11"/>
  <c r="S10" i="11" s="1"/>
  <c r="G14" i="1" s="1"/>
  <c r="J15" i="2" s="1"/>
  <c r="N10" i="11"/>
  <c r="O9" i="11"/>
  <c r="N9" i="11"/>
  <c r="R9" i="11" s="1"/>
  <c r="O8" i="11"/>
  <c r="S8" i="11" s="1"/>
  <c r="G12" i="1" s="1"/>
  <c r="J13" i="2" s="1"/>
  <c r="N8" i="11"/>
  <c r="O7" i="11"/>
  <c r="N7" i="11"/>
  <c r="R7" i="11" s="1"/>
  <c r="O6" i="11"/>
  <c r="S6" i="11" s="1"/>
  <c r="G10" i="1" s="1"/>
  <c r="J11" i="2" s="1"/>
  <c r="N6" i="11"/>
  <c r="O5" i="11"/>
  <c r="N5" i="11"/>
  <c r="R5" i="11" s="1"/>
  <c r="O4" i="11"/>
  <c r="S4" i="11" s="1"/>
  <c r="G8" i="1" s="1"/>
  <c r="J9" i="2" s="1"/>
  <c r="N4" i="11"/>
  <c r="O3" i="11"/>
  <c r="N3" i="11"/>
  <c r="R3" i="11" s="1"/>
  <c r="D19" i="2" l="1"/>
  <c r="F19" i="2" s="1"/>
  <c r="L19" i="2" s="1"/>
  <c r="D18" i="1"/>
  <c r="C75" i="2"/>
  <c r="H75" i="2" s="1"/>
  <c r="C74" i="1"/>
  <c r="F74" i="1" s="1"/>
  <c r="C84" i="2"/>
  <c r="C83" i="1"/>
  <c r="F83" i="1" s="1"/>
  <c r="C44" i="2"/>
  <c r="C43" i="1"/>
  <c r="F43" i="1" s="1"/>
  <c r="C80" i="2"/>
  <c r="H80" i="2" s="1"/>
  <c r="C79" i="1"/>
  <c r="F79" i="1" s="1"/>
  <c r="D27" i="2"/>
  <c r="F27" i="2" s="1"/>
  <c r="L27" i="2" s="1"/>
  <c r="D26" i="1"/>
  <c r="D11" i="2"/>
  <c r="F11" i="2" s="1"/>
  <c r="D10" i="1"/>
  <c r="G155" i="11"/>
  <c r="C70" i="2"/>
  <c r="H70" i="2" s="1"/>
  <c r="C69" i="1"/>
  <c r="F69" i="1" s="1"/>
  <c r="C286" i="11"/>
  <c r="C67" i="2"/>
  <c r="H67" i="2" s="1"/>
  <c r="C66" i="1"/>
  <c r="F66" i="1" s="1"/>
  <c r="C74" i="2"/>
  <c r="H74" i="2" s="1"/>
  <c r="C73" i="1"/>
  <c r="F73" i="1" s="1"/>
  <c r="D9" i="2"/>
  <c r="F9" i="2" s="1"/>
  <c r="D8" i="1"/>
  <c r="D23" i="2"/>
  <c r="F23" i="2" s="1"/>
  <c r="D22" i="1"/>
  <c r="U15" i="11"/>
  <c r="C39" i="2"/>
  <c r="H39" i="2" s="1"/>
  <c r="C38" i="1"/>
  <c r="F38" i="1" s="1"/>
  <c r="C47" i="2"/>
  <c r="C46" i="1"/>
  <c r="J168" i="11"/>
  <c r="H202" i="11"/>
  <c r="C70" i="1"/>
  <c r="F70" i="1" s="1"/>
  <c r="C71" i="2"/>
  <c r="H71" i="2" s="1"/>
  <c r="C77" i="2"/>
  <c r="H77" i="2" s="1"/>
  <c r="C76" i="1"/>
  <c r="F76" i="1" s="1"/>
  <c r="C84" i="1"/>
  <c r="F84" i="1" s="1"/>
  <c r="C85" i="2"/>
  <c r="N149" i="11"/>
  <c r="D41" i="2"/>
  <c r="D40" i="1"/>
  <c r="H40" i="1" s="1"/>
  <c r="O149" i="11"/>
  <c r="D39" i="1"/>
  <c r="H39" i="1" s="1"/>
  <c r="D40" i="2"/>
  <c r="L9" i="2"/>
  <c r="L11" i="2"/>
  <c r="C41" i="2"/>
  <c r="C40" i="1"/>
  <c r="F40" i="1" s="1"/>
  <c r="H155" i="11"/>
  <c r="C72" i="2"/>
  <c r="H72" i="2" s="1"/>
  <c r="C71" i="1"/>
  <c r="F71" i="1" s="1"/>
  <c r="C76" i="2"/>
  <c r="H76" i="2" s="1"/>
  <c r="C75" i="1"/>
  <c r="F75" i="1" s="1"/>
  <c r="K27" i="2"/>
  <c r="D17" i="2"/>
  <c r="F17" i="2" s="1"/>
  <c r="L17" i="2" s="1"/>
  <c r="D16" i="1"/>
  <c r="K26" i="2"/>
  <c r="L26" i="2"/>
  <c r="D155" i="11"/>
  <c r="C45" i="2"/>
  <c r="C44" i="1"/>
  <c r="F44" i="1" s="1"/>
  <c r="C43" i="2"/>
  <c r="C42" i="1"/>
  <c r="G163" i="11"/>
  <c r="J163" i="11" s="1"/>
  <c r="C184" i="11"/>
  <c r="G208" i="11"/>
  <c r="C78" i="2"/>
  <c r="H78" i="2" s="1"/>
  <c r="C77" i="1"/>
  <c r="F77" i="1" s="1"/>
  <c r="G234" i="11"/>
  <c r="J234" i="11" s="1"/>
  <c r="J255" i="11"/>
  <c r="C69" i="2"/>
  <c r="H69" i="2" s="1"/>
  <c r="C68" i="1"/>
  <c r="F68" i="1" s="1"/>
  <c r="H286" i="11"/>
  <c r="D42" i="2"/>
  <c r="D41" i="1"/>
  <c r="H41" i="1" s="1"/>
  <c r="R8" i="11"/>
  <c r="U8" i="11" s="1"/>
  <c r="R10" i="11"/>
  <c r="U10" i="11" s="1"/>
  <c r="K19" i="2"/>
  <c r="J112" i="11"/>
  <c r="J115" i="11"/>
  <c r="J117" i="11"/>
  <c r="J134" i="11"/>
  <c r="C78" i="1"/>
  <c r="C79" i="2"/>
  <c r="D35" i="2"/>
  <c r="K35" i="2" s="1"/>
  <c r="D34" i="1"/>
  <c r="H34" i="1" s="1"/>
  <c r="D43" i="1"/>
  <c r="D44" i="2"/>
  <c r="D46" i="2"/>
  <c r="D45" i="1"/>
  <c r="D57" i="2"/>
  <c r="K57" i="2" s="1"/>
  <c r="D56" i="1"/>
  <c r="H56" i="1" s="1"/>
  <c r="K23" i="2"/>
  <c r="L23" i="2"/>
  <c r="C155" i="11"/>
  <c r="E155" i="11"/>
  <c r="J121" i="11"/>
  <c r="C38" i="2"/>
  <c r="H38" i="2" s="1"/>
  <c r="C37" i="1"/>
  <c r="F37" i="1" s="1"/>
  <c r="J132" i="11"/>
  <c r="C58" i="2"/>
  <c r="H58" i="2" s="1"/>
  <c r="C57" i="1"/>
  <c r="F57" i="1" s="1"/>
  <c r="C73" i="2"/>
  <c r="H73" i="2" s="1"/>
  <c r="C72" i="1"/>
  <c r="F72" i="1" s="1"/>
  <c r="J274" i="11"/>
  <c r="D45" i="2"/>
  <c r="K45" i="2" s="1"/>
  <c r="D44" i="1"/>
  <c r="H44" i="1" s="1"/>
  <c r="U130" i="11"/>
  <c r="R196" i="11"/>
  <c r="S196" i="11"/>
  <c r="D61" i="2"/>
  <c r="K61" i="2" s="1"/>
  <c r="D60" i="1"/>
  <c r="H60" i="1" s="1"/>
  <c r="K11" i="2"/>
  <c r="S149" i="11"/>
  <c r="R113" i="11"/>
  <c r="U113" i="11" s="1"/>
  <c r="R111" i="11"/>
  <c r="U114" i="11"/>
  <c r="U160" i="11"/>
  <c r="U187" i="11"/>
  <c r="U189" i="11"/>
  <c r="R207" i="11"/>
  <c r="N283" i="11"/>
  <c r="D69" i="1"/>
  <c r="H69" i="1" s="1"/>
  <c r="D70" i="2"/>
  <c r="K70" i="2" s="1"/>
  <c r="D75" i="2"/>
  <c r="D74" i="1"/>
  <c r="D83" i="2"/>
  <c r="D82" i="1"/>
  <c r="H82" i="1" s="1"/>
  <c r="C83" i="2"/>
  <c r="C82" i="1"/>
  <c r="F82" i="1" s="1"/>
  <c r="U17" i="11"/>
  <c r="R20" i="11"/>
  <c r="U20" i="11" s="1"/>
  <c r="Q72" i="11"/>
  <c r="J110" i="11"/>
  <c r="J137" i="11"/>
  <c r="J141" i="11"/>
  <c r="C57" i="2"/>
  <c r="H57" i="2" s="1"/>
  <c r="C56" i="1"/>
  <c r="F56" i="1" s="1"/>
  <c r="E202" i="11"/>
  <c r="G202" i="11"/>
  <c r="J160" i="11"/>
  <c r="J165" i="11"/>
  <c r="J180" i="11"/>
  <c r="J186" i="11"/>
  <c r="J221" i="11"/>
  <c r="J261" i="11"/>
  <c r="C82" i="2"/>
  <c r="C81" i="1"/>
  <c r="J228" i="11"/>
  <c r="J236" i="11"/>
  <c r="J252" i="11"/>
  <c r="J268" i="11"/>
  <c r="J276" i="11"/>
  <c r="J278" i="11"/>
  <c r="U112" i="11"/>
  <c r="U144" i="11"/>
  <c r="S207" i="11"/>
  <c r="S303" i="11" s="1"/>
  <c r="O283" i="11"/>
  <c r="D71" i="1"/>
  <c r="H71" i="1" s="1"/>
  <c r="D72" i="2"/>
  <c r="K72" i="2" s="1"/>
  <c r="D75" i="1"/>
  <c r="H75" i="1" s="1"/>
  <c r="D76" i="2"/>
  <c r="K76" i="2" s="1"/>
  <c r="D85" i="2"/>
  <c r="D84" i="1"/>
  <c r="H84" i="1" s="1"/>
  <c r="D79" i="1"/>
  <c r="D80" i="2"/>
  <c r="S3" i="11"/>
  <c r="G7" i="1" s="1"/>
  <c r="S5" i="11"/>
  <c r="G9" i="1" s="1"/>
  <c r="J10" i="2" s="1"/>
  <c r="S7" i="11"/>
  <c r="G11" i="1" s="1"/>
  <c r="J12" i="2" s="1"/>
  <c r="S9" i="11"/>
  <c r="G13" i="1" s="1"/>
  <c r="J14" i="2" s="1"/>
  <c r="S11" i="11"/>
  <c r="S13" i="11"/>
  <c r="G17" i="1" s="1"/>
  <c r="J18" i="2" s="1"/>
  <c r="R16" i="11"/>
  <c r="U16" i="11" s="1"/>
  <c r="R72" i="11"/>
  <c r="J129" i="11"/>
  <c r="J140" i="11"/>
  <c r="J145" i="11"/>
  <c r="J147" i="11"/>
  <c r="J162" i="11"/>
  <c r="J174" i="11"/>
  <c r="J181" i="11"/>
  <c r="J185" i="11"/>
  <c r="J190" i="11"/>
  <c r="J192" i="11"/>
  <c r="E286" i="11"/>
  <c r="J277" i="11"/>
  <c r="J284" i="11"/>
  <c r="U118" i="11"/>
  <c r="U134" i="11"/>
  <c r="U176" i="11"/>
  <c r="U184" i="11"/>
  <c r="U186" i="11"/>
  <c r="D67" i="1"/>
  <c r="H67" i="1" s="1"/>
  <c r="D68" i="2"/>
  <c r="K68" i="2" s="1"/>
  <c r="D73" i="2"/>
  <c r="D72" i="1"/>
  <c r="D77" i="2"/>
  <c r="K77" i="2" s="1"/>
  <c r="D76" i="1"/>
  <c r="H76" i="1" s="1"/>
  <c r="D85" i="1"/>
  <c r="D86" i="2"/>
  <c r="S19" i="11"/>
  <c r="S72" i="11"/>
  <c r="G27" i="1" s="1"/>
  <c r="J28" i="2" s="1"/>
  <c r="P72" i="11"/>
  <c r="J111" i="11"/>
  <c r="J125" i="11"/>
  <c r="J135" i="11"/>
  <c r="J144" i="11"/>
  <c r="J151" i="11"/>
  <c r="J166" i="11"/>
  <c r="J173" i="11"/>
  <c r="J189" i="11"/>
  <c r="J196" i="11"/>
  <c r="J226" i="11"/>
  <c r="J245" i="11"/>
  <c r="J250" i="11"/>
  <c r="J266" i="11"/>
  <c r="J269" i="11"/>
  <c r="J281" i="11"/>
  <c r="D47" i="2"/>
  <c r="D46" i="1"/>
  <c r="U138" i="11"/>
  <c r="U140" i="11"/>
  <c r="U175" i="11"/>
  <c r="U183" i="11"/>
  <c r="U190" i="11"/>
  <c r="U192" i="11"/>
  <c r="D69" i="2"/>
  <c r="D68" i="1"/>
  <c r="D74" i="2"/>
  <c r="K74" i="2" s="1"/>
  <c r="D73" i="1"/>
  <c r="H73" i="1" s="1"/>
  <c r="D77" i="1"/>
  <c r="D78" i="2"/>
  <c r="H25" i="1"/>
  <c r="H10" i="1"/>
  <c r="H18" i="1"/>
  <c r="H22" i="1"/>
  <c r="H26" i="1"/>
  <c r="H8" i="1"/>
  <c r="H16" i="1"/>
  <c r="N72" i="11"/>
  <c r="O72" i="11"/>
  <c r="H103" i="11"/>
  <c r="G103" i="11"/>
  <c r="H102" i="11"/>
  <c r="G102" i="11"/>
  <c r="H101" i="11"/>
  <c r="G101" i="11"/>
  <c r="H100" i="11"/>
  <c r="G100" i="11"/>
  <c r="H99" i="11"/>
  <c r="G99" i="11"/>
  <c r="H98" i="11"/>
  <c r="G98" i="11"/>
  <c r="H97" i="11"/>
  <c r="G97" i="11"/>
  <c r="H96" i="11"/>
  <c r="H95" i="11"/>
  <c r="H94" i="11"/>
  <c r="G94" i="11"/>
  <c r="H93" i="11"/>
  <c r="H92" i="11"/>
  <c r="H91" i="11"/>
  <c r="G91" i="11"/>
  <c r="H90" i="11"/>
  <c r="H89" i="11"/>
  <c r="G89" i="11"/>
  <c r="H88" i="11"/>
  <c r="H87" i="11"/>
  <c r="G87" i="11"/>
  <c r="H86" i="11"/>
  <c r="G86" i="11"/>
  <c r="H85" i="11"/>
  <c r="G85" i="11"/>
  <c r="H84" i="11"/>
  <c r="H83" i="11"/>
  <c r="G83" i="11"/>
  <c r="H82" i="11"/>
  <c r="G82" i="11"/>
  <c r="H81" i="11"/>
  <c r="G81" i="11"/>
  <c r="H80" i="11"/>
  <c r="H79" i="11"/>
  <c r="G79" i="11"/>
  <c r="H78" i="11"/>
  <c r="G78" i="11"/>
  <c r="H77" i="11"/>
  <c r="H76" i="11"/>
  <c r="G76" i="11"/>
  <c r="H75" i="11"/>
  <c r="H74" i="11"/>
  <c r="H73" i="11"/>
  <c r="H72" i="11"/>
  <c r="H71" i="11"/>
  <c r="H70" i="11"/>
  <c r="G70" i="11"/>
  <c r="H69" i="11"/>
  <c r="G69" i="11"/>
  <c r="H68" i="11"/>
  <c r="H67" i="11"/>
  <c r="H66" i="11"/>
  <c r="H65" i="11"/>
  <c r="G65" i="11"/>
  <c r="H64" i="11"/>
  <c r="H63" i="11"/>
  <c r="H62" i="11"/>
  <c r="H61" i="11"/>
  <c r="H60" i="11"/>
  <c r="H59" i="11"/>
  <c r="H58" i="11"/>
  <c r="H57" i="11"/>
  <c r="H56" i="11"/>
  <c r="G56" i="11"/>
  <c r="H55" i="11"/>
  <c r="H54" i="11"/>
  <c r="H53" i="11"/>
  <c r="H51" i="11"/>
  <c r="H35" i="11"/>
  <c r="H19" i="11"/>
  <c r="E23" i="1" s="1"/>
  <c r="G24" i="2" s="1"/>
  <c r="F11" i="11"/>
  <c r="F10" i="11"/>
  <c r="F5" i="11"/>
  <c r="E21" i="11"/>
  <c r="E33" i="11"/>
  <c r="F30" i="11"/>
  <c r="E30" i="11"/>
  <c r="F28" i="11"/>
  <c r="E28" i="11"/>
  <c r="E27" i="11"/>
  <c r="F26" i="11"/>
  <c r="E26" i="11"/>
  <c r="F25" i="11"/>
  <c r="E25" i="11"/>
  <c r="F24" i="11"/>
  <c r="E24" i="11"/>
  <c r="F23" i="11"/>
  <c r="E23" i="11"/>
  <c r="F22" i="11"/>
  <c r="E22" i="11"/>
  <c r="F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" i="11"/>
  <c r="E12" i="11"/>
  <c r="E11" i="11"/>
  <c r="E10" i="11"/>
  <c r="F9" i="11"/>
  <c r="E9" i="11"/>
  <c r="F8" i="11"/>
  <c r="E8" i="11"/>
  <c r="F7" i="11"/>
  <c r="E7" i="11"/>
  <c r="F6" i="11"/>
  <c r="E6" i="11"/>
  <c r="E5" i="11"/>
  <c r="F4" i="11"/>
  <c r="E4" i="11"/>
  <c r="F3" i="11"/>
  <c r="F105" i="11" s="1"/>
  <c r="E3" i="11"/>
  <c r="D52" i="11"/>
  <c r="H52" i="11" s="1"/>
  <c r="D51" i="11"/>
  <c r="D50" i="11"/>
  <c r="H50" i="11" s="1"/>
  <c r="D49" i="11"/>
  <c r="H49" i="11" s="1"/>
  <c r="D48" i="11"/>
  <c r="H48" i="11" s="1"/>
  <c r="D47" i="11"/>
  <c r="H47" i="11" s="1"/>
  <c r="D46" i="11"/>
  <c r="H46" i="11" s="1"/>
  <c r="D45" i="11"/>
  <c r="H45" i="11" s="1"/>
  <c r="D44" i="11"/>
  <c r="H44" i="11" s="1"/>
  <c r="D43" i="11"/>
  <c r="H43" i="11" s="1"/>
  <c r="D42" i="11"/>
  <c r="H42" i="11" s="1"/>
  <c r="D41" i="11"/>
  <c r="H41" i="11" s="1"/>
  <c r="D40" i="11"/>
  <c r="H40" i="11" s="1"/>
  <c r="D39" i="11"/>
  <c r="H39" i="11" s="1"/>
  <c r="D38" i="11"/>
  <c r="H38" i="11" s="1"/>
  <c r="D37" i="11"/>
  <c r="H37" i="11" s="1"/>
  <c r="D36" i="11"/>
  <c r="H36" i="11" s="1"/>
  <c r="D35" i="11"/>
  <c r="D34" i="11"/>
  <c r="H34" i="11" s="1"/>
  <c r="D33" i="11"/>
  <c r="H33" i="11" s="1"/>
  <c r="D32" i="11"/>
  <c r="H32" i="11" s="1"/>
  <c r="D31" i="11"/>
  <c r="H31" i="11" s="1"/>
  <c r="D30" i="11"/>
  <c r="H30" i="11" s="1"/>
  <c r="D29" i="11"/>
  <c r="H29" i="11" s="1"/>
  <c r="D28" i="11"/>
  <c r="H28" i="11" s="1"/>
  <c r="D27" i="11"/>
  <c r="H27" i="11" s="1"/>
  <c r="D26" i="11"/>
  <c r="H26" i="11" s="1"/>
  <c r="D25" i="11"/>
  <c r="D24" i="11"/>
  <c r="H24" i="11" s="1"/>
  <c r="D23" i="11"/>
  <c r="H23" i="11" s="1"/>
  <c r="D22" i="11"/>
  <c r="H22" i="11" s="1"/>
  <c r="E26" i="1" s="1"/>
  <c r="G27" i="2" s="1"/>
  <c r="D21" i="11"/>
  <c r="D20" i="11"/>
  <c r="H20" i="11" s="1"/>
  <c r="E24" i="1" s="1"/>
  <c r="G25" i="2" s="1"/>
  <c r="D19" i="11"/>
  <c r="D18" i="11"/>
  <c r="H18" i="11" s="1"/>
  <c r="E22" i="1" s="1"/>
  <c r="G23" i="2" s="1"/>
  <c r="D17" i="11"/>
  <c r="H17" i="11" s="1"/>
  <c r="E21" i="1" s="1"/>
  <c r="G22" i="2" s="1"/>
  <c r="D16" i="11"/>
  <c r="H16" i="11" s="1"/>
  <c r="E20" i="1" s="1"/>
  <c r="G21" i="2" s="1"/>
  <c r="D15" i="11"/>
  <c r="H15" i="11" s="1"/>
  <c r="E19" i="1" s="1"/>
  <c r="G20" i="2" s="1"/>
  <c r="D14" i="11"/>
  <c r="H14" i="11" s="1"/>
  <c r="E18" i="1" s="1"/>
  <c r="G19" i="2" s="1"/>
  <c r="D13" i="11"/>
  <c r="H13" i="11" s="1"/>
  <c r="E17" i="1" s="1"/>
  <c r="G18" i="2" s="1"/>
  <c r="D12" i="11"/>
  <c r="H12" i="11" s="1"/>
  <c r="E16" i="1" s="1"/>
  <c r="G17" i="2" s="1"/>
  <c r="D11" i="11"/>
  <c r="H11" i="11" s="1"/>
  <c r="E15" i="1" s="1"/>
  <c r="G16" i="2" s="1"/>
  <c r="D10" i="11"/>
  <c r="H10" i="11" s="1"/>
  <c r="E14" i="1" s="1"/>
  <c r="G15" i="2" s="1"/>
  <c r="H9" i="11"/>
  <c r="E13" i="1" s="1"/>
  <c r="G14" i="2" s="1"/>
  <c r="D8" i="11"/>
  <c r="H8" i="11" s="1"/>
  <c r="E12" i="1" s="1"/>
  <c r="G13" i="2" s="1"/>
  <c r="D7" i="11"/>
  <c r="H6" i="11"/>
  <c r="E10" i="1" s="1"/>
  <c r="G11" i="2" s="1"/>
  <c r="H5" i="11"/>
  <c r="E9" i="1" s="1"/>
  <c r="G10" i="2" s="1"/>
  <c r="H4" i="11"/>
  <c r="E8" i="1" s="1"/>
  <c r="G9" i="2" s="1"/>
  <c r="C26" i="11"/>
  <c r="G26" i="11" s="1"/>
  <c r="C95" i="11"/>
  <c r="G95" i="11" s="1"/>
  <c r="C96" i="11"/>
  <c r="G96" i="11" s="1"/>
  <c r="C93" i="11"/>
  <c r="G93" i="11" s="1"/>
  <c r="C92" i="11"/>
  <c r="G92" i="11" s="1"/>
  <c r="C90" i="11"/>
  <c r="G90" i="11" s="1"/>
  <c r="C88" i="11"/>
  <c r="G88" i="11" s="1"/>
  <c r="C84" i="11"/>
  <c r="G84" i="11" s="1"/>
  <c r="C80" i="11"/>
  <c r="G80" i="11" s="1"/>
  <c r="C77" i="11"/>
  <c r="G77" i="11" s="1"/>
  <c r="C75" i="11"/>
  <c r="G75" i="11" s="1"/>
  <c r="C74" i="11"/>
  <c r="G74" i="11" s="1"/>
  <c r="C73" i="11"/>
  <c r="G73" i="11" s="1"/>
  <c r="C72" i="11"/>
  <c r="G72" i="11" s="1"/>
  <c r="C71" i="11"/>
  <c r="G71" i="11" s="1"/>
  <c r="C68" i="11"/>
  <c r="G68" i="11" s="1"/>
  <c r="C67" i="11"/>
  <c r="G67" i="11" s="1"/>
  <c r="C66" i="11"/>
  <c r="G66" i="11" s="1"/>
  <c r="C64" i="11"/>
  <c r="G64" i="11" s="1"/>
  <c r="C63" i="11"/>
  <c r="G63" i="11" s="1"/>
  <c r="C62" i="11"/>
  <c r="G62" i="11" s="1"/>
  <c r="C61" i="11"/>
  <c r="G61" i="11" s="1"/>
  <c r="C60" i="11"/>
  <c r="G60" i="11" s="1"/>
  <c r="C59" i="11"/>
  <c r="G59" i="11" s="1"/>
  <c r="C58" i="11"/>
  <c r="G58" i="11" s="1"/>
  <c r="C57" i="11"/>
  <c r="G57" i="11" s="1"/>
  <c r="C55" i="11"/>
  <c r="G55" i="11" s="1"/>
  <c r="C54" i="11"/>
  <c r="G54" i="11" s="1"/>
  <c r="C53" i="11"/>
  <c r="G53" i="11" s="1"/>
  <c r="C52" i="11"/>
  <c r="G52" i="11" s="1"/>
  <c r="C51" i="11"/>
  <c r="G51" i="11" s="1"/>
  <c r="C50" i="11"/>
  <c r="G50" i="11" s="1"/>
  <c r="C49" i="11"/>
  <c r="G49" i="11" s="1"/>
  <c r="C48" i="11"/>
  <c r="G48" i="11" s="1"/>
  <c r="C47" i="11"/>
  <c r="G47" i="11" s="1"/>
  <c r="C46" i="11"/>
  <c r="G46" i="11" s="1"/>
  <c r="C45" i="11"/>
  <c r="G45" i="11" s="1"/>
  <c r="C44" i="11"/>
  <c r="G44" i="11" s="1"/>
  <c r="C43" i="11"/>
  <c r="G43" i="11" s="1"/>
  <c r="C42" i="11"/>
  <c r="G42" i="11" s="1"/>
  <c r="C41" i="11"/>
  <c r="G41" i="11" s="1"/>
  <c r="C40" i="11"/>
  <c r="G40" i="11" s="1"/>
  <c r="C39" i="11"/>
  <c r="G39" i="11" s="1"/>
  <c r="C38" i="11"/>
  <c r="G38" i="11" s="1"/>
  <c r="C37" i="11"/>
  <c r="G37" i="11" s="1"/>
  <c r="C36" i="11"/>
  <c r="G36" i="11" s="1"/>
  <c r="C35" i="11"/>
  <c r="G35" i="11" s="1"/>
  <c r="C34" i="11"/>
  <c r="G34" i="11" s="1"/>
  <c r="C33" i="11"/>
  <c r="G33" i="11" s="1"/>
  <c r="C32" i="11"/>
  <c r="G32" i="11" s="1"/>
  <c r="C31" i="11"/>
  <c r="G31" i="11" s="1"/>
  <c r="C30" i="11"/>
  <c r="G30" i="11" s="1"/>
  <c r="C29" i="11"/>
  <c r="G29" i="11" s="1"/>
  <c r="C28" i="11"/>
  <c r="G28" i="11" s="1"/>
  <c r="C27" i="11"/>
  <c r="G27" i="11" s="1"/>
  <c r="C25" i="11"/>
  <c r="G25" i="11" s="1"/>
  <c r="C24" i="11"/>
  <c r="G24" i="11" s="1"/>
  <c r="C23" i="11"/>
  <c r="G23" i="11" s="1"/>
  <c r="C22" i="11"/>
  <c r="G22" i="11" s="1"/>
  <c r="J22" i="11" s="1"/>
  <c r="C21" i="11"/>
  <c r="G21" i="11" s="1"/>
  <c r="C20" i="11"/>
  <c r="G20" i="11" s="1"/>
  <c r="J20" i="11" s="1"/>
  <c r="C19" i="11"/>
  <c r="G19" i="11" s="1"/>
  <c r="J19" i="11" s="1"/>
  <c r="C18" i="11"/>
  <c r="G18" i="11" s="1"/>
  <c r="J18" i="11" s="1"/>
  <c r="C17" i="11"/>
  <c r="G17" i="11" s="1"/>
  <c r="J17" i="11" s="1"/>
  <c r="C16" i="11"/>
  <c r="G16" i="11" s="1"/>
  <c r="J16" i="11" s="1"/>
  <c r="C15" i="11"/>
  <c r="G15" i="11" s="1"/>
  <c r="C14" i="11"/>
  <c r="G14" i="11" s="1"/>
  <c r="J14" i="11" s="1"/>
  <c r="C13" i="11"/>
  <c r="G13" i="11" s="1"/>
  <c r="J13" i="11" s="1"/>
  <c r="C12" i="11"/>
  <c r="G12" i="11" s="1"/>
  <c r="J12" i="11" s="1"/>
  <c r="C11" i="11"/>
  <c r="G11" i="11" s="1"/>
  <c r="C10" i="11"/>
  <c r="G10" i="11" s="1"/>
  <c r="J10" i="11" s="1"/>
  <c r="G9" i="11"/>
  <c r="C8" i="11"/>
  <c r="G8" i="11" s="1"/>
  <c r="J8" i="11" s="1"/>
  <c r="C7" i="11"/>
  <c r="G7" i="11" s="1"/>
  <c r="G6" i="11"/>
  <c r="J6" i="11" s="1"/>
  <c r="G5" i="11"/>
  <c r="G4" i="11"/>
  <c r="J4" i="11" s="1"/>
  <c r="C105" i="11"/>
  <c r="G28" i="8"/>
  <c r="J27" i="9" s="1"/>
  <c r="G27" i="8"/>
  <c r="J26" i="9" s="1"/>
  <c r="G26" i="8"/>
  <c r="J25" i="9" s="1"/>
  <c r="G25" i="8"/>
  <c r="J24" i="9" s="1"/>
  <c r="G24" i="8"/>
  <c r="J23" i="9" s="1"/>
  <c r="G23" i="8"/>
  <c r="J22" i="9" s="1"/>
  <c r="G22" i="8"/>
  <c r="J21" i="9" s="1"/>
  <c r="G21" i="8"/>
  <c r="J20" i="9" s="1"/>
  <c r="G20" i="8"/>
  <c r="J19" i="9" s="1"/>
  <c r="G19" i="8"/>
  <c r="J18" i="9" s="1"/>
  <c r="G18" i="8"/>
  <c r="J17" i="9" s="1"/>
  <c r="G17" i="8"/>
  <c r="J16" i="9" s="1"/>
  <c r="G16" i="8"/>
  <c r="J15" i="9" s="1"/>
  <c r="G15" i="8"/>
  <c r="J14" i="9" s="1"/>
  <c r="G14" i="8"/>
  <c r="J13" i="9" s="1"/>
  <c r="G13" i="8"/>
  <c r="J12" i="9" s="1"/>
  <c r="G12" i="8"/>
  <c r="J11" i="9" s="1"/>
  <c r="G11" i="8"/>
  <c r="J10" i="9" s="1"/>
  <c r="G10" i="8"/>
  <c r="J9" i="9" s="1"/>
  <c r="G9" i="8"/>
  <c r="J8" i="9" s="1"/>
  <c r="L149" i="10"/>
  <c r="G29" i="8" s="1"/>
  <c r="J28" i="9" s="1"/>
  <c r="L150" i="10"/>
  <c r="E155" i="10"/>
  <c r="E153" i="10"/>
  <c r="E157" i="10" s="1"/>
  <c r="C29" i="8" s="1"/>
  <c r="C28" i="9" s="1"/>
  <c r="E28" i="9" s="1"/>
  <c r="E28" i="8"/>
  <c r="G27" i="9" s="1"/>
  <c r="E27" i="8"/>
  <c r="G26" i="9" s="1"/>
  <c r="E26" i="8"/>
  <c r="G25" i="9" s="1"/>
  <c r="E25" i="8"/>
  <c r="G24" i="9" s="1"/>
  <c r="E24" i="8"/>
  <c r="G23" i="9" s="1"/>
  <c r="E23" i="8"/>
  <c r="G22" i="9" s="1"/>
  <c r="E22" i="8"/>
  <c r="G21" i="9" s="1"/>
  <c r="E21" i="8"/>
  <c r="G20" i="9" s="1"/>
  <c r="E20" i="8"/>
  <c r="G19" i="9" s="1"/>
  <c r="E19" i="8"/>
  <c r="G18" i="9" s="1"/>
  <c r="E18" i="8"/>
  <c r="G17" i="9" s="1"/>
  <c r="E17" i="8"/>
  <c r="G16" i="9" s="1"/>
  <c r="E16" i="8"/>
  <c r="G15" i="9" s="1"/>
  <c r="E15" i="8"/>
  <c r="G14" i="9" s="1"/>
  <c r="E14" i="8"/>
  <c r="G13" i="9" s="1"/>
  <c r="E13" i="8"/>
  <c r="G12" i="9" s="1"/>
  <c r="E12" i="8"/>
  <c r="G11" i="9" s="1"/>
  <c r="E11" i="8"/>
  <c r="G10" i="9" s="1"/>
  <c r="E10" i="8"/>
  <c r="G9" i="9" s="1"/>
  <c r="E9" i="8"/>
  <c r="G8" i="9" s="1"/>
  <c r="E5" i="10"/>
  <c r="C155" i="10"/>
  <c r="B155" i="10"/>
  <c r="D24" i="4"/>
  <c r="D23" i="4"/>
  <c r="D19" i="4"/>
  <c r="D18" i="4"/>
  <c r="D14" i="4"/>
  <c r="D13" i="4"/>
  <c r="D12" i="4"/>
  <c r="K9" i="2" l="1"/>
  <c r="F62" i="2"/>
  <c r="L62" i="2" s="1"/>
  <c r="L64" i="2" s="1"/>
  <c r="E62" i="2"/>
  <c r="I62" i="2" s="1"/>
  <c r="I64" i="2" s="1"/>
  <c r="E29" i="8"/>
  <c r="G28" i="9" s="1"/>
  <c r="C8" i="1"/>
  <c r="C9" i="2"/>
  <c r="E9" i="2" s="1"/>
  <c r="C12" i="1"/>
  <c r="C13" i="2"/>
  <c r="E13" i="2" s="1"/>
  <c r="I13" i="2" s="1"/>
  <c r="C16" i="1"/>
  <c r="C17" i="2"/>
  <c r="E17" i="2" s="1"/>
  <c r="C20" i="1"/>
  <c r="C21" i="2"/>
  <c r="E21" i="2" s="1"/>
  <c r="C24" i="1"/>
  <c r="C25" i="2"/>
  <c r="E25" i="2" s="1"/>
  <c r="I25" i="2" s="1"/>
  <c r="H3" i="11"/>
  <c r="E7" i="1" s="1"/>
  <c r="F47" i="2"/>
  <c r="G15" i="1"/>
  <c r="U11" i="11"/>
  <c r="J8" i="2"/>
  <c r="D25" i="2"/>
  <c r="D24" i="1"/>
  <c r="H24" i="1" s="1"/>
  <c r="D55" i="1"/>
  <c r="H55" i="1" s="1"/>
  <c r="H63" i="1" s="1"/>
  <c r="D56" i="2"/>
  <c r="K56" i="2" s="1"/>
  <c r="K64" i="2" s="1"/>
  <c r="C37" i="2"/>
  <c r="H37" i="2" s="1"/>
  <c r="C36" i="1"/>
  <c r="F36" i="1" s="1"/>
  <c r="D13" i="2"/>
  <c r="D12" i="1"/>
  <c r="H12" i="1" s="1"/>
  <c r="E45" i="2"/>
  <c r="I45" i="2" s="1"/>
  <c r="H45" i="2"/>
  <c r="C60" i="2"/>
  <c r="H60" i="2" s="1"/>
  <c r="C59" i="1"/>
  <c r="F59" i="1" s="1"/>
  <c r="U13" i="11"/>
  <c r="F51" i="2"/>
  <c r="L51" i="2" s="1"/>
  <c r="F50" i="2"/>
  <c r="L50" i="2" s="1"/>
  <c r="E51" i="2"/>
  <c r="I51" i="2" s="1"/>
  <c r="F49" i="2"/>
  <c r="L49" i="2" s="1"/>
  <c r="F48" i="2"/>
  <c r="L48" i="2" s="1"/>
  <c r="F45" i="2"/>
  <c r="L45" i="2" s="1"/>
  <c r="C17" i="1"/>
  <c r="C18" i="2"/>
  <c r="E18" i="2" s="1"/>
  <c r="I18" i="2" s="1"/>
  <c r="C21" i="1"/>
  <c r="C22" i="2"/>
  <c r="E22" i="2" s="1"/>
  <c r="H9" i="2"/>
  <c r="I9" i="2"/>
  <c r="H17" i="2"/>
  <c r="I17" i="2"/>
  <c r="I21" i="2"/>
  <c r="H25" i="2"/>
  <c r="U72" i="11"/>
  <c r="D27" i="1" s="1"/>
  <c r="F85" i="2"/>
  <c r="L85" i="2" s="1"/>
  <c r="K85" i="2"/>
  <c r="D37" i="2"/>
  <c r="K37" i="2" s="1"/>
  <c r="D36" i="1"/>
  <c r="H36" i="1" s="1"/>
  <c r="D22" i="2"/>
  <c r="D21" i="1"/>
  <c r="H21" i="1" s="1"/>
  <c r="R303" i="11"/>
  <c r="U207" i="11"/>
  <c r="D39" i="2"/>
  <c r="K39" i="2" s="1"/>
  <c r="D38" i="1"/>
  <c r="H38" i="1" s="1"/>
  <c r="E41" i="2"/>
  <c r="I41" i="2" s="1"/>
  <c r="H41" i="2"/>
  <c r="E85" i="2"/>
  <c r="I85" i="2" s="1"/>
  <c r="H85" i="2"/>
  <c r="D20" i="2"/>
  <c r="D19" i="1"/>
  <c r="H19" i="1" s="1"/>
  <c r="U5" i="11"/>
  <c r="E44" i="2"/>
  <c r="I44" i="2" s="1"/>
  <c r="H44" i="2"/>
  <c r="E84" i="2"/>
  <c r="I84" i="2" s="1"/>
  <c r="H84" i="2"/>
  <c r="F87" i="2"/>
  <c r="L87" i="2" s="1"/>
  <c r="E87" i="2"/>
  <c r="I87" i="2" s="1"/>
  <c r="J30" i="9"/>
  <c r="C10" i="1"/>
  <c r="C11" i="2"/>
  <c r="E11" i="2" s="1"/>
  <c r="C14" i="1"/>
  <c r="C15" i="2"/>
  <c r="E15" i="2" s="1"/>
  <c r="I15" i="2" s="1"/>
  <c r="C18" i="1"/>
  <c r="C19" i="2"/>
  <c r="E19" i="2" s="1"/>
  <c r="I19" i="2" s="1"/>
  <c r="C22" i="1"/>
  <c r="C23" i="2"/>
  <c r="E23" i="2" s="1"/>
  <c r="I23" i="2" s="1"/>
  <c r="C26" i="1"/>
  <c r="C27" i="2"/>
  <c r="E27" i="2" s="1"/>
  <c r="I27" i="2" s="1"/>
  <c r="H22" i="2"/>
  <c r="I22" i="2"/>
  <c r="H21" i="11"/>
  <c r="E25" i="1" s="1"/>
  <c r="G26" i="2" s="1"/>
  <c r="H25" i="11"/>
  <c r="H104" i="11" s="1"/>
  <c r="E27" i="1" s="1"/>
  <c r="H7" i="11"/>
  <c r="E11" i="1" s="1"/>
  <c r="G12" i="2" s="1"/>
  <c r="C86" i="2"/>
  <c r="E86" i="2" s="1"/>
  <c r="C85" i="1"/>
  <c r="C59" i="2"/>
  <c r="H59" i="2" s="1"/>
  <c r="C58" i="1"/>
  <c r="F58" i="1" s="1"/>
  <c r="G23" i="1"/>
  <c r="U19" i="11"/>
  <c r="D21" i="2"/>
  <c r="D20" i="1"/>
  <c r="H20" i="1" s="1"/>
  <c r="C35" i="2"/>
  <c r="H35" i="2" s="1"/>
  <c r="C34" i="1"/>
  <c r="F34" i="1" s="1"/>
  <c r="U111" i="11"/>
  <c r="R149" i="11"/>
  <c r="C46" i="2"/>
  <c r="C45" i="1"/>
  <c r="F45" i="1" s="1"/>
  <c r="F46" i="2"/>
  <c r="C42" i="2"/>
  <c r="C41" i="1"/>
  <c r="F41" i="1" s="1"/>
  <c r="F42" i="2"/>
  <c r="L42" i="2" s="1"/>
  <c r="K42" i="2"/>
  <c r="G286" i="11"/>
  <c r="J208" i="11"/>
  <c r="E43" i="2"/>
  <c r="U9" i="11"/>
  <c r="E47" i="2"/>
  <c r="U7" i="11"/>
  <c r="J7" i="11"/>
  <c r="J11" i="11"/>
  <c r="J15" i="11"/>
  <c r="C23" i="1"/>
  <c r="C24" i="2"/>
  <c r="E24" i="2" s="1"/>
  <c r="I24" i="2" s="1"/>
  <c r="I11" i="2"/>
  <c r="H11" i="2"/>
  <c r="H15" i="2"/>
  <c r="H19" i="2"/>
  <c r="H23" i="2"/>
  <c r="H27" i="2"/>
  <c r="H24" i="2"/>
  <c r="C36" i="2"/>
  <c r="H36" i="2" s="1"/>
  <c r="C35" i="1"/>
  <c r="F35" i="1" s="1"/>
  <c r="F86" i="2"/>
  <c r="D43" i="2"/>
  <c r="D42" i="1"/>
  <c r="H42" i="1" s="1"/>
  <c r="F84" i="2"/>
  <c r="C80" i="1"/>
  <c r="F80" i="1" s="1"/>
  <c r="C81" i="2"/>
  <c r="H81" i="2" s="1"/>
  <c r="C55" i="1"/>
  <c r="F55" i="1" s="1"/>
  <c r="F63" i="1" s="1"/>
  <c r="C56" i="2"/>
  <c r="H56" i="2" s="1"/>
  <c r="H64" i="2" s="1"/>
  <c r="E83" i="2"/>
  <c r="I83" i="2" s="1"/>
  <c r="H83" i="2"/>
  <c r="F83" i="2"/>
  <c r="L83" i="2" s="1"/>
  <c r="K83" i="2"/>
  <c r="D38" i="2"/>
  <c r="K38" i="2" s="1"/>
  <c r="D37" i="1"/>
  <c r="H37" i="1" s="1"/>
  <c r="F44" i="2"/>
  <c r="C39" i="1"/>
  <c r="F39" i="1" s="1"/>
  <c r="C40" i="2"/>
  <c r="D15" i="2"/>
  <c r="D14" i="1"/>
  <c r="H14" i="1" s="1"/>
  <c r="K17" i="2"/>
  <c r="F40" i="2"/>
  <c r="L40" i="2" s="1"/>
  <c r="K40" i="2"/>
  <c r="F41" i="2"/>
  <c r="L41" i="2" s="1"/>
  <c r="K41" i="2"/>
  <c r="U3" i="11"/>
  <c r="D7" i="1" s="1"/>
  <c r="J9" i="11"/>
  <c r="J5" i="11"/>
  <c r="F8" i="1"/>
  <c r="F12" i="1"/>
  <c r="F16" i="1"/>
  <c r="F20" i="1"/>
  <c r="F24" i="1"/>
  <c r="F17" i="1"/>
  <c r="F21" i="1"/>
  <c r="F10" i="1"/>
  <c r="F14" i="1"/>
  <c r="F18" i="1"/>
  <c r="F22" i="1"/>
  <c r="F26" i="1"/>
  <c r="F23" i="1"/>
  <c r="G104" i="11"/>
  <c r="D105" i="11"/>
  <c r="E105" i="11"/>
  <c r="G3" i="11"/>
  <c r="J3" i="11" s="1"/>
  <c r="C7" i="1" s="1"/>
  <c r="C8" i="2" s="1"/>
  <c r="D29" i="8"/>
  <c r="L43" i="10"/>
  <c r="D28" i="8" s="1"/>
  <c r="L41" i="10"/>
  <c r="D27" i="8" s="1"/>
  <c r="L39" i="10"/>
  <c r="D26" i="8" s="1"/>
  <c r="L37" i="10"/>
  <c r="D25" i="8" s="1"/>
  <c r="L35" i="10"/>
  <c r="D24" i="8" s="1"/>
  <c r="L33" i="10"/>
  <c r="D23" i="8" s="1"/>
  <c r="L31" i="10"/>
  <c r="D22" i="8" s="1"/>
  <c r="L29" i="10"/>
  <c r="D21" i="8" s="1"/>
  <c r="L27" i="10"/>
  <c r="D20" i="8" s="1"/>
  <c r="L25" i="10"/>
  <c r="D19" i="8" s="1"/>
  <c r="L23" i="10"/>
  <c r="D18" i="8" s="1"/>
  <c r="L21" i="10"/>
  <c r="D17" i="8" s="1"/>
  <c r="L19" i="10"/>
  <c r="D16" i="8" s="1"/>
  <c r="L17" i="10"/>
  <c r="D15" i="8" s="1"/>
  <c r="L15" i="10"/>
  <c r="D14" i="8" s="1"/>
  <c r="L13" i="10"/>
  <c r="D13" i="8" s="1"/>
  <c r="L11" i="10"/>
  <c r="D12" i="8" s="1"/>
  <c r="L9" i="10"/>
  <c r="D11" i="8" s="1"/>
  <c r="L7" i="10"/>
  <c r="D10" i="8" s="1"/>
  <c r="E7" i="10"/>
  <c r="C10" i="8" s="1"/>
  <c r="L5" i="10"/>
  <c r="D9" i="8" s="1"/>
  <c r="J152" i="10"/>
  <c r="I152" i="10"/>
  <c r="F29" i="8"/>
  <c r="E43" i="10"/>
  <c r="C28" i="8" s="1"/>
  <c r="E41" i="10"/>
  <c r="C27" i="8" s="1"/>
  <c r="E39" i="10"/>
  <c r="C26" i="8" s="1"/>
  <c r="E37" i="10"/>
  <c r="C25" i="8" s="1"/>
  <c r="E35" i="10"/>
  <c r="C24" i="8" s="1"/>
  <c r="E33" i="10"/>
  <c r="C23" i="8" s="1"/>
  <c r="E31" i="10"/>
  <c r="C22" i="8" s="1"/>
  <c r="E29" i="10"/>
  <c r="C21" i="8" s="1"/>
  <c r="E27" i="10"/>
  <c r="C20" i="8" s="1"/>
  <c r="E25" i="10"/>
  <c r="C19" i="8" s="1"/>
  <c r="E23" i="10"/>
  <c r="C18" i="8" s="1"/>
  <c r="E21" i="10"/>
  <c r="C17" i="8" s="1"/>
  <c r="E19" i="10"/>
  <c r="C16" i="8" s="1"/>
  <c r="E17" i="10"/>
  <c r="C15" i="8" s="1"/>
  <c r="E15" i="10"/>
  <c r="C14" i="8" s="1"/>
  <c r="E13" i="10"/>
  <c r="C13" i="8" s="1"/>
  <c r="E11" i="10"/>
  <c r="C12" i="8" s="1"/>
  <c r="E9" i="10"/>
  <c r="C11" i="8" s="1"/>
  <c r="C9" i="8"/>
  <c r="E31" i="8"/>
  <c r="G31" i="8"/>
  <c r="H18" i="2" l="1"/>
  <c r="H21" i="2"/>
  <c r="H13" i="2"/>
  <c r="L89" i="2"/>
  <c r="I89" i="2"/>
  <c r="G28" i="2"/>
  <c r="E29" i="1"/>
  <c r="E97" i="1" s="1"/>
  <c r="F12" i="8"/>
  <c r="C11" i="9"/>
  <c r="F28" i="8"/>
  <c r="C27" i="9"/>
  <c r="F13" i="8"/>
  <c r="C12" i="9"/>
  <c r="F25" i="8"/>
  <c r="C24" i="9"/>
  <c r="F11" i="8"/>
  <c r="C10" i="9"/>
  <c r="F15" i="8"/>
  <c r="C14" i="9"/>
  <c r="F19" i="8"/>
  <c r="C18" i="9"/>
  <c r="F23" i="8"/>
  <c r="C22" i="9"/>
  <c r="F27" i="8"/>
  <c r="C26" i="9"/>
  <c r="H11" i="8"/>
  <c r="D10" i="9"/>
  <c r="H15" i="8"/>
  <c r="D14" i="9"/>
  <c r="H19" i="8"/>
  <c r="D18" i="9"/>
  <c r="H23" i="8"/>
  <c r="D22" i="9"/>
  <c r="H27" i="8"/>
  <c r="D26" i="9"/>
  <c r="D8" i="2"/>
  <c r="H7" i="1"/>
  <c r="E40" i="2"/>
  <c r="I40" i="2" s="1"/>
  <c r="H40" i="2"/>
  <c r="D14" i="2"/>
  <c r="D13" i="1"/>
  <c r="H13" i="1" s="1"/>
  <c r="D24" i="2"/>
  <c r="F24" i="2" s="1"/>
  <c r="D23" i="1"/>
  <c r="F22" i="2"/>
  <c r="L22" i="2" s="1"/>
  <c r="K22" i="2"/>
  <c r="J21" i="11"/>
  <c r="D16" i="2"/>
  <c r="F16" i="2" s="1"/>
  <c r="D15" i="1"/>
  <c r="H15" i="1" s="1"/>
  <c r="I28" i="9"/>
  <c r="H28" i="9"/>
  <c r="F24" i="8"/>
  <c r="C23" i="9"/>
  <c r="H9" i="8"/>
  <c r="D8" i="9"/>
  <c r="H12" i="8"/>
  <c r="D11" i="9"/>
  <c r="H16" i="8"/>
  <c r="D15" i="9"/>
  <c r="H20" i="8"/>
  <c r="D19" i="9"/>
  <c r="H24" i="8"/>
  <c r="D23" i="9"/>
  <c r="H28" i="8"/>
  <c r="D27" i="9"/>
  <c r="C9" i="1"/>
  <c r="F9" i="1" s="1"/>
  <c r="C10" i="2"/>
  <c r="C19" i="1"/>
  <c r="F19" i="1" s="1"/>
  <c r="C20" i="2"/>
  <c r="D35" i="1"/>
  <c r="H35" i="1" s="1"/>
  <c r="H52" i="1" s="1"/>
  <c r="D36" i="2"/>
  <c r="K36" i="2" s="1"/>
  <c r="J24" i="2"/>
  <c r="H23" i="1"/>
  <c r="F20" i="2"/>
  <c r="L20" i="2" s="1"/>
  <c r="K20" i="2"/>
  <c r="D67" i="2"/>
  <c r="K67" i="2" s="1"/>
  <c r="K89" i="2" s="1"/>
  <c r="D66" i="1"/>
  <c r="H66" i="1" s="1"/>
  <c r="H88" i="1" s="1"/>
  <c r="D18" i="2"/>
  <c r="D17" i="1"/>
  <c r="H17" i="1" s="1"/>
  <c r="F25" i="2"/>
  <c r="L25" i="2" s="1"/>
  <c r="K25" i="2"/>
  <c r="J16" i="2"/>
  <c r="F20" i="8"/>
  <c r="C19" i="9"/>
  <c r="F17" i="8"/>
  <c r="C16" i="9"/>
  <c r="F10" i="8"/>
  <c r="C9" i="9"/>
  <c r="H17" i="8"/>
  <c r="D16" i="9"/>
  <c r="H21" i="8"/>
  <c r="D20" i="9"/>
  <c r="H25" i="8"/>
  <c r="D24" i="9"/>
  <c r="H29" i="8"/>
  <c r="D28" i="9"/>
  <c r="J104" i="11"/>
  <c r="C27" i="1" s="1"/>
  <c r="C13" i="1"/>
  <c r="F13" i="1" s="1"/>
  <c r="C14" i="2"/>
  <c r="C15" i="1"/>
  <c r="F15" i="1" s="1"/>
  <c r="C16" i="2"/>
  <c r="D12" i="2"/>
  <c r="D11" i="1"/>
  <c r="H11" i="1" s="1"/>
  <c r="C68" i="2"/>
  <c r="H68" i="2" s="1"/>
  <c r="H89" i="2" s="1"/>
  <c r="C67" i="1"/>
  <c r="F67" i="1" s="1"/>
  <c r="F88" i="1" s="1"/>
  <c r="F52" i="1"/>
  <c r="G29" i="1"/>
  <c r="F16" i="8"/>
  <c r="C15" i="9"/>
  <c r="F21" i="8"/>
  <c r="C20" i="9"/>
  <c r="H13" i="8"/>
  <c r="D12" i="9"/>
  <c r="F9" i="8"/>
  <c r="C8" i="9"/>
  <c r="F14" i="8"/>
  <c r="C13" i="9"/>
  <c r="F18" i="8"/>
  <c r="C17" i="9"/>
  <c r="F22" i="8"/>
  <c r="C21" i="9"/>
  <c r="F26" i="8"/>
  <c r="C25" i="9"/>
  <c r="H10" i="8"/>
  <c r="D9" i="9"/>
  <c r="H14" i="8"/>
  <c r="H31" i="8" s="1"/>
  <c r="H33" i="8" s="1"/>
  <c r="D13" i="9"/>
  <c r="H18" i="8"/>
  <c r="D17" i="9"/>
  <c r="H22" i="8"/>
  <c r="D21" i="9"/>
  <c r="H26" i="8"/>
  <c r="D25" i="9"/>
  <c r="F15" i="2"/>
  <c r="L15" i="2" s="1"/>
  <c r="K15" i="2"/>
  <c r="F43" i="2"/>
  <c r="L43" i="2" s="1"/>
  <c r="L53" i="2" s="1"/>
  <c r="K43" i="2"/>
  <c r="C11" i="1"/>
  <c r="F11" i="1" s="1"/>
  <c r="C12" i="2"/>
  <c r="E12" i="2" s="1"/>
  <c r="I12" i="2" s="1"/>
  <c r="E42" i="2"/>
  <c r="I42" i="2" s="1"/>
  <c r="H42" i="2"/>
  <c r="E46" i="2"/>
  <c r="I46" i="2" s="1"/>
  <c r="H46" i="2"/>
  <c r="F21" i="2"/>
  <c r="L21" i="2" s="1"/>
  <c r="K21" i="2"/>
  <c r="D10" i="2"/>
  <c r="D9" i="1"/>
  <c r="H9" i="1" s="1"/>
  <c r="D28" i="2"/>
  <c r="F28" i="2" s="1"/>
  <c r="H27" i="1"/>
  <c r="F13" i="2"/>
  <c r="L13" i="2" s="1"/>
  <c r="K13" i="2"/>
  <c r="L8" i="2"/>
  <c r="K8" i="2"/>
  <c r="F7" i="1"/>
  <c r="G8" i="2"/>
  <c r="F31" i="8"/>
  <c r="F33" i="8" s="1"/>
  <c r="U45" i="9"/>
  <c r="R45" i="9"/>
  <c r="S43" i="9"/>
  <c r="V43" i="9" s="1"/>
  <c r="Q43" i="9"/>
  <c r="T43" i="9" s="1"/>
  <c r="S42" i="9"/>
  <c r="V42" i="9" s="1"/>
  <c r="Q42" i="9"/>
  <c r="W42" i="9" s="1"/>
  <c r="S41" i="9"/>
  <c r="Q41" i="9"/>
  <c r="W41" i="9" s="1"/>
  <c r="U38" i="9"/>
  <c r="R38" i="9"/>
  <c r="S37" i="9"/>
  <c r="V37" i="9" s="1"/>
  <c r="Q37" i="9"/>
  <c r="T37" i="9" s="1"/>
  <c r="S36" i="9"/>
  <c r="V36" i="9" s="1"/>
  <c r="Q36" i="9"/>
  <c r="W36" i="9" s="1"/>
  <c r="S35" i="9"/>
  <c r="V35" i="9" s="1"/>
  <c r="Q35" i="9"/>
  <c r="W35" i="9" s="1"/>
  <c r="U30" i="9"/>
  <c r="U47" i="9" s="1"/>
  <c r="R30" i="9"/>
  <c r="J47" i="9"/>
  <c r="G30" i="9"/>
  <c r="V28" i="9"/>
  <c r="S28" i="9"/>
  <c r="Q28" i="9"/>
  <c r="V27" i="9"/>
  <c r="S27" i="9"/>
  <c r="V26" i="9"/>
  <c r="S26" i="9"/>
  <c r="V25" i="9"/>
  <c r="S25" i="9"/>
  <c r="V24" i="9"/>
  <c r="S24" i="9"/>
  <c r="V23" i="9"/>
  <c r="S23" i="9"/>
  <c r="V22" i="9"/>
  <c r="S22" i="9"/>
  <c r="V21" i="9"/>
  <c r="S21" i="9"/>
  <c r="V20" i="9"/>
  <c r="S20" i="9"/>
  <c r="V19" i="9"/>
  <c r="S19" i="9"/>
  <c r="V18" i="9"/>
  <c r="S18" i="9"/>
  <c r="V17" i="9"/>
  <c r="S17" i="9"/>
  <c r="V16" i="9"/>
  <c r="S16" i="9"/>
  <c r="V15" i="9"/>
  <c r="S15" i="9"/>
  <c r="V14" i="9"/>
  <c r="S14" i="9"/>
  <c r="V13" i="9"/>
  <c r="S13" i="9"/>
  <c r="V12" i="9"/>
  <c r="S12" i="9"/>
  <c r="V11" i="9"/>
  <c r="S11" i="9"/>
  <c r="V10" i="9"/>
  <c r="S10" i="9"/>
  <c r="V9" i="9"/>
  <c r="S9" i="9"/>
  <c r="G47" i="8"/>
  <c r="E47" i="8"/>
  <c r="H53" i="2" l="1"/>
  <c r="H8" i="2"/>
  <c r="I8" i="2"/>
  <c r="F12" i="2"/>
  <c r="L12" i="2" s="1"/>
  <c r="K12" i="2"/>
  <c r="F24" i="9"/>
  <c r="K24" i="9"/>
  <c r="F16" i="9"/>
  <c r="K16" i="9"/>
  <c r="E16" i="9"/>
  <c r="I16" i="9" s="1"/>
  <c r="H16" i="9"/>
  <c r="K53" i="2"/>
  <c r="E10" i="2"/>
  <c r="I10" i="2" s="1"/>
  <c r="H10" i="2"/>
  <c r="F23" i="9"/>
  <c r="K23" i="9"/>
  <c r="F15" i="9"/>
  <c r="K15" i="9"/>
  <c r="F8" i="9"/>
  <c r="L8" i="9" s="1"/>
  <c r="K8" i="9"/>
  <c r="C25" i="1"/>
  <c r="F25" i="1" s="1"/>
  <c r="C26" i="2"/>
  <c r="F14" i="2"/>
  <c r="L14" i="2" s="1"/>
  <c r="K14" i="2"/>
  <c r="H29" i="1"/>
  <c r="F22" i="9"/>
  <c r="K22" i="9"/>
  <c r="F14" i="9"/>
  <c r="K14" i="9"/>
  <c r="E26" i="9"/>
  <c r="I26" i="9" s="1"/>
  <c r="H26" i="9"/>
  <c r="E18" i="9"/>
  <c r="I18" i="9" s="1"/>
  <c r="H18" i="9"/>
  <c r="E10" i="9"/>
  <c r="I10" i="9" s="1"/>
  <c r="H10" i="9"/>
  <c r="E12" i="9"/>
  <c r="I12" i="9" s="1"/>
  <c r="H12" i="9"/>
  <c r="E11" i="9"/>
  <c r="I11" i="9" s="1"/>
  <c r="H11" i="9"/>
  <c r="F10" i="2"/>
  <c r="L10" i="2" s="1"/>
  <c r="K10" i="2"/>
  <c r="F21" i="9"/>
  <c r="K21" i="9"/>
  <c r="F13" i="9"/>
  <c r="K13" i="9"/>
  <c r="E25" i="9"/>
  <c r="I25" i="9" s="1"/>
  <c r="H25" i="9"/>
  <c r="E17" i="9"/>
  <c r="I17" i="9" s="1"/>
  <c r="H17" i="9"/>
  <c r="E8" i="9"/>
  <c r="I8" i="9" s="1"/>
  <c r="H8" i="9"/>
  <c r="E20" i="9"/>
  <c r="I20" i="9" s="1"/>
  <c r="H20" i="9"/>
  <c r="E16" i="2"/>
  <c r="I16" i="2" s="1"/>
  <c r="H16" i="2"/>
  <c r="F27" i="1"/>
  <c r="F29" i="1" s="1"/>
  <c r="C28" i="2"/>
  <c r="L16" i="2"/>
  <c r="K16" i="2"/>
  <c r="F18" i="2"/>
  <c r="L18" i="2" s="1"/>
  <c r="K18" i="2"/>
  <c r="H12" i="2"/>
  <c r="F28" i="9"/>
  <c r="K28" i="9"/>
  <c r="F20" i="9"/>
  <c r="K20" i="9"/>
  <c r="E9" i="9"/>
  <c r="I9" i="9" s="1"/>
  <c r="H9" i="9"/>
  <c r="E19" i="9"/>
  <c r="I19" i="9" s="1"/>
  <c r="H19" i="9"/>
  <c r="E20" i="2"/>
  <c r="I20" i="2" s="1"/>
  <c r="H20" i="2"/>
  <c r="F27" i="9"/>
  <c r="L27" i="9" s="1"/>
  <c r="K27" i="9"/>
  <c r="F19" i="9"/>
  <c r="K19" i="9"/>
  <c r="F11" i="9"/>
  <c r="K11" i="9"/>
  <c r="E23" i="9"/>
  <c r="I23" i="9" s="1"/>
  <c r="H23" i="9"/>
  <c r="I53" i="2"/>
  <c r="F26" i="9"/>
  <c r="K26" i="9"/>
  <c r="F18" i="9"/>
  <c r="K18" i="9"/>
  <c r="F10" i="9"/>
  <c r="K10" i="9"/>
  <c r="E22" i="9"/>
  <c r="I22" i="9" s="1"/>
  <c r="H22" i="9"/>
  <c r="E14" i="9"/>
  <c r="I14" i="9" s="1"/>
  <c r="H14" i="9"/>
  <c r="E24" i="9"/>
  <c r="I24" i="9" s="1"/>
  <c r="H24" i="9"/>
  <c r="E27" i="9"/>
  <c r="I27" i="9" s="1"/>
  <c r="H27" i="9"/>
  <c r="V38" i="9"/>
  <c r="L28" i="2"/>
  <c r="K28" i="2"/>
  <c r="F25" i="9"/>
  <c r="K25" i="9"/>
  <c r="F17" i="9"/>
  <c r="K17" i="9"/>
  <c r="F9" i="9"/>
  <c r="L9" i="9" s="1"/>
  <c r="K9" i="9"/>
  <c r="E21" i="9"/>
  <c r="I21" i="9" s="1"/>
  <c r="H21" i="9"/>
  <c r="E13" i="9"/>
  <c r="I13" i="9" s="1"/>
  <c r="H13" i="9"/>
  <c r="F12" i="9"/>
  <c r="K12" i="9"/>
  <c r="E15" i="9"/>
  <c r="I15" i="9" s="1"/>
  <c r="H15" i="9"/>
  <c r="E14" i="2"/>
  <c r="I14" i="2" s="1"/>
  <c r="H14" i="2"/>
  <c r="K24" i="2"/>
  <c r="L24" i="2"/>
  <c r="H28" i="2"/>
  <c r="V30" i="9"/>
  <c r="G47" i="9"/>
  <c r="S30" i="9"/>
  <c r="S45" i="9"/>
  <c r="S38" i="9"/>
  <c r="T41" i="9"/>
  <c r="R47" i="9"/>
  <c r="T35" i="9"/>
  <c r="T36" i="9"/>
  <c r="H47" i="8"/>
  <c r="Q9" i="9"/>
  <c r="W9" i="9" s="1"/>
  <c r="W37" i="9"/>
  <c r="W38" i="9" s="1"/>
  <c r="W43" i="9"/>
  <c r="W45" i="9" s="1"/>
  <c r="V41" i="9"/>
  <c r="V45" i="9" s="1"/>
  <c r="T42" i="9"/>
  <c r="Q8" i="9"/>
  <c r="F47" i="8"/>
  <c r="M130" i="5"/>
  <c r="L130" i="5"/>
  <c r="K130" i="5"/>
  <c r="J130" i="5"/>
  <c r="I130" i="5"/>
  <c r="H130" i="5"/>
  <c r="G130" i="5"/>
  <c r="F130" i="5"/>
  <c r="E130" i="5"/>
  <c r="D130" i="5"/>
  <c r="C130" i="5"/>
  <c r="B130" i="5"/>
  <c r="I28" i="2" l="1"/>
  <c r="E28" i="2"/>
  <c r="L15" i="9"/>
  <c r="Q15" i="9"/>
  <c r="S47" i="9"/>
  <c r="L25" i="9"/>
  <c r="Q25" i="9"/>
  <c r="L19" i="9"/>
  <c r="Q19" i="9"/>
  <c r="L28" i="9"/>
  <c r="Q27" i="9"/>
  <c r="H30" i="9"/>
  <c r="L14" i="9"/>
  <c r="Q14" i="9"/>
  <c r="K30" i="9"/>
  <c r="K32" i="9" s="1"/>
  <c r="L16" i="9"/>
  <c r="Q16" i="9"/>
  <c r="L10" i="9"/>
  <c r="Q10" i="9"/>
  <c r="L26" i="9"/>
  <c r="Q26" i="9"/>
  <c r="I30" i="9"/>
  <c r="I47" i="9" s="1"/>
  <c r="I49" i="9" s="1"/>
  <c r="L21" i="9"/>
  <c r="Q21" i="9"/>
  <c r="L23" i="9"/>
  <c r="Q23" i="9"/>
  <c r="L18" i="9"/>
  <c r="Q18" i="9"/>
  <c r="L13" i="9"/>
  <c r="Q13" i="9"/>
  <c r="L12" i="9"/>
  <c r="Q12" i="9"/>
  <c r="L17" i="9"/>
  <c r="Q17" i="9"/>
  <c r="L11" i="9"/>
  <c r="Q11" i="9"/>
  <c r="L20" i="9"/>
  <c r="Q20" i="9"/>
  <c r="L22" i="9"/>
  <c r="Q22" i="9"/>
  <c r="E26" i="2"/>
  <c r="I26" i="2" s="1"/>
  <c r="I30" i="2" s="1"/>
  <c r="I97" i="2" s="1"/>
  <c r="H26" i="2"/>
  <c r="L24" i="9"/>
  <c r="Q24" i="9"/>
  <c r="T38" i="9"/>
  <c r="T45" i="9"/>
  <c r="T10" i="9"/>
  <c r="T9" i="9"/>
  <c r="W10" i="9"/>
  <c r="M115" i="6"/>
  <c r="L115" i="6"/>
  <c r="K115" i="6"/>
  <c r="J115" i="6"/>
  <c r="I115" i="6"/>
  <c r="H115" i="6"/>
  <c r="G115" i="6"/>
  <c r="F115" i="6"/>
  <c r="D115" i="6"/>
  <c r="C115" i="6"/>
  <c r="B115" i="6"/>
  <c r="M122" i="6"/>
  <c r="L122" i="6"/>
  <c r="K122" i="6"/>
  <c r="J122" i="6"/>
  <c r="I122" i="6"/>
  <c r="H122" i="6"/>
  <c r="G122" i="6"/>
  <c r="F122" i="6"/>
  <c r="E122" i="6"/>
  <c r="D122" i="6"/>
  <c r="C122" i="6"/>
  <c r="B122" i="6"/>
  <c r="O133" i="6"/>
  <c r="O132" i="6"/>
  <c r="O134" i="6" s="1"/>
  <c r="M134" i="6"/>
  <c r="L134" i="6"/>
  <c r="K134" i="6"/>
  <c r="J134" i="6"/>
  <c r="I134" i="6"/>
  <c r="H134" i="6"/>
  <c r="G134" i="6"/>
  <c r="F134" i="6"/>
  <c r="E134" i="6"/>
  <c r="D134" i="6"/>
  <c r="C134" i="6"/>
  <c r="B134" i="6"/>
  <c r="M144" i="6"/>
  <c r="L144" i="6"/>
  <c r="K144" i="6"/>
  <c r="J144" i="6"/>
  <c r="I144" i="6"/>
  <c r="H144" i="6"/>
  <c r="G144" i="6"/>
  <c r="F144" i="6"/>
  <c r="E144" i="6"/>
  <c r="D144" i="6"/>
  <c r="C144" i="6"/>
  <c r="B144" i="6"/>
  <c r="M149" i="6"/>
  <c r="L149" i="6"/>
  <c r="K149" i="6"/>
  <c r="J149" i="6"/>
  <c r="I149" i="6"/>
  <c r="H149" i="6"/>
  <c r="G149" i="6"/>
  <c r="F149" i="6"/>
  <c r="E149" i="6"/>
  <c r="D149" i="6"/>
  <c r="C149" i="6"/>
  <c r="B149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M158" i="6"/>
  <c r="L158" i="6"/>
  <c r="K158" i="6"/>
  <c r="J158" i="6"/>
  <c r="I158" i="6"/>
  <c r="H158" i="6"/>
  <c r="G158" i="6"/>
  <c r="F158" i="6"/>
  <c r="E158" i="6"/>
  <c r="D158" i="6"/>
  <c r="C158" i="6"/>
  <c r="B158" i="6"/>
  <c r="M167" i="6"/>
  <c r="L167" i="6"/>
  <c r="K167" i="6"/>
  <c r="J167" i="6"/>
  <c r="I167" i="6"/>
  <c r="H167" i="6"/>
  <c r="G167" i="6"/>
  <c r="F167" i="6"/>
  <c r="E167" i="6"/>
  <c r="D167" i="6"/>
  <c r="C167" i="6"/>
  <c r="B167" i="6"/>
  <c r="O166" i="6"/>
  <c r="O165" i="6"/>
  <c r="O167" i="6" s="1"/>
  <c r="O158" i="6"/>
  <c r="O157" i="6"/>
  <c r="O152" i="6"/>
  <c r="O153" i="6" s="1"/>
  <c r="O149" i="6"/>
  <c r="O148" i="6"/>
  <c r="O147" i="6"/>
  <c r="O143" i="6"/>
  <c r="O142" i="6"/>
  <c r="O141" i="6"/>
  <c r="O140" i="6"/>
  <c r="O139" i="6"/>
  <c r="O138" i="6"/>
  <c r="O144" i="6" s="1"/>
  <c r="O137" i="6"/>
  <c r="O128" i="6"/>
  <c r="O127" i="6"/>
  <c r="O126" i="6"/>
  <c r="O125" i="6"/>
  <c r="O129" i="6" s="1"/>
  <c r="O121" i="6"/>
  <c r="O120" i="6"/>
  <c r="O122" i="6" s="1"/>
  <c r="E115" i="6"/>
  <c r="O114" i="6"/>
  <c r="O115" i="6" s="1"/>
  <c r="O107" i="6"/>
  <c r="O106" i="6"/>
  <c r="O105" i="6"/>
  <c r="O101" i="6"/>
  <c r="O100" i="6"/>
  <c r="O99" i="6"/>
  <c r="O98" i="6"/>
  <c r="O94" i="6"/>
  <c r="O93" i="6"/>
  <c r="O92" i="6"/>
  <c r="O91" i="6"/>
  <c r="O90" i="6"/>
  <c r="O89" i="6"/>
  <c r="O88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1" i="6"/>
  <c r="O50" i="6"/>
  <c r="O49" i="6"/>
  <c r="O48" i="6"/>
  <c r="O47" i="6"/>
  <c r="O46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41" i="6" s="1"/>
  <c r="O15" i="6"/>
  <c r="O14" i="6"/>
  <c r="O160" i="5"/>
  <c r="O161" i="5" s="1"/>
  <c r="O153" i="5"/>
  <c r="O154" i="5" s="1"/>
  <c r="B154" i="7" s="1"/>
  <c r="O152" i="5"/>
  <c r="O148" i="5"/>
  <c r="O144" i="5"/>
  <c r="O143" i="5"/>
  <c r="O145" i="5" s="1"/>
  <c r="B145" i="7" s="1"/>
  <c r="O139" i="5"/>
  <c r="O138" i="5"/>
  <c r="O137" i="5"/>
  <c r="O136" i="5"/>
  <c r="O135" i="5"/>
  <c r="O134" i="5"/>
  <c r="O133" i="5"/>
  <c r="O140" i="5" s="1"/>
  <c r="B140" i="7" s="1"/>
  <c r="O129" i="5"/>
  <c r="O128" i="5"/>
  <c r="O130" i="5" s="1"/>
  <c r="B130" i="7" s="1"/>
  <c r="O124" i="5"/>
  <c r="O123" i="5"/>
  <c r="O122" i="5"/>
  <c r="O121" i="5"/>
  <c r="O117" i="5"/>
  <c r="O116" i="5"/>
  <c r="O111" i="5"/>
  <c r="O112" i="5" s="1"/>
  <c r="B112" i="7" s="1"/>
  <c r="O105" i="5"/>
  <c r="O104" i="5"/>
  <c r="O103" i="5"/>
  <c r="O99" i="5"/>
  <c r="O98" i="5"/>
  <c r="O97" i="5"/>
  <c r="O96" i="5"/>
  <c r="O92" i="5"/>
  <c r="O91" i="5"/>
  <c r="O90" i="5"/>
  <c r="O89" i="5"/>
  <c r="O88" i="5"/>
  <c r="O93" i="5" s="1"/>
  <c r="O87" i="5"/>
  <c r="O86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49" i="5"/>
  <c r="O48" i="5"/>
  <c r="O47" i="5"/>
  <c r="O46" i="5"/>
  <c r="O45" i="5"/>
  <c r="O44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14" i="5"/>
  <c r="O13" i="5"/>
  <c r="O9" i="5"/>
  <c r="O8" i="5"/>
  <c r="O7" i="5"/>
  <c r="O6" i="5"/>
  <c r="O5" i="5"/>
  <c r="O4" i="5"/>
  <c r="L30" i="9" l="1"/>
  <c r="K47" i="9" s="1"/>
  <c r="L47" i="9"/>
  <c r="L49" i="9" s="1"/>
  <c r="Q6" i="14" s="1"/>
  <c r="Q12" i="14" s="1"/>
  <c r="Q27" i="14" s="1"/>
  <c r="Q36" i="14" s="1"/>
  <c r="Q49" i="14" s="1"/>
  <c r="O100" i="5"/>
  <c r="O85" i="6"/>
  <c r="W27" i="9"/>
  <c r="T27" i="9"/>
  <c r="T17" i="9"/>
  <c r="W17" i="9"/>
  <c r="T20" i="9"/>
  <c r="W20" i="9"/>
  <c r="T21" i="9"/>
  <c r="W21" i="9"/>
  <c r="W18" i="9"/>
  <c r="T18" i="9"/>
  <c r="W19" i="9"/>
  <c r="T19" i="9"/>
  <c r="W15" i="9"/>
  <c r="T15" i="9"/>
  <c r="O40" i="5"/>
  <c r="B40" i="7" s="1"/>
  <c r="O10" i="5"/>
  <c r="O106" i="5"/>
  <c r="B161" i="7"/>
  <c r="O108" i="6"/>
  <c r="T25" i="9"/>
  <c r="W25" i="9"/>
  <c r="W23" i="9"/>
  <c r="T23" i="9"/>
  <c r="T12" i="9"/>
  <c r="W12" i="9"/>
  <c r="T13" i="9"/>
  <c r="W13" i="9"/>
  <c r="T14" i="9"/>
  <c r="W14" i="9"/>
  <c r="W22" i="9"/>
  <c r="T22" i="9"/>
  <c r="H32" i="9"/>
  <c r="F31" i="9" s="1"/>
  <c r="H47" i="9"/>
  <c r="T16" i="9"/>
  <c r="W16" i="9"/>
  <c r="O83" i="5"/>
  <c r="O50" i="5"/>
  <c r="O118" i="5"/>
  <c r="O52" i="6"/>
  <c r="T24" i="9"/>
  <c r="W24" i="9"/>
  <c r="W11" i="9"/>
  <c r="T11" i="9"/>
  <c r="W26" i="9"/>
  <c r="T26" i="9"/>
  <c r="B148" i="7"/>
  <c r="B106" i="7"/>
  <c r="O102" i="6"/>
  <c r="B100" i="7" s="1"/>
  <c r="O95" i="6"/>
  <c r="B93" i="7"/>
  <c r="B83" i="7"/>
  <c r="O110" i="6"/>
  <c r="O169" i="6" s="1"/>
  <c r="O20" i="6"/>
  <c r="O125" i="5"/>
  <c r="B125" i="7" s="1"/>
  <c r="B118" i="7"/>
  <c r="O156" i="5"/>
  <c r="B50" i="7"/>
  <c r="O108" i="5"/>
  <c r="B10" i="7"/>
  <c r="B20" i="7" s="1"/>
  <c r="O20" i="5"/>
  <c r="O163" i="5" s="1"/>
  <c r="M161" i="5"/>
  <c r="L161" i="5"/>
  <c r="K161" i="5"/>
  <c r="J161" i="5"/>
  <c r="I161" i="5"/>
  <c r="H161" i="5"/>
  <c r="G161" i="5"/>
  <c r="M154" i="5"/>
  <c r="L154" i="5"/>
  <c r="K154" i="5"/>
  <c r="J154" i="5"/>
  <c r="I154" i="5"/>
  <c r="H154" i="5"/>
  <c r="G154" i="5"/>
  <c r="M149" i="5"/>
  <c r="L149" i="5"/>
  <c r="K149" i="5"/>
  <c r="J149" i="5"/>
  <c r="I149" i="5"/>
  <c r="H149" i="5"/>
  <c r="G149" i="5"/>
  <c r="M145" i="5"/>
  <c r="L145" i="5"/>
  <c r="K145" i="5"/>
  <c r="J145" i="5"/>
  <c r="I145" i="5"/>
  <c r="H145" i="5"/>
  <c r="G145" i="5"/>
  <c r="M140" i="5"/>
  <c r="L140" i="5"/>
  <c r="K140" i="5"/>
  <c r="J140" i="5"/>
  <c r="I140" i="5"/>
  <c r="H140" i="5"/>
  <c r="G140" i="5"/>
  <c r="M125" i="5"/>
  <c r="L125" i="5"/>
  <c r="K125" i="5"/>
  <c r="J125" i="5"/>
  <c r="I125" i="5"/>
  <c r="H125" i="5"/>
  <c r="G125" i="5"/>
  <c r="M118" i="5"/>
  <c r="L118" i="5"/>
  <c r="L156" i="5" s="1"/>
  <c r="K118" i="5"/>
  <c r="J118" i="5"/>
  <c r="I118" i="5"/>
  <c r="H118" i="5"/>
  <c r="H156" i="5" s="1"/>
  <c r="G118" i="5"/>
  <c r="M112" i="5"/>
  <c r="L112" i="5"/>
  <c r="K112" i="5"/>
  <c r="J112" i="5"/>
  <c r="I112" i="5"/>
  <c r="H112" i="5"/>
  <c r="G112" i="5"/>
  <c r="M106" i="5"/>
  <c r="L106" i="5"/>
  <c r="K106" i="5"/>
  <c r="J106" i="5"/>
  <c r="I106" i="5"/>
  <c r="H106" i="5"/>
  <c r="G106" i="5"/>
  <c r="M100" i="5"/>
  <c r="L100" i="5"/>
  <c r="K100" i="5"/>
  <c r="J100" i="5"/>
  <c r="I100" i="5"/>
  <c r="H100" i="5"/>
  <c r="G100" i="5"/>
  <c r="M93" i="5"/>
  <c r="L93" i="5"/>
  <c r="K93" i="5"/>
  <c r="J93" i="5"/>
  <c r="I93" i="5"/>
  <c r="H93" i="5"/>
  <c r="G93" i="5"/>
  <c r="M83" i="5"/>
  <c r="L83" i="5"/>
  <c r="K83" i="5"/>
  <c r="J83" i="5"/>
  <c r="I83" i="5"/>
  <c r="H83" i="5"/>
  <c r="G83" i="5"/>
  <c r="M50" i="5"/>
  <c r="L50" i="5"/>
  <c r="K50" i="5"/>
  <c r="J50" i="5"/>
  <c r="I50" i="5"/>
  <c r="H50" i="5"/>
  <c r="G50" i="5"/>
  <c r="M40" i="5"/>
  <c r="L40" i="5"/>
  <c r="K40" i="5"/>
  <c r="J40" i="5"/>
  <c r="I40" i="5"/>
  <c r="H40" i="5"/>
  <c r="G40" i="5"/>
  <c r="M14" i="5"/>
  <c r="L14" i="5"/>
  <c r="K14" i="5"/>
  <c r="J14" i="5"/>
  <c r="I14" i="5"/>
  <c r="H14" i="5"/>
  <c r="G14" i="5"/>
  <c r="M10" i="5"/>
  <c r="L10" i="5"/>
  <c r="K10" i="5"/>
  <c r="J10" i="5"/>
  <c r="I10" i="5"/>
  <c r="H10" i="5"/>
  <c r="G10" i="5"/>
  <c r="G20" i="5" s="1"/>
  <c r="T30" i="9" l="1"/>
  <c r="T47" i="9" s="1"/>
  <c r="T49" i="9" s="1"/>
  <c r="W30" i="9"/>
  <c r="W47" i="9" s="1"/>
  <c r="W49" i="9" s="1"/>
  <c r="J156" i="5"/>
  <c r="G156" i="5"/>
  <c r="K156" i="5"/>
  <c r="I156" i="5"/>
  <c r="B108" i="7"/>
  <c r="B163" i="7" s="1"/>
  <c r="M156" i="5"/>
  <c r="B156" i="7"/>
  <c r="M108" i="5"/>
  <c r="M20" i="5"/>
  <c r="L108" i="5"/>
  <c r="L20" i="5"/>
  <c r="L163" i="5" s="1"/>
  <c r="K108" i="5"/>
  <c r="K20" i="5"/>
  <c r="K163" i="5" s="1"/>
  <c r="J108" i="5"/>
  <c r="J20" i="5"/>
  <c r="J163" i="5" s="1"/>
  <c r="I108" i="5"/>
  <c r="I20" i="5"/>
  <c r="I163" i="5" s="1"/>
  <c r="H108" i="5"/>
  <c r="H20" i="5"/>
  <c r="H163" i="5" s="1"/>
  <c r="G108" i="5"/>
  <c r="G163" i="5" s="1"/>
  <c r="J129" i="6"/>
  <c r="I129" i="6"/>
  <c r="H129" i="6"/>
  <c r="G129" i="6"/>
  <c r="F129" i="6"/>
  <c r="V47" i="9" l="1"/>
  <c r="M163" i="5"/>
  <c r="M129" i="6"/>
  <c r="L129" i="6"/>
  <c r="K129" i="6"/>
  <c r="E129" i="6"/>
  <c r="D129" i="6"/>
  <c r="B129" i="6"/>
  <c r="B160" i="6" s="1"/>
  <c r="C129" i="6"/>
  <c r="M108" i="6"/>
  <c r="L108" i="6"/>
  <c r="K108" i="6"/>
  <c r="J108" i="6"/>
  <c r="I108" i="6"/>
  <c r="H108" i="6"/>
  <c r="G108" i="6"/>
  <c r="M102" i="6"/>
  <c r="L102" i="6"/>
  <c r="K102" i="6"/>
  <c r="J102" i="6"/>
  <c r="I102" i="6"/>
  <c r="H102" i="6"/>
  <c r="G102" i="6"/>
  <c r="M95" i="6"/>
  <c r="L95" i="6"/>
  <c r="K95" i="6"/>
  <c r="J95" i="6"/>
  <c r="I95" i="6"/>
  <c r="H95" i="6"/>
  <c r="G95" i="6"/>
  <c r="M85" i="6"/>
  <c r="L85" i="6"/>
  <c r="L110" i="6" s="1"/>
  <c r="K85" i="6"/>
  <c r="J85" i="6"/>
  <c r="I85" i="6"/>
  <c r="H85" i="6"/>
  <c r="G85" i="6"/>
  <c r="M52" i="6"/>
  <c r="L52" i="6"/>
  <c r="K52" i="6"/>
  <c r="J52" i="6"/>
  <c r="I52" i="6"/>
  <c r="H52" i="6"/>
  <c r="G52" i="6"/>
  <c r="F52" i="6"/>
  <c r="E52" i="6"/>
  <c r="M41" i="6"/>
  <c r="L41" i="6"/>
  <c r="K41" i="6"/>
  <c r="J41" i="6"/>
  <c r="I41" i="6"/>
  <c r="H41" i="6"/>
  <c r="G41" i="6"/>
  <c r="F41" i="6"/>
  <c r="E41" i="6"/>
  <c r="D41" i="6"/>
  <c r="C41" i="6"/>
  <c r="B41" i="6"/>
  <c r="L20" i="6"/>
  <c r="M15" i="6"/>
  <c r="M20" i="6" s="1"/>
  <c r="L15" i="6"/>
  <c r="K15" i="6"/>
  <c r="K20" i="6" s="1"/>
  <c r="J15" i="6"/>
  <c r="J20" i="6" s="1"/>
  <c r="I15" i="6"/>
  <c r="I20" i="6" s="1"/>
  <c r="H15" i="6"/>
  <c r="H20" i="6" s="1"/>
  <c r="G15" i="6"/>
  <c r="G20" i="6" s="1"/>
  <c r="D102" i="6"/>
  <c r="D52" i="6"/>
  <c r="C15" i="6"/>
  <c r="C20" i="6" s="1"/>
  <c r="D15" i="6"/>
  <c r="D20" i="6" s="1"/>
  <c r="E15" i="6"/>
  <c r="E20" i="6" s="1"/>
  <c r="F15" i="6"/>
  <c r="F20" i="6" s="1"/>
  <c r="M110" i="6" l="1"/>
  <c r="K110" i="6"/>
  <c r="J110" i="6"/>
  <c r="I110" i="6"/>
  <c r="H110" i="6"/>
  <c r="G110" i="6"/>
  <c r="F108" i="6"/>
  <c r="E108" i="6"/>
  <c r="D108" i="6"/>
  <c r="C108" i="6"/>
  <c r="F102" i="6"/>
  <c r="E102" i="6"/>
  <c r="C102" i="6"/>
  <c r="F95" i="6"/>
  <c r="E95" i="6"/>
  <c r="D95" i="6"/>
  <c r="D110" i="6" s="1"/>
  <c r="C95" i="6"/>
  <c r="F85" i="6"/>
  <c r="E85" i="6"/>
  <c r="D85" i="6"/>
  <c r="C85" i="6"/>
  <c r="C52" i="6"/>
  <c r="C110" i="6" s="1"/>
  <c r="E110" i="6" l="1"/>
  <c r="F110" i="6"/>
  <c r="B108" i="6"/>
  <c r="B102" i="6"/>
  <c r="B95" i="6"/>
  <c r="B85" i="6"/>
  <c r="B52" i="6"/>
  <c r="B15" i="6"/>
  <c r="B20" i="6" s="1"/>
  <c r="B110" i="6" l="1"/>
  <c r="F10" i="5" l="1"/>
  <c r="E10" i="5"/>
  <c r="D10" i="5"/>
  <c r="C10" i="5"/>
  <c r="B10" i="5"/>
  <c r="F145" i="5" l="1"/>
  <c r="E145" i="5"/>
  <c r="D145" i="5"/>
  <c r="C145" i="5"/>
  <c r="B145" i="5"/>
  <c r="F140" i="5"/>
  <c r="E140" i="5"/>
  <c r="D140" i="5"/>
  <c r="C140" i="5"/>
  <c r="B140" i="5"/>
  <c r="F112" i="5"/>
  <c r="E112" i="5"/>
  <c r="D112" i="5"/>
  <c r="C112" i="5"/>
  <c r="B112" i="5"/>
  <c r="F149" i="5"/>
  <c r="D149" i="5"/>
  <c r="C149" i="5"/>
  <c r="B149" i="5"/>
  <c r="E149" i="5"/>
  <c r="F161" i="5"/>
  <c r="E161" i="5"/>
  <c r="D161" i="5"/>
  <c r="C161" i="5"/>
  <c r="F154" i="5"/>
  <c r="E154" i="5"/>
  <c r="D154" i="5"/>
  <c r="C154" i="5"/>
  <c r="C118" i="5"/>
  <c r="F125" i="5"/>
  <c r="E125" i="5"/>
  <c r="D125" i="5"/>
  <c r="C125" i="5"/>
  <c r="F118" i="5"/>
  <c r="F156" i="5" s="1"/>
  <c r="E118" i="5"/>
  <c r="D118" i="5"/>
  <c r="F106" i="5"/>
  <c r="E106" i="5"/>
  <c r="D106" i="5"/>
  <c r="C106" i="5"/>
  <c r="F100" i="5"/>
  <c r="E100" i="5"/>
  <c r="D100" i="5"/>
  <c r="C100" i="5"/>
  <c r="F93" i="5"/>
  <c r="E93" i="5"/>
  <c r="D93" i="5"/>
  <c r="C93" i="5"/>
  <c r="F83" i="5"/>
  <c r="E83" i="5"/>
  <c r="D83" i="5"/>
  <c r="C83" i="5"/>
  <c r="F50" i="5"/>
  <c r="E50" i="5"/>
  <c r="D50" i="5"/>
  <c r="C50" i="5"/>
  <c r="F40" i="5"/>
  <c r="E40" i="5"/>
  <c r="D40" i="5"/>
  <c r="C40" i="5"/>
  <c r="F14" i="5"/>
  <c r="F20" i="5" s="1"/>
  <c r="E14" i="5"/>
  <c r="D14" i="5"/>
  <c r="C14" i="5"/>
  <c r="B161" i="5"/>
  <c r="B154" i="5"/>
  <c r="B125" i="5"/>
  <c r="B118" i="5"/>
  <c r="B106" i="5"/>
  <c r="B100" i="5"/>
  <c r="B93" i="5"/>
  <c r="B83" i="5"/>
  <c r="B50" i="5"/>
  <c r="B108" i="5" s="1"/>
  <c r="B40" i="5"/>
  <c r="B14" i="5"/>
  <c r="B20" i="5" s="1"/>
  <c r="Q12" i="2"/>
  <c r="Q11" i="2"/>
  <c r="Q13" i="2"/>
  <c r="Q10" i="2"/>
  <c r="Q9" i="2"/>
  <c r="Q8" i="2"/>
  <c r="B163" i="5" l="1"/>
  <c r="B156" i="5"/>
  <c r="D156" i="5"/>
  <c r="E156" i="5"/>
  <c r="C156" i="5"/>
  <c r="F108" i="5"/>
  <c r="F163" i="5" s="1"/>
  <c r="E108" i="5"/>
  <c r="E20" i="5"/>
  <c r="D108" i="5"/>
  <c r="D20" i="5"/>
  <c r="D163" i="5" s="1"/>
  <c r="C108" i="5"/>
  <c r="C20" i="5"/>
  <c r="I25" i="3"/>
  <c r="G30" i="2"/>
  <c r="G97" i="2" s="1"/>
  <c r="I47" i="3"/>
  <c r="R34" i="3"/>
  <c r="I34" i="3"/>
  <c r="R25" i="3"/>
  <c r="U30" i="2"/>
  <c r="U35" i="2" s="1"/>
  <c r="R30" i="2"/>
  <c r="R35" i="2" s="1"/>
  <c r="V28" i="2"/>
  <c r="S28" i="2"/>
  <c r="Q28" i="2"/>
  <c r="V27" i="2"/>
  <c r="S27" i="2"/>
  <c r="Q27" i="2"/>
  <c r="V26" i="2"/>
  <c r="S26" i="2"/>
  <c r="Q26" i="2"/>
  <c r="T27" i="2" s="1"/>
  <c r="V25" i="2"/>
  <c r="S25" i="2"/>
  <c r="Q25" i="2"/>
  <c r="W26" i="2" s="1"/>
  <c r="V24" i="2"/>
  <c r="S24" i="2"/>
  <c r="Q24" i="2"/>
  <c r="T25" i="2" s="1"/>
  <c r="V23" i="2"/>
  <c r="S23" i="2"/>
  <c r="Q23" i="2"/>
  <c r="W24" i="2" s="1"/>
  <c r="V22" i="2"/>
  <c r="S22" i="2"/>
  <c r="Q22" i="2"/>
  <c r="T23" i="2" s="1"/>
  <c r="V21" i="2"/>
  <c r="S21" i="2"/>
  <c r="Q21" i="2"/>
  <c r="W22" i="2" s="1"/>
  <c r="V20" i="2"/>
  <c r="S20" i="2"/>
  <c r="Q20" i="2"/>
  <c r="W21" i="2" s="1"/>
  <c r="V19" i="2"/>
  <c r="S19" i="2"/>
  <c r="Q19" i="2"/>
  <c r="W20" i="2" s="1"/>
  <c r="V18" i="2"/>
  <c r="S18" i="2"/>
  <c r="Q18" i="2"/>
  <c r="T19" i="2" s="1"/>
  <c r="V17" i="2"/>
  <c r="S17" i="2"/>
  <c r="Q17" i="2"/>
  <c r="W18" i="2" s="1"/>
  <c r="V16" i="2"/>
  <c r="S16" i="2"/>
  <c r="Q16" i="2"/>
  <c r="T17" i="2" s="1"/>
  <c r="V15" i="2"/>
  <c r="S15" i="2"/>
  <c r="Q15" i="2"/>
  <c r="W16" i="2" s="1"/>
  <c r="V14" i="2"/>
  <c r="S14" i="2"/>
  <c r="Q14" i="2"/>
  <c r="W15" i="2" s="1"/>
  <c r="V13" i="2"/>
  <c r="S13" i="2"/>
  <c r="W14" i="2"/>
  <c r="V12" i="2"/>
  <c r="S12" i="2"/>
  <c r="W13" i="2"/>
  <c r="V11" i="2"/>
  <c r="S11" i="2"/>
  <c r="W12" i="2"/>
  <c r="V10" i="2"/>
  <c r="S10" i="2"/>
  <c r="W11" i="2"/>
  <c r="V9" i="2"/>
  <c r="S9" i="2"/>
  <c r="W10" i="2"/>
  <c r="J30" i="2"/>
  <c r="L30" i="2"/>
  <c r="G97" i="1"/>
  <c r="H97" i="1"/>
  <c r="F97" i="1"/>
  <c r="C163" i="5" l="1"/>
  <c r="E163" i="5"/>
  <c r="F31" i="1"/>
  <c r="H31" i="1"/>
  <c r="S30" i="2"/>
  <c r="V30" i="2"/>
  <c r="W17" i="2"/>
  <c r="W19" i="2"/>
  <c r="W23" i="2"/>
  <c r="W25" i="2"/>
  <c r="W27" i="2"/>
  <c r="T11" i="2"/>
  <c r="T13" i="2"/>
  <c r="T15" i="2"/>
  <c r="T21" i="2"/>
  <c r="T9" i="2"/>
  <c r="W9" i="2"/>
  <c r="T10" i="2"/>
  <c r="T12" i="2"/>
  <c r="T14" i="2"/>
  <c r="T16" i="2"/>
  <c r="T18" i="2"/>
  <c r="T20" i="2"/>
  <c r="T22" i="2"/>
  <c r="T24" i="2"/>
  <c r="T26" i="2"/>
  <c r="S35" i="2" l="1"/>
  <c r="W30" i="2"/>
  <c r="V35" i="2" s="1"/>
  <c r="T30" i="2"/>
  <c r="H30" i="2"/>
  <c r="H97" i="2" s="1"/>
  <c r="L99" i="2"/>
  <c r="K30" i="2"/>
  <c r="K32" i="2" s="1"/>
  <c r="F31" i="2" s="1"/>
  <c r="H32" i="2" l="1"/>
  <c r="E31" i="2" s="1"/>
  <c r="T35" i="2"/>
  <c r="T37" i="2" s="1"/>
  <c r="R6" i="3" s="1"/>
  <c r="R12" i="3" s="1"/>
  <c r="R27" i="3" s="1"/>
  <c r="R36" i="3" s="1"/>
  <c r="R51" i="3" s="1"/>
  <c r="W35" i="2"/>
  <c r="W37" i="2" s="1"/>
  <c r="I99" i="2"/>
  <c r="I6" i="3" l="1"/>
  <c r="I12" i="3" s="1"/>
  <c r="I27" i="3" s="1"/>
  <c r="I36" i="3" s="1"/>
  <c r="I51" i="3" s="1"/>
  <c r="I53" i="3" l="1"/>
</calcChain>
</file>

<file path=xl/sharedStrings.xml><?xml version="1.0" encoding="utf-8"?>
<sst xmlns="http://schemas.openxmlformats.org/spreadsheetml/2006/main" count="1359" uniqueCount="374">
  <si>
    <t>Residential</t>
  </si>
  <si>
    <t>Commercial</t>
  </si>
  <si>
    <t>MONTHLY WATER  USAGE</t>
  </si>
  <si>
    <t xml:space="preserve">No. of </t>
  </si>
  <si>
    <t>Usage</t>
  </si>
  <si>
    <t>Average</t>
  </si>
  <si>
    <t>Users</t>
  </si>
  <si>
    <t>1,000</t>
  </si>
  <si>
    <t>5/8 x 3/4 meter</t>
  </si>
  <si>
    <t>Subtotal</t>
  </si>
  <si>
    <t xml:space="preserve">Average Monthly Usage </t>
  </si>
  <si>
    <t>1 inch meter</t>
  </si>
  <si>
    <t>2 inch meter</t>
  </si>
  <si>
    <t>Totals</t>
  </si>
  <si>
    <t>XXV.  FORECAST OF WATER - INCOME -  EXISTING SYSTEM</t>
  </si>
  <si>
    <t>MONTHLY WATER USAGE</t>
  </si>
  <si>
    <t>Income</t>
  </si>
  <si>
    <t>Rate</t>
  </si>
  <si>
    <t>Average Monthly Rate</t>
  </si>
  <si>
    <t>Annual Total:</t>
  </si>
  <si>
    <t>XXVI.  FORECAST OF WATER - INCOME -  NEW USERS - EXTENSION ONLY</t>
  </si>
  <si>
    <t>XXXI. PROPOSED OPERATING BUDGET - (WATER SYSTEM) - EXISTING USERS</t>
  </si>
  <si>
    <t>XXXII. PROPOSED OPERATING BUDGET - (WATER SYSTEM) - NEW USERS ONLY</t>
  </si>
  <si>
    <t>(1st Full Year of Operation)</t>
  </si>
  <si>
    <t xml:space="preserve">Year Ending </t>
  </si>
  <si>
    <t>A.</t>
  </si>
  <si>
    <t>Operating Income:</t>
  </si>
  <si>
    <t>Water Sales</t>
  </si>
  <si>
    <t>Disconnect/Reconnect/Late Charge Fees</t>
  </si>
  <si>
    <t>Other (Describe)</t>
  </si>
  <si>
    <t xml:space="preserve"> </t>
  </si>
  <si>
    <t>Less Allowances and Deductions</t>
  </si>
  <si>
    <t>Total Operating Income</t>
  </si>
  <si>
    <t>B.</t>
  </si>
  <si>
    <t>Operation and Maintenance Expenses:</t>
  </si>
  <si>
    <t>(Based on Uniform System of Accounts prescribed by National</t>
  </si>
  <si>
    <t xml:space="preserve">  Association of Regulatory Utility Commissioners)</t>
  </si>
  <si>
    <t>Source of Supply Expense</t>
  </si>
  <si>
    <t>Pumping Expense</t>
  </si>
  <si>
    <t>Water Treatment Expense</t>
  </si>
  <si>
    <t>Transmission and Distribution Expense</t>
  </si>
  <si>
    <t>Customer Accounts Expense</t>
  </si>
  <si>
    <t>Administrative and General Expense</t>
  </si>
  <si>
    <t>Total Operating Expenses</t>
  </si>
  <si>
    <t>Net Operating Income</t>
  </si>
  <si>
    <t>C.</t>
  </si>
  <si>
    <t>Non-Operating Income:</t>
  </si>
  <si>
    <t>Interest on Deposits</t>
  </si>
  <si>
    <t>Other (Identify)</t>
  </si>
  <si>
    <t>Total Non-Operating Income</t>
  </si>
  <si>
    <t>D.</t>
  </si>
  <si>
    <t>Net Income</t>
  </si>
  <si>
    <t>E.</t>
  </si>
  <si>
    <t>Debt Repayment:</t>
  </si>
  <si>
    <t>RD Interest</t>
  </si>
  <si>
    <t>RD Principal</t>
  </si>
  <si>
    <t>Reserve</t>
  </si>
  <si>
    <t>Non-RD Interest</t>
  </si>
  <si>
    <t>Non-RD Principal</t>
  </si>
  <si>
    <t>Total Debt Repayment</t>
  </si>
  <si>
    <t>F.</t>
  </si>
  <si>
    <t>Balance Available for Coverage and Depreciation</t>
  </si>
  <si>
    <t>Debt Coverage Ratio</t>
  </si>
  <si>
    <t xml:space="preserve">          0 -   999 Gal.</t>
  </si>
  <si>
    <t xml:space="preserve">   1,000 -   1,999 Gal.</t>
  </si>
  <si>
    <t xml:space="preserve">   2,000 -   2,999 Gal.</t>
  </si>
  <si>
    <t xml:space="preserve">   3,000 -   3,999 Gal.</t>
  </si>
  <si>
    <t xml:space="preserve">   4,000 -   4,999 Gal.</t>
  </si>
  <si>
    <t xml:space="preserve">   5,000 -   5,999 Gal.</t>
  </si>
  <si>
    <t xml:space="preserve">   6,000 -   6,999 Gal.</t>
  </si>
  <si>
    <t xml:space="preserve">   7,000 -   7,999 Gal.</t>
  </si>
  <si>
    <t xml:space="preserve">   8,000 -   8,999 Gal.</t>
  </si>
  <si>
    <t xml:space="preserve">  9,000 -  9,999 Gal.</t>
  </si>
  <si>
    <t>10,000 -  10,999 Gal.</t>
  </si>
  <si>
    <t>11,000 -  11,999 Gal.</t>
  </si>
  <si>
    <t>12,000 -  12,999 Gal.</t>
  </si>
  <si>
    <t>13,000 -  13,999 Gal.</t>
  </si>
  <si>
    <t>14,000 -  14,999 Gal.</t>
  </si>
  <si>
    <t>15,000 -  15,999 Gal.</t>
  </si>
  <si>
    <t>16,000 -  16,999 Gal.</t>
  </si>
  <si>
    <t>17,000 -  17,999 Gal.</t>
  </si>
  <si>
    <t>18,000 -  18,999 Gal.</t>
  </si>
  <si>
    <t>19,000 -  19,999 Gal.</t>
  </si>
  <si>
    <t>20,000 &amp; Over</t>
  </si>
  <si>
    <t>Income Statement - September 2018 - August 2019</t>
  </si>
  <si>
    <t>Metered Sales Residential City Customers</t>
  </si>
  <si>
    <t>Metered Sales Residential County Customers</t>
  </si>
  <si>
    <t>Metered Sales Commercial Customers</t>
  </si>
  <si>
    <t>Metered Sales Public Authorities</t>
  </si>
  <si>
    <t>Total Charges for Services - Water</t>
  </si>
  <si>
    <t>Charges for Services - Water</t>
  </si>
  <si>
    <t>Charges for Services - Sewer</t>
  </si>
  <si>
    <t>Sewer Revenue</t>
  </si>
  <si>
    <t>Total Charges for Services - Sewer</t>
  </si>
  <si>
    <t>Charges for Services - Garbage</t>
  </si>
  <si>
    <t>Garbage Revenue</t>
  </si>
  <si>
    <t>Total Charges for Services - Garbage</t>
  </si>
  <si>
    <t>Total Charges for Services</t>
  </si>
  <si>
    <t>Service Charges &amp; Other</t>
  </si>
  <si>
    <t>County Water Tap Fees</t>
  </si>
  <si>
    <t>City Water Tap Fees</t>
  </si>
  <si>
    <t>Sewer Tap Fees</t>
  </si>
  <si>
    <t>Penalties</t>
  </si>
  <si>
    <t>County Connection Fees</t>
  </si>
  <si>
    <t>City Connection Fees</t>
  </si>
  <si>
    <t>County Reinstall Meter Fees</t>
  </si>
  <si>
    <t>City Reinstall Meter Fees</t>
  </si>
  <si>
    <t>County Meter Test Fees</t>
  </si>
  <si>
    <t>City Meter Test Fees</t>
  </si>
  <si>
    <t>County Reconnection Charge</t>
  </si>
  <si>
    <t>City Reconnection Charge</t>
  </si>
  <si>
    <t>County Service Investigation</t>
  </si>
  <si>
    <t>City Service Investigation</t>
  </si>
  <si>
    <t>Return Check Fees</t>
  </si>
  <si>
    <t>Revenue-Insurance Operations</t>
  </si>
  <si>
    <t>Miscellaneous</t>
  </si>
  <si>
    <t>Total Service Charges &amp; Other</t>
  </si>
  <si>
    <t>Operating Expenses</t>
  </si>
  <si>
    <t>Personal Service</t>
  </si>
  <si>
    <t>Salaries and Wages - Employees</t>
  </si>
  <si>
    <t>Salaries and Wages - Officers</t>
  </si>
  <si>
    <t>Retirement Expense</t>
  </si>
  <si>
    <t>Insurance - Employers Health</t>
  </si>
  <si>
    <t>Insurance - Workers Comp</t>
  </si>
  <si>
    <t>Payroll Taxes</t>
  </si>
  <si>
    <t>Total Personal Service</t>
  </si>
  <si>
    <t>Operational Expenses</t>
  </si>
  <si>
    <t>Bank Charges &amp; Fees</t>
  </si>
  <si>
    <t>Dues</t>
  </si>
  <si>
    <t>Bad Debt Expense</t>
  </si>
  <si>
    <t>Training/Continuing Education</t>
  </si>
  <si>
    <t>Uniforms</t>
  </si>
  <si>
    <t>Purchased Water</t>
  </si>
  <si>
    <t>Purchased Power</t>
  </si>
  <si>
    <t>Rental of Building/Real Property</t>
  </si>
  <si>
    <t>Service Department Equipment</t>
  </si>
  <si>
    <t>Insurance - Vehicles</t>
  </si>
  <si>
    <t>Insurance - General Liability</t>
  </si>
  <si>
    <t>Advertising Expense</t>
  </si>
  <si>
    <t>Meter Program</t>
  </si>
  <si>
    <t>Office Equipment</t>
  </si>
  <si>
    <t>Telephone Mobile</t>
  </si>
  <si>
    <t>Telephone Office</t>
  </si>
  <si>
    <t>Merchant Charges - Credit Cards</t>
  </si>
  <si>
    <t>Conference Expense</t>
  </si>
  <si>
    <t>Postage - Customers</t>
  </si>
  <si>
    <t>Postage - General &amp; Admin</t>
  </si>
  <si>
    <t>Travel Expense</t>
  </si>
  <si>
    <t>Insurance - Other</t>
  </si>
  <si>
    <t>PSC Assessment</t>
  </si>
  <si>
    <t>Billing Expenses</t>
  </si>
  <si>
    <t>Software Upgrade</t>
  </si>
  <si>
    <t>Refunds</t>
  </si>
  <si>
    <t xml:space="preserve">Chemicals </t>
  </si>
  <si>
    <t>Transportation Expenses - Sewer</t>
  </si>
  <si>
    <t>Total Operation Expenses</t>
  </si>
  <si>
    <t>Repairs and Maintenance</t>
  </si>
  <si>
    <t>Service Vehicle Repairs</t>
  </si>
  <si>
    <t>Serivce Equipment Repairs</t>
  </si>
  <si>
    <t>Maintenance</t>
  </si>
  <si>
    <t>Repair Pumps</t>
  </si>
  <si>
    <t>Repair Lines</t>
  </si>
  <si>
    <t>Water Line Extension</t>
  </si>
  <si>
    <t>Relocation Cost - Construction</t>
  </si>
  <si>
    <t>Total Repairs and Maintenance</t>
  </si>
  <si>
    <t>Contractual Services</t>
  </si>
  <si>
    <t>Contractural Services - Engineering</t>
  </si>
  <si>
    <t>Contractural Services - Accounting</t>
  </si>
  <si>
    <t>Contractural Services - Water Testing</t>
  </si>
  <si>
    <t>Contractural Services - Other</t>
  </si>
  <si>
    <t>Total Contractual Services</t>
  </si>
  <si>
    <t>Supplies &amp; Materials</t>
  </si>
  <si>
    <t>Serivce Materials and Supplies</t>
  </si>
  <si>
    <t>Office Supplies</t>
  </si>
  <si>
    <t>Miscellaneous Service Supplies</t>
  </si>
  <si>
    <t>Total Supplies &amp; Materials</t>
  </si>
  <si>
    <t>Depreciation &amp; Amorization Expense</t>
  </si>
  <si>
    <t>Depreciation Expense</t>
  </si>
  <si>
    <t>Total Depreciation &amp; Amortization Expense</t>
  </si>
  <si>
    <t>Other Income &amp; Expenses</t>
  </si>
  <si>
    <t>Interest Income</t>
  </si>
  <si>
    <t>Interest &amp; Dividend Income</t>
  </si>
  <si>
    <t>Total Other Income and Expenses</t>
  </si>
  <si>
    <t>Interest Expense</t>
  </si>
  <si>
    <t>Interest on Short Term Debt</t>
  </si>
  <si>
    <t>Interest on Long Term Debt</t>
  </si>
  <si>
    <t>Service Fee on Long Term Debt</t>
  </si>
  <si>
    <t>Interest on Customer Deposits</t>
  </si>
  <si>
    <t>Total Interest Expense</t>
  </si>
  <si>
    <t>Grant Income</t>
  </si>
  <si>
    <t>RD Grant Funding</t>
  </si>
  <si>
    <t>KIA Funding</t>
  </si>
  <si>
    <t>Total Grant Funding</t>
  </si>
  <si>
    <t>Contributed Capital</t>
  </si>
  <si>
    <t>General Assembly Funds</t>
  </si>
  <si>
    <t>Proceeds from Capital Contributions</t>
  </si>
  <si>
    <t>Construction - Revenue</t>
  </si>
  <si>
    <t>Construction - State Income</t>
  </si>
  <si>
    <t>EDA Funding</t>
  </si>
  <si>
    <t>Total Contributed Capital</t>
  </si>
  <si>
    <t>Contributions</t>
  </si>
  <si>
    <t>Transfer Out</t>
  </si>
  <si>
    <t>Total Contributions</t>
  </si>
  <si>
    <t>Miscellaneous Nonutility Expenses</t>
  </si>
  <si>
    <t>Total Miscellaneous Nonutility Expenses</t>
  </si>
  <si>
    <t>Amortization of Bond Discount and Expense</t>
  </si>
  <si>
    <t>Amortization of Premium of Debt</t>
  </si>
  <si>
    <t>Total Amortization of Bond Discount and Expense</t>
  </si>
  <si>
    <t>Total Other Income &amp; Expenses</t>
  </si>
  <si>
    <t>Other Nonutility Income</t>
  </si>
  <si>
    <t>Return Check Fee</t>
  </si>
  <si>
    <t>Part Sales</t>
  </si>
  <si>
    <t>Total Other Nonutility Income</t>
  </si>
  <si>
    <t>Net (Income) Loss</t>
  </si>
  <si>
    <t>Service Department Transportation</t>
  </si>
  <si>
    <t>Metered Sales Industrial Customers</t>
  </si>
  <si>
    <t>Unmetered Revenue4</t>
  </si>
  <si>
    <t>Charges for Services</t>
  </si>
  <si>
    <t>Charles for Services- Water</t>
  </si>
  <si>
    <t>Unmetered Revenue</t>
  </si>
  <si>
    <t>Total Charges for Services- Water</t>
  </si>
  <si>
    <t>Charges for Services-Sewer</t>
  </si>
  <si>
    <t>Total Charges for Services-Sewer</t>
  </si>
  <si>
    <t>Charges for Services-Garbage</t>
  </si>
  <si>
    <t>Total Charges for Services-Garbage</t>
  </si>
  <si>
    <t>City reinstall Meter Fees</t>
  </si>
  <si>
    <t xml:space="preserve"> County Meter Test Fees</t>
  </si>
  <si>
    <t>Revenue- Insurance Operations</t>
  </si>
  <si>
    <t>Salaries and Wages-Employees</t>
  </si>
  <si>
    <t>Salaries and Wages- Officers</t>
  </si>
  <si>
    <t>Insurance-Employers Health</t>
  </si>
  <si>
    <t>Insurance-Workers Comp</t>
  </si>
  <si>
    <t>Service Department-Transportation</t>
  </si>
  <si>
    <t>Insurance- Vehicles</t>
  </si>
  <si>
    <t>Insurance-General Liability</t>
  </si>
  <si>
    <t>Merchant Charges- Credit Cards</t>
  </si>
  <si>
    <t>Postage-Customers</t>
  </si>
  <si>
    <t>Postage-General &amp; Admin</t>
  </si>
  <si>
    <t>Insurance- Other</t>
  </si>
  <si>
    <t>Chemicals</t>
  </si>
  <si>
    <t>Transportation Expenses-Sewer</t>
  </si>
  <si>
    <t>Total Operational Expenses</t>
  </si>
  <si>
    <t>Repairs &amp; Maintenance</t>
  </si>
  <si>
    <t>Service Equipment Repairs</t>
  </si>
  <si>
    <t>Relocation Cost- Construction</t>
  </si>
  <si>
    <t>Total Repairs &amp; Maintenance</t>
  </si>
  <si>
    <t>Contractual Services- Engineering</t>
  </si>
  <si>
    <t>Contractual Services- Accounting</t>
  </si>
  <si>
    <t>Contractual Services- Water Testing</t>
  </si>
  <si>
    <t>Contractual Services- Other</t>
  </si>
  <si>
    <t>Service Materials &amp; Supplies</t>
  </si>
  <si>
    <t>Depreciation &amp; Amortization Expense</t>
  </si>
  <si>
    <t>Proceeds From Capital Contributions</t>
  </si>
  <si>
    <t>Construction-Revenue</t>
  </si>
  <si>
    <t>Construction- State Income</t>
  </si>
  <si>
    <t>General Assembly Funding</t>
  </si>
  <si>
    <t>Misc Nonutility Expenses</t>
  </si>
  <si>
    <t>Amortization of Debt Discount &amp; Expense</t>
  </si>
  <si>
    <t>Parts Sales</t>
  </si>
  <si>
    <t>SEWER</t>
  </si>
  <si>
    <t>Total</t>
  </si>
  <si>
    <t>Water Only</t>
  </si>
  <si>
    <t>XXIII.  FORECAST OF SEWER - INCOME -  EXISTING SYSTEM</t>
  </si>
  <si>
    <t>XXIV.  FORECAST OF SEWER - INCOME -  NEW USERS - EXTENSION ONLY</t>
  </si>
  <si>
    <t>IX.  ANALYSIS OF ACTUAL SEWER USAGE - EXISTING SYSTEM</t>
  </si>
  <si>
    <t>X.  ANALYSIS OF ACTUAL WATER USAGE - EXISTING SYSTEM</t>
  </si>
  <si>
    <t>Base Rate *</t>
  </si>
  <si>
    <t>Average - R</t>
  </si>
  <si>
    <t>Average - C</t>
  </si>
  <si>
    <t>Wastewater Customers</t>
  </si>
  <si>
    <t>Usage Total</t>
  </si>
  <si>
    <t>No. Users</t>
  </si>
  <si>
    <t>Average Usage</t>
  </si>
  <si>
    <t>Proposed</t>
  </si>
  <si>
    <t>WATER</t>
  </si>
  <si>
    <t>Next 5000</t>
  </si>
  <si>
    <t>Next 15000</t>
  </si>
  <si>
    <t>Over 25000</t>
  </si>
  <si>
    <t>1 Inch Meter</t>
  </si>
  <si>
    <t>5/8 x 3/4 Meter</t>
  </si>
  <si>
    <t>First 5000</t>
  </si>
  <si>
    <t>1.5 Inch Meter</t>
  </si>
  <si>
    <t>First 10000</t>
  </si>
  <si>
    <t>2 Inch Meter</t>
  </si>
  <si>
    <t>First 16000</t>
  </si>
  <si>
    <t>Next 9000</t>
  </si>
  <si>
    <t>Minimum</t>
  </si>
  <si>
    <t>All Usage</t>
  </si>
  <si>
    <t>Per 1,000 gallons</t>
  </si>
  <si>
    <t>No Usage</t>
  </si>
  <si>
    <t>WASTEWATER</t>
  </si>
  <si>
    <t>Water Users</t>
  </si>
  <si>
    <t>Residential 5/8 "</t>
  </si>
  <si>
    <t>County</t>
  </si>
  <si>
    <t>City</t>
  </si>
  <si>
    <t>Total Resid 5/8"</t>
  </si>
  <si>
    <t>Commercial 5/8 "</t>
  </si>
  <si>
    <t>Total Commercial 5/8"</t>
  </si>
  <si>
    <t>Total Resid 1"</t>
  </si>
  <si>
    <t>Total Resid 1.5"</t>
  </si>
  <si>
    <t>Total Resid 2"</t>
  </si>
  <si>
    <t>Total Commerical 1"</t>
  </si>
  <si>
    <t>Commerical</t>
  </si>
  <si>
    <t>Total Commerical 1.5"</t>
  </si>
  <si>
    <t>Total Commerical 2"</t>
  </si>
  <si>
    <t>5/8 Inch &amp; 3/4 Inch</t>
  </si>
  <si>
    <t>Rate - R</t>
  </si>
  <si>
    <t>Rate - C</t>
  </si>
  <si>
    <t>Base Rate</t>
  </si>
  <si>
    <t>Personal</t>
  </si>
  <si>
    <t>Contractual</t>
  </si>
  <si>
    <t>Supplies</t>
  </si>
  <si>
    <t>Repairs</t>
  </si>
  <si>
    <t>Operational</t>
  </si>
  <si>
    <t>Depreciation</t>
  </si>
  <si>
    <t>Net Change 2016-2018</t>
  </si>
  <si>
    <t>INTEREST</t>
  </si>
  <si>
    <t>ORIGINAL</t>
  </si>
  <si>
    <t>LOAN #</t>
  </si>
  <si>
    <t>YEAR</t>
  </si>
  <si>
    <t>RATE</t>
  </si>
  <si>
    <t>AMOUNT</t>
  </si>
  <si>
    <t>91-18 wd</t>
  </si>
  <si>
    <t>91-20 wd</t>
  </si>
  <si>
    <t>91-22 wd</t>
  </si>
  <si>
    <t>91-24 wd</t>
  </si>
  <si>
    <t>93-42 wd</t>
  </si>
  <si>
    <t>91-46 wp</t>
  </si>
  <si>
    <t>91-47 wp</t>
  </si>
  <si>
    <t>91-45 wp</t>
  </si>
  <si>
    <t>91-40 city</t>
  </si>
  <si>
    <t>w</t>
  </si>
  <si>
    <t>92-41 city</t>
  </si>
  <si>
    <t>s</t>
  </si>
  <si>
    <t>KIA</t>
  </si>
  <si>
    <t>F07-01 wd</t>
  </si>
  <si>
    <t>F10-01 wd</t>
  </si>
  <si>
    <t>F11-10 wd</t>
  </si>
  <si>
    <t>F12-04 wd</t>
  </si>
  <si>
    <t>F06-01 wp</t>
  </si>
  <si>
    <t>F10-02 wp</t>
  </si>
  <si>
    <t xml:space="preserve">This loan has principal forgiveness </t>
  </si>
  <si>
    <t>New Bonds/Loans:</t>
  </si>
  <si>
    <t>2019 RD</t>
  </si>
  <si>
    <t>2020 DWSRF</t>
  </si>
  <si>
    <t>2020 CWSRF</t>
  </si>
  <si>
    <t>PAYMENT YEAR: 2021</t>
  </si>
  <si>
    <t>PAYMENT YEAR: 2022</t>
  </si>
  <si>
    <t>PAYMENT YEAR: 2023</t>
  </si>
  <si>
    <t>DATE OF ISSUE</t>
  </si>
  <si>
    <t>BOND HOLDER</t>
  </si>
  <si>
    <t>PRINCIPAL PAYMENT</t>
  </si>
  <si>
    <t>INTEREST PAYMENT</t>
  </si>
  <si>
    <t>RD</t>
  </si>
  <si>
    <t>KRWFC</t>
  </si>
  <si>
    <t>31509+</t>
  </si>
  <si>
    <t>Short Lived Assets</t>
  </si>
  <si>
    <t>First 1000</t>
  </si>
  <si>
    <t>Next 4000</t>
  </si>
  <si>
    <t>Change in Minimum only</t>
  </si>
  <si>
    <t xml:space="preserve">XXIII. CURRENT OPERATING BUDGET - (SEWER SYSTEM) </t>
  </si>
  <si>
    <t>XXIV. PROPOSED OPERATING BUDGET - (SEWER SYSTEM) - EXISTING SYSTEM</t>
  </si>
  <si>
    <t>XXV. PROPOSED OPERATING BUDGET - (SEWER SYSTEM) - NEW USERS-</t>
  </si>
  <si>
    <t>(As of the last full operating year)</t>
  </si>
  <si>
    <t>AND NEW USERS (1st Full Year of Operation)</t>
  </si>
  <si>
    <t>EXTENSION ONLY (1st Full Year of Operation)</t>
  </si>
  <si>
    <t>Late Charge Fees</t>
  </si>
  <si>
    <t>Operation Expense</t>
  </si>
  <si>
    <t>Maintenance Expense</t>
  </si>
  <si>
    <t>Accured Taxes</t>
  </si>
  <si>
    <t>Wholesale Customers</t>
  </si>
  <si>
    <t>City of Edmonton</t>
  </si>
  <si>
    <t>Green Taylor Water District</t>
  </si>
  <si>
    <t>East Casey Water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</si>
</sst>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;;;"/>
    <numFmt numFmtId="167" formatCode="0.00_)"/>
    <numFmt numFmtId="168" formatCode="_(&quot;$&quot;* #,##0_);_(&quot;$&quot;* \(#,##0\);_(&quot;$&quot;* &quot;-&quot;??_);_(@_)"/>
    <numFmt numFmtId="169" formatCode="[$$]#,##0.00_);\([$$]#,##0.00\)"/>
    <numFmt numFmtId="170" formatCode="&quot;$&quot;#,##0.00"/>
    <numFmt numFmtId="171" formatCode="0.00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28"/>
      <name val="Arial"/>
      <family val="2"/>
    </font>
    <font>
      <i/>
      <sz val="10"/>
      <color indexed="28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sz val="10"/>
      <color indexed="28"/>
      <name val="Arial"/>
      <family val="2"/>
    </font>
    <font>
      <sz val="10"/>
      <color indexed="14"/>
      <name val="Arial"/>
      <family val="2"/>
    </font>
    <font>
      <sz val="10"/>
      <name val="Helvetica"/>
      <family val="2"/>
    </font>
    <font>
      <b/>
      <sz val="11"/>
      <color theme="1"/>
      <name val="Calibri"/>
      <family val="2"/>
      <scheme val="minor"/>
    </font>
    <font>
      <b/>
      <sz val="8.25"/>
      <color rgb="FF000000"/>
      <name val="Microsoft Sans Serif"/>
      <family val="2"/>
    </font>
    <font>
      <sz val="8.25"/>
      <color rgb="FF000000"/>
      <name val="Microsoft Sans Serif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28"/>
      <name val="Calibri"/>
      <family val="2"/>
      <scheme val="minor"/>
    </font>
    <font>
      <i/>
      <sz val="11"/>
      <color indexed="2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28"/>
      <name val="Calibri"/>
      <family val="2"/>
      <scheme val="minor"/>
    </font>
    <font>
      <u val="singleAccounting"/>
      <sz val="10"/>
      <name val="Arial"/>
      <family val="2"/>
    </font>
    <font>
      <u val="singleAccounting"/>
      <sz val="8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0"/>
      <name val="Helvetica"/>
      <family val="2"/>
    </font>
    <font>
      <i/>
      <sz val="10"/>
      <name val="Helvetica"/>
      <family val="2"/>
    </font>
  </fonts>
  <fills count="7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indexed="8"/>
        <bgColor theme="0" tint="-4.9989318521683403E-2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  <xf numFmtId="0" fontId="15" fillId="0" borderId="0" applyAlignment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5">
    <xf numFmtId="0" fontId="0" fillId="0" borderId="0" xfId="0"/>
    <xf numFmtId="164" fontId="3" fillId="0" borderId="0" xfId="3" applyFont="1" applyAlignment="1" applyProtection="1">
      <alignment horizontal="left"/>
    </xf>
    <xf numFmtId="164" fontId="4" fillId="0" borderId="0" xfId="3" applyFont="1"/>
    <xf numFmtId="0" fontId="4" fillId="0" borderId="0" xfId="0" applyFont="1"/>
    <xf numFmtId="164" fontId="4" fillId="0" borderId="3" xfId="3" applyFont="1" applyBorder="1" applyAlignment="1" applyProtection="1">
      <alignment horizontal="center"/>
    </xf>
    <xf numFmtId="164" fontId="4" fillId="0" borderId="4" xfId="3" applyFont="1" applyBorder="1" applyAlignment="1" applyProtection="1">
      <alignment horizontal="center"/>
    </xf>
    <xf numFmtId="164" fontId="4" fillId="0" borderId="0" xfId="3" applyFont="1" applyAlignment="1" applyProtection="1">
      <alignment horizontal="left"/>
    </xf>
    <xf numFmtId="37" fontId="4" fillId="0" borderId="0" xfId="3" applyNumberFormat="1" applyFont="1" applyProtection="1"/>
    <xf numFmtId="37" fontId="5" fillId="0" borderId="5" xfId="3" applyNumberFormat="1" applyFont="1" applyBorder="1" applyProtection="1"/>
    <xf numFmtId="37" fontId="4" fillId="0" borderId="6" xfId="3" applyNumberFormat="1" applyFont="1" applyBorder="1" applyProtection="1"/>
    <xf numFmtId="37" fontId="4" fillId="0" borderId="0" xfId="3" applyNumberFormat="1" applyFont="1" applyBorder="1" applyProtection="1"/>
    <xf numFmtId="165" fontId="4" fillId="0" borderId="0" xfId="1" applyNumberFormat="1" applyFont="1"/>
    <xf numFmtId="165" fontId="5" fillId="0" borderId="6" xfId="1" applyNumberFormat="1" applyFont="1" applyBorder="1" applyProtection="1"/>
    <xf numFmtId="165" fontId="3" fillId="0" borderId="6" xfId="1" applyNumberFormat="1" applyFont="1" applyBorder="1"/>
    <xf numFmtId="0" fontId="6" fillId="0" borderId="0" xfId="0" applyFont="1"/>
    <xf numFmtId="164" fontId="4" fillId="0" borderId="0" xfId="3" applyFont="1" applyAlignment="1">
      <alignment horizontal="centerContinuous"/>
    </xf>
    <xf numFmtId="0" fontId="9" fillId="0" borderId="0" xfId="0" applyFont="1"/>
    <xf numFmtId="164" fontId="4" fillId="0" borderId="1" xfId="3" applyFont="1" applyBorder="1" applyAlignment="1" applyProtection="1">
      <alignment horizontal="left"/>
    </xf>
    <xf numFmtId="164" fontId="4" fillId="0" borderId="1" xfId="3" applyFont="1" applyBorder="1"/>
    <xf numFmtId="164" fontId="4" fillId="0" borderId="8" xfId="3" applyFont="1" applyBorder="1" applyAlignment="1" applyProtection="1">
      <alignment horizontal="center"/>
    </xf>
    <xf numFmtId="164" fontId="4" fillId="0" borderId="10" xfId="3" applyFont="1" applyBorder="1"/>
    <xf numFmtId="37" fontId="6" fillId="0" borderId="0" xfId="3" applyNumberFormat="1" applyFont="1" applyProtection="1"/>
    <xf numFmtId="5" fontId="7" fillId="0" borderId="5" xfId="3" applyNumberFormat="1" applyFont="1" applyBorder="1" applyProtection="1"/>
    <xf numFmtId="164" fontId="6" fillId="0" borderId="0" xfId="3" applyFont="1"/>
    <xf numFmtId="164" fontId="6" fillId="0" borderId="6" xfId="3" applyFont="1" applyBorder="1"/>
    <xf numFmtId="44" fontId="6" fillId="0" borderId="0" xfId="2" applyFont="1"/>
    <xf numFmtId="44" fontId="6" fillId="0" borderId="0" xfId="2" applyFont="1" applyProtection="1"/>
    <xf numFmtId="165" fontId="5" fillId="0" borderId="6" xfId="1" applyNumberFormat="1" applyFont="1" applyBorder="1"/>
    <xf numFmtId="44" fontId="9" fillId="0" borderId="6" xfId="2" applyFont="1" applyBorder="1"/>
    <xf numFmtId="37" fontId="5" fillId="0" borderId="0" xfId="3" applyNumberFormat="1" applyFont="1" applyProtection="1"/>
    <xf numFmtId="44" fontId="9" fillId="0" borderId="0" xfId="2" applyFont="1"/>
    <xf numFmtId="44" fontId="3" fillId="0" borderId="6" xfId="2" applyFont="1" applyBorder="1"/>
    <xf numFmtId="168" fontId="10" fillId="0" borderId="0" xfId="2" applyNumberFormat="1" applyFont="1"/>
    <xf numFmtId="164" fontId="5" fillId="0" borderId="0" xfId="3" applyFont="1" applyAlignment="1"/>
    <xf numFmtId="164" fontId="4" fillId="0" borderId="0" xfId="3" applyFont="1" applyBorder="1" applyAlignment="1"/>
    <xf numFmtId="0" fontId="4" fillId="0" borderId="0" xfId="0" applyFont="1" applyBorder="1" applyAlignment="1"/>
    <xf numFmtId="168" fontId="4" fillId="0" borderId="0" xfId="2" applyNumberFormat="1" applyFont="1" applyProtection="1"/>
    <xf numFmtId="168" fontId="4" fillId="0" borderId="0" xfId="2" applyNumberFormat="1" applyFont="1"/>
    <xf numFmtId="168" fontId="4" fillId="0" borderId="1" xfId="2" applyNumberFormat="1" applyFont="1" applyBorder="1"/>
    <xf numFmtId="168" fontId="4" fillId="0" borderId="2" xfId="2" applyNumberFormat="1" applyFont="1" applyBorder="1" applyProtection="1"/>
    <xf numFmtId="168" fontId="4" fillId="0" borderId="0" xfId="2" applyNumberFormat="1" applyFont="1" applyBorder="1" applyProtection="1"/>
    <xf numFmtId="168" fontId="4" fillId="0" borderId="0" xfId="2" applyNumberFormat="1" applyFont="1" applyBorder="1"/>
    <xf numFmtId="164" fontId="5" fillId="0" borderId="0" xfId="3" applyFont="1" applyAlignment="1" applyProtection="1">
      <alignment horizontal="left"/>
    </xf>
    <xf numFmtId="168" fontId="4" fillId="0" borderId="1" xfId="2" applyNumberFormat="1" applyFont="1" applyBorder="1" applyProtection="1"/>
    <xf numFmtId="168" fontId="4" fillId="0" borderId="2" xfId="2" applyNumberFormat="1" applyFont="1" applyBorder="1"/>
    <xf numFmtId="168" fontId="11" fillId="0" borderId="0" xfId="2" applyNumberFormat="1" applyFont="1" applyProtection="1"/>
    <xf numFmtId="2" fontId="4" fillId="0" borderId="0" xfId="0" applyNumberFormat="1" applyFont="1"/>
    <xf numFmtId="164" fontId="12" fillId="0" borderId="0" xfId="3" applyFont="1" applyAlignment="1" applyProtection="1">
      <alignment horizontal="left"/>
    </xf>
    <xf numFmtId="0" fontId="13" fillId="0" borderId="0" xfId="0" applyFont="1"/>
    <xf numFmtId="17" fontId="13" fillId="0" borderId="2" xfId="0" applyNumberFormat="1" applyFont="1" applyBorder="1"/>
    <xf numFmtId="0" fontId="0" fillId="0" borderId="2" xfId="0" applyBorder="1"/>
    <xf numFmtId="0" fontId="0" fillId="0" borderId="6" xfId="0" applyBorder="1"/>
    <xf numFmtId="14" fontId="0" fillId="0" borderId="0" xfId="0" applyNumberFormat="1"/>
    <xf numFmtId="17" fontId="13" fillId="0" borderId="2" xfId="0" applyNumberFormat="1" applyFont="1" applyBorder="1" applyAlignment="1">
      <alignment horizontal="right" wrapText="1"/>
    </xf>
    <xf numFmtId="0" fontId="0" fillId="0" borderId="0" xfId="0" applyBorder="1"/>
    <xf numFmtId="169" fontId="0" fillId="0" borderId="0" xfId="0" applyNumberFormat="1" applyAlignment="1">
      <alignment horizontal="right"/>
    </xf>
    <xf numFmtId="3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9" fontId="0" fillId="0" borderId="11" xfId="0" applyNumberFormat="1" applyBorder="1" applyAlignment="1">
      <alignment horizontal="right"/>
    </xf>
    <xf numFmtId="43" fontId="0" fillId="0" borderId="0" xfId="1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39" fontId="14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39" fontId="14" fillId="0" borderId="12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9" fontId="15" fillId="0" borderId="11" xfId="4" applyNumberFormat="1" applyBorder="1" applyAlignment="1">
      <alignment horizontal="right"/>
    </xf>
    <xf numFmtId="39" fontId="15" fillId="0" borderId="0" xfId="4" applyNumberFormat="1" applyAlignment="1">
      <alignment horizontal="right"/>
    </xf>
    <xf numFmtId="39" fontId="15" fillId="0" borderId="0" xfId="4" applyNumberFormat="1" applyAlignment="1">
      <alignment horizontal="right"/>
    </xf>
    <xf numFmtId="0" fontId="15" fillId="0" borderId="0" xfId="4" applyAlignment="1">
      <alignment horizontal="right"/>
    </xf>
    <xf numFmtId="39" fontId="15" fillId="0" borderId="11" xfId="4" applyNumberFormat="1" applyBorder="1" applyAlignment="1">
      <alignment horizontal="right"/>
    </xf>
    <xf numFmtId="39" fontId="15" fillId="0" borderId="0" xfId="4" applyNumberFormat="1" applyAlignment="1">
      <alignment horizontal="right"/>
    </xf>
    <xf numFmtId="0" fontId="15" fillId="0" borderId="0" xfId="4" applyAlignment="1">
      <alignment horizontal="right"/>
    </xf>
    <xf numFmtId="39" fontId="15" fillId="0" borderId="11" xfId="4" applyNumberFormat="1" applyBorder="1" applyAlignment="1">
      <alignment horizontal="right"/>
    </xf>
    <xf numFmtId="39" fontId="15" fillId="0" borderId="0" xfId="4" applyNumberFormat="1" applyAlignment="1">
      <alignment horizontal="right"/>
    </xf>
    <xf numFmtId="0" fontId="15" fillId="0" borderId="0" xfId="4" applyAlignment="1">
      <alignment horizontal="right"/>
    </xf>
    <xf numFmtId="39" fontId="15" fillId="0" borderId="0" xfId="4" applyNumberFormat="1" applyAlignment="1">
      <alignment horizontal="right"/>
    </xf>
    <xf numFmtId="39" fontId="15" fillId="0" borderId="11" xfId="4" applyNumberFormat="1" applyBorder="1" applyAlignment="1">
      <alignment horizontal="right"/>
    </xf>
    <xf numFmtId="39" fontId="15" fillId="0" borderId="0" xfId="4" applyNumberFormat="1" applyAlignment="1">
      <alignment horizontal="right"/>
    </xf>
    <xf numFmtId="169" fontId="15" fillId="0" borderId="0" xfId="4" applyNumberFormat="1" applyAlignment="1">
      <alignment horizontal="right"/>
    </xf>
    <xf numFmtId="39" fontId="15" fillId="0" borderId="0" xfId="4" applyNumberFormat="1" applyAlignment="1">
      <alignment horizontal="right"/>
    </xf>
    <xf numFmtId="0" fontId="15" fillId="0" borderId="0" xfId="4" applyAlignment="1">
      <alignment horizontal="right"/>
    </xf>
    <xf numFmtId="39" fontId="15" fillId="0" borderId="0" xfId="4" applyNumberFormat="1" applyAlignment="1">
      <alignment horizontal="right"/>
    </xf>
    <xf numFmtId="0" fontId="15" fillId="0" borderId="0" xfId="4" applyAlignment="1">
      <alignment horizontal="right"/>
    </xf>
    <xf numFmtId="39" fontId="15" fillId="0" borderId="0" xfId="4" applyNumberFormat="1" applyAlignment="1">
      <alignment horizontal="right"/>
    </xf>
    <xf numFmtId="0" fontId="15" fillId="0" borderId="0" xfId="4" applyAlignment="1">
      <alignment horizontal="right"/>
    </xf>
    <xf numFmtId="39" fontId="15" fillId="0" borderId="11" xfId="4" applyNumberFormat="1" applyBorder="1" applyAlignment="1">
      <alignment horizontal="right"/>
    </xf>
    <xf numFmtId="39" fontId="15" fillId="0" borderId="0" xfId="4" applyNumberFormat="1" applyAlignment="1">
      <alignment horizontal="right"/>
    </xf>
    <xf numFmtId="0" fontId="15" fillId="0" borderId="0" xfId="4" applyAlignment="1">
      <alignment horizontal="right"/>
    </xf>
    <xf numFmtId="39" fontId="15" fillId="0" borderId="11" xfId="4" applyNumberFormat="1" applyBorder="1" applyAlignment="1">
      <alignment horizontal="right"/>
    </xf>
    <xf numFmtId="39" fontId="15" fillId="0" borderId="0" xfId="4" applyNumberFormat="1" applyAlignment="1">
      <alignment horizontal="right"/>
    </xf>
    <xf numFmtId="39" fontId="15" fillId="0" borderId="0" xfId="4" applyNumberFormat="1" applyAlignment="1">
      <alignment horizontal="right"/>
    </xf>
    <xf numFmtId="39" fontId="15" fillId="0" borderId="11" xfId="4" applyNumberFormat="1" applyBorder="1" applyAlignment="1">
      <alignment horizontal="right"/>
    </xf>
    <xf numFmtId="39" fontId="15" fillId="0" borderId="0" xfId="4" applyNumberFormat="1" applyAlignment="1">
      <alignment horizontal="right"/>
    </xf>
    <xf numFmtId="0" fontId="15" fillId="0" borderId="11" xfId="4" applyBorder="1" applyAlignment="1">
      <alignment horizontal="right"/>
    </xf>
    <xf numFmtId="39" fontId="15" fillId="0" borderId="11" xfId="4" applyNumberFormat="1" applyBorder="1" applyAlignment="1">
      <alignment horizontal="right"/>
    </xf>
    <xf numFmtId="39" fontId="15" fillId="0" borderId="0" xfId="4" applyNumberFormat="1" applyAlignment="1">
      <alignment horizontal="right"/>
    </xf>
    <xf numFmtId="0" fontId="15" fillId="0" borderId="0" xfId="4" applyAlignment="1">
      <alignment horizontal="right"/>
    </xf>
    <xf numFmtId="39" fontId="15" fillId="0" borderId="11" xfId="4" applyNumberFormat="1" applyBorder="1" applyAlignment="1">
      <alignment horizontal="right"/>
    </xf>
    <xf numFmtId="39" fontId="15" fillId="0" borderId="11" xfId="4" applyNumberFormat="1" applyBorder="1" applyAlignment="1">
      <alignment horizontal="right"/>
    </xf>
    <xf numFmtId="0" fontId="13" fillId="0" borderId="2" xfId="0" applyFont="1" applyBorder="1"/>
    <xf numFmtId="43" fontId="0" fillId="0" borderId="0" xfId="0" applyNumberFormat="1"/>
    <xf numFmtId="43" fontId="0" fillId="0" borderId="2" xfId="0" applyNumberFormat="1" applyBorder="1"/>
    <xf numFmtId="43" fontId="0" fillId="0" borderId="6" xfId="1" applyFont="1" applyBorder="1"/>
    <xf numFmtId="0" fontId="0" fillId="0" borderId="2" xfId="0" applyBorder="1" applyAlignment="1">
      <alignment horizontal="center"/>
    </xf>
    <xf numFmtId="39" fontId="0" fillId="0" borderId="0" xfId="0" applyNumberFormat="1"/>
    <xf numFmtId="39" fontId="0" fillId="0" borderId="2" xfId="0" applyNumberFormat="1" applyBorder="1"/>
    <xf numFmtId="39" fontId="14" fillId="0" borderId="6" xfId="0" applyNumberFormat="1" applyFont="1" applyBorder="1" applyAlignment="1">
      <alignment horizontal="right"/>
    </xf>
    <xf numFmtId="39" fontId="0" fillId="0" borderId="13" xfId="0" applyNumberFormat="1" applyBorder="1"/>
    <xf numFmtId="39" fontId="0" fillId="0" borderId="0" xfId="0" applyNumberFormat="1" applyBorder="1"/>
    <xf numFmtId="39" fontId="0" fillId="0" borderId="0" xfId="0" applyNumberFormat="1" applyBorder="1" applyAlignment="1">
      <alignment horizontal="right"/>
    </xf>
    <xf numFmtId="39" fontId="0" fillId="0" borderId="6" xfId="0" applyNumberFormat="1" applyBorder="1"/>
    <xf numFmtId="39" fontId="0" fillId="0" borderId="13" xfId="0" applyNumberFormat="1" applyBorder="1" applyAlignment="1">
      <alignment horizontal="right"/>
    </xf>
    <xf numFmtId="0" fontId="0" fillId="0" borderId="13" xfId="0" applyBorder="1"/>
    <xf numFmtId="39" fontId="14" fillId="0" borderId="13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9" fontId="0" fillId="0" borderId="2" xfId="0" applyNumberFormat="1" applyBorder="1" applyAlignment="1">
      <alignment horizontal="right"/>
    </xf>
    <xf numFmtId="43" fontId="0" fillId="0" borderId="6" xfId="0" applyNumberFormat="1" applyBorder="1"/>
    <xf numFmtId="39" fontId="15" fillId="0" borderId="0" xfId="4" applyNumberFormat="1" applyBorder="1" applyAlignment="1">
      <alignment horizontal="right"/>
    </xf>
    <xf numFmtId="43" fontId="0" fillId="0" borderId="13" xfId="0" applyNumberFormat="1" applyBorder="1"/>
    <xf numFmtId="0" fontId="0" fillId="0" borderId="0" xfId="0" applyFill="1" applyBorder="1"/>
    <xf numFmtId="169" fontId="15" fillId="0" borderId="0" xfId="4" applyNumberFormat="1" applyAlignment="1">
      <alignment horizontal="right"/>
    </xf>
    <xf numFmtId="39" fontId="15" fillId="0" borderId="0" xfId="4" applyNumberFormat="1" applyAlignment="1">
      <alignment horizontal="right"/>
    </xf>
    <xf numFmtId="0" fontId="15" fillId="0" borderId="0" xfId="4" applyAlignment="1">
      <alignment horizontal="right"/>
    </xf>
    <xf numFmtId="39" fontId="15" fillId="0" borderId="0" xfId="4" applyNumberFormat="1" applyAlignment="1">
      <alignment horizontal="right"/>
    </xf>
    <xf numFmtId="0" fontId="15" fillId="0" borderId="0" xfId="4" applyAlignment="1">
      <alignment horizontal="right"/>
    </xf>
    <xf numFmtId="0" fontId="15" fillId="0" borderId="11" xfId="4" applyBorder="1" applyAlignment="1">
      <alignment horizontal="right"/>
    </xf>
    <xf numFmtId="39" fontId="15" fillId="0" borderId="0" xfId="4" applyNumberFormat="1" applyAlignment="1">
      <alignment horizontal="right"/>
    </xf>
    <xf numFmtId="0" fontId="15" fillId="0" borderId="0" xfId="4" applyAlignment="1">
      <alignment horizontal="right"/>
    </xf>
    <xf numFmtId="39" fontId="15" fillId="0" borderId="11" xfId="4" applyNumberFormat="1" applyBorder="1" applyAlignment="1">
      <alignment horizontal="right"/>
    </xf>
    <xf numFmtId="39" fontId="15" fillId="0" borderId="0" xfId="4" applyNumberFormat="1" applyAlignment="1">
      <alignment horizontal="right"/>
    </xf>
    <xf numFmtId="0" fontId="15" fillId="0" borderId="0" xfId="4" applyAlignment="1">
      <alignment horizontal="right"/>
    </xf>
    <xf numFmtId="39" fontId="15" fillId="0" borderId="11" xfId="4" applyNumberFormat="1" applyBorder="1" applyAlignment="1">
      <alignment horizontal="right"/>
    </xf>
    <xf numFmtId="39" fontId="15" fillId="0" borderId="0" xfId="4" applyNumberFormat="1" applyAlignment="1">
      <alignment horizontal="right"/>
    </xf>
    <xf numFmtId="39" fontId="15" fillId="0" borderId="0" xfId="4" applyNumberFormat="1" applyAlignment="1">
      <alignment horizontal="right"/>
    </xf>
    <xf numFmtId="39" fontId="15" fillId="0" borderId="11" xfId="4" applyNumberFormat="1" applyBorder="1" applyAlignment="1">
      <alignment horizontal="right"/>
    </xf>
    <xf numFmtId="39" fontId="15" fillId="0" borderId="0" xfId="4" applyNumberFormat="1" applyAlignment="1">
      <alignment horizontal="right"/>
    </xf>
    <xf numFmtId="39" fontId="15" fillId="0" borderId="0" xfId="4" applyNumberFormat="1" applyAlignment="1">
      <alignment horizontal="right"/>
    </xf>
    <xf numFmtId="0" fontId="15" fillId="0" borderId="0" xfId="4" applyAlignment="1">
      <alignment horizontal="right"/>
    </xf>
    <xf numFmtId="39" fontId="15" fillId="0" borderId="11" xfId="4" applyNumberFormat="1" applyBorder="1" applyAlignment="1">
      <alignment horizontal="right"/>
    </xf>
    <xf numFmtId="39" fontId="15" fillId="0" borderId="0" xfId="4" applyNumberFormat="1" applyAlignment="1">
      <alignment horizontal="right"/>
    </xf>
    <xf numFmtId="0" fontId="15" fillId="0" borderId="0" xfId="4" applyAlignment="1">
      <alignment horizontal="right"/>
    </xf>
    <xf numFmtId="39" fontId="15" fillId="0" borderId="11" xfId="4" applyNumberFormat="1" applyBorder="1" applyAlignment="1">
      <alignment horizontal="right"/>
    </xf>
    <xf numFmtId="39" fontId="15" fillId="0" borderId="0" xfId="4" applyNumberFormat="1" applyAlignment="1">
      <alignment horizontal="right"/>
    </xf>
    <xf numFmtId="164" fontId="16" fillId="0" borderId="0" xfId="3" applyFont="1" applyAlignment="1" applyProtection="1">
      <alignment horizontal="left"/>
    </xf>
    <xf numFmtId="0" fontId="1" fillId="0" borderId="0" xfId="0" applyFont="1"/>
    <xf numFmtId="164" fontId="17" fillId="0" borderId="0" xfId="3" applyFont="1" applyBorder="1" applyAlignment="1" applyProtection="1">
      <alignment horizontal="center"/>
    </xf>
    <xf numFmtId="164" fontId="17" fillId="0" borderId="0" xfId="3" applyFont="1"/>
    <xf numFmtId="0" fontId="17" fillId="0" borderId="0" xfId="0" applyFont="1"/>
    <xf numFmtId="37" fontId="17" fillId="0" borderId="0" xfId="3" applyNumberFormat="1" applyFont="1" applyProtection="1"/>
    <xf numFmtId="164" fontId="17" fillId="0" borderId="0" xfId="3" applyFont="1" applyProtection="1"/>
    <xf numFmtId="164" fontId="17" fillId="0" borderId="0" xfId="3" applyFont="1" applyAlignment="1" applyProtection="1">
      <alignment horizontal="right"/>
    </xf>
    <xf numFmtId="37" fontId="17" fillId="0" borderId="0" xfId="3" applyNumberFormat="1" applyFont="1" applyAlignment="1" applyProtection="1">
      <alignment horizontal="right"/>
    </xf>
    <xf numFmtId="164" fontId="18" fillId="0" borderId="5" xfId="3" applyFont="1" applyBorder="1" applyProtection="1"/>
    <xf numFmtId="37" fontId="18" fillId="0" borderId="5" xfId="3" applyNumberFormat="1" applyFont="1" applyBorder="1" applyProtection="1"/>
    <xf numFmtId="164" fontId="17" fillId="0" borderId="0" xfId="3" applyFont="1" applyBorder="1"/>
    <xf numFmtId="164" fontId="17" fillId="0" borderId="6" xfId="3" applyFont="1" applyBorder="1"/>
    <xf numFmtId="37" fontId="17" fillId="0" borderId="6" xfId="3" applyNumberFormat="1" applyFont="1" applyBorder="1" applyProtection="1"/>
    <xf numFmtId="164" fontId="17" fillId="0" borderId="0" xfId="3" applyFont="1" applyBorder="1" applyProtection="1"/>
    <xf numFmtId="37" fontId="17" fillId="0" borderId="0" xfId="3" applyNumberFormat="1" applyFont="1" applyBorder="1" applyProtection="1"/>
    <xf numFmtId="164" fontId="18" fillId="0" borderId="6" xfId="0" applyNumberFormat="1" applyFont="1" applyBorder="1"/>
    <xf numFmtId="164" fontId="18" fillId="0" borderId="6" xfId="3" applyFont="1" applyBorder="1" applyProtection="1"/>
    <xf numFmtId="165" fontId="18" fillId="0" borderId="6" xfId="1" applyNumberFormat="1" applyFont="1" applyBorder="1" applyProtection="1"/>
    <xf numFmtId="0" fontId="17" fillId="3" borderId="0" xfId="3" applyNumberFormat="1" applyFont="1" applyFill="1" applyBorder="1" applyAlignment="1" applyProtection="1">
      <alignment horizontal="right"/>
    </xf>
    <xf numFmtId="0" fontId="17" fillId="0" borderId="0" xfId="3" applyNumberFormat="1" applyFont="1" applyBorder="1" applyAlignment="1" applyProtection="1">
      <alignment horizontal="center"/>
    </xf>
    <xf numFmtId="0" fontId="1" fillId="0" borderId="0" xfId="0" applyNumberFormat="1" applyFont="1"/>
    <xf numFmtId="0" fontId="17" fillId="0" borderId="0" xfId="3" applyNumberFormat="1" applyFont="1"/>
    <xf numFmtId="0" fontId="17" fillId="0" borderId="0" xfId="3" applyNumberFormat="1" applyFont="1" applyProtection="1"/>
    <xf numFmtId="0" fontId="17" fillId="0" borderId="0" xfId="3" applyNumberFormat="1" applyFont="1" applyAlignment="1" applyProtection="1">
      <alignment horizontal="right"/>
    </xf>
    <xf numFmtId="0" fontId="17" fillId="0" borderId="0" xfId="3" applyNumberFormat="1" applyFont="1" applyBorder="1"/>
    <xf numFmtId="0" fontId="17" fillId="0" borderId="6" xfId="3" applyNumberFormat="1" applyFont="1" applyBorder="1"/>
    <xf numFmtId="0" fontId="17" fillId="0" borderId="0" xfId="3" applyNumberFormat="1" applyFont="1" applyBorder="1" applyProtection="1"/>
    <xf numFmtId="164" fontId="19" fillId="0" borderId="0" xfId="3" applyFont="1"/>
    <xf numFmtId="164" fontId="20" fillId="0" borderId="0" xfId="3" applyFont="1"/>
    <xf numFmtId="164" fontId="20" fillId="0" borderId="0" xfId="3" applyFont="1" applyAlignment="1" applyProtection="1">
      <alignment horizontal="left"/>
    </xf>
    <xf numFmtId="164" fontId="17" fillId="0" borderId="1" xfId="3" applyFont="1" applyBorder="1" applyAlignment="1" applyProtection="1">
      <alignment horizontal="centerContinuous"/>
    </xf>
    <xf numFmtId="0" fontId="17" fillId="0" borderId="2" xfId="0" applyFont="1" applyBorder="1" applyAlignment="1">
      <alignment horizontal="centerContinuous"/>
    </xf>
    <xf numFmtId="164" fontId="17" fillId="2" borderId="0" xfId="3" applyFont="1" applyFill="1" applyAlignment="1" applyProtection="1">
      <alignment horizontal="center"/>
    </xf>
    <xf numFmtId="164" fontId="17" fillId="0" borderId="3" xfId="3" applyFont="1" applyBorder="1" applyAlignment="1" applyProtection="1">
      <alignment horizontal="center"/>
    </xf>
    <xf numFmtId="164" fontId="17" fillId="2" borderId="3" xfId="3" applyFont="1" applyFill="1" applyBorder="1" applyAlignment="1" applyProtection="1">
      <alignment horizontal="center"/>
    </xf>
    <xf numFmtId="164" fontId="20" fillId="0" borderId="2" xfId="3" applyFont="1" applyBorder="1" applyAlignment="1" applyProtection="1">
      <alignment horizontal="center"/>
    </xf>
    <xf numFmtId="164" fontId="17" fillId="0" borderId="2" xfId="3" applyFont="1" applyBorder="1"/>
    <xf numFmtId="164" fontId="17" fillId="0" borderId="2" xfId="3" applyFont="1" applyBorder="1" applyAlignment="1" applyProtection="1">
      <alignment horizontal="left"/>
    </xf>
    <xf numFmtId="164" fontId="17" fillId="2" borderId="2" xfId="3" applyFont="1" applyFill="1" applyBorder="1" applyAlignment="1" applyProtection="1">
      <alignment horizontal="center"/>
    </xf>
    <xf numFmtId="164" fontId="17" fillId="0" borderId="4" xfId="3" applyFont="1" applyBorder="1" applyAlignment="1" applyProtection="1">
      <alignment horizontal="center"/>
    </xf>
    <xf numFmtId="164" fontId="17" fillId="2" borderId="4" xfId="3" applyFont="1" applyFill="1" applyBorder="1" applyAlignment="1" applyProtection="1">
      <alignment horizontal="center"/>
    </xf>
    <xf numFmtId="164" fontId="17" fillId="0" borderId="0" xfId="3" applyFont="1" applyBorder="1" applyAlignment="1" applyProtection="1">
      <alignment horizontal="left"/>
    </xf>
    <xf numFmtId="164" fontId="20" fillId="0" borderId="0" xfId="3" applyFont="1" applyBorder="1" applyAlignment="1" applyProtection="1">
      <alignment horizontal="left"/>
    </xf>
    <xf numFmtId="164" fontId="17" fillId="0" borderId="0" xfId="3" applyFont="1" applyAlignment="1" applyProtection="1">
      <alignment horizontal="left"/>
    </xf>
    <xf numFmtId="0" fontId="18" fillId="0" borderId="0" xfId="0" applyFont="1"/>
    <xf numFmtId="164" fontId="18" fillId="0" borderId="0" xfId="3" applyFont="1"/>
    <xf numFmtId="0" fontId="18" fillId="0" borderId="0" xfId="0" applyFont="1" applyBorder="1"/>
    <xf numFmtId="165" fontId="17" fillId="0" borderId="0" xfId="1" applyNumberFormat="1" applyFont="1"/>
    <xf numFmtId="37" fontId="18" fillId="0" borderId="0" xfId="3" applyNumberFormat="1" applyFont="1" applyBorder="1" applyProtection="1"/>
    <xf numFmtId="164" fontId="18" fillId="0" borderId="0" xfId="3" applyFont="1" applyBorder="1" applyProtection="1"/>
    <xf numFmtId="165" fontId="18" fillId="0" borderId="0" xfId="1" applyNumberFormat="1" applyFont="1" applyBorder="1" applyProtection="1"/>
    <xf numFmtId="164" fontId="19" fillId="0" borderId="6" xfId="3" applyFont="1" applyBorder="1"/>
    <xf numFmtId="165" fontId="19" fillId="0" borderId="6" xfId="1" applyNumberFormat="1" applyFont="1" applyBorder="1"/>
    <xf numFmtId="43" fontId="17" fillId="0" borderId="0" xfId="1" applyFont="1"/>
    <xf numFmtId="165" fontId="18" fillId="0" borderId="5" xfId="1" applyNumberFormat="1" applyFont="1" applyBorder="1" applyProtection="1"/>
    <xf numFmtId="165" fontId="0" fillId="0" borderId="0" xfId="1" applyNumberFormat="1" applyFont="1"/>
    <xf numFmtId="165" fontId="17" fillId="0" borderId="0" xfId="1" applyNumberFormat="1" applyFont="1" applyProtection="1"/>
    <xf numFmtId="165" fontId="17" fillId="0" borderId="6" xfId="1" applyNumberFormat="1" applyFont="1" applyBorder="1" applyProtection="1"/>
    <xf numFmtId="165" fontId="17" fillId="0" borderId="6" xfId="1" applyNumberFormat="1" applyFont="1" applyBorder="1"/>
    <xf numFmtId="0" fontId="21" fillId="0" borderId="0" xfId="0" applyFont="1"/>
    <xf numFmtId="165" fontId="17" fillId="0" borderId="0" xfId="1" applyNumberFormat="1" applyFont="1" applyAlignment="1" applyProtection="1">
      <alignment horizontal="right"/>
    </xf>
    <xf numFmtId="37" fontId="17" fillId="3" borderId="0" xfId="3" applyNumberFormat="1" applyFont="1" applyFill="1" applyBorder="1" applyAlignment="1" applyProtection="1"/>
    <xf numFmtId="165" fontId="17" fillId="0" borderId="0" xfId="1" applyNumberFormat="1" applyFont="1" applyBorder="1"/>
    <xf numFmtId="165" fontId="17" fillId="0" borderId="0" xfId="1" applyNumberFormat="1" applyFont="1" applyBorder="1" applyProtection="1"/>
    <xf numFmtId="165" fontId="18" fillId="0" borderId="6" xfId="1" applyNumberFormat="1" applyFont="1" applyBorder="1"/>
    <xf numFmtId="164" fontId="19" fillId="0" borderId="0" xfId="3" applyFont="1" applyAlignment="1" applyProtection="1">
      <alignment horizontal="left"/>
    </xf>
    <xf numFmtId="165" fontId="18" fillId="0" borderId="0" xfId="1" applyNumberFormat="1" applyFont="1"/>
    <xf numFmtId="0" fontId="0" fillId="0" borderId="14" xfId="0" applyBorder="1"/>
    <xf numFmtId="0" fontId="0" fillId="0" borderId="15" xfId="0" applyBorder="1"/>
    <xf numFmtId="165" fontId="0" fillId="0" borderId="15" xfId="1" applyNumberFormat="1" applyFont="1" applyBorder="1"/>
    <xf numFmtId="164" fontId="18" fillId="0" borderId="0" xfId="0" applyNumberFormat="1" applyFont="1" applyBorder="1"/>
    <xf numFmtId="164" fontId="20" fillId="0" borderId="2" xfId="3" applyFont="1" applyBorder="1" applyAlignment="1" applyProtection="1">
      <alignment horizontal="left"/>
    </xf>
    <xf numFmtId="164" fontId="19" fillId="0" borderId="2" xfId="3" applyFont="1" applyBorder="1" applyAlignment="1" applyProtection="1">
      <alignment horizontal="left"/>
    </xf>
    <xf numFmtId="164" fontId="17" fillId="0" borderId="0" xfId="3" applyFont="1" applyFill="1" applyBorder="1" applyProtection="1"/>
    <xf numFmtId="164" fontId="18" fillId="0" borderId="0" xfId="3" applyFont="1" applyBorder="1"/>
    <xf numFmtId="164" fontId="17" fillId="0" borderId="0" xfId="0" applyNumberFormat="1" applyFont="1" applyBorder="1"/>
    <xf numFmtId="0" fontId="0" fillId="0" borderId="0" xfId="0" applyFont="1"/>
    <xf numFmtId="165" fontId="1" fillId="0" borderId="0" xfId="1" applyNumberFormat="1" applyFont="1"/>
    <xf numFmtId="164" fontId="17" fillId="0" borderId="13" xfId="3" applyFont="1" applyFill="1" applyBorder="1" applyProtection="1"/>
    <xf numFmtId="0" fontId="1" fillId="0" borderId="13" xfId="0" applyFont="1" applyBorder="1"/>
    <xf numFmtId="165" fontId="17" fillId="0" borderId="13" xfId="1" applyNumberFormat="1" applyFont="1" applyFill="1" applyBorder="1" applyProtection="1"/>
    <xf numFmtId="165" fontId="1" fillId="0" borderId="13" xfId="1" applyNumberFormat="1" applyFont="1" applyBorder="1"/>
    <xf numFmtId="0" fontId="1" fillId="0" borderId="0" xfId="0" applyFont="1" applyBorder="1"/>
    <xf numFmtId="165" fontId="1" fillId="0" borderId="0" xfId="1" applyNumberFormat="1" applyFont="1" applyBorder="1"/>
    <xf numFmtId="0" fontId="22" fillId="0" borderId="0" xfId="0" applyFont="1"/>
    <xf numFmtId="44" fontId="1" fillId="0" borderId="0" xfId="2" applyFont="1" applyBorder="1"/>
    <xf numFmtId="44" fontId="17" fillId="0" borderId="0" xfId="2" applyFont="1" applyBorder="1"/>
    <xf numFmtId="44" fontId="1" fillId="0" borderId="0" xfId="2" applyFont="1"/>
    <xf numFmtId="44" fontId="17" fillId="0" borderId="0" xfId="2" applyFont="1"/>
    <xf numFmtId="164" fontId="23" fillId="0" borderId="0" xfId="3" applyFont="1"/>
    <xf numFmtId="164" fontId="24" fillId="0" borderId="0" xfId="3" applyFont="1" applyAlignment="1">
      <alignment horizontal="centerContinuous"/>
    </xf>
    <xf numFmtId="164" fontId="17" fillId="0" borderId="0" xfId="3" applyFont="1" applyAlignment="1">
      <alignment horizontal="centerContinuous"/>
    </xf>
    <xf numFmtId="164" fontId="23" fillId="0" borderId="0" xfId="3" applyFont="1" applyAlignment="1">
      <alignment horizontal="centerContinuous"/>
    </xf>
    <xf numFmtId="164" fontId="17" fillId="0" borderId="0" xfId="3" applyFont="1" applyAlignment="1"/>
    <xf numFmtId="0" fontId="25" fillId="0" borderId="0" xfId="0" applyFont="1" applyProtection="1">
      <protection hidden="1"/>
    </xf>
    <xf numFmtId="164" fontId="20" fillId="0" borderId="1" xfId="3" applyFont="1" applyBorder="1"/>
    <xf numFmtId="164" fontId="17" fillId="0" borderId="1" xfId="3" applyFont="1" applyBorder="1" applyAlignment="1" applyProtection="1">
      <alignment horizontal="left"/>
    </xf>
    <xf numFmtId="164" fontId="17" fillId="0" borderId="1" xfId="3" applyFont="1" applyBorder="1"/>
    <xf numFmtId="164" fontId="17" fillId="2" borderId="7" xfId="3" applyFont="1" applyFill="1" applyBorder="1" applyAlignment="1" applyProtection="1">
      <alignment horizontal="center"/>
    </xf>
    <xf numFmtId="164" fontId="17" fillId="0" borderId="8" xfId="3" applyFont="1" applyBorder="1" applyAlignment="1" applyProtection="1">
      <alignment horizontal="center"/>
    </xf>
    <xf numFmtId="164" fontId="17" fillId="0" borderId="2" xfId="3" applyFont="1" applyBorder="1" applyAlignment="1" applyProtection="1">
      <alignment horizontal="right"/>
    </xf>
    <xf numFmtId="164" fontId="17" fillId="2" borderId="9" xfId="3" applyFont="1" applyFill="1" applyBorder="1" applyAlignment="1" applyProtection="1">
      <alignment horizontal="center"/>
    </xf>
    <xf numFmtId="164" fontId="17" fillId="0" borderId="4" xfId="3" applyFont="1" applyBorder="1"/>
    <xf numFmtId="164" fontId="17" fillId="0" borderId="10" xfId="3" applyFont="1" applyBorder="1"/>
    <xf numFmtId="164" fontId="20" fillId="0" borderId="2" xfId="3" applyFont="1" applyBorder="1" applyAlignment="1" applyProtection="1">
      <alignment horizontal="right"/>
    </xf>
    <xf numFmtId="166" fontId="17" fillId="0" borderId="0" xfId="3" applyNumberFormat="1" applyFont="1" applyProtection="1"/>
    <xf numFmtId="44" fontId="17" fillId="0" borderId="0" xfId="2" applyFont="1" applyProtection="1"/>
    <xf numFmtId="37" fontId="26" fillId="0" borderId="0" xfId="3" applyNumberFormat="1" applyFont="1" applyProtection="1"/>
    <xf numFmtId="164" fontId="18" fillId="0" borderId="0" xfId="3" applyFont="1" applyBorder="1" applyAlignment="1" applyProtection="1">
      <alignment horizontal="left"/>
    </xf>
    <xf numFmtId="5" fontId="18" fillId="0" borderId="0" xfId="3" applyNumberFormat="1" applyFont="1" applyBorder="1" applyProtection="1"/>
    <xf numFmtId="5" fontId="18" fillId="0" borderId="5" xfId="3" applyNumberFormat="1" applyFont="1" applyBorder="1" applyProtection="1"/>
    <xf numFmtId="167" fontId="26" fillId="0" borderId="0" xfId="3" applyNumberFormat="1" applyFont="1" applyProtection="1"/>
    <xf numFmtId="164" fontId="26" fillId="0" borderId="0" xfId="3" applyFont="1"/>
    <xf numFmtId="167" fontId="17" fillId="0" borderId="0" xfId="3" applyNumberFormat="1" applyFont="1" applyProtection="1"/>
    <xf numFmtId="164" fontId="26" fillId="0" borderId="6" xfId="3" applyFont="1" applyBorder="1"/>
    <xf numFmtId="164" fontId="26" fillId="0" borderId="0" xfId="3" applyFont="1" applyBorder="1"/>
    <xf numFmtId="0" fontId="26" fillId="0" borderId="0" xfId="0" applyFont="1"/>
    <xf numFmtId="44" fontId="26" fillId="0" borderId="0" xfId="2" applyFont="1"/>
    <xf numFmtId="44" fontId="26" fillId="0" borderId="0" xfId="2" applyFont="1" applyProtection="1"/>
    <xf numFmtId="167" fontId="17" fillId="0" borderId="0" xfId="3" applyNumberFormat="1" applyFont="1" applyBorder="1" applyProtection="1"/>
    <xf numFmtId="44" fontId="17" fillId="0" borderId="0" xfId="2" applyFont="1" applyBorder="1" applyProtection="1"/>
    <xf numFmtId="165" fontId="18" fillId="0" borderId="0" xfId="1" applyNumberFormat="1" applyFont="1" applyBorder="1"/>
    <xf numFmtId="0" fontId="17" fillId="0" borderId="0" xfId="0" applyFont="1" applyBorder="1"/>
    <xf numFmtId="44" fontId="18" fillId="0" borderId="0" xfId="2" applyFont="1" applyBorder="1"/>
    <xf numFmtId="44" fontId="27" fillId="0" borderId="0" xfId="2" applyFont="1"/>
    <xf numFmtId="37" fontId="18" fillId="0" borderId="0" xfId="3" applyNumberFormat="1" applyFont="1" applyProtection="1"/>
    <xf numFmtId="44" fontId="19" fillId="0" borderId="6" xfId="2" applyFont="1" applyBorder="1"/>
    <xf numFmtId="44" fontId="19" fillId="0" borderId="0" xfId="2" applyFont="1" applyBorder="1"/>
    <xf numFmtId="0" fontId="19" fillId="0" borderId="0" xfId="0" applyFont="1"/>
    <xf numFmtId="168" fontId="19" fillId="0" borderId="0" xfId="2" applyNumberFormat="1" applyFont="1"/>
    <xf numFmtId="7" fontId="19" fillId="0" borderId="6" xfId="2" applyNumberFormat="1" applyFont="1" applyBorder="1"/>
    <xf numFmtId="164" fontId="17" fillId="4" borderId="2" xfId="3" applyFont="1" applyFill="1" applyBorder="1" applyAlignment="1" applyProtection="1">
      <alignment horizontal="left"/>
    </xf>
    <xf numFmtId="164" fontId="17" fillId="4" borderId="0" xfId="3" applyFont="1" applyFill="1"/>
    <xf numFmtId="165" fontId="1" fillId="4" borderId="0" xfId="1" applyNumberFormat="1" applyFont="1" applyFill="1"/>
    <xf numFmtId="165" fontId="17" fillId="4" borderId="0" xfId="1" applyNumberFormat="1" applyFont="1" applyFill="1"/>
    <xf numFmtId="164" fontId="18" fillId="4" borderId="0" xfId="3" applyFont="1" applyFill="1" applyBorder="1" applyAlignment="1" applyProtection="1">
      <alignment horizontal="left"/>
    </xf>
    <xf numFmtId="0" fontId="1" fillId="4" borderId="0" xfId="0" applyFont="1" applyFill="1"/>
    <xf numFmtId="164" fontId="17" fillId="4" borderId="0" xfId="3" applyFont="1" applyFill="1" applyAlignment="1" applyProtection="1">
      <alignment horizontal="right"/>
    </xf>
    <xf numFmtId="164" fontId="17" fillId="4" borderId="2" xfId="3" applyFont="1" applyFill="1" applyBorder="1" applyAlignment="1" applyProtection="1">
      <alignment horizontal="right"/>
    </xf>
    <xf numFmtId="44" fontId="17" fillId="4" borderId="0" xfId="2" applyFont="1" applyFill="1" applyProtection="1"/>
    <xf numFmtId="0" fontId="18" fillId="4" borderId="0" xfId="0" applyFont="1" applyFill="1" applyBorder="1"/>
    <xf numFmtId="164" fontId="17" fillId="4" borderId="6" xfId="3" applyFont="1" applyFill="1" applyBorder="1"/>
    <xf numFmtId="164" fontId="17" fillId="4" borderId="0" xfId="3" applyFont="1" applyFill="1" applyBorder="1"/>
    <xf numFmtId="44" fontId="17" fillId="4" borderId="0" xfId="2" applyFont="1" applyFill="1" applyBorder="1"/>
    <xf numFmtId="37" fontId="17" fillId="4" borderId="0" xfId="3" applyNumberFormat="1" applyFont="1" applyFill="1" applyProtection="1"/>
    <xf numFmtId="37" fontId="18" fillId="4" borderId="0" xfId="3" applyNumberFormat="1" applyFont="1" applyFill="1" applyBorder="1" applyProtection="1"/>
    <xf numFmtId="0" fontId="17" fillId="4" borderId="0" xfId="0" applyFont="1" applyFill="1"/>
    <xf numFmtId="164" fontId="19" fillId="4" borderId="6" xfId="3" applyFont="1" applyFill="1" applyBorder="1"/>
    <xf numFmtId="164" fontId="20" fillId="4" borderId="1" xfId="3" applyFont="1" applyFill="1" applyBorder="1"/>
    <xf numFmtId="164" fontId="17" fillId="4" borderId="1" xfId="3" applyFont="1" applyFill="1" applyBorder="1" applyAlignment="1" applyProtection="1">
      <alignment horizontal="left"/>
    </xf>
    <xf numFmtId="164" fontId="17" fillId="4" borderId="1" xfId="3" applyFont="1" applyFill="1" applyBorder="1"/>
    <xf numFmtId="164" fontId="17" fillId="5" borderId="7" xfId="3" applyFont="1" applyFill="1" applyBorder="1" applyAlignment="1" applyProtection="1">
      <alignment horizontal="center"/>
    </xf>
    <xf numFmtId="164" fontId="17" fillId="4" borderId="3" xfId="3" applyFont="1" applyFill="1" applyBorder="1" applyAlignment="1" applyProtection="1">
      <alignment horizontal="center"/>
    </xf>
    <xf numFmtId="164" fontId="17" fillId="5" borderId="9" xfId="3" applyFont="1" applyFill="1" applyBorder="1" applyAlignment="1" applyProtection="1">
      <alignment horizontal="center"/>
    </xf>
    <xf numFmtId="164" fontId="17" fillId="4" borderId="4" xfId="3" applyFont="1" applyFill="1" applyBorder="1" applyAlignment="1" applyProtection="1">
      <alignment horizontal="center"/>
    </xf>
    <xf numFmtId="164" fontId="17" fillId="4" borderId="4" xfId="3" applyFont="1" applyFill="1" applyBorder="1"/>
    <xf numFmtId="44" fontId="17" fillId="4" borderId="0" xfId="2" applyFont="1" applyFill="1"/>
    <xf numFmtId="165" fontId="17" fillId="4" borderId="0" xfId="1" applyNumberFormat="1" applyFont="1" applyFill="1" applyAlignment="1" applyProtection="1">
      <alignment horizontal="right"/>
    </xf>
    <xf numFmtId="165" fontId="17" fillId="4" borderId="0" xfId="1" applyNumberFormat="1" applyFont="1" applyFill="1" applyProtection="1"/>
    <xf numFmtId="167" fontId="26" fillId="4" borderId="0" xfId="3" applyNumberFormat="1" applyFont="1" applyFill="1" applyProtection="1"/>
    <xf numFmtId="37" fontId="17" fillId="4" borderId="6" xfId="3" applyNumberFormat="1" applyFont="1" applyFill="1" applyBorder="1" applyProtection="1"/>
    <xf numFmtId="164" fontId="26" fillId="4" borderId="6" xfId="3" applyFont="1" applyFill="1" applyBorder="1"/>
    <xf numFmtId="37" fontId="17" fillId="4" borderId="0" xfId="3" applyNumberFormat="1" applyFont="1" applyFill="1" applyBorder="1" applyProtection="1"/>
    <xf numFmtId="164" fontId="26" fillId="4" borderId="0" xfId="3" applyFont="1" applyFill="1" applyBorder="1"/>
    <xf numFmtId="44" fontId="26" fillId="4" borderId="0" xfId="2" applyFont="1" applyFill="1"/>
    <xf numFmtId="44" fontId="26" fillId="4" borderId="0" xfId="2" applyFont="1" applyFill="1" applyProtection="1"/>
    <xf numFmtId="44" fontId="26" fillId="4" borderId="0" xfId="2" applyFont="1" applyFill="1" applyBorder="1"/>
    <xf numFmtId="165" fontId="19" fillId="4" borderId="6" xfId="1" applyNumberFormat="1" applyFont="1" applyFill="1" applyBorder="1"/>
    <xf numFmtId="44" fontId="19" fillId="4" borderId="6" xfId="2" applyFont="1" applyFill="1" applyBorder="1"/>
    <xf numFmtId="168" fontId="19" fillId="4" borderId="0" xfId="2" applyNumberFormat="1" applyFont="1" applyFill="1"/>
    <xf numFmtId="9" fontId="0" fillId="0" borderId="0" xfId="0" applyNumberFormat="1" applyFont="1"/>
    <xf numFmtId="44" fontId="0" fillId="0" borderId="0" xfId="0" applyNumberFormat="1" applyFont="1"/>
    <xf numFmtId="164" fontId="17" fillId="0" borderId="0" xfId="3" applyFont="1" applyFill="1" applyAlignment="1" applyProtection="1">
      <alignment horizontal="left"/>
    </xf>
    <xf numFmtId="164" fontId="18" fillId="0" borderId="0" xfId="3" applyFont="1" applyFill="1" applyAlignment="1" applyProtection="1">
      <alignment horizontal="left"/>
    </xf>
    <xf numFmtId="44" fontId="0" fillId="0" borderId="0" xfId="2" applyFont="1"/>
    <xf numFmtId="44" fontId="17" fillId="4" borderId="0" xfId="2" applyFont="1" applyFill="1" applyBorder="1" applyProtection="1"/>
    <xf numFmtId="0" fontId="0" fillId="4" borderId="0" xfId="0" applyFill="1"/>
    <xf numFmtId="0" fontId="18" fillId="0" borderId="0" xfId="0" applyFont="1" applyFill="1" applyBorder="1"/>
    <xf numFmtId="164" fontId="17" fillId="4" borderId="13" xfId="3" applyFont="1" applyFill="1" applyBorder="1"/>
    <xf numFmtId="165" fontId="17" fillId="4" borderId="13" xfId="1" applyNumberFormat="1" applyFont="1" applyFill="1" applyBorder="1"/>
    <xf numFmtId="44" fontId="17" fillId="4" borderId="13" xfId="2" applyFont="1" applyFill="1" applyBorder="1"/>
    <xf numFmtId="164" fontId="17" fillId="0" borderId="13" xfId="3" applyFont="1" applyFill="1" applyBorder="1"/>
    <xf numFmtId="165" fontId="17" fillId="0" borderId="13" xfId="1" applyNumberFormat="1" applyFont="1" applyFill="1" applyBorder="1"/>
    <xf numFmtId="44" fontId="17" fillId="0" borderId="13" xfId="2" applyFont="1" applyFill="1" applyBorder="1"/>
    <xf numFmtId="0" fontId="18" fillId="0" borderId="0" xfId="0" applyNumberFormat="1" applyFont="1" applyBorder="1"/>
    <xf numFmtId="0" fontId="18" fillId="0" borderId="0" xfId="3" applyNumberFormat="1" applyFont="1" applyBorder="1" applyProtection="1"/>
    <xf numFmtId="0" fontId="18" fillId="0" borderId="0" xfId="1" applyNumberFormat="1" applyFont="1" applyBorder="1" applyProtection="1"/>
    <xf numFmtId="44" fontId="1" fillId="0" borderId="6" xfId="2" applyFont="1" applyBorder="1"/>
    <xf numFmtId="164" fontId="28" fillId="0" borderId="0" xfId="3" applyFont="1" applyAlignment="1" applyProtection="1">
      <alignment horizontal="left"/>
    </xf>
    <xf numFmtId="37" fontId="17" fillId="4" borderId="0" xfId="0" applyNumberFormat="1" applyFont="1" applyFill="1"/>
    <xf numFmtId="5" fontId="27" fillId="0" borderId="5" xfId="3" applyNumberFormat="1" applyFont="1" applyBorder="1" applyProtection="1"/>
    <xf numFmtId="44" fontId="27" fillId="0" borderId="6" xfId="2" applyFont="1" applyBorder="1"/>
    <xf numFmtId="44" fontId="26" fillId="0" borderId="6" xfId="2" applyFont="1" applyBorder="1"/>
    <xf numFmtId="44" fontId="29" fillId="0" borderId="6" xfId="2" applyFont="1" applyBorder="1"/>
    <xf numFmtId="168" fontId="29" fillId="0" borderId="0" xfId="2" applyNumberFormat="1" applyFont="1"/>
    <xf numFmtId="164" fontId="18" fillId="0" borderId="0" xfId="3" applyNumberFormat="1" applyFont="1" applyBorder="1" applyProtection="1"/>
    <xf numFmtId="165" fontId="17" fillId="4" borderId="5" xfId="1" applyNumberFormat="1" applyFont="1" applyFill="1" applyBorder="1" applyProtection="1"/>
    <xf numFmtId="37" fontId="17" fillId="4" borderId="5" xfId="3" applyNumberFormat="1" applyFont="1" applyFill="1" applyBorder="1" applyProtection="1"/>
    <xf numFmtId="44" fontId="17" fillId="4" borderId="5" xfId="3" applyNumberFormat="1" applyFont="1" applyFill="1" applyBorder="1" applyProtection="1"/>
    <xf numFmtId="165" fontId="17" fillId="0" borderId="5" xfId="1" applyNumberFormat="1" applyFont="1" applyBorder="1" applyProtection="1"/>
    <xf numFmtId="37" fontId="17" fillId="0" borderId="5" xfId="3" applyNumberFormat="1" applyFont="1" applyBorder="1" applyProtection="1"/>
    <xf numFmtId="7" fontId="17" fillId="0" borderId="5" xfId="3" applyNumberFormat="1" applyFont="1" applyBorder="1" applyProtection="1"/>
    <xf numFmtId="44" fontId="17" fillId="0" borderId="5" xfId="2" applyFont="1" applyBorder="1" applyProtection="1"/>
    <xf numFmtId="44" fontId="17" fillId="0" borderId="0" xfId="2" applyFont="1" applyFill="1"/>
    <xf numFmtId="165" fontId="17" fillId="0" borderId="0" xfId="1" applyNumberFormat="1" applyFont="1" applyFill="1"/>
    <xf numFmtId="9" fontId="0" fillId="0" borderId="0" xfId="5" applyFont="1"/>
    <xf numFmtId="0" fontId="4" fillId="0" borderId="0" xfId="6"/>
    <xf numFmtId="170" fontId="4" fillId="0" borderId="0" xfId="6" applyNumberFormat="1"/>
    <xf numFmtId="0" fontId="4" fillId="0" borderId="0" xfId="6" applyAlignment="1">
      <alignment horizontal="center"/>
    </xf>
    <xf numFmtId="9" fontId="4" fillId="0" borderId="0" xfId="6" applyNumberFormat="1" applyAlignment="1">
      <alignment horizontal="center"/>
    </xf>
    <xf numFmtId="10" fontId="4" fillId="0" borderId="0" xfId="6" applyNumberFormat="1" applyAlignment="1">
      <alignment horizontal="center"/>
    </xf>
    <xf numFmtId="10" fontId="4" fillId="0" borderId="0" xfId="8" applyNumberFormat="1" applyFont="1" applyAlignment="1">
      <alignment horizontal="center"/>
    </xf>
    <xf numFmtId="44" fontId="4" fillId="0" borderId="0" xfId="7" applyFont="1"/>
    <xf numFmtId="44" fontId="30" fillId="0" borderId="0" xfId="7" applyFont="1"/>
    <xf numFmtId="44" fontId="4" fillId="0" borderId="0" xfId="6" applyNumberFormat="1"/>
    <xf numFmtId="0" fontId="4" fillId="0" borderId="0" xfId="6" applyFont="1"/>
    <xf numFmtId="9" fontId="4" fillId="0" borderId="0" xfId="6" applyNumberFormat="1"/>
    <xf numFmtId="0" fontId="4" fillId="0" borderId="0" xfId="6" applyFont="1" applyAlignment="1">
      <alignment horizontal="center"/>
    </xf>
    <xf numFmtId="171" fontId="4" fillId="0" borderId="0" xfId="6" applyNumberFormat="1" applyAlignment="1">
      <alignment horizontal="center"/>
    </xf>
    <xf numFmtId="0" fontId="8" fillId="0" borderId="0" xfId="6" applyFont="1"/>
    <xf numFmtId="9" fontId="4" fillId="0" borderId="0" xfId="6" applyNumberFormat="1" applyFont="1"/>
    <xf numFmtId="171" fontId="4" fillId="0" borderId="0" xfId="8" applyNumberFormat="1" applyFont="1" applyAlignment="1">
      <alignment horizontal="center"/>
    </xf>
    <xf numFmtId="44" fontId="4" fillId="0" borderId="0" xfId="7" applyFont="1" applyAlignment="1"/>
    <xf numFmtId="10" fontId="4" fillId="0" borderId="0" xfId="6" applyNumberFormat="1"/>
    <xf numFmtId="8" fontId="4" fillId="0" borderId="0" xfId="6" applyNumberFormat="1"/>
    <xf numFmtId="171" fontId="4" fillId="0" borderId="0" xfId="6" applyNumberFormat="1"/>
    <xf numFmtId="44" fontId="31" fillId="0" borderId="0" xfId="7" applyFont="1"/>
    <xf numFmtId="44" fontId="4" fillId="6" borderId="0" xfId="7" applyFont="1" applyFill="1"/>
    <xf numFmtId="0" fontId="4" fillId="6" borderId="0" xfId="6" applyFill="1"/>
    <xf numFmtId="44" fontId="4" fillId="0" borderId="0" xfId="7" applyFont="1" applyFill="1"/>
    <xf numFmtId="0" fontId="4" fillId="0" borderId="0" xfId="6" applyFill="1"/>
    <xf numFmtId="0" fontId="4" fillId="0" borderId="0" xfId="6" applyFont="1" applyFill="1"/>
    <xf numFmtId="0" fontId="4" fillId="0" borderId="0" xfId="6" applyNumberFormat="1"/>
    <xf numFmtId="0" fontId="4" fillId="0" borderId="0" xfId="6" applyNumberFormat="1" applyFont="1"/>
    <xf numFmtId="0" fontId="32" fillId="0" borderId="16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0" fontId="34" fillId="0" borderId="19" xfId="0" applyFont="1" applyBorder="1" applyAlignment="1">
      <alignment horizontal="right" vertical="center" wrapText="1"/>
    </xf>
    <xf numFmtId="164" fontId="35" fillId="0" borderId="0" xfId="3" applyFont="1" applyAlignment="1">
      <alignment horizontal="left"/>
    </xf>
    <xf numFmtId="164" fontId="36" fillId="0" borderId="0" xfId="3" applyFont="1"/>
    <xf numFmtId="0" fontId="36" fillId="0" borderId="0" xfId="0" applyFont="1"/>
    <xf numFmtId="164" fontId="36" fillId="0" borderId="0" xfId="3" applyFont="1" applyAlignment="1">
      <alignment horizontal="left"/>
    </xf>
    <xf numFmtId="14" fontId="36" fillId="0" borderId="0" xfId="3" applyNumberFormat="1" applyFont="1"/>
    <xf numFmtId="164" fontId="35" fillId="0" borderId="0" xfId="3" applyFont="1"/>
    <xf numFmtId="164" fontId="36" fillId="0" borderId="0" xfId="3" applyFont="1" applyAlignment="1">
      <alignment horizontal="right"/>
    </xf>
    <xf numFmtId="14" fontId="36" fillId="0" borderId="0" xfId="0" applyNumberFormat="1" applyFont="1"/>
    <xf numFmtId="5" fontId="36" fillId="0" borderId="0" xfId="3" applyNumberFormat="1" applyFont="1"/>
    <xf numFmtId="164" fontId="36" fillId="0" borderId="1" xfId="3" applyFont="1" applyBorder="1"/>
    <xf numFmtId="165" fontId="17" fillId="4" borderId="0" xfId="1" applyNumberFormat="1" applyFont="1" applyFill="1" applyBorder="1"/>
    <xf numFmtId="164" fontId="17" fillId="0" borderId="0" xfId="3" applyFont="1" applyFill="1" applyBorder="1"/>
    <xf numFmtId="165" fontId="17" fillId="0" borderId="0" xfId="1" applyNumberFormat="1" applyFont="1" applyFill="1" applyBorder="1"/>
    <xf numFmtId="44" fontId="17" fillId="0" borderId="0" xfId="2" applyFont="1" applyFill="1" applyBorder="1"/>
    <xf numFmtId="164" fontId="17" fillId="0" borderId="0" xfId="3" applyFont="1" applyAlignment="1">
      <alignment horizontal="left"/>
    </xf>
    <xf numFmtId="164" fontId="19" fillId="4" borderId="0" xfId="3" applyFont="1" applyFill="1"/>
    <xf numFmtId="165" fontId="19" fillId="4" borderId="0" xfId="1" applyNumberFormat="1" applyFont="1" applyFill="1" applyBorder="1"/>
    <xf numFmtId="44" fontId="19" fillId="4" borderId="0" xfId="2" applyFont="1" applyFill="1" applyBorder="1"/>
    <xf numFmtId="165" fontId="19" fillId="0" borderId="0" xfId="1" applyNumberFormat="1" applyFont="1" applyBorder="1"/>
    <xf numFmtId="7" fontId="19" fillId="0" borderId="0" xfId="2" applyNumberFormat="1" applyFont="1" applyBorder="1"/>
    <xf numFmtId="7" fontId="17" fillId="0" borderId="0" xfId="2" applyNumberFormat="1" applyFont="1" applyBorder="1"/>
    <xf numFmtId="165" fontId="0" fillId="0" borderId="0" xfId="0" applyNumberFormat="1"/>
    <xf numFmtId="165" fontId="1" fillId="0" borderId="0" xfId="0" applyNumberFormat="1" applyFont="1"/>
    <xf numFmtId="164" fontId="1" fillId="0" borderId="0" xfId="0" applyNumberFormat="1" applyFont="1"/>
    <xf numFmtId="0" fontId="13" fillId="0" borderId="0" xfId="0" applyFont="1" applyAlignment="1">
      <alignment horizontal="center"/>
    </xf>
    <xf numFmtId="0" fontId="32" fillId="0" borderId="2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</cellXfs>
  <cellStyles count="9">
    <cellStyle name="Comma" xfId="1" builtinId="3"/>
    <cellStyle name="Currency" xfId="2" builtinId="4"/>
    <cellStyle name="Currency 2" xfId="7" xr:uid="{F701EA65-C7E1-4BF3-804D-AC83A93125F8}"/>
    <cellStyle name="Normal" xfId="0" builtinId="0"/>
    <cellStyle name="Normal 2" xfId="4" xr:uid="{AA95D393-4371-455C-ACD4-C888B2630AA2}"/>
    <cellStyle name="Normal 3" xfId="6" xr:uid="{4F9B9EBD-5DF4-4D20-955D-B37F2F00F193}"/>
    <cellStyle name="Normal_MTN-USE" xfId="3" xr:uid="{00000000-0005-0000-0000-000003000000}"/>
    <cellStyle name="Percent" xfId="5" builtinId="5"/>
    <cellStyle name="Percent 2" xfId="8" xr:uid="{D22D0C4C-54C4-487B-881E-E86BB6DA1A1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mmary%20Addendum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ndy%20Hook\Summary%20Addendum-revision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BOND%20PAY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 Users"/>
      <sheetName val="W Usage"/>
      <sheetName val="WW Users"/>
      <sheetName val="WW Usage"/>
      <sheetName val=" Forecast - W"/>
      <sheetName val="Forecast - WW"/>
      <sheetName val="Water Budgets"/>
      <sheetName val="WW Budgets"/>
      <sheetName val="Rates"/>
      <sheetName val="Income - Summary"/>
      <sheetName val="Income - Water"/>
      <sheetName val="Income - Sewer"/>
      <sheetName val="Audit Compare"/>
      <sheetName val="Debt"/>
    </sheetNames>
    <sheetDataSet>
      <sheetData sheetId="0">
        <row r="91">
          <cell r="D91">
            <v>2845501.6666666665</v>
          </cell>
        </row>
        <row r="92">
          <cell r="D92">
            <v>3433.3333333333335</v>
          </cell>
        </row>
        <row r="93">
          <cell r="D9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I8">
            <v>1969</v>
          </cell>
          <cell r="J8">
            <v>3905</v>
          </cell>
        </row>
        <row r="16">
          <cell r="I16">
            <v>209166</v>
          </cell>
          <cell r="J16">
            <v>88505</v>
          </cell>
        </row>
        <row r="20">
          <cell r="I20">
            <v>29110</v>
          </cell>
          <cell r="J20">
            <v>38286</v>
          </cell>
        </row>
        <row r="22">
          <cell r="I22">
            <v>100325</v>
          </cell>
          <cell r="J22">
            <v>15597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"/>
      <sheetName val="Sewer Forecast"/>
      <sheetName val="Water Forecast"/>
      <sheetName val="Sewer Budget"/>
      <sheetName val="Water Budget"/>
      <sheetName val="Proposed Rates"/>
      <sheetName val="Existing Rates"/>
      <sheetName val="Debt"/>
    </sheetNames>
    <sheetDataSet>
      <sheetData sheetId="0" refreshError="1"/>
      <sheetData sheetId="1">
        <row r="54">
          <cell r="G5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08 "/>
      <sheetName val="2011-12"/>
      <sheetName val="2012-2013"/>
      <sheetName val="2013-2014"/>
      <sheetName val="2014-2015"/>
      <sheetName val="2015-2016"/>
      <sheetName val="2016-2017"/>
      <sheetName val="2017-2018"/>
      <sheetName val="2018-2019"/>
      <sheetName val="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5">
          <cell r="M35">
            <v>195000</v>
          </cell>
        </row>
        <row r="36">
          <cell r="M36">
            <v>112926.24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1"/>
  <sheetViews>
    <sheetView topLeftCell="A73" workbookViewId="0">
      <selection activeCell="K91" sqref="K91"/>
    </sheetView>
  </sheetViews>
  <sheetFormatPr defaultRowHeight="15" x14ac:dyDescent="0.25"/>
  <cols>
    <col min="3" max="3" width="11" bestFit="1" customWidth="1"/>
    <col min="4" max="4" width="11.5703125" bestFit="1" customWidth="1"/>
    <col min="5" max="5" width="10.140625" bestFit="1" customWidth="1"/>
    <col min="6" max="6" width="14.28515625" bestFit="1" customWidth="1"/>
    <col min="8" max="8" width="13.85546875" bestFit="1" customWidth="1"/>
    <col min="11" max="11" width="11.5703125" bestFit="1" customWidth="1"/>
  </cols>
  <sheetData>
    <row r="1" spans="1:10" x14ac:dyDescent="0.25">
      <c r="A1" s="212" t="s">
        <v>265</v>
      </c>
      <c r="B1" s="149"/>
      <c r="C1" s="149"/>
      <c r="D1" s="149"/>
      <c r="E1" s="149"/>
      <c r="F1" s="149"/>
      <c r="G1" s="149"/>
      <c r="H1" s="149"/>
      <c r="I1" s="147"/>
      <c r="J1" s="147"/>
    </row>
    <row r="2" spans="1:10" x14ac:dyDescent="0.25">
      <c r="A2" s="174"/>
      <c r="B2" s="149"/>
      <c r="C2" s="149"/>
      <c r="D2" s="149"/>
      <c r="E2" s="149"/>
      <c r="F2" s="149"/>
      <c r="G2" s="149"/>
      <c r="H2" s="149"/>
      <c r="I2" s="147"/>
      <c r="J2" s="147"/>
    </row>
    <row r="3" spans="1:10" x14ac:dyDescent="0.25">
      <c r="A3" s="149"/>
      <c r="B3" s="149"/>
      <c r="C3" s="149"/>
      <c r="D3" s="149"/>
      <c r="E3" s="149"/>
      <c r="F3" s="149"/>
      <c r="G3" s="149"/>
      <c r="H3" s="149"/>
      <c r="I3" s="147"/>
      <c r="J3" s="147"/>
    </row>
    <row r="4" spans="1:10" x14ac:dyDescent="0.25">
      <c r="A4" s="150"/>
      <c r="B4" s="175"/>
      <c r="C4" s="175"/>
      <c r="D4" s="176"/>
      <c r="E4" s="177" t="s">
        <v>0</v>
      </c>
      <c r="F4" s="178"/>
      <c r="G4" s="177" t="s">
        <v>1</v>
      </c>
      <c r="H4" s="178"/>
      <c r="I4" s="147"/>
      <c r="J4" s="147"/>
    </row>
    <row r="5" spans="1:10" x14ac:dyDescent="0.25">
      <c r="A5" s="176" t="s">
        <v>2</v>
      </c>
      <c r="B5" s="149"/>
      <c r="C5" s="149"/>
      <c r="D5" s="150"/>
      <c r="E5" s="179" t="s">
        <v>3</v>
      </c>
      <c r="F5" s="180" t="s">
        <v>4</v>
      </c>
      <c r="G5" s="181" t="s">
        <v>3</v>
      </c>
      <c r="H5" s="180" t="s">
        <v>4</v>
      </c>
      <c r="I5" s="147"/>
      <c r="J5" s="147"/>
    </row>
    <row r="6" spans="1:10" x14ac:dyDescent="0.25">
      <c r="A6" s="219" t="s">
        <v>305</v>
      </c>
      <c r="B6" s="183"/>
      <c r="C6" s="184" t="s">
        <v>267</v>
      </c>
      <c r="D6" s="184" t="s">
        <v>268</v>
      </c>
      <c r="E6" s="185" t="s">
        <v>6</v>
      </c>
      <c r="F6" s="186"/>
      <c r="G6" s="187" t="s">
        <v>6</v>
      </c>
      <c r="H6" s="186"/>
      <c r="I6" s="147"/>
      <c r="J6" s="147"/>
    </row>
    <row r="7" spans="1:10" x14ac:dyDescent="0.25">
      <c r="A7" s="190" t="s">
        <v>63</v>
      </c>
      <c r="B7" s="149"/>
      <c r="C7" s="194">
        <f>'W Usage'!J3</f>
        <v>290.08004574042309</v>
      </c>
      <c r="D7" s="194">
        <f>'W Usage'!U3</f>
        <v>327.82894736842104</v>
      </c>
      <c r="E7" s="194">
        <f>'W Usage'!H3/9</f>
        <v>1554.6666666666667</v>
      </c>
      <c r="F7" s="194">
        <f>E7*C7</f>
        <v>450977.77777777781</v>
      </c>
      <c r="G7" s="194">
        <f>'W Usage'!S3/9</f>
        <v>168.88888888888889</v>
      </c>
      <c r="H7" s="194">
        <f>G7*D7</f>
        <v>55366.666666666664</v>
      </c>
      <c r="I7" s="147"/>
      <c r="J7" s="147"/>
    </row>
    <row r="8" spans="1:10" x14ac:dyDescent="0.25">
      <c r="A8" s="190" t="s">
        <v>64</v>
      </c>
      <c r="B8" s="149"/>
      <c r="C8" s="194">
        <f>'W Usage'!J4</f>
        <v>1474.7889325420044</v>
      </c>
      <c r="D8" s="194">
        <f>'W Usage'!U4</f>
        <v>1373.2503888024883</v>
      </c>
      <c r="E8" s="194">
        <f>'W Usage'!H4/9</f>
        <v>1329.2222222222222</v>
      </c>
      <c r="F8" s="194">
        <f t="shared" ref="F8:F27" si="0">E8*C8</f>
        <v>1960322.222222222</v>
      </c>
      <c r="G8" s="194">
        <f>'W Usage'!S4/9</f>
        <v>71.444444444444443</v>
      </c>
      <c r="H8" s="194">
        <f t="shared" ref="H8:H27" si="1">G8*D8</f>
        <v>98111.111111111109</v>
      </c>
      <c r="I8" s="147"/>
      <c r="J8" s="147"/>
    </row>
    <row r="9" spans="1:10" x14ac:dyDescent="0.25">
      <c r="A9" s="190" t="s">
        <v>65</v>
      </c>
      <c r="B9" s="149"/>
      <c r="C9" s="194">
        <f>'W Usage'!J5</f>
        <v>2442.3936613844871</v>
      </c>
      <c r="D9" s="194">
        <f>'W Usage'!U5</f>
        <v>2437.5375375375374</v>
      </c>
      <c r="E9" s="194">
        <f>'W Usage'!H5/9</f>
        <v>1332.2222222222222</v>
      </c>
      <c r="F9" s="194">
        <f t="shared" si="0"/>
        <v>3253811.111111111</v>
      </c>
      <c r="G9" s="194">
        <f>'W Usage'!S5/9</f>
        <v>37</v>
      </c>
      <c r="H9" s="194">
        <f t="shared" si="1"/>
        <v>90188.888888888891</v>
      </c>
      <c r="I9" s="147"/>
      <c r="J9" s="147"/>
    </row>
    <row r="10" spans="1:10" x14ac:dyDescent="0.25">
      <c r="A10" s="190" t="s">
        <v>66</v>
      </c>
      <c r="B10" s="149"/>
      <c r="C10" s="194">
        <f>'W Usage'!J6</f>
        <v>3419.2303648407105</v>
      </c>
      <c r="D10" s="194">
        <f>'W Usage'!U6</f>
        <v>3443.1279620853079</v>
      </c>
      <c r="E10" s="194">
        <f>'W Usage'!H6/9</f>
        <v>1056.7777777777778</v>
      </c>
      <c r="F10" s="194">
        <f t="shared" si="0"/>
        <v>3613366.6666666665</v>
      </c>
      <c r="G10" s="194">
        <f>'W Usage'!S6/9</f>
        <v>23.444444444444443</v>
      </c>
      <c r="H10" s="194">
        <f t="shared" si="1"/>
        <v>80722.222222222219</v>
      </c>
      <c r="I10" s="147"/>
      <c r="J10" s="147"/>
    </row>
    <row r="11" spans="1:10" x14ac:dyDescent="0.25">
      <c r="A11" s="190" t="s">
        <v>67</v>
      </c>
      <c r="B11" s="149"/>
      <c r="C11" s="194">
        <f>'W Usage'!J7</f>
        <v>4418.3109584764279</v>
      </c>
      <c r="D11" s="194">
        <f>'W Usage'!U7</f>
        <v>4408.333333333333</v>
      </c>
      <c r="E11" s="194">
        <f>'W Usage'!H7/9</f>
        <v>711.77777777777783</v>
      </c>
      <c r="F11" s="194">
        <f t="shared" si="0"/>
        <v>3144855.5555555555</v>
      </c>
      <c r="G11" s="194">
        <f>'W Usage'!S7/9</f>
        <v>20</v>
      </c>
      <c r="H11" s="194">
        <f t="shared" si="1"/>
        <v>88166.666666666657</v>
      </c>
      <c r="I11" s="147"/>
      <c r="J11" s="147"/>
    </row>
    <row r="12" spans="1:10" x14ac:dyDescent="0.25">
      <c r="A12" s="190" t="s">
        <v>68</v>
      </c>
      <c r="B12" s="149"/>
      <c r="C12" s="194">
        <f>'W Usage'!J8</f>
        <v>5409.1162319574578</v>
      </c>
      <c r="D12" s="194">
        <f>'W Usage'!U8</f>
        <v>5381.294964028777</v>
      </c>
      <c r="E12" s="194">
        <f>'W Usage'!H8/9</f>
        <v>438.77777777777777</v>
      </c>
      <c r="F12" s="194">
        <f t="shared" si="0"/>
        <v>2373400</v>
      </c>
      <c r="G12" s="194">
        <f>'W Usage'!S8/9</f>
        <v>15.444444444444445</v>
      </c>
      <c r="H12" s="194">
        <f t="shared" si="1"/>
        <v>83111.111111111109</v>
      </c>
      <c r="I12" s="147"/>
      <c r="J12" s="147"/>
    </row>
    <row r="13" spans="1:10" x14ac:dyDescent="0.25">
      <c r="A13" s="190" t="s">
        <v>69</v>
      </c>
      <c r="B13" s="149"/>
      <c r="C13" s="194">
        <f>'W Usage'!J9</f>
        <v>6418.0886122299526</v>
      </c>
      <c r="D13" s="194">
        <f>'W Usage'!U9</f>
        <v>6416.521739130435</v>
      </c>
      <c r="E13" s="194">
        <f>'W Usage'!H9/9</f>
        <v>303.44444444444446</v>
      </c>
      <c r="F13" s="194">
        <f t="shared" si="0"/>
        <v>1947533.3333333335</v>
      </c>
      <c r="G13" s="194">
        <f>'W Usage'!S9/9</f>
        <v>12.777777777777779</v>
      </c>
      <c r="H13" s="194">
        <f t="shared" si="1"/>
        <v>81988.888888888891</v>
      </c>
      <c r="I13" s="147"/>
      <c r="J13" s="147"/>
    </row>
    <row r="14" spans="1:10" x14ac:dyDescent="0.25">
      <c r="A14" s="190" t="s">
        <v>70</v>
      </c>
      <c r="B14" s="149"/>
      <c r="C14" s="194">
        <f>'W Usage'!J10</f>
        <v>7421.6360403082399</v>
      </c>
      <c r="D14" s="194">
        <f>'W Usage'!U10</f>
        <v>7438.0952380952385</v>
      </c>
      <c r="E14" s="194">
        <f>'W Usage'!H10/9</f>
        <v>187.44444444444446</v>
      </c>
      <c r="F14" s="194">
        <f t="shared" si="0"/>
        <v>1391144.4444444447</v>
      </c>
      <c r="G14" s="194">
        <f>'W Usage'!S10/9</f>
        <v>9.3333333333333339</v>
      </c>
      <c r="H14" s="194">
        <f t="shared" si="1"/>
        <v>69422.222222222234</v>
      </c>
      <c r="I14" s="147"/>
      <c r="J14" s="147"/>
    </row>
    <row r="15" spans="1:10" x14ac:dyDescent="0.25">
      <c r="A15" s="190" t="s">
        <v>71</v>
      </c>
      <c r="B15" s="149"/>
      <c r="C15" s="194">
        <f>'W Usage'!J11</f>
        <v>8422.2996515679442</v>
      </c>
      <c r="D15" s="194">
        <f>'W Usage'!U11</f>
        <v>8433.3333333333339</v>
      </c>
      <c r="E15" s="194">
        <f>'W Usage'!H11/9</f>
        <v>127.55555555555556</v>
      </c>
      <c r="F15" s="194">
        <f t="shared" si="0"/>
        <v>1074311.111111111</v>
      </c>
      <c r="G15" s="194">
        <f>'W Usage'!S11/9</f>
        <v>6.666666666666667</v>
      </c>
      <c r="H15" s="194">
        <f t="shared" si="1"/>
        <v>56222.222222222226</v>
      </c>
      <c r="I15" s="147"/>
      <c r="J15" s="147"/>
    </row>
    <row r="16" spans="1:10" x14ac:dyDescent="0.25">
      <c r="A16" s="190" t="s">
        <v>72</v>
      </c>
      <c r="B16" s="149"/>
      <c r="C16" s="194">
        <f>'W Usage'!J12</f>
        <v>9442.9463171036205</v>
      </c>
      <c r="D16" s="194">
        <f>'W Usage'!U12</f>
        <v>9340</v>
      </c>
      <c r="E16" s="194">
        <f>'W Usage'!H12/9</f>
        <v>89</v>
      </c>
      <c r="F16" s="194">
        <f t="shared" si="0"/>
        <v>840422.22222222225</v>
      </c>
      <c r="G16" s="194">
        <f>'W Usage'!S12/9</f>
        <v>5.5555555555555554</v>
      </c>
      <c r="H16" s="194">
        <f t="shared" si="1"/>
        <v>51888.888888888891</v>
      </c>
      <c r="I16" s="147"/>
      <c r="J16" s="147"/>
    </row>
    <row r="17" spans="1:11" x14ac:dyDescent="0.25">
      <c r="A17" s="190" t="s">
        <v>73</v>
      </c>
      <c r="B17" s="149"/>
      <c r="C17" s="194">
        <f>'W Usage'!J13</f>
        <v>10426.460481099657</v>
      </c>
      <c r="D17" s="194">
        <f>'W Usage'!U13</f>
        <v>10456.756756756757</v>
      </c>
      <c r="E17" s="194">
        <f>'W Usage'!H13/9</f>
        <v>64.666666666666671</v>
      </c>
      <c r="F17" s="194">
        <f t="shared" si="0"/>
        <v>674244.4444444445</v>
      </c>
      <c r="G17" s="194">
        <f>'W Usage'!S13/9</f>
        <v>4.1111111111111107</v>
      </c>
      <c r="H17" s="194">
        <f t="shared" si="1"/>
        <v>42988.888888888883</v>
      </c>
      <c r="I17" s="147"/>
      <c r="J17" s="147"/>
    </row>
    <row r="18" spans="1:11" x14ac:dyDescent="0.25">
      <c r="A18" s="190" t="s">
        <v>74</v>
      </c>
      <c r="B18" s="149"/>
      <c r="C18" s="194">
        <f>'W Usage'!J14</f>
        <v>11446.376811594202</v>
      </c>
      <c r="D18" s="194">
        <f>'W Usage'!U14</f>
        <v>11363.333333333334</v>
      </c>
      <c r="E18" s="194">
        <f>'W Usage'!H14/9</f>
        <v>46</v>
      </c>
      <c r="F18" s="194">
        <f t="shared" si="0"/>
        <v>526533.33333333326</v>
      </c>
      <c r="G18" s="194">
        <f>'W Usage'!S14/9</f>
        <v>3.3333333333333335</v>
      </c>
      <c r="H18" s="194">
        <f t="shared" si="1"/>
        <v>37877.777777777781</v>
      </c>
      <c r="I18" s="147"/>
      <c r="J18" s="147"/>
    </row>
    <row r="19" spans="1:11" x14ac:dyDescent="0.25">
      <c r="A19" s="190" t="s">
        <v>75</v>
      </c>
      <c r="B19" s="149"/>
      <c r="C19" s="194">
        <f>'W Usage'!J15</f>
        <v>12410.227272727272</v>
      </c>
      <c r="D19" s="194">
        <f>'W Usage'!U15</f>
        <v>12520</v>
      </c>
      <c r="E19" s="194">
        <f>'W Usage'!H15/9</f>
        <v>39.111111111111114</v>
      </c>
      <c r="F19" s="194">
        <f t="shared" si="0"/>
        <v>485377.77777777781</v>
      </c>
      <c r="G19" s="194">
        <f>'W Usage'!S15/9</f>
        <v>2.2222222222222223</v>
      </c>
      <c r="H19" s="194">
        <f t="shared" si="1"/>
        <v>27822.222222222223</v>
      </c>
      <c r="I19" s="147"/>
      <c r="J19" s="147"/>
    </row>
    <row r="20" spans="1:11" x14ac:dyDescent="0.25">
      <c r="A20" s="190" t="s">
        <v>76</v>
      </c>
      <c r="B20" s="149"/>
      <c r="C20" s="194">
        <f>'W Usage'!J16</f>
        <v>13432.931726907631</v>
      </c>
      <c r="D20" s="194">
        <f>'W Usage'!U16</f>
        <v>13518.75</v>
      </c>
      <c r="E20" s="194">
        <f>'W Usage'!H16/9</f>
        <v>27.666666666666668</v>
      </c>
      <c r="F20" s="194">
        <f t="shared" si="0"/>
        <v>371644.4444444445</v>
      </c>
      <c r="G20" s="194">
        <f>'W Usage'!S16/9</f>
        <v>1.7777777777777777</v>
      </c>
      <c r="H20" s="194">
        <f t="shared" si="1"/>
        <v>24033.333333333332</v>
      </c>
      <c r="I20" s="147"/>
      <c r="J20" s="147"/>
    </row>
    <row r="21" spans="1:11" x14ac:dyDescent="0.25">
      <c r="A21" s="190" t="s">
        <v>77</v>
      </c>
      <c r="B21" s="149"/>
      <c r="C21" s="194">
        <f>'W Usage'!J17</f>
        <v>14418.918918918918</v>
      </c>
      <c r="D21" s="194">
        <f>'W Usage'!U17</f>
        <v>14585.714285714286</v>
      </c>
      <c r="E21" s="194">
        <f>'W Usage'!H17/9</f>
        <v>24.666666666666668</v>
      </c>
      <c r="F21" s="194">
        <f t="shared" si="0"/>
        <v>355666.66666666669</v>
      </c>
      <c r="G21" s="194">
        <f>'W Usage'!S17/9</f>
        <v>0.77777777777777779</v>
      </c>
      <c r="H21" s="194">
        <f t="shared" si="1"/>
        <v>11344.444444444445</v>
      </c>
      <c r="I21" s="147"/>
      <c r="J21" s="147"/>
    </row>
    <row r="22" spans="1:11" x14ac:dyDescent="0.25">
      <c r="A22" s="190" t="s">
        <v>78</v>
      </c>
      <c r="B22" s="149"/>
      <c r="C22" s="194">
        <f>'W Usage'!J18</f>
        <v>15431.012658227848</v>
      </c>
      <c r="D22" s="194">
        <f>'W Usage'!U18</f>
        <v>15422.222222222223</v>
      </c>
      <c r="E22" s="194">
        <f>'W Usage'!H18/9</f>
        <v>17.555555555555557</v>
      </c>
      <c r="F22" s="194">
        <f t="shared" si="0"/>
        <v>270900</v>
      </c>
      <c r="G22" s="194">
        <f>'W Usage'!S18/9</f>
        <v>1</v>
      </c>
      <c r="H22" s="194">
        <f t="shared" si="1"/>
        <v>15422.222222222223</v>
      </c>
      <c r="I22" s="147"/>
      <c r="J22" s="147"/>
    </row>
    <row r="23" spans="1:11" x14ac:dyDescent="0.25">
      <c r="A23" s="190" t="s">
        <v>79</v>
      </c>
      <c r="B23" s="149"/>
      <c r="C23" s="194">
        <f>'W Usage'!J19</f>
        <v>16455.797101449276</v>
      </c>
      <c r="D23" s="194">
        <f>'W Usage'!U19</f>
        <v>16391.666666666668</v>
      </c>
      <c r="E23" s="194">
        <f>'W Usage'!H19/9</f>
        <v>15.333333333333334</v>
      </c>
      <c r="F23" s="194">
        <f t="shared" si="0"/>
        <v>252322.22222222225</v>
      </c>
      <c r="G23" s="194">
        <f>'W Usage'!S19/9</f>
        <v>1.3333333333333333</v>
      </c>
      <c r="H23" s="194">
        <f t="shared" si="1"/>
        <v>21855.555555555555</v>
      </c>
      <c r="I23" s="147"/>
      <c r="J23" s="147"/>
    </row>
    <row r="24" spans="1:11" x14ac:dyDescent="0.25">
      <c r="A24" s="190" t="s">
        <v>80</v>
      </c>
      <c r="B24" s="149"/>
      <c r="C24" s="194">
        <f>'W Usage'!J20</f>
        <v>17453.333333333332</v>
      </c>
      <c r="D24" s="194">
        <f>'W Usage'!U20</f>
        <v>17433.333333333332</v>
      </c>
      <c r="E24" s="194">
        <f>'W Usage'!H20/9</f>
        <v>11.666666666666666</v>
      </c>
      <c r="F24" s="194">
        <f t="shared" si="0"/>
        <v>203622.22222222219</v>
      </c>
      <c r="G24" s="194">
        <f>'W Usage'!S20/9</f>
        <v>0.66666666666666663</v>
      </c>
      <c r="H24" s="194">
        <f t="shared" si="1"/>
        <v>11622.222222222221</v>
      </c>
      <c r="I24" s="147"/>
      <c r="J24" s="147"/>
    </row>
    <row r="25" spans="1:11" x14ac:dyDescent="0.25">
      <c r="A25" s="190" t="s">
        <v>81</v>
      </c>
      <c r="B25" s="149"/>
      <c r="C25" s="194">
        <f>'W Usage'!J21</f>
        <v>18402.127659574468</v>
      </c>
      <c r="D25" s="194">
        <f>'W Usage'!U21</f>
        <v>18520</v>
      </c>
      <c r="E25" s="194">
        <f>'W Usage'!H21/9</f>
        <v>10.444444444444445</v>
      </c>
      <c r="F25" s="194">
        <f t="shared" si="0"/>
        <v>192200</v>
      </c>
      <c r="G25" s="194">
        <f>'W Usage'!S21/9</f>
        <v>0.55555555555555558</v>
      </c>
      <c r="H25" s="194">
        <f t="shared" si="1"/>
        <v>10288.888888888889</v>
      </c>
      <c r="I25" s="147"/>
      <c r="J25" s="147"/>
    </row>
    <row r="26" spans="1:11" x14ac:dyDescent="0.25">
      <c r="A26" s="190" t="s">
        <v>82</v>
      </c>
      <c r="B26" s="149"/>
      <c r="C26" s="194">
        <f>'W Usage'!J22</f>
        <v>19451.807228915663</v>
      </c>
      <c r="D26" s="194">
        <f>'W Usage'!U22</f>
        <v>19600</v>
      </c>
      <c r="E26" s="194">
        <f>'W Usage'!H22/9</f>
        <v>9.2222222222222214</v>
      </c>
      <c r="F26" s="194">
        <f t="shared" si="0"/>
        <v>179388.88888888888</v>
      </c>
      <c r="G26" s="194">
        <f>'W Usage'!S22/9</f>
        <v>1.3333333333333333</v>
      </c>
      <c r="H26" s="194">
        <f t="shared" si="1"/>
        <v>26133.333333333332</v>
      </c>
      <c r="I26" s="147"/>
      <c r="J26" s="147"/>
    </row>
    <row r="27" spans="1:11" x14ac:dyDescent="0.25">
      <c r="A27" s="190" t="s">
        <v>83</v>
      </c>
      <c r="B27" s="149"/>
      <c r="C27" s="194">
        <f>'W Usage'!J104</f>
        <v>46117.622080679408</v>
      </c>
      <c r="D27" s="203">
        <f>'W Usage'!U72</f>
        <v>49666.875</v>
      </c>
      <c r="E27" s="207">
        <f>'W Usage'!H104/9</f>
        <v>104.66666666666667</v>
      </c>
      <c r="F27" s="194">
        <f t="shared" si="0"/>
        <v>4826977.777777778</v>
      </c>
      <c r="G27" s="207">
        <f>'W Usage'!S72/9</f>
        <v>17.777777777777779</v>
      </c>
      <c r="H27" s="194">
        <f t="shared" si="1"/>
        <v>882966.66666666674</v>
      </c>
      <c r="I27" s="147"/>
      <c r="J27" s="147"/>
    </row>
    <row r="28" spans="1:11" x14ac:dyDescent="0.25">
      <c r="A28" s="190"/>
      <c r="B28" s="149"/>
      <c r="C28" s="194"/>
      <c r="D28" s="203"/>
      <c r="E28" s="153"/>
      <c r="F28" s="154"/>
      <c r="G28" s="153"/>
      <c r="H28" s="154"/>
      <c r="I28" s="147"/>
      <c r="J28" s="147"/>
    </row>
    <row r="29" spans="1:11" x14ac:dyDescent="0.25">
      <c r="A29" s="149"/>
      <c r="B29" s="149"/>
      <c r="C29" s="194"/>
      <c r="D29" s="213" t="s">
        <v>9</v>
      </c>
      <c r="E29" s="201">
        <f>SUM(E7:E28)</f>
        <v>7501.8888888888896</v>
      </c>
      <c r="F29" s="201">
        <f t="shared" ref="F29:H29" si="2">SUM(F7:F28)</f>
        <v>28389022.222222224</v>
      </c>
      <c r="G29" s="201">
        <f t="shared" si="2"/>
        <v>405.44444444444434</v>
      </c>
      <c r="H29" s="201">
        <f t="shared" si="2"/>
        <v>1867544.4444444445</v>
      </c>
      <c r="I29" s="147"/>
      <c r="J29" s="147"/>
      <c r="K29" s="409">
        <f>F29+H29</f>
        <v>30256566.666666668</v>
      </c>
    </row>
    <row r="30" spans="1:11" x14ac:dyDescent="0.25">
      <c r="A30" s="190"/>
      <c r="B30" s="149"/>
      <c r="C30" s="194"/>
      <c r="D30" s="149"/>
      <c r="E30" s="157"/>
      <c r="F30" s="157"/>
      <c r="G30" s="157"/>
      <c r="H30" s="157"/>
      <c r="I30" s="147"/>
      <c r="J30" s="147"/>
      <c r="K30" s="409">
        <f>E29+G29</f>
        <v>7907.3333333333339</v>
      </c>
    </row>
    <row r="31" spans="1:11" ht="15.75" thickBot="1" x14ac:dyDescent="0.3">
      <c r="A31" s="190" t="s">
        <v>10</v>
      </c>
      <c r="B31" s="149"/>
      <c r="C31" s="194"/>
      <c r="D31" s="149"/>
      <c r="E31" s="158"/>
      <c r="F31" s="159">
        <f>F29/E29</f>
        <v>3784.2498926196363</v>
      </c>
      <c r="G31" s="158"/>
      <c r="H31" s="159">
        <f>H29/G29</f>
        <v>4606.1660728966854</v>
      </c>
      <c r="I31" s="147"/>
      <c r="J31" s="147"/>
      <c r="K31">
        <f>K29/K30</f>
        <v>3826.3932214821684</v>
      </c>
    </row>
    <row r="32" spans="1:11" ht="15.75" thickTop="1" x14ac:dyDescent="0.25">
      <c r="A32" s="149"/>
      <c r="B32" s="149"/>
      <c r="C32" s="194"/>
      <c r="D32" s="149"/>
      <c r="E32" s="160"/>
      <c r="F32" s="161"/>
      <c r="G32" s="160"/>
      <c r="H32" s="161"/>
      <c r="I32" s="147"/>
      <c r="J32" s="147"/>
    </row>
    <row r="33" spans="1:14" x14ac:dyDescent="0.25">
      <c r="A33" s="174" t="s">
        <v>278</v>
      </c>
      <c r="B33" s="149"/>
      <c r="C33" s="194"/>
      <c r="D33" s="151"/>
      <c r="E33" s="149"/>
      <c r="F33" s="149"/>
      <c r="G33" s="149"/>
      <c r="H33" s="151"/>
      <c r="I33" s="147"/>
      <c r="J33" s="147"/>
      <c r="K33" s="147"/>
      <c r="L33" s="147"/>
      <c r="M33" s="147"/>
      <c r="N33" s="147"/>
    </row>
    <row r="34" spans="1:14" x14ac:dyDescent="0.25">
      <c r="A34" s="190" t="s">
        <v>63</v>
      </c>
      <c r="B34" s="149"/>
      <c r="C34" s="194">
        <f>'W Usage'!J110</f>
        <v>378.57142857142856</v>
      </c>
      <c r="D34" s="151">
        <f>'W Usage'!U110</f>
        <v>329.33333333333331</v>
      </c>
      <c r="E34" s="152">
        <v>1</v>
      </c>
      <c r="F34" s="151">
        <f>E34*C34</f>
        <v>378.57142857142856</v>
      </c>
      <c r="G34" s="152">
        <v>6</v>
      </c>
      <c r="H34" s="151">
        <f>G34*D34</f>
        <v>1976</v>
      </c>
      <c r="I34" s="147"/>
      <c r="J34" s="147"/>
      <c r="K34" s="147"/>
      <c r="L34" s="147"/>
      <c r="M34" s="147"/>
      <c r="N34" s="147"/>
    </row>
    <row r="35" spans="1:14" x14ac:dyDescent="0.25">
      <c r="A35" s="190" t="s">
        <v>64</v>
      </c>
      <c r="B35" s="149"/>
      <c r="C35" s="194">
        <f>'W Usage'!J111</f>
        <v>1466.6666666666667</v>
      </c>
      <c r="D35" s="151">
        <f>'W Usage'!U111</f>
        <v>1492.1052631578948</v>
      </c>
      <c r="E35" s="152">
        <v>3</v>
      </c>
      <c r="F35" s="151">
        <f t="shared" ref="F35:F50" si="3">E35*C35</f>
        <v>4400</v>
      </c>
      <c r="G35" s="152">
        <v>3</v>
      </c>
      <c r="H35" s="151">
        <f t="shared" ref="H35:H42" si="4">G35*D35</f>
        <v>4476.3157894736842</v>
      </c>
      <c r="I35" s="147"/>
      <c r="J35" s="147"/>
      <c r="K35" s="147"/>
      <c r="L35" s="147"/>
      <c r="M35" s="147"/>
      <c r="N35" s="147"/>
    </row>
    <row r="36" spans="1:14" x14ac:dyDescent="0.25">
      <c r="A36" s="190" t="s">
        <v>65</v>
      </c>
      <c r="B36" s="149"/>
      <c r="C36" s="194">
        <f>'W Usage'!J112</f>
        <v>2389.795918367347</v>
      </c>
      <c r="D36" s="151">
        <f>'W Usage'!U112</f>
        <v>2416</v>
      </c>
      <c r="E36" s="152">
        <v>4</v>
      </c>
      <c r="F36" s="151">
        <f t="shared" si="3"/>
        <v>9559.1836734693879</v>
      </c>
      <c r="G36" s="152">
        <v>2</v>
      </c>
      <c r="H36" s="151">
        <f t="shared" si="4"/>
        <v>4832</v>
      </c>
      <c r="I36" s="147"/>
      <c r="J36" s="147"/>
      <c r="K36" s="147"/>
      <c r="L36" s="147"/>
      <c r="M36" s="147"/>
      <c r="N36" s="147"/>
    </row>
    <row r="37" spans="1:14" x14ac:dyDescent="0.25">
      <c r="A37" s="190" t="s">
        <v>66</v>
      </c>
      <c r="B37" s="149"/>
      <c r="C37" s="194">
        <f>'W Usage'!J113</f>
        <v>3402.439024390244</v>
      </c>
      <c r="D37" s="151">
        <f>'W Usage'!U113</f>
        <v>3432.2580645161293</v>
      </c>
      <c r="E37" s="222">
        <v>3</v>
      </c>
      <c r="F37" s="151">
        <f t="shared" si="3"/>
        <v>10207.317073170732</v>
      </c>
      <c r="G37" s="222">
        <v>3</v>
      </c>
      <c r="H37" s="151">
        <f t="shared" si="4"/>
        <v>10296.774193548388</v>
      </c>
      <c r="I37" s="147"/>
      <c r="J37" s="147"/>
      <c r="K37" s="147"/>
      <c r="L37" s="147"/>
      <c r="M37" s="147"/>
      <c r="N37" s="147"/>
    </row>
    <row r="38" spans="1:14" x14ac:dyDescent="0.25">
      <c r="A38" s="190" t="s">
        <v>67</v>
      </c>
      <c r="B38" s="149"/>
      <c r="C38" s="194">
        <f>'W Usage'!J114</f>
        <v>4522.2222222222226</v>
      </c>
      <c r="D38" s="151">
        <f>'W Usage'!U114</f>
        <v>4376.4705882352937</v>
      </c>
      <c r="E38" s="157">
        <v>2</v>
      </c>
      <c r="F38" s="151">
        <f t="shared" si="3"/>
        <v>9044.4444444444453</v>
      </c>
      <c r="G38" s="160">
        <v>3</v>
      </c>
      <c r="H38" s="151">
        <f t="shared" si="4"/>
        <v>13129.411764705881</v>
      </c>
      <c r="I38" s="147"/>
      <c r="J38" s="147"/>
      <c r="K38" s="147"/>
      <c r="L38" s="147"/>
      <c r="M38" s="147"/>
      <c r="N38" s="147"/>
    </row>
    <row r="39" spans="1:14" x14ac:dyDescent="0.25">
      <c r="A39" s="190" t="s">
        <v>68</v>
      </c>
      <c r="B39" s="149"/>
      <c r="C39" s="194">
        <f>'W Usage'!J115</f>
        <v>5337.5</v>
      </c>
      <c r="D39" s="151">
        <f>'W Usage'!U115</f>
        <v>5550</v>
      </c>
      <c r="E39" s="149">
        <v>1</v>
      </c>
      <c r="F39" s="151">
        <f t="shared" si="3"/>
        <v>5337.5</v>
      </c>
      <c r="G39" s="149">
        <v>1</v>
      </c>
      <c r="H39" s="151">
        <f t="shared" si="4"/>
        <v>5550</v>
      </c>
      <c r="I39" s="147"/>
      <c r="J39" s="147"/>
      <c r="K39" s="147"/>
      <c r="L39" s="147"/>
      <c r="M39" s="147"/>
      <c r="N39" s="147"/>
    </row>
    <row r="40" spans="1:14" x14ac:dyDescent="0.25">
      <c r="A40" s="190" t="s">
        <v>69</v>
      </c>
      <c r="B40" s="149"/>
      <c r="C40" s="194">
        <f>'W Usage'!J116</f>
        <v>6446.1538461538457</v>
      </c>
      <c r="D40" s="151">
        <f>'W Usage'!U116</f>
        <v>6535.2941176470586</v>
      </c>
      <c r="E40" s="152">
        <v>1</v>
      </c>
      <c r="F40" s="151">
        <f t="shared" si="3"/>
        <v>6446.1538461538457</v>
      </c>
      <c r="G40" s="152">
        <v>1</v>
      </c>
      <c r="H40" s="151">
        <f t="shared" si="4"/>
        <v>6535.2941176470586</v>
      </c>
      <c r="I40" s="147"/>
      <c r="J40" s="147"/>
      <c r="K40" s="147"/>
      <c r="L40" s="147"/>
      <c r="M40" s="147"/>
      <c r="N40" s="147"/>
    </row>
    <row r="41" spans="1:14" x14ac:dyDescent="0.25">
      <c r="A41" s="190" t="s">
        <v>70</v>
      </c>
      <c r="B41" s="149"/>
      <c r="C41" s="194">
        <f>'W Usage'!J117</f>
        <v>7400</v>
      </c>
      <c r="D41" s="151">
        <f>'W Usage'!U117</f>
        <v>7453.8461538461543</v>
      </c>
      <c r="E41" s="160">
        <v>1</v>
      </c>
      <c r="F41" s="151">
        <f t="shared" si="3"/>
        <v>7400</v>
      </c>
      <c r="G41" s="160">
        <v>1</v>
      </c>
      <c r="H41" s="151">
        <f t="shared" si="4"/>
        <v>7453.8461538461543</v>
      </c>
      <c r="I41" s="147"/>
      <c r="J41" s="147"/>
      <c r="K41" s="147"/>
      <c r="L41" s="147"/>
      <c r="M41" s="147"/>
      <c r="N41" s="147"/>
    </row>
    <row r="42" spans="1:14" x14ac:dyDescent="0.25">
      <c r="A42" s="190" t="s">
        <v>71</v>
      </c>
      <c r="B42" s="149"/>
      <c r="C42" s="194">
        <f>'W Usage'!J118</f>
        <v>8600</v>
      </c>
      <c r="D42" s="151">
        <f>'W Usage'!U118</f>
        <v>8475</v>
      </c>
      <c r="E42" s="160"/>
      <c r="F42" s="151"/>
      <c r="G42" s="160">
        <v>1</v>
      </c>
      <c r="H42" s="151">
        <f t="shared" si="4"/>
        <v>8475</v>
      </c>
      <c r="I42" s="147"/>
      <c r="J42" s="147"/>
      <c r="K42" s="147"/>
      <c r="L42" s="147"/>
      <c r="M42" s="147"/>
      <c r="N42" s="147"/>
    </row>
    <row r="43" spans="1:14" x14ac:dyDescent="0.25">
      <c r="A43" s="190" t="s">
        <v>72</v>
      </c>
      <c r="B43" s="149"/>
      <c r="C43" s="194">
        <f>'W Usage'!J119</f>
        <v>9471.4285714285706</v>
      </c>
      <c r="D43" s="151">
        <f>'W Usage'!U119</f>
        <v>9225</v>
      </c>
      <c r="E43" s="160">
        <v>1</v>
      </c>
      <c r="F43" s="151">
        <f t="shared" si="3"/>
        <v>9471.4285714285706</v>
      </c>
      <c r="G43" s="196"/>
      <c r="H43" s="197"/>
      <c r="I43" s="147"/>
      <c r="J43" s="147"/>
      <c r="K43" s="147"/>
      <c r="L43" s="147"/>
      <c r="M43" s="147"/>
      <c r="N43" s="147"/>
    </row>
    <row r="44" spans="1:14" x14ac:dyDescent="0.25">
      <c r="A44" s="190" t="s">
        <v>73</v>
      </c>
      <c r="B44" s="149"/>
      <c r="C44" s="194">
        <f>'W Usage'!J120</f>
        <v>10550</v>
      </c>
      <c r="D44" s="151">
        <f>'W Usage'!U120</f>
        <v>10357.142857142857</v>
      </c>
      <c r="E44" s="160">
        <v>1</v>
      </c>
      <c r="F44" s="151">
        <f t="shared" si="3"/>
        <v>10550</v>
      </c>
      <c r="G44" s="160">
        <v>1</v>
      </c>
      <c r="H44" s="151">
        <f>G44*D44</f>
        <v>10357.142857142857</v>
      </c>
      <c r="I44" s="147"/>
      <c r="J44" s="147"/>
      <c r="K44" s="147"/>
      <c r="L44" s="147"/>
      <c r="M44" s="147"/>
      <c r="N44" s="147"/>
    </row>
    <row r="45" spans="1:14" x14ac:dyDescent="0.25">
      <c r="A45" s="190" t="s">
        <v>74</v>
      </c>
      <c r="B45" s="150"/>
      <c r="C45" s="194">
        <f>'W Usage'!J121</f>
        <v>11490.90909090909</v>
      </c>
      <c r="D45" s="151">
        <f>'W Usage'!U121</f>
        <v>11650</v>
      </c>
      <c r="E45" s="220">
        <v>1</v>
      </c>
      <c r="F45" s="151">
        <f t="shared" si="3"/>
        <v>11490.90909090909</v>
      </c>
      <c r="G45" s="147"/>
      <c r="H45" s="147"/>
      <c r="I45" s="147"/>
      <c r="J45" s="147"/>
      <c r="K45" s="147"/>
      <c r="L45" s="147"/>
      <c r="M45" s="147"/>
      <c r="N45" s="147"/>
    </row>
    <row r="46" spans="1:14" x14ac:dyDescent="0.25">
      <c r="A46" s="190" t="s">
        <v>75</v>
      </c>
      <c r="B46" s="147"/>
      <c r="C46" s="194">
        <f>'W Usage'!J122</f>
        <v>12550</v>
      </c>
      <c r="D46" s="151">
        <f>'W Usage'!U122</f>
        <v>12450</v>
      </c>
      <c r="E46" s="147"/>
      <c r="F46" s="151"/>
      <c r="G46" s="147"/>
      <c r="H46" s="147"/>
      <c r="I46" s="147"/>
      <c r="J46" s="147"/>
      <c r="K46" s="147"/>
      <c r="L46" s="147"/>
      <c r="M46" s="147"/>
      <c r="N46" s="147"/>
    </row>
    <row r="47" spans="1:14" x14ac:dyDescent="0.25">
      <c r="A47" s="190" t="s">
        <v>76</v>
      </c>
      <c r="B47" s="147"/>
      <c r="C47" s="194"/>
      <c r="D47" s="224">
        <v>13633</v>
      </c>
      <c r="E47" s="147"/>
      <c r="F47" s="151"/>
      <c r="G47" s="147">
        <v>1</v>
      </c>
      <c r="H47" s="151">
        <f>G47*D47</f>
        <v>13633</v>
      </c>
      <c r="I47" s="147"/>
      <c r="J47" s="147"/>
      <c r="K47" s="147"/>
      <c r="L47" s="147"/>
      <c r="M47" s="147"/>
      <c r="N47" s="147"/>
    </row>
    <row r="48" spans="1:14" x14ac:dyDescent="0.25">
      <c r="A48" s="190" t="s">
        <v>78</v>
      </c>
      <c r="B48" s="147"/>
      <c r="C48" s="194"/>
      <c r="D48" s="224">
        <v>15550</v>
      </c>
      <c r="E48" s="147"/>
      <c r="F48" s="151"/>
      <c r="G48" s="147">
        <v>1</v>
      </c>
      <c r="H48" s="151">
        <f>G48*D48</f>
        <v>15550</v>
      </c>
      <c r="I48" s="147"/>
      <c r="J48" s="147"/>
      <c r="K48" s="147"/>
      <c r="L48" s="147"/>
      <c r="M48" s="147"/>
      <c r="N48" s="147"/>
    </row>
    <row r="49" spans="1:14" x14ac:dyDescent="0.25">
      <c r="A49" s="190" t="s">
        <v>80</v>
      </c>
      <c r="B49" s="147"/>
      <c r="C49" s="194"/>
      <c r="D49" s="224">
        <v>17357</v>
      </c>
      <c r="E49" s="147"/>
      <c r="F49" s="151"/>
      <c r="G49" s="223">
        <v>2</v>
      </c>
      <c r="H49" s="151">
        <f>G49*D49</f>
        <v>34714</v>
      </c>
      <c r="I49" s="147"/>
      <c r="J49" s="147"/>
      <c r="K49" s="147"/>
      <c r="L49" s="147"/>
      <c r="M49" s="147"/>
      <c r="N49" s="147"/>
    </row>
    <row r="50" spans="1:14" x14ac:dyDescent="0.25">
      <c r="A50" s="190" t="s">
        <v>83</v>
      </c>
      <c r="B50" s="147"/>
      <c r="C50" s="194">
        <v>94520</v>
      </c>
      <c r="D50" s="224">
        <v>36470</v>
      </c>
      <c r="E50" s="220">
        <v>4</v>
      </c>
      <c r="F50" s="151">
        <f t="shared" si="3"/>
        <v>378080</v>
      </c>
      <c r="G50" s="147">
        <v>5</v>
      </c>
      <c r="H50" s="151">
        <f>G50*D50</f>
        <v>182350</v>
      </c>
      <c r="I50" s="147"/>
      <c r="J50" s="147"/>
      <c r="K50" s="147"/>
      <c r="L50" s="147"/>
      <c r="M50" s="147"/>
      <c r="N50" s="147"/>
    </row>
    <row r="51" spans="1:14" x14ac:dyDescent="0.25">
      <c r="A51" s="190"/>
      <c r="B51" s="147"/>
      <c r="C51" s="194"/>
      <c r="D51" s="147"/>
      <c r="E51" s="220"/>
      <c r="F51" s="151"/>
      <c r="G51" s="147"/>
      <c r="H51" s="151"/>
      <c r="I51" s="147"/>
      <c r="J51" s="147"/>
      <c r="K51" s="410">
        <f>F52+H52</f>
        <v>781694.29300451162</v>
      </c>
      <c r="L51" s="147"/>
      <c r="M51" s="147"/>
      <c r="N51" s="147"/>
    </row>
    <row r="52" spans="1:14" x14ac:dyDescent="0.25">
      <c r="A52" s="190"/>
      <c r="B52" s="147"/>
      <c r="C52" s="194"/>
      <c r="D52" s="213" t="s">
        <v>9</v>
      </c>
      <c r="E52" s="225">
        <f>SUM(E34:E50)</f>
        <v>23</v>
      </c>
      <c r="F52" s="227">
        <f t="shared" ref="F52:H52" si="5">SUM(F34:F50)</f>
        <v>462365.50812814751</v>
      </c>
      <c r="G52" s="225">
        <f t="shared" si="5"/>
        <v>31</v>
      </c>
      <c r="H52" s="227">
        <f t="shared" si="5"/>
        <v>319328.78487636405</v>
      </c>
      <c r="I52" s="147"/>
      <c r="J52" s="147"/>
      <c r="K52" s="411">
        <f>E52+G52</f>
        <v>54</v>
      </c>
      <c r="L52" s="147"/>
      <c r="M52" s="147"/>
      <c r="N52" s="147"/>
    </row>
    <row r="53" spans="1:14" x14ac:dyDescent="0.25">
      <c r="A53" s="190"/>
      <c r="B53" s="147"/>
      <c r="C53" s="194"/>
      <c r="D53" s="147"/>
      <c r="E53" s="220"/>
      <c r="F53" s="151"/>
      <c r="G53" s="147"/>
      <c r="H53" s="147"/>
      <c r="I53" s="147"/>
      <c r="J53" s="147"/>
      <c r="K53" s="411">
        <f>K51/K52</f>
        <v>14475.820240824289</v>
      </c>
      <c r="L53" s="147"/>
      <c r="M53" s="147"/>
      <c r="N53" s="147"/>
    </row>
    <row r="54" spans="1:14" x14ac:dyDescent="0.25">
      <c r="A54" s="212" t="s">
        <v>281</v>
      </c>
      <c r="B54" s="147"/>
      <c r="C54" s="194"/>
      <c r="D54" s="147"/>
      <c r="E54" s="220"/>
      <c r="F54" s="151"/>
      <c r="G54" s="147"/>
      <c r="H54" s="147"/>
      <c r="I54" s="147"/>
      <c r="J54" s="147"/>
      <c r="K54" s="147"/>
      <c r="L54" s="147"/>
      <c r="M54" s="147"/>
      <c r="N54" s="147"/>
    </row>
    <row r="55" spans="1:14" x14ac:dyDescent="0.25">
      <c r="A55" s="190" t="s">
        <v>63</v>
      </c>
      <c r="B55" s="147"/>
      <c r="C55" s="194">
        <f>'W Usage'!J160</f>
        <v>138.46153846153845</v>
      </c>
      <c r="D55" s="224">
        <f>'W Usage'!U160</f>
        <v>250</v>
      </c>
      <c r="E55" s="220">
        <v>1</v>
      </c>
      <c r="F55" s="151">
        <f>E55*C55</f>
        <v>138.46153846153845</v>
      </c>
      <c r="G55" s="223">
        <v>1</v>
      </c>
      <c r="H55" s="151">
        <f>G55*D55</f>
        <v>250</v>
      </c>
      <c r="I55" s="147"/>
      <c r="J55" s="147"/>
      <c r="K55" s="147"/>
      <c r="L55" s="147"/>
      <c r="M55" s="147"/>
      <c r="N55" s="147"/>
    </row>
    <row r="56" spans="1:14" x14ac:dyDescent="0.25">
      <c r="A56" s="190" t="s">
        <v>64</v>
      </c>
      <c r="B56" s="147"/>
      <c r="C56" s="194">
        <f>'W Usage'!J161</f>
        <v>1485.7142857142858</v>
      </c>
      <c r="D56" s="224">
        <f>'W Usage'!U161</f>
        <v>1216.6666666666667</v>
      </c>
      <c r="E56" s="220">
        <v>1</v>
      </c>
      <c r="F56" s="151">
        <f t="shared" ref="F56:F61" si="6">E56*C56</f>
        <v>1485.7142857142858</v>
      </c>
      <c r="G56" s="223">
        <v>1</v>
      </c>
      <c r="H56" s="151">
        <f>G56*D56</f>
        <v>1216.6666666666667</v>
      </c>
      <c r="I56" s="147"/>
      <c r="J56" s="147"/>
      <c r="K56" s="147"/>
      <c r="L56" s="147"/>
      <c r="M56" s="147"/>
      <c r="N56" s="147"/>
    </row>
    <row r="57" spans="1:14" x14ac:dyDescent="0.25">
      <c r="A57" s="190" t="s">
        <v>67</v>
      </c>
      <c r="B57" s="147"/>
      <c r="C57" s="194">
        <f>'W Usage'!J164</f>
        <v>4425</v>
      </c>
      <c r="D57" s="224"/>
      <c r="E57" s="220">
        <v>1</v>
      </c>
      <c r="F57" s="151">
        <f t="shared" si="6"/>
        <v>4425</v>
      </c>
      <c r="G57" s="147"/>
      <c r="H57" s="147"/>
      <c r="I57" s="147"/>
      <c r="J57" s="147"/>
      <c r="K57" s="147"/>
      <c r="L57" s="147"/>
      <c r="M57" s="147"/>
      <c r="N57" s="147"/>
    </row>
    <row r="58" spans="1:14" x14ac:dyDescent="0.25">
      <c r="A58" s="190" t="s">
        <v>69</v>
      </c>
      <c r="B58" s="147"/>
      <c r="C58" s="194">
        <f>'W Usage'!J166</f>
        <v>6300</v>
      </c>
      <c r="D58" s="224"/>
      <c r="E58" s="220">
        <v>1</v>
      </c>
      <c r="F58" s="151">
        <f t="shared" si="6"/>
        <v>6300</v>
      </c>
      <c r="G58" s="147"/>
      <c r="H58" s="147"/>
      <c r="I58" s="147"/>
      <c r="J58" s="147"/>
      <c r="K58" s="147"/>
      <c r="L58" s="147"/>
      <c r="M58" s="147"/>
      <c r="N58" s="147"/>
    </row>
    <row r="59" spans="1:14" x14ac:dyDescent="0.25">
      <c r="A59" s="190" t="s">
        <v>71</v>
      </c>
      <c r="B59" s="147"/>
      <c r="C59" s="194">
        <f>'W Usage'!J168</f>
        <v>8320</v>
      </c>
      <c r="D59" s="224"/>
      <c r="E59" s="220">
        <v>1</v>
      </c>
      <c r="F59" s="151">
        <f t="shared" si="6"/>
        <v>8320</v>
      </c>
      <c r="G59" s="147"/>
      <c r="H59" s="147"/>
      <c r="I59" s="147"/>
      <c r="J59" s="147"/>
      <c r="K59" s="147"/>
      <c r="L59" s="147"/>
      <c r="M59" s="147"/>
      <c r="N59" s="147"/>
    </row>
    <row r="60" spans="1:14" x14ac:dyDescent="0.25">
      <c r="A60" s="190" t="s">
        <v>72</v>
      </c>
      <c r="B60" s="147"/>
      <c r="C60" s="194"/>
      <c r="D60" s="224">
        <f>'W Usage'!U169</f>
        <v>9100</v>
      </c>
      <c r="E60" s="220"/>
      <c r="F60" s="151"/>
      <c r="G60" s="147">
        <v>1</v>
      </c>
      <c r="H60" s="151">
        <f>G60*D60</f>
        <v>9100</v>
      </c>
      <c r="I60" s="147"/>
      <c r="J60" s="147"/>
      <c r="K60" s="147"/>
      <c r="L60" s="147"/>
      <c r="M60" s="147"/>
      <c r="N60" s="147"/>
    </row>
    <row r="61" spans="1:14" x14ac:dyDescent="0.25">
      <c r="A61" s="190" t="s">
        <v>83</v>
      </c>
      <c r="B61" s="147"/>
      <c r="C61" s="194">
        <f>216816</f>
        <v>216816</v>
      </c>
      <c r="D61" s="224">
        <v>160100</v>
      </c>
      <c r="E61" s="220">
        <v>3</v>
      </c>
      <c r="F61" s="151">
        <f t="shared" si="6"/>
        <v>650448</v>
      </c>
      <c r="G61" s="147">
        <v>3</v>
      </c>
      <c r="H61" s="151">
        <f>G61*D61</f>
        <v>480300</v>
      </c>
      <c r="I61" s="147"/>
      <c r="J61" s="147"/>
      <c r="K61" s="410">
        <f>F63+H63</f>
        <v>1161983.8424908426</v>
      </c>
      <c r="L61" s="147"/>
      <c r="M61" s="147"/>
      <c r="N61" s="147"/>
    </row>
    <row r="62" spans="1:14" x14ac:dyDescent="0.25">
      <c r="A62" s="190"/>
      <c r="B62" s="147"/>
      <c r="C62" s="194"/>
      <c r="D62" s="147"/>
      <c r="E62" s="220"/>
      <c r="F62" s="151"/>
      <c r="G62" s="147"/>
      <c r="H62" s="151"/>
      <c r="I62" s="147"/>
      <c r="J62" s="147"/>
      <c r="K62" s="411">
        <f>E63+G63</f>
        <v>14</v>
      </c>
      <c r="L62" s="147"/>
      <c r="M62" s="147"/>
      <c r="N62" s="147"/>
    </row>
    <row r="63" spans="1:14" x14ac:dyDescent="0.25">
      <c r="A63" s="190"/>
      <c r="B63" s="147"/>
      <c r="C63" s="194"/>
      <c r="D63" s="213" t="s">
        <v>9</v>
      </c>
      <c r="E63" s="225">
        <f>SUM(E55:E61)</f>
        <v>8</v>
      </c>
      <c r="F63" s="227">
        <f t="shared" ref="F63:H63" si="7">SUM(F55:F61)</f>
        <v>671117.17582417582</v>
      </c>
      <c r="G63" s="225">
        <f t="shared" si="7"/>
        <v>6</v>
      </c>
      <c r="H63" s="227">
        <f t="shared" si="7"/>
        <v>490866.66666666669</v>
      </c>
      <c r="I63" s="147"/>
      <c r="J63" s="147"/>
      <c r="K63" s="411">
        <f>K61/K62</f>
        <v>82998.84589220304</v>
      </c>
      <c r="L63" s="147"/>
      <c r="M63" s="147"/>
      <c r="N63" s="147"/>
    </row>
    <row r="64" spans="1:14" x14ac:dyDescent="0.25">
      <c r="A64" s="190"/>
      <c r="B64" s="147"/>
      <c r="C64" s="194"/>
      <c r="D64" s="147"/>
      <c r="E64" s="220"/>
      <c r="F64" s="151"/>
      <c r="G64" s="147"/>
      <c r="H64" s="151"/>
      <c r="I64" s="147"/>
      <c r="J64" s="147"/>
      <c r="K64" s="147"/>
      <c r="L64" s="147"/>
      <c r="M64" s="147"/>
      <c r="N64" s="147"/>
    </row>
    <row r="65" spans="1:14" x14ac:dyDescent="0.25">
      <c r="A65" s="212" t="s">
        <v>283</v>
      </c>
      <c r="B65" s="147"/>
      <c r="C65" s="194"/>
      <c r="D65" s="147"/>
      <c r="E65" s="220"/>
      <c r="F65" s="151"/>
      <c r="G65" s="147"/>
      <c r="H65" s="151"/>
      <c r="I65" s="147"/>
      <c r="J65" s="147"/>
      <c r="K65" s="147"/>
      <c r="L65" s="147"/>
      <c r="M65" s="147"/>
      <c r="N65" s="147"/>
    </row>
    <row r="66" spans="1:14" x14ac:dyDescent="0.25">
      <c r="A66" s="190" t="s">
        <v>63</v>
      </c>
      <c r="B66" s="147"/>
      <c r="C66" s="194">
        <f>'W Usage'!J207</f>
        <v>62.790697674418603</v>
      </c>
      <c r="D66" s="202">
        <f>'W Usage'!U207</f>
        <v>196.22641509433961</v>
      </c>
      <c r="E66" s="147">
        <v>4</v>
      </c>
      <c r="F66" s="151">
        <f>C66*E66</f>
        <v>251.16279069767441</v>
      </c>
      <c r="G66" s="147">
        <v>5</v>
      </c>
      <c r="H66" s="151">
        <f>G66*D66</f>
        <v>981.13207547169804</v>
      </c>
      <c r="I66" s="147"/>
      <c r="J66" s="147"/>
      <c r="K66" s="147"/>
      <c r="L66" s="147"/>
      <c r="M66" s="147"/>
      <c r="N66" s="147"/>
    </row>
    <row r="67" spans="1:14" x14ac:dyDescent="0.25">
      <c r="A67" s="190" t="s">
        <v>64</v>
      </c>
      <c r="B67" s="147"/>
      <c r="C67" s="194">
        <f>'W Usage'!J208</f>
        <v>1384.6153846153845</v>
      </c>
      <c r="D67" s="202">
        <f>'W Usage'!U208</f>
        <v>1383.3333333333333</v>
      </c>
      <c r="E67" s="147">
        <v>1</v>
      </c>
      <c r="F67" s="151">
        <f t="shared" ref="F67:F86" si="8">C67*E67</f>
        <v>1384.6153846153845</v>
      </c>
      <c r="G67" s="147">
        <v>1</v>
      </c>
      <c r="H67" s="151">
        <f t="shared" ref="H67:H86" si="9">G67*D67</f>
        <v>1383.3333333333333</v>
      </c>
      <c r="I67" s="147"/>
      <c r="J67" s="147"/>
      <c r="K67" s="147"/>
      <c r="L67" s="147"/>
      <c r="M67" s="147"/>
      <c r="N67" s="147"/>
    </row>
    <row r="68" spans="1:14" x14ac:dyDescent="0.25">
      <c r="A68" s="190" t="s">
        <v>65</v>
      </c>
      <c r="B68" s="147"/>
      <c r="C68" s="194">
        <f>'W Usage'!J209</f>
        <v>2420</v>
      </c>
      <c r="D68" s="202">
        <f>'W Usage'!U209</f>
        <v>2466.6666666666665</v>
      </c>
      <c r="E68" s="223">
        <v>2</v>
      </c>
      <c r="F68" s="151">
        <f t="shared" si="8"/>
        <v>4840</v>
      </c>
      <c r="G68" s="147"/>
      <c r="H68" s="151"/>
      <c r="I68" s="147"/>
      <c r="J68" s="147"/>
      <c r="K68" s="147"/>
      <c r="L68" s="147"/>
      <c r="M68" s="147"/>
      <c r="N68" s="147"/>
    </row>
    <row r="69" spans="1:14" x14ac:dyDescent="0.25">
      <c r="A69" s="190" t="s">
        <v>66</v>
      </c>
      <c r="B69" s="147"/>
      <c r="C69" s="194">
        <f>'W Usage'!J210</f>
        <v>3441.6666666666665</v>
      </c>
      <c r="D69" s="202">
        <f>'W Usage'!U210</f>
        <v>3500</v>
      </c>
      <c r="E69" s="223">
        <v>2</v>
      </c>
      <c r="F69" s="151">
        <f t="shared" si="8"/>
        <v>6883.333333333333</v>
      </c>
      <c r="G69" s="147">
        <v>1</v>
      </c>
      <c r="H69" s="151">
        <f t="shared" si="9"/>
        <v>3500</v>
      </c>
      <c r="I69" s="147"/>
      <c r="J69" s="147"/>
      <c r="K69" s="147"/>
      <c r="L69" s="147"/>
      <c r="M69" s="147"/>
      <c r="N69" s="147"/>
    </row>
    <row r="70" spans="1:14" x14ac:dyDescent="0.25">
      <c r="A70" s="190" t="s">
        <v>67</v>
      </c>
      <c r="B70" s="147"/>
      <c r="C70" s="194">
        <f>'W Usage'!J211</f>
        <v>4323.478260869565</v>
      </c>
      <c r="D70" s="202">
        <f>'W Usage'!U211</f>
        <v>4360</v>
      </c>
      <c r="E70" s="223">
        <v>2</v>
      </c>
      <c r="F70" s="151">
        <f t="shared" si="8"/>
        <v>8646.95652173913</v>
      </c>
      <c r="G70" s="223">
        <v>1</v>
      </c>
      <c r="H70" s="151">
        <f t="shared" si="9"/>
        <v>4360</v>
      </c>
      <c r="I70" s="147"/>
      <c r="J70" s="147"/>
      <c r="K70" s="147"/>
      <c r="L70" s="147"/>
      <c r="M70" s="147"/>
      <c r="N70" s="147"/>
    </row>
    <row r="71" spans="1:14" x14ac:dyDescent="0.25">
      <c r="A71" s="190" t="s">
        <v>68</v>
      </c>
      <c r="B71" s="147"/>
      <c r="C71" s="194">
        <f>'W Usage'!J212</f>
        <v>5418.181818181818</v>
      </c>
      <c r="D71" s="202">
        <f>'W Usage'!U212</f>
        <v>5310</v>
      </c>
      <c r="E71" s="223">
        <v>2</v>
      </c>
      <c r="F71" s="151">
        <f t="shared" si="8"/>
        <v>10836.363636363636</v>
      </c>
      <c r="G71" s="223">
        <v>1</v>
      </c>
      <c r="H71" s="151">
        <f t="shared" si="9"/>
        <v>5310</v>
      </c>
      <c r="I71" s="147"/>
      <c r="J71" s="147"/>
      <c r="K71" s="147"/>
      <c r="L71" s="147"/>
      <c r="M71" s="147"/>
      <c r="N71" s="147"/>
    </row>
    <row r="72" spans="1:14" x14ac:dyDescent="0.25">
      <c r="A72" s="190" t="s">
        <v>69</v>
      </c>
      <c r="B72" s="147"/>
      <c r="C72" s="194">
        <f>'W Usage'!J213</f>
        <v>6396.2962962962965</v>
      </c>
      <c r="D72" s="202">
        <f>'W Usage'!U213</f>
        <v>6400</v>
      </c>
      <c r="E72" s="223">
        <v>2</v>
      </c>
      <c r="F72" s="151">
        <f t="shared" si="8"/>
        <v>12792.592592592593</v>
      </c>
      <c r="G72" s="147"/>
      <c r="H72" s="151"/>
      <c r="I72" s="147"/>
      <c r="J72" s="147"/>
      <c r="K72" s="147"/>
      <c r="L72" s="147"/>
      <c r="M72" s="147"/>
      <c r="N72" s="147"/>
    </row>
    <row r="73" spans="1:14" x14ac:dyDescent="0.25">
      <c r="A73" s="190" t="s">
        <v>70</v>
      </c>
      <c r="B73" s="147"/>
      <c r="C73" s="194">
        <f>'W Usage'!J214</f>
        <v>7332.3529411764703</v>
      </c>
      <c r="D73" s="202">
        <f>'W Usage'!U214</f>
        <v>7444.4444444444443</v>
      </c>
      <c r="E73" s="223">
        <v>1</v>
      </c>
      <c r="F73" s="151">
        <f t="shared" si="8"/>
        <v>7332.3529411764703</v>
      </c>
      <c r="G73" s="147">
        <v>1</v>
      </c>
      <c r="H73" s="151">
        <f t="shared" si="9"/>
        <v>7444.4444444444443</v>
      </c>
      <c r="I73" s="147"/>
      <c r="J73" s="147"/>
      <c r="K73" s="147"/>
      <c r="L73" s="147"/>
      <c r="M73" s="147"/>
      <c r="N73" s="147"/>
    </row>
    <row r="74" spans="1:14" x14ac:dyDescent="0.25">
      <c r="A74" s="190" t="s">
        <v>71</v>
      </c>
      <c r="B74" s="147"/>
      <c r="C74" s="194">
        <f>'W Usage'!J215</f>
        <v>8380</v>
      </c>
      <c r="D74" s="202">
        <f>'W Usage'!U215</f>
        <v>8514.2857142857138</v>
      </c>
      <c r="E74" s="223">
        <v>1</v>
      </c>
      <c r="F74" s="151">
        <f t="shared" si="8"/>
        <v>8380</v>
      </c>
      <c r="G74" s="147"/>
      <c r="H74" s="151"/>
      <c r="I74" s="147"/>
      <c r="J74" s="147"/>
      <c r="K74" s="147"/>
      <c r="L74" s="147"/>
      <c r="M74" s="147"/>
      <c r="N74" s="147"/>
    </row>
    <row r="75" spans="1:14" x14ac:dyDescent="0.25">
      <c r="A75" s="190" t="s">
        <v>72</v>
      </c>
      <c r="B75" s="147"/>
      <c r="C75" s="194">
        <f>'W Usage'!J216</f>
        <v>9430.7692307692305</v>
      </c>
      <c r="D75" s="202">
        <f>'W Usage'!U216</f>
        <v>9535.7142857142862</v>
      </c>
      <c r="E75" s="223">
        <v>1</v>
      </c>
      <c r="F75" s="151">
        <f t="shared" si="8"/>
        <v>9430.7692307692305</v>
      </c>
      <c r="G75" s="147">
        <v>1</v>
      </c>
      <c r="H75" s="151">
        <f t="shared" si="9"/>
        <v>9535.7142857142862</v>
      </c>
      <c r="I75" s="147"/>
      <c r="J75" s="147"/>
      <c r="K75" s="147"/>
      <c r="L75" s="147"/>
      <c r="M75" s="147"/>
      <c r="N75" s="147"/>
    </row>
    <row r="76" spans="1:14" x14ac:dyDescent="0.25">
      <c r="A76" s="190" t="s">
        <v>73</v>
      </c>
      <c r="B76" s="147"/>
      <c r="C76" s="194">
        <f>'W Usage'!J217</f>
        <v>10421.052631578947</v>
      </c>
      <c r="D76" s="202">
        <f>'W Usage'!U217</f>
        <v>10400</v>
      </c>
      <c r="E76" s="223">
        <v>2</v>
      </c>
      <c r="F76" s="151">
        <f t="shared" si="8"/>
        <v>20842.105263157893</v>
      </c>
      <c r="G76" s="223">
        <v>1</v>
      </c>
      <c r="H76" s="151">
        <f t="shared" si="9"/>
        <v>10400</v>
      </c>
      <c r="I76" s="147"/>
      <c r="J76" s="147"/>
      <c r="K76" s="147"/>
      <c r="L76" s="147"/>
      <c r="M76" s="147"/>
      <c r="N76" s="147"/>
    </row>
    <row r="77" spans="1:14" x14ac:dyDescent="0.25">
      <c r="A77" s="190" t="s">
        <v>74</v>
      </c>
      <c r="B77" s="147"/>
      <c r="C77" s="194">
        <f>'W Usage'!J218</f>
        <v>11451.25</v>
      </c>
      <c r="D77" s="202">
        <f>'W Usage'!U218</f>
        <v>11550</v>
      </c>
      <c r="E77" s="223">
        <v>1</v>
      </c>
      <c r="F77" s="151">
        <f t="shared" si="8"/>
        <v>11451.25</v>
      </c>
      <c r="G77" s="147"/>
      <c r="H77" s="151"/>
      <c r="I77" s="147"/>
      <c r="J77" s="147"/>
      <c r="K77" s="147"/>
      <c r="L77" s="147"/>
      <c r="M77" s="147"/>
      <c r="N77" s="147"/>
    </row>
    <row r="78" spans="1:14" x14ac:dyDescent="0.25">
      <c r="A78" s="190" t="s">
        <v>75</v>
      </c>
      <c r="B78" s="147"/>
      <c r="C78" s="194">
        <f>'W Usage'!J219</f>
        <v>12334.444444444445</v>
      </c>
      <c r="D78" s="202">
        <f>'W Usage'!U219</f>
        <v>12350</v>
      </c>
      <c r="E78" s="147"/>
      <c r="F78" s="151"/>
      <c r="G78" s="223">
        <v>1</v>
      </c>
      <c r="H78" s="151">
        <f t="shared" si="9"/>
        <v>12350</v>
      </c>
      <c r="I78" s="147"/>
      <c r="J78" s="147"/>
      <c r="K78" s="147"/>
      <c r="L78" s="147"/>
      <c r="M78" s="147"/>
      <c r="N78" s="147"/>
    </row>
    <row r="79" spans="1:14" x14ac:dyDescent="0.25">
      <c r="A79" s="190" t="s">
        <v>76</v>
      </c>
      <c r="B79" s="147"/>
      <c r="C79" s="194">
        <f>'W Usage'!J220</f>
        <v>13509.09090909091</v>
      </c>
      <c r="D79" s="202">
        <f>'W Usage'!U220</f>
        <v>13366.666666666666</v>
      </c>
      <c r="E79" s="223">
        <v>1</v>
      </c>
      <c r="F79" s="151">
        <f t="shared" si="8"/>
        <v>13509.09090909091</v>
      </c>
      <c r="G79" s="147"/>
      <c r="H79" s="151"/>
      <c r="I79" s="147"/>
      <c r="J79" s="147"/>
      <c r="K79" s="147"/>
      <c r="L79" s="147"/>
      <c r="M79" s="147"/>
      <c r="N79" s="147"/>
    </row>
    <row r="80" spans="1:14" x14ac:dyDescent="0.25">
      <c r="A80" s="190" t="s">
        <v>77</v>
      </c>
      <c r="B80" s="147"/>
      <c r="C80" s="194">
        <f>'W Usage'!J221</f>
        <v>14501.666666666666</v>
      </c>
      <c r="D80" s="202">
        <f>'W Usage'!U221</f>
        <v>14375</v>
      </c>
      <c r="E80" s="223">
        <v>1</v>
      </c>
      <c r="F80" s="151">
        <f t="shared" si="8"/>
        <v>14501.666666666666</v>
      </c>
      <c r="G80" s="147"/>
      <c r="H80" s="151"/>
      <c r="I80" s="147"/>
      <c r="J80" s="147"/>
      <c r="K80" s="147"/>
      <c r="L80" s="147"/>
      <c r="M80" s="147"/>
      <c r="N80" s="147"/>
    </row>
    <row r="81" spans="1:14" x14ac:dyDescent="0.25">
      <c r="A81" s="190" t="s">
        <v>78</v>
      </c>
      <c r="B81" s="147"/>
      <c r="C81" s="194">
        <f>'W Usage'!J222</f>
        <v>15333.333333333334</v>
      </c>
      <c r="D81" s="202">
        <f>'W Usage'!U222</f>
        <v>15400</v>
      </c>
      <c r="E81" s="147"/>
      <c r="F81" s="151"/>
      <c r="G81" s="147"/>
      <c r="H81" s="151"/>
      <c r="I81" s="147"/>
      <c r="J81" s="147"/>
      <c r="K81" s="147"/>
      <c r="L81" s="147"/>
      <c r="M81" s="147"/>
      <c r="N81" s="147"/>
    </row>
    <row r="82" spans="1:14" x14ac:dyDescent="0.25">
      <c r="A82" s="190" t="s">
        <v>79</v>
      </c>
      <c r="B82" s="147"/>
      <c r="C82" s="194">
        <f>'W Usage'!J223</f>
        <v>16496</v>
      </c>
      <c r="D82" s="202">
        <f>'W Usage'!U223</f>
        <v>16400</v>
      </c>
      <c r="E82" s="223">
        <v>1</v>
      </c>
      <c r="F82" s="151">
        <f t="shared" si="8"/>
        <v>16496</v>
      </c>
      <c r="G82" s="147">
        <v>1</v>
      </c>
      <c r="H82" s="151">
        <f t="shared" si="9"/>
        <v>16400</v>
      </c>
      <c r="I82" s="147"/>
      <c r="J82" s="147"/>
      <c r="K82" s="147"/>
      <c r="L82" s="147"/>
      <c r="M82" s="147"/>
      <c r="N82" s="147"/>
    </row>
    <row r="83" spans="1:14" x14ac:dyDescent="0.25">
      <c r="A83" s="190" t="s">
        <v>80</v>
      </c>
      <c r="B83" s="147"/>
      <c r="C83" s="194">
        <f>'W Usage'!J224</f>
        <v>17541.666666666668</v>
      </c>
      <c r="D83" s="202">
        <f>'W Usage'!U224</f>
        <v>17250</v>
      </c>
      <c r="E83" s="223">
        <v>1</v>
      </c>
      <c r="F83" s="151">
        <f t="shared" si="8"/>
        <v>17541.666666666668</v>
      </c>
      <c r="G83" s="147"/>
      <c r="H83" s="151"/>
      <c r="I83" s="147"/>
      <c r="J83" s="147"/>
      <c r="K83" s="147"/>
      <c r="L83" s="147"/>
      <c r="M83" s="147"/>
      <c r="N83" s="147"/>
    </row>
    <row r="84" spans="1:14" x14ac:dyDescent="0.25">
      <c r="A84" s="190" t="s">
        <v>81</v>
      </c>
      <c r="B84" s="147"/>
      <c r="C84" s="194">
        <f>'W Usage'!J225</f>
        <v>18383.333333333332</v>
      </c>
      <c r="D84" s="202">
        <f>'W Usage'!U225</f>
        <v>18638.461538461539</v>
      </c>
      <c r="E84" s="223">
        <v>1</v>
      </c>
      <c r="F84" s="151">
        <f t="shared" si="8"/>
        <v>18383.333333333332</v>
      </c>
      <c r="G84" s="147">
        <v>1</v>
      </c>
      <c r="H84" s="151">
        <f t="shared" si="9"/>
        <v>18638.461538461539</v>
      </c>
      <c r="I84" s="147"/>
      <c r="J84" s="147"/>
      <c r="K84" s="147"/>
      <c r="L84" s="147"/>
      <c r="M84" s="147"/>
      <c r="N84" s="147"/>
    </row>
    <row r="85" spans="1:14" x14ac:dyDescent="0.25">
      <c r="A85" s="190" t="s">
        <v>82</v>
      </c>
      <c r="B85" s="147"/>
      <c r="C85" s="194">
        <f>'W Usage'!J226</f>
        <v>19500</v>
      </c>
      <c r="D85" s="202">
        <f>'W Usage'!U226</f>
        <v>19325</v>
      </c>
      <c r="E85" s="147"/>
      <c r="F85" s="151"/>
      <c r="G85" s="147"/>
      <c r="H85" s="151"/>
      <c r="I85" s="147"/>
      <c r="J85" s="147"/>
      <c r="K85" s="147"/>
      <c r="L85" s="147"/>
      <c r="M85" s="147"/>
      <c r="N85" s="147"/>
    </row>
    <row r="86" spans="1:14" x14ac:dyDescent="0.25">
      <c r="A86" s="190" t="s">
        <v>83</v>
      </c>
      <c r="B86" s="147"/>
      <c r="C86" s="147">
        <v>98334</v>
      </c>
      <c r="D86">
        <v>88123</v>
      </c>
      <c r="E86" s="147">
        <v>22</v>
      </c>
      <c r="F86" s="151">
        <f t="shared" si="8"/>
        <v>2163348</v>
      </c>
      <c r="G86" s="147">
        <v>32</v>
      </c>
      <c r="H86" s="151">
        <f t="shared" si="9"/>
        <v>2819936</v>
      </c>
      <c r="I86" s="147"/>
      <c r="J86" s="147"/>
    </row>
    <row r="87" spans="1:14" x14ac:dyDescent="0.25">
      <c r="A87" s="190"/>
      <c r="B87" s="147"/>
      <c r="C87" s="147"/>
      <c r="E87" s="147"/>
      <c r="F87" s="151"/>
      <c r="G87" s="147"/>
      <c r="H87" s="147"/>
      <c r="I87" s="147"/>
      <c r="J87" s="147"/>
    </row>
    <row r="88" spans="1:14" x14ac:dyDescent="0.25">
      <c r="A88" s="190"/>
      <c r="B88" s="147"/>
      <c r="C88" s="147"/>
      <c r="D88" s="213" t="s">
        <v>9</v>
      </c>
      <c r="E88" s="226">
        <f>SUM(E66:E86)</f>
        <v>48</v>
      </c>
      <c r="F88" s="228">
        <f t="shared" ref="F88:H88" si="10">SUM(F66:F86)</f>
        <v>2346851.2592702028</v>
      </c>
      <c r="G88" s="226">
        <f t="shared" si="10"/>
        <v>47</v>
      </c>
      <c r="H88" s="228">
        <f t="shared" si="10"/>
        <v>2910239.0856774254</v>
      </c>
      <c r="I88" s="147"/>
      <c r="J88" s="147"/>
      <c r="K88" s="409">
        <f>F88+H88</f>
        <v>5257090.3449476287</v>
      </c>
    </row>
    <row r="89" spans="1:14" x14ac:dyDescent="0.25">
      <c r="A89" s="190"/>
      <c r="B89" s="147"/>
      <c r="C89" s="147"/>
      <c r="E89" s="229"/>
      <c r="F89" s="230"/>
      <c r="G89" s="229"/>
      <c r="H89" s="230"/>
      <c r="I89" s="147"/>
      <c r="J89" s="147"/>
      <c r="K89">
        <f>E88+G88</f>
        <v>95</v>
      </c>
    </row>
    <row r="90" spans="1:14" x14ac:dyDescent="0.25">
      <c r="A90" s="190"/>
      <c r="B90" s="147"/>
      <c r="C90" s="147"/>
      <c r="E90" s="229"/>
      <c r="F90" s="230"/>
      <c r="G90" s="229"/>
      <c r="H90" s="230"/>
      <c r="I90" s="147"/>
      <c r="J90" s="147"/>
      <c r="K90" s="103">
        <f>K88/K89</f>
        <v>55337.793104711884</v>
      </c>
    </row>
    <row r="91" spans="1:14" x14ac:dyDescent="0.25">
      <c r="A91" s="190"/>
      <c r="B91" s="147"/>
      <c r="C91" s="147"/>
      <c r="E91" s="229"/>
      <c r="F91" s="230"/>
      <c r="G91" s="229"/>
      <c r="H91" s="230"/>
      <c r="I91" s="147"/>
      <c r="J91" s="147"/>
    </row>
    <row r="92" spans="1:14" x14ac:dyDescent="0.25">
      <c r="A92" s="190"/>
      <c r="B92" s="147"/>
      <c r="C92" s="147"/>
      <c r="E92" s="229"/>
      <c r="F92" s="230"/>
      <c r="G92" s="229"/>
      <c r="H92" s="230"/>
      <c r="I92" s="147"/>
      <c r="J92" s="147"/>
    </row>
    <row r="93" spans="1:14" x14ac:dyDescent="0.25">
      <c r="A93" s="190"/>
      <c r="B93" s="147"/>
      <c r="C93" s="147"/>
      <c r="E93" s="229"/>
      <c r="F93" s="230"/>
      <c r="G93" s="229"/>
      <c r="H93" s="230"/>
      <c r="I93" s="147"/>
      <c r="J93" s="147"/>
    </row>
    <row r="94" spans="1:14" x14ac:dyDescent="0.25">
      <c r="A94" s="190"/>
      <c r="B94" s="147"/>
      <c r="C94" s="147"/>
      <c r="E94" s="229"/>
      <c r="F94" s="230"/>
      <c r="G94" s="229"/>
      <c r="H94" s="230"/>
      <c r="I94" s="147"/>
      <c r="J94" s="147"/>
    </row>
    <row r="95" spans="1:14" x14ac:dyDescent="0.25">
      <c r="A95" s="190"/>
      <c r="B95" s="147"/>
      <c r="C95" s="147"/>
      <c r="E95" s="229"/>
      <c r="F95" s="230"/>
      <c r="G95" s="229"/>
      <c r="H95" s="230"/>
      <c r="I95" s="147"/>
      <c r="J95" s="147"/>
    </row>
    <row r="96" spans="1:14" x14ac:dyDescent="0.25">
      <c r="A96" s="147"/>
      <c r="B96" s="147"/>
      <c r="C96" s="147"/>
      <c r="D96" s="147"/>
      <c r="E96" s="147"/>
      <c r="F96" s="147"/>
      <c r="G96" s="147"/>
      <c r="H96" s="147"/>
      <c r="I96" s="147"/>
      <c r="J96" s="147"/>
    </row>
    <row r="97" spans="1:10" ht="15.75" thickBot="1" x14ac:dyDescent="0.3">
      <c r="A97" s="147"/>
      <c r="B97" s="147"/>
      <c r="C97" s="147"/>
      <c r="D97" s="198" t="s">
        <v>13</v>
      </c>
      <c r="E97" s="199">
        <f>+E29+E52+E63+E88</f>
        <v>7580.8888888888896</v>
      </c>
      <c r="F97" s="199">
        <f t="shared" ref="F97:H97" si="11">+F29+F52+F63+F88</f>
        <v>31869356.16544475</v>
      </c>
      <c r="G97" s="199">
        <f t="shared" si="11"/>
        <v>489.44444444444434</v>
      </c>
      <c r="H97" s="199">
        <f t="shared" si="11"/>
        <v>5587978.9816648997</v>
      </c>
      <c r="I97" s="147"/>
      <c r="J97" s="147"/>
    </row>
    <row r="98" spans="1:10" ht="15.75" thickTop="1" x14ac:dyDescent="0.25">
      <c r="A98" s="147"/>
      <c r="B98" s="147"/>
      <c r="C98" s="147"/>
      <c r="D98" s="147"/>
      <c r="E98" s="147"/>
      <c r="F98" s="147"/>
      <c r="G98" s="147"/>
      <c r="H98" s="147"/>
      <c r="I98" s="147"/>
      <c r="J98" s="147"/>
    </row>
    <row r="99" spans="1:10" x14ac:dyDescent="0.25">
      <c r="A99" s="147"/>
      <c r="B99" s="147"/>
      <c r="C99" s="147"/>
      <c r="D99" s="147"/>
      <c r="E99" s="147"/>
      <c r="F99" s="147"/>
      <c r="G99" s="147"/>
      <c r="H99" s="147"/>
      <c r="I99" s="147"/>
      <c r="J99" s="147"/>
    </row>
    <row r="100" spans="1:10" x14ac:dyDescent="0.25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</row>
    <row r="101" spans="1:10" x14ac:dyDescent="0.25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</row>
    <row r="102" spans="1:10" x14ac:dyDescent="0.25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</row>
    <row r="103" spans="1:10" x14ac:dyDescent="0.25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</row>
    <row r="104" spans="1:10" x14ac:dyDescent="0.25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</row>
    <row r="105" spans="1:10" x14ac:dyDescent="0.25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</row>
    <row r="106" spans="1:10" x14ac:dyDescent="0.25">
      <c r="A106" s="147"/>
      <c r="B106" s="147"/>
      <c r="C106" s="147"/>
      <c r="D106" s="147"/>
      <c r="E106" s="147"/>
      <c r="F106" s="147"/>
      <c r="G106" s="147"/>
      <c r="H106" s="147"/>
      <c r="I106" s="147"/>
      <c r="J106" s="147"/>
    </row>
    <row r="107" spans="1:10" x14ac:dyDescent="0.25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</row>
    <row r="108" spans="1:10" x14ac:dyDescent="0.25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</row>
    <row r="109" spans="1:10" x14ac:dyDescent="0.25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</row>
    <row r="110" spans="1:10" x14ac:dyDescent="0.25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</row>
    <row r="111" spans="1:10" x14ac:dyDescent="0.25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</row>
    <row r="112" spans="1:10" x14ac:dyDescent="0.25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</row>
    <row r="113" spans="1:10" x14ac:dyDescent="0.25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</row>
    <row r="114" spans="1:10" x14ac:dyDescent="0.25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</row>
    <row r="115" spans="1:10" x14ac:dyDescent="0.25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</row>
    <row r="116" spans="1:10" x14ac:dyDescent="0.25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</row>
    <row r="117" spans="1:10" x14ac:dyDescent="0.25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0" x14ac:dyDescent="0.25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</row>
    <row r="119" spans="1:10" x14ac:dyDescent="0.25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</row>
    <row r="120" spans="1:10" x14ac:dyDescent="0.25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</row>
    <row r="121" spans="1:10" x14ac:dyDescent="0.25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</row>
    <row r="122" spans="1:10" x14ac:dyDescent="0.25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</row>
    <row r="123" spans="1:10" x14ac:dyDescent="0.25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</row>
    <row r="124" spans="1:10" x14ac:dyDescent="0.25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</row>
    <row r="125" spans="1:10" x14ac:dyDescent="0.25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</row>
    <row r="126" spans="1:10" x14ac:dyDescent="0.25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</row>
    <row r="127" spans="1:10" x14ac:dyDescent="0.25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</row>
    <row r="128" spans="1:10" x14ac:dyDescent="0.25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</row>
    <row r="129" spans="1:10" x14ac:dyDescent="0.25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</row>
    <row r="130" spans="1:10" x14ac:dyDescent="0.25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</row>
    <row r="131" spans="1:10" x14ac:dyDescent="0.25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</row>
    <row r="132" spans="1:10" x14ac:dyDescent="0.25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</row>
    <row r="133" spans="1:10" x14ac:dyDescent="0.25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</row>
    <row r="134" spans="1:10" x14ac:dyDescent="0.25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</row>
    <row r="135" spans="1:10" x14ac:dyDescent="0.25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</row>
    <row r="136" spans="1:10" x14ac:dyDescent="0.25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</row>
    <row r="137" spans="1:10" x14ac:dyDescent="0.25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</row>
    <row r="138" spans="1:10" x14ac:dyDescent="0.25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</row>
    <row r="139" spans="1:10" x14ac:dyDescent="0.25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</row>
    <row r="140" spans="1:10" x14ac:dyDescent="0.25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</row>
    <row r="141" spans="1:10" x14ac:dyDescent="0.25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</row>
    <row r="142" spans="1:10" x14ac:dyDescent="0.25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</row>
    <row r="143" spans="1:10" x14ac:dyDescent="0.25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</row>
    <row r="144" spans="1:10" x14ac:dyDescent="0.25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</row>
    <row r="145" spans="1:10" x14ac:dyDescent="0.25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</row>
    <row r="146" spans="1:10" x14ac:dyDescent="0.25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</row>
    <row r="147" spans="1:10" x14ac:dyDescent="0.25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</row>
    <row r="148" spans="1:10" x14ac:dyDescent="0.25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</row>
    <row r="149" spans="1:10" x14ac:dyDescent="0.25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</row>
    <row r="150" spans="1:10" x14ac:dyDescent="0.25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</row>
    <row r="151" spans="1:10" x14ac:dyDescent="0.25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</row>
    <row r="152" spans="1:10" x14ac:dyDescent="0.25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</row>
    <row r="153" spans="1:10" x14ac:dyDescent="0.25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</row>
    <row r="154" spans="1:10" x14ac:dyDescent="0.25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</row>
    <row r="155" spans="1:10" x14ac:dyDescent="0.25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</row>
    <row r="156" spans="1:10" x14ac:dyDescent="0.25">
      <c r="A156" s="147"/>
      <c r="B156" s="147"/>
      <c r="C156" s="147"/>
      <c r="D156" s="147"/>
      <c r="E156" s="147"/>
      <c r="F156" s="147"/>
      <c r="G156" s="147"/>
      <c r="H156" s="147"/>
      <c r="I156" s="147"/>
      <c r="J156" s="147"/>
    </row>
    <row r="157" spans="1:10" x14ac:dyDescent="0.25">
      <c r="A157" s="147"/>
      <c r="B157" s="147"/>
      <c r="C157" s="147"/>
      <c r="D157" s="147"/>
      <c r="E157" s="147"/>
      <c r="F157" s="147"/>
      <c r="G157" s="147"/>
      <c r="H157" s="147"/>
      <c r="I157" s="147"/>
      <c r="J157" s="147"/>
    </row>
    <row r="158" spans="1:10" x14ac:dyDescent="0.25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</row>
    <row r="159" spans="1:10" x14ac:dyDescent="0.25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</row>
    <row r="160" spans="1:10" x14ac:dyDescent="0.25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</row>
    <row r="161" spans="1:10" x14ac:dyDescent="0.25">
      <c r="A161" s="147"/>
      <c r="B161" s="147"/>
      <c r="C161" s="147"/>
      <c r="D161" s="147"/>
      <c r="E161" s="147"/>
      <c r="F161" s="147"/>
      <c r="G161" s="147"/>
      <c r="H161" s="147"/>
      <c r="I161" s="147"/>
      <c r="J161" s="147"/>
    </row>
    <row r="162" spans="1:10" x14ac:dyDescent="0.25">
      <c r="A162" s="147"/>
      <c r="B162" s="147"/>
      <c r="C162" s="147"/>
      <c r="D162" s="147"/>
      <c r="E162" s="147"/>
      <c r="F162" s="147"/>
      <c r="G162" s="147"/>
      <c r="H162" s="147"/>
      <c r="I162" s="147"/>
      <c r="J162" s="147"/>
    </row>
    <row r="163" spans="1:10" x14ac:dyDescent="0.25">
      <c r="A163" s="147"/>
      <c r="B163" s="147"/>
      <c r="C163" s="147"/>
      <c r="D163" s="147"/>
      <c r="E163" s="147"/>
      <c r="F163" s="147"/>
      <c r="G163" s="147"/>
      <c r="H163" s="147"/>
      <c r="I163" s="147"/>
      <c r="J163" s="147"/>
    </row>
    <row r="164" spans="1:10" x14ac:dyDescent="0.25">
      <c r="A164" s="147"/>
      <c r="B164" s="147"/>
      <c r="C164" s="147"/>
      <c r="D164" s="147"/>
      <c r="E164" s="147"/>
      <c r="F164" s="147"/>
      <c r="G164" s="147"/>
      <c r="H164" s="147"/>
      <c r="I164" s="147"/>
      <c r="J164" s="147"/>
    </row>
    <row r="165" spans="1:10" x14ac:dyDescent="0.25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</row>
    <row r="166" spans="1:10" x14ac:dyDescent="0.25">
      <c r="A166" s="147"/>
      <c r="B166" s="147"/>
      <c r="C166" s="147"/>
      <c r="D166" s="147"/>
      <c r="E166" s="147"/>
      <c r="F166" s="147"/>
      <c r="G166" s="147"/>
      <c r="H166" s="147"/>
      <c r="I166" s="147"/>
      <c r="J166" s="147"/>
    </row>
    <row r="167" spans="1:10" x14ac:dyDescent="0.25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</row>
    <row r="168" spans="1:10" x14ac:dyDescent="0.25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</row>
    <row r="169" spans="1:10" x14ac:dyDescent="0.25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</row>
    <row r="170" spans="1:10" x14ac:dyDescent="0.25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</row>
    <row r="171" spans="1:10" x14ac:dyDescent="0.25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</row>
    <row r="172" spans="1:10" x14ac:dyDescent="0.25">
      <c r="A172" s="147"/>
      <c r="B172" s="147"/>
      <c r="C172" s="147"/>
      <c r="D172" s="147"/>
      <c r="E172" s="147"/>
      <c r="F172" s="147"/>
      <c r="G172" s="147"/>
      <c r="H172" s="147"/>
      <c r="I172" s="147"/>
      <c r="J172" s="147"/>
    </row>
    <row r="173" spans="1:10" x14ac:dyDescent="0.25">
      <c r="A173" s="147"/>
      <c r="B173" s="147"/>
      <c r="C173" s="147"/>
      <c r="D173" s="147"/>
      <c r="E173" s="147"/>
      <c r="F173" s="147"/>
      <c r="G173" s="147"/>
      <c r="H173" s="147"/>
      <c r="I173" s="147"/>
      <c r="J173" s="147"/>
    </row>
    <row r="174" spans="1:10" x14ac:dyDescent="0.25">
      <c r="A174" s="147"/>
      <c r="B174" s="147"/>
      <c r="C174" s="147"/>
      <c r="D174" s="147"/>
      <c r="E174" s="147"/>
      <c r="F174" s="147"/>
      <c r="G174" s="147"/>
      <c r="H174" s="147"/>
      <c r="I174" s="147"/>
      <c r="J174" s="147"/>
    </row>
    <row r="175" spans="1:10" x14ac:dyDescent="0.25">
      <c r="A175" s="147"/>
      <c r="B175" s="147"/>
      <c r="C175" s="147"/>
      <c r="D175" s="147"/>
      <c r="E175" s="147"/>
      <c r="F175" s="147"/>
      <c r="G175" s="147"/>
      <c r="H175" s="147"/>
      <c r="I175" s="147"/>
      <c r="J175" s="147"/>
    </row>
    <row r="176" spans="1:10" x14ac:dyDescent="0.25">
      <c r="A176" s="147"/>
      <c r="B176" s="147"/>
      <c r="C176" s="147"/>
      <c r="D176" s="147"/>
      <c r="E176" s="147"/>
      <c r="F176" s="147"/>
      <c r="G176" s="147"/>
      <c r="H176" s="147"/>
      <c r="I176" s="147"/>
      <c r="J176" s="147"/>
    </row>
    <row r="177" spans="1:10" x14ac:dyDescent="0.25">
      <c r="A177" s="147"/>
      <c r="B177" s="147"/>
      <c r="C177" s="147"/>
      <c r="D177" s="147"/>
      <c r="E177" s="147"/>
      <c r="F177" s="147"/>
      <c r="G177" s="147"/>
      <c r="H177" s="147"/>
      <c r="I177" s="147"/>
      <c r="J177" s="147"/>
    </row>
    <row r="178" spans="1:10" x14ac:dyDescent="0.25">
      <c r="A178" s="147"/>
      <c r="B178" s="147"/>
      <c r="C178" s="147"/>
      <c r="D178" s="147"/>
      <c r="E178" s="147"/>
      <c r="F178" s="147"/>
      <c r="G178" s="147"/>
      <c r="H178" s="147"/>
      <c r="I178" s="147"/>
      <c r="J178" s="147"/>
    </row>
    <row r="179" spans="1:10" x14ac:dyDescent="0.25">
      <c r="A179" s="147"/>
      <c r="B179" s="147"/>
      <c r="C179" s="147"/>
      <c r="D179" s="147"/>
      <c r="E179" s="147"/>
      <c r="F179" s="147"/>
      <c r="G179" s="147"/>
      <c r="H179" s="147"/>
      <c r="I179" s="147"/>
      <c r="J179" s="147"/>
    </row>
    <row r="180" spans="1:10" x14ac:dyDescent="0.25">
      <c r="A180" s="147"/>
      <c r="B180" s="147"/>
      <c r="C180" s="147"/>
      <c r="D180" s="147"/>
      <c r="E180" s="147"/>
      <c r="F180" s="147"/>
      <c r="G180" s="147"/>
      <c r="H180" s="147"/>
      <c r="I180" s="147"/>
      <c r="J180" s="147"/>
    </row>
    <row r="181" spans="1:10" x14ac:dyDescent="0.25">
      <c r="A181" s="147"/>
      <c r="B181" s="147"/>
      <c r="C181" s="147"/>
      <c r="D181" s="147"/>
      <c r="E181" s="147"/>
      <c r="F181" s="147"/>
      <c r="G181" s="147"/>
      <c r="H181" s="147"/>
      <c r="I181" s="147"/>
      <c r="J181" s="147"/>
    </row>
    <row r="182" spans="1:10" x14ac:dyDescent="0.25">
      <c r="A182" s="147"/>
      <c r="B182" s="147"/>
      <c r="C182" s="147"/>
      <c r="D182" s="147"/>
      <c r="E182" s="147"/>
      <c r="F182" s="147"/>
      <c r="G182" s="147"/>
      <c r="H182" s="147"/>
      <c r="I182" s="147"/>
      <c r="J182" s="147"/>
    </row>
    <row r="183" spans="1:10" x14ac:dyDescent="0.25">
      <c r="A183" s="147"/>
      <c r="B183" s="147"/>
      <c r="C183" s="147"/>
      <c r="D183" s="147"/>
      <c r="E183" s="147"/>
      <c r="F183" s="147"/>
      <c r="G183" s="147"/>
      <c r="H183" s="147"/>
      <c r="I183" s="147"/>
      <c r="J183" s="147"/>
    </row>
    <row r="184" spans="1:10" x14ac:dyDescent="0.25">
      <c r="A184" s="147"/>
      <c r="B184" s="147"/>
      <c r="C184" s="147"/>
      <c r="D184" s="147"/>
      <c r="E184" s="147"/>
      <c r="F184" s="147"/>
      <c r="G184" s="147"/>
      <c r="H184" s="147"/>
      <c r="I184" s="147"/>
      <c r="J184" s="147"/>
    </row>
    <row r="185" spans="1:10" x14ac:dyDescent="0.25">
      <c r="A185" s="147"/>
      <c r="B185" s="147"/>
      <c r="C185" s="147"/>
      <c r="D185" s="147"/>
      <c r="E185" s="147"/>
      <c r="F185" s="147"/>
      <c r="G185" s="147"/>
      <c r="H185" s="147"/>
      <c r="I185" s="147"/>
      <c r="J185" s="147"/>
    </row>
    <row r="186" spans="1:10" x14ac:dyDescent="0.25">
      <c r="A186" s="147"/>
      <c r="B186" s="147"/>
      <c r="C186" s="147"/>
      <c r="D186" s="147"/>
      <c r="E186" s="147"/>
      <c r="F186" s="147"/>
      <c r="G186" s="147"/>
      <c r="H186" s="147"/>
      <c r="I186" s="147"/>
      <c r="J186" s="147"/>
    </row>
    <row r="187" spans="1:10" x14ac:dyDescent="0.25">
      <c r="A187" s="147"/>
      <c r="B187" s="147"/>
      <c r="C187" s="147"/>
      <c r="D187" s="147"/>
      <c r="E187" s="147"/>
      <c r="F187" s="147"/>
      <c r="G187" s="147"/>
      <c r="H187" s="147"/>
      <c r="I187" s="147"/>
      <c r="J187" s="147"/>
    </row>
    <row r="188" spans="1:10" x14ac:dyDescent="0.25">
      <c r="A188" s="147"/>
      <c r="B188" s="147"/>
      <c r="C188" s="147"/>
      <c r="D188" s="147"/>
      <c r="E188" s="147"/>
      <c r="F188" s="147"/>
      <c r="G188" s="147"/>
      <c r="H188" s="147"/>
      <c r="I188" s="147"/>
      <c r="J188" s="147"/>
    </row>
    <row r="189" spans="1:10" x14ac:dyDescent="0.25">
      <c r="A189" s="147"/>
      <c r="B189" s="147"/>
      <c r="C189" s="147"/>
      <c r="D189" s="147"/>
      <c r="E189" s="147"/>
      <c r="F189" s="147"/>
      <c r="G189" s="147"/>
      <c r="H189" s="147"/>
      <c r="I189" s="147"/>
      <c r="J189" s="147"/>
    </row>
    <row r="190" spans="1:10" x14ac:dyDescent="0.25">
      <c r="A190" s="147"/>
      <c r="B190" s="147"/>
      <c r="C190" s="147"/>
      <c r="D190" s="147"/>
      <c r="E190" s="147"/>
      <c r="F190" s="147"/>
      <c r="G190" s="147"/>
      <c r="H190" s="147"/>
      <c r="I190" s="147"/>
      <c r="J190" s="147"/>
    </row>
    <row r="191" spans="1:10" x14ac:dyDescent="0.25">
      <c r="A191" s="147"/>
      <c r="B191" s="147"/>
      <c r="C191" s="147"/>
      <c r="D191" s="147"/>
      <c r="E191" s="147"/>
      <c r="F191" s="147"/>
      <c r="G191" s="147"/>
      <c r="H191" s="147"/>
      <c r="I191" s="147"/>
      <c r="J191" s="147"/>
    </row>
    <row r="192" spans="1:10" x14ac:dyDescent="0.25">
      <c r="A192" s="147"/>
      <c r="B192" s="147"/>
      <c r="C192" s="147"/>
      <c r="D192" s="147"/>
      <c r="E192" s="147"/>
      <c r="F192" s="147"/>
      <c r="G192" s="147"/>
      <c r="H192" s="147"/>
      <c r="I192" s="147"/>
      <c r="J192" s="147"/>
    </row>
    <row r="193" spans="1:10" x14ac:dyDescent="0.25">
      <c r="A193" s="147"/>
      <c r="B193" s="147"/>
      <c r="C193" s="147"/>
      <c r="D193" s="147"/>
      <c r="E193" s="147"/>
      <c r="F193" s="147"/>
      <c r="G193" s="147"/>
      <c r="H193" s="147"/>
      <c r="I193" s="147"/>
      <c r="J193" s="147"/>
    </row>
    <row r="194" spans="1:10" x14ac:dyDescent="0.25">
      <c r="A194" s="147"/>
      <c r="B194" s="147"/>
      <c r="C194" s="147"/>
      <c r="D194" s="147"/>
      <c r="E194" s="147"/>
      <c r="F194" s="147"/>
      <c r="G194" s="147"/>
      <c r="H194" s="147"/>
      <c r="I194" s="147"/>
      <c r="J194" s="147"/>
    </row>
    <row r="195" spans="1:10" x14ac:dyDescent="0.25">
      <c r="A195" s="147"/>
      <c r="B195" s="147"/>
      <c r="C195" s="147"/>
      <c r="D195" s="147"/>
      <c r="E195" s="147"/>
      <c r="F195" s="147"/>
      <c r="G195" s="147"/>
      <c r="H195" s="147"/>
      <c r="I195" s="147"/>
      <c r="J195" s="147"/>
    </row>
    <row r="196" spans="1:10" x14ac:dyDescent="0.25">
      <c r="A196" s="147"/>
      <c r="B196" s="147"/>
      <c r="C196" s="147"/>
      <c r="D196" s="147"/>
      <c r="E196" s="147"/>
      <c r="F196" s="147"/>
      <c r="G196" s="147"/>
      <c r="H196" s="147"/>
      <c r="I196" s="147"/>
      <c r="J196" s="147"/>
    </row>
    <row r="197" spans="1:10" x14ac:dyDescent="0.25">
      <c r="A197" s="147"/>
      <c r="B197" s="147"/>
      <c r="C197" s="147"/>
      <c r="D197" s="147"/>
      <c r="E197" s="147"/>
      <c r="F197" s="147"/>
      <c r="G197" s="147"/>
      <c r="H197" s="147"/>
      <c r="I197" s="147"/>
      <c r="J197" s="147"/>
    </row>
    <row r="198" spans="1:10" x14ac:dyDescent="0.25">
      <c r="A198" s="147"/>
      <c r="B198" s="147"/>
      <c r="C198" s="147"/>
      <c r="D198" s="147"/>
      <c r="E198" s="147"/>
      <c r="F198" s="147"/>
      <c r="G198" s="147"/>
      <c r="H198" s="147"/>
      <c r="I198" s="147"/>
      <c r="J198" s="147"/>
    </row>
    <row r="199" spans="1:10" x14ac:dyDescent="0.25">
      <c r="A199" s="147"/>
      <c r="B199" s="147"/>
      <c r="C199" s="147"/>
      <c r="D199" s="147"/>
      <c r="E199" s="147"/>
      <c r="F199" s="147"/>
      <c r="G199" s="147"/>
      <c r="H199" s="147"/>
      <c r="I199" s="147"/>
      <c r="J199" s="147"/>
    </row>
    <row r="200" spans="1:10" x14ac:dyDescent="0.25">
      <c r="A200" s="147"/>
      <c r="B200" s="147"/>
      <c r="C200" s="147"/>
      <c r="D200" s="147"/>
      <c r="E200" s="147"/>
      <c r="F200" s="147"/>
      <c r="G200" s="147"/>
      <c r="H200" s="147"/>
      <c r="I200" s="147"/>
      <c r="J200" s="147"/>
    </row>
    <row r="201" spans="1:10" x14ac:dyDescent="0.25">
      <c r="A201" s="147"/>
      <c r="B201" s="147"/>
      <c r="C201" s="147"/>
      <c r="D201" s="147"/>
      <c r="E201" s="147"/>
      <c r="F201" s="147"/>
      <c r="G201" s="147"/>
      <c r="H201" s="147"/>
      <c r="I201" s="147"/>
      <c r="J201" s="147"/>
    </row>
    <row r="202" spans="1:10" x14ac:dyDescent="0.25">
      <c r="A202" s="147"/>
      <c r="B202" s="147"/>
      <c r="C202" s="147"/>
      <c r="D202" s="147"/>
      <c r="E202" s="147"/>
      <c r="F202" s="147"/>
      <c r="G202" s="147"/>
      <c r="H202" s="147"/>
      <c r="I202" s="147"/>
      <c r="J202" s="147"/>
    </row>
    <row r="203" spans="1:10" x14ac:dyDescent="0.25">
      <c r="A203" s="147"/>
      <c r="B203" s="147"/>
      <c r="C203" s="147"/>
      <c r="D203" s="147"/>
      <c r="E203" s="147"/>
      <c r="F203" s="147"/>
      <c r="G203" s="147"/>
      <c r="H203" s="147"/>
      <c r="I203" s="147"/>
      <c r="J203" s="147"/>
    </row>
    <row r="204" spans="1:10" x14ac:dyDescent="0.25">
      <c r="A204" s="147"/>
      <c r="B204" s="147"/>
      <c r="C204" s="147"/>
      <c r="D204" s="147"/>
      <c r="E204" s="147"/>
      <c r="F204" s="147"/>
      <c r="G204" s="147"/>
      <c r="H204" s="147"/>
      <c r="I204" s="147"/>
      <c r="J204" s="147"/>
    </row>
    <row r="205" spans="1:10" x14ac:dyDescent="0.25">
      <c r="A205" s="147"/>
      <c r="B205" s="147"/>
      <c r="C205" s="147"/>
      <c r="D205" s="147"/>
      <c r="E205" s="147"/>
      <c r="F205" s="147"/>
      <c r="G205" s="147"/>
      <c r="H205" s="147"/>
      <c r="I205" s="147"/>
      <c r="J205" s="147"/>
    </row>
    <row r="206" spans="1:10" x14ac:dyDescent="0.25">
      <c r="A206" s="147"/>
      <c r="B206" s="147"/>
      <c r="C206" s="147"/>
      <c r="D206" s="147"/>
      <c r="E206" s="147"/>
      <c r="F206" s="147"/>
      <c r="G206" s="147"/>
      <c r="H206" s="147"/>
      <c r="I206" s="147"/>
      <c r="J206" s="147"/>
    </row>
    <row r="207" spans="1:10" x14ac:dyDescent="0.25">
      <c r="A207" s="147"/>
      <c r="B207" s="147"/>
      <c r="C207" s="147"/>
      <c r="D207" s="147"/>
      <c r="E207" s="147"/>
      <c r="F207" s="147"/>
      <c r="G207" s="147"/>
      <c r="H207" s="147"/>
      <c r="I207" s="147"/>
      <c r="J207" s="147"/>
    </row>
    <row r="208" spans="1:10" x14ac:dyDescent="0.25">
      <c r="A208" s="147"/>
      <c r="B208" s="147"/>
      <c r="C208" s="147"/>
      <c r="D208" s="147"/>
      <c r="E208" s="147"/>
      <c r="F208" s="147"/>
      <c r="G208" s="147"/>
      <c r="H208" s="147"/>
      <c r="I208" s="147"/>
      <c r="J208" s="147"/>
    </row>
    <row r="209" spans="1:10" x14ac:dyDescent="0.25">
      <c r="A209" s="147"/>
      <c r="B209" s="147"/>
      <c r="C209" s="147"/>
      <c r="D209" s="147"/>
      <c r="E209" s="147"/>
      <c r="F209" s="147"/>
      <c r="G209" s="147"/>
      <c r="H209" s="147"/>
      <c r="I209" s="147"/>
      <c r="J209" s="147"/>
    </row>
    <row r="210" spans="1:10" x14ac:dyDescent="0.25">
      <c r="A210" s="147"/>
      <c r="B210" s="147"/>
      <c r="C210" s="147"/>
      <c r="D210" s="147"/>
      <c r="E210" s="147"/>
      <c r="F210" s="147"/>
      <c r="G210" s="147"/>
      <c r="H210" s="147"/>
      <c r="I210" s="147"/>
      <c r="J210" s="147"/>
    </row>
    <row r="211" spans="1:10" x14ac:dyDescent="0.25">
      <c r="A211" s="147"/>
      <c r="B211" s="147"/>
      <c r="C211" s="147"/>
      <c r="D211" s="147"/>
      <c r="E211" s="147"/>
      <c r="F211" s="147"/>
      <c r="G211" s="147"/>
      <c r="H211" s="147"/>
      <c r="I211" s="147"/>
      <c r="J211" s="147"/>
    </row>
  </sheetData>
  <pageMargins left="0.7" right="0.7" top="0.75" bottom="0.75" header="0.3" footer="0.3"/>
  <pageSetup firstPageNumber="8" orientation="portrait" useFirstPageNumber="1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6555A-695D-4594-8A59-67824D935081}">
  <dimension ref="A1:O165"/>
  <sheetViews>
    <sheetView workbookViewId="0">
      <pane xSplit="1" topLeftCell="C1" activePane="topRight" state="frozen"/>
      <selection pane="topRight" activeCell="C4" sqref="C4"/>
    </sheetView>
  </sheetViews>
  <sheetFormatPr defaultRowHeight="15" x14ac:dyDescent="0.25"/>
  <cols>
    <col min="1" max="1" width="45.28515625" customWidth="1"/>
    <col min="2" max="2" width="10.85546875" customWidth="1"/>
    <col min="3" max="3" width="10.42578125" customWidth="1"/>
    <col min="5" max="5" width="11" bestFit="1" customWidth="1"/>
    <col min="6" max="6" width="10.140625" customWidth="1"/>
    <col min="7" max="12" width="10.85546875" bestFit="1" customWidth="1"/>
    <col min="14" max="14" width="2.7109375" customWidth="1"/>
    <col min="15" max="15" width="13.28515625" bestFit="1" customWidth="1"/>
  </cols>
  <sheetData>
    <row r="1" spans="1:15" x14ac:dyDescent="0.25">
      <c r="A1" t="s">
        <v>84</v>
      </c>
    </row>
    <row r="2" spans="1:15" x14ac:dyDescent="0.25">
      <c r="B2" s="49">
        <v>43344</v>
      </c>
      <c r="C2" s="49">
        <v>43374</v>
      </c>
      <c r="D2" s="49">
        <v>43405</v>
      </c>
      <c r="E2" s="49">
        <v>43435</v>
      </c>
      <c r="F2" s="53">
        <v>43466</v>
      </c>
      <c r="G2" s="53">
        <v>43497</v>
      </c>
      <c r="H2" s="53">
        <v>43525</v>
      </c>
      <c r="I2" s="53">
        <v>43556</v>
      </c>
      <c r="J2" s="53">
        <v>43586</v>
      </c>
      <c r="K2" s="53">
        <v>43617</v>
      </c>
      <c r="L2" s="53">
        <v>43647</v>
      </c>
      <c r="M2" s="53">
        <v>43678</v>
      </c>
      <c r="O2" s="102" t="s">
        <v>260</v>
      </c>
    </row>
    <row r="3" spans="1:15" x14ac:dyDescent="0.25">
      <c r="A3" s="48" t="s">
        <v>90</v>
      </c>
    </row>
    <row r="4" spans="1:15" x14ac:dyDescent="0.25">
      <c r="A4" t="s">
        <v>85</v>
      </c>
      <c r="B4" s="59">
        <v>52111.78</v>
      </c>
      <c r="C4">
        <v>48372.47</v>
      </c>
      <c r="D4">
        <v>45941.94</v>
      </c>
      <c r="E4">
        <v>48879.15</v>
      </c>
      <c r="F4" s="81">
        <v>44403.15</v>
      </c>
      <c r="G4" s="55">
        <v>52374.37</v>
      </c>
      <c r="H4" s="55">
        <v>44307.72</v>
      </c>
      <c r="I4" s="55">
        <v>48555.4</v>
      </c>
      <c r="J4" s="55">
        <v>49002.23</v>
      </c>
      <c r="K4" s="55">
        <v>47628.03</v>
      </c>
      <c r="L4" s="55">
        <v>42595.73</v>
      </c>
      <c r="M4" s="123">
        <v>47465.56</v>
      </c>
      <c r="O4" s="103">
        <f>SUM(B4:M4)</f>
        <v>571637.53</v>
      </c>
    </row>
    <row r="5" spans="1:15" x14ac:dyDescent="0.25">
      <c r="A5" t="s">
        <v>86</v>
      </c>
      <c r="B5" s="56">
        <v>231176.85</v>
      </c>
      <c r="C5">
        <v>222648.56</v>
      </c>
      <c r="D5">
        <v>206814.91</v>
      </c>
      <c r="E5">
        <v>214803.77</v>
      </c>
      <c r="F5" s="82">
        <v>203537.57</v>
      </c>
      <c r="G5" s="56">
        <v>223971.62</v>
      </c>
      <c r="H5" s="56">
        <v>188491.18</v>
      </c>
      <c r="I5" s="56">
        <v>210815.04</v>
      </c>
      <c r="J5" s="56">
        <v>220490.39</v>
      </c>
      <c r="K5" s="56">
        <v>248018.76</v>
      </c>
      <c r="L5" s="56">
        <v>218652.44</v>
      </c>
      <c r="M5" s="124">
        <v>249263.05</v>
      </c>
      <c r="O5" s="103">
        <f t="shared" ref="O5:O9" si="0">SUM(B5:M5)</f>
        <v>2638684.14</v>
      </c>
    </row>
    <row r="6" spans="1:15" x14ac:dyDescent="0.25">
      <c r="A6" t="s">
        <v>87</v>
      </c>
      <c r="B6" s="56">
        <v>40282.629999999997</v>
      </c>
      <c r="C6">
        <v>41268.28</v>
      </c>
      <c r="D6">
        <v>31026.15</v>
      </c>
      <c r="E6">
        <v>33058.75</v>
      </c>
      <c r="F6" s="82">
        <v>34387.5</v>
      </c>
      <c r="G6" s="56">
        <v>38747.870000000003</v>
      </c>
      <c r="H6" s="56">
        <v>28800.31</v>
      </c>
      <c r="I6" s="56">
        <v>38977.72</v>
      </c>
      <c r="J6" s="56">
        <v>36852.879999999997</v>
      </c>
      <c r="K6" s="56">
        <v>39863.17</v>
      </c>
      <c r="L6" s="56">
        <v>38049.18</v>
      </c>
      <c r="M6" s="124">
        <v>40813.46</v>
      </c>
      <c r="O6" s="103">
        <f t="shared" si="0"/>
        <v>442127.89999999997</v>
      </c>
    </row>
    <row r="7" spans="1:15" x14ac:dyDescent="0.25">
      <c r="A7" t="s">
        <v>215</v>
      </c>
      <c r="B7" s="57"/>
      <c r="F7" s="83"/>
      <c r="G7" s="57"/>
      <c r="H7" s="57"/>
      <c r="I7" s="57"/>
      <c r="J7" s="57"/>
      <c r="K7" s="57"/>
      <c r="L7" s="57"/>
      <c r="M7" s="125"/>
      <c r="O7" s="103">
        <f t="shared" si="0"/>
        <v>0</v>
      </c>
    </row>
    <row r="8" spans="1:15" x14ac:dyDescent="0.25">
      <c r="A8" t="s">
        <v>88</v>
      </c>
      <c r="B8" s="56">
        <v>1751.98</v>
      </c>
      <c r="C8" s="54">
        <v>1516.37</v>
      </c>
      <c r="D8" s="54">
        <v>885.58</v>
      </c>
      <c r="E8" s="54">
        <v>731.07</v>
      </c>
      <c r="F8" s="82">
        <v>803.03</v>
      </c>
      <c r="G8" s="56">
        <v>732.38</v>
      </c>
      <c r="H8" s="56">
        <v>717.3</v>
      </c>
      <c r="I8" s="56">
        <v>835.88</v>
      </c>
      <c r="J8" s="56">
        <v>876.15</v>
      </c>
      <c r="K8" s="56">
        <v>2298.83</v>
      </c>
      <c r="L8" s="56">
        <v>900</v>
      </c>
      <c r="M8" s="124">
        <v>1083.83</v>
      </c>
      <c r="O8" s="103">
        <f t="shared" si="0"/>
        <v>13132.4</v>
      </c>
    </row>
    <row r="9" spans="1:15" x14ac:dyDescent="0.25">
      <c r="A9" t="s">
        <v>216</v>
      </c>
      <c r="B9" s="54"/>
      <c r="C9" s="54"/>
      <c r="D9" s="54"/>
      <c r="E9" s="54"/>
      <c r="F9" s="54"/>
      <c r="G9" s="67"/>
      <c r="H9" s="54"/>
      <c r="I9" s="54"/>
      <c r="J9" s="54"/>
      <c r="K9" s="54"/>
      <c r="L9" s="67"/>
      <c r="M9" s="54"/>
      <c r="O9" s="104">
        <f t="shared" si="0"/>
        <v>0</v>
      </c>
    </row>
    <row r="10" spans="1:15" ht="15.75" thickBot="1" x14ac:dyDescent="0.3">
      <c r="A10" s="48" t="s">
        <v>89</v>
      </c>
      <c r="B10" s="51">
        <f>SUM(B4:B9)</f>
        <v>325323.24</v>
      </c>
      <c r="C10" s="51">
        <f>SUM(C4:C9)</f>
        <v>313805.68000000005</v>
      </c>
      <c r="D10" s="51">
        <f>SUM(D4:D9)</f>
        <v>284668.58</v>
      </c>
      <c r="E10" s="51">
        <f>SUM(E4:E9)</f>
        <v>297472.74</v>
      </c>
      <c r="F10" s="51">
        <f>SUM(F4:F9)</f>
        <v>283131.25</v>
      </c>
      <c r="G10" s="51">
        <f t="shared" ref="G10:M10" si="1">SUM(G4:G9)</f>
        <v>315826.24</v>
      </c>
      <c r="H10" s="51">
        <f t="shared" si="1"/>
        <v>262316.51</v>
      </c>
      <c r="I10" s="51">
        <f t="shared" si="1"/>
        <v>299184.04000000004</v>
      </c>
      <c r="J10" s="51">
        <f t="shared" si="1"/>
        <v>307221.65000000002</v>
      </c>
      <c r="K10" s="51">
        <f t="shared" si="1"/>
        <v>337808.79000000004</v>
      </c>
      <c r="L10" s="51">
        <f t="shared" si="1"/>
        <v>300197.35000000003</v>
      </c>
      <c r="M10" s="51">
        <f t="shared" si="1"/>
        <v>338625.9</v>
      </c>
      <c r="O10" s="119">
        <f>SUM(O4:O9)</f>
        <v>3665581.9699999997</v>
      </c>
    </row>
    <row r="11" spans="1:15" ht="15.75" thickTop="1" x14ac:dyDescent="0.25"/>
    <row r="12" spans="1:15" x14ac:dyDescent="0.25">
      <c r="A12" s="48" t="s">
        <v>91</v>
      </c>
    </row>
    <row r="13" spans="1:15" x14ac:dyDescent="0.25">
      <c r="A13" t="s">
        <v>92</v>
      </c>
      <c r="B13" s="112">
        <v>63412.73</v>
      </c>
      <c r="C13" s="54">
        <v>64912.6</v>
      </c>
      <c r="D13" s="54">
        <v>51600.6</v>
      </c>
      <c r="E13" s="54">
        <v>58081.02</v>
      </c>
      <c r="F13" s="120">
        <v>52150.84</v>
      </c>
      <c r="G13" s="112">
        <v>63866.23</v>
      </c>
      <c r="H13" s="54">
        <v>50016.34</v>
      </c>
      <c r="I13" s="54">
        <v>60583.59</v>
      </c>
      <c r="J13" s="54">
        <v>62982.59</v>
      </c>
      <c r="K13" s="54">
        <v>57621.05</v>
      </c>
      <c r="L13" s="54">
        <v>47502.86</v>
      </c>
      <c r="M13" s="122">
        <v>57961.95</v>
      </c>
      <c r="O13" s="104">
        <f>SUM(B13:M13)</f>
        <v>690692.39999999991</v>
      </c>
    </row>
    <row r="14" spans="1:15" ht="15.75" thickBot="1" x14ac:dyDescent="0.3">
      <c r="A14" s="48" t="s">
        <v>93</v>
      </c>
      <c r="B14" s="51">
        <f>B13</f>
        <v>63412.73</v>
      </c>
      <c r="C14" s="51">
        <f t="shared" ref="C14:F14" si="2">C13</f>
        <v>64912.6</v>
      </c>
      <c r="D14" s="51">
        <f t="shared" si="2"/>
        <v>51600.6</v>
      </c>
      <c r="E14" s="51">
        <f t="shared" si="2"/>
        <v>58081.02</v>
      </c>
      <c r="F14" s="51">
        <f t="shared" si="2"/>
        <v>52150.84</v>
      </c>
      <c r="G14" s="51">
        <f t="shared" ref="G14" si="3">G13</f>
        <v>63866.23</v>
      </c>
      <c r="H14" s="51">
        <f t="shared" ref="H14" si="4">H13</f>
        <v>50016.34</v>
      </c>
      <c r="I14" s="51">
        <f t="shared" ref="I14" si="5">I13</f>
        <v>60583.59</v>
      </c>
      <c r="J14" s="51">
        <f t="shared" ref="J14" si="6">J13</f>
        <v>62982.59</v>
      </c>
      <c r="K14" s="51">
        <f t="shared" ref="K14" si="7">K13</f>
        <v>57621.05</v>
      </c>
      <c r="L14" s="51">
        <f t="shared" ref="L14" si="8">L13</f>
        <v>47502.86</v>
      </c>
      <c r="M14" s="51">
        <f t="shared" ref="M14" si="9">M13</f>
        <v>57961.95</v>
      </c>
      <c r="O14" s="119">
        <f>O13</f>
        <v>690692.39999999991</v>
      </c>
    </row>
    <row r="15" spans="1:15" ht="15.75" thickTop="1" x14ac:dyDescent="0.25"/>
    <row r="16" spans="1:15" x14ac:dyDescent="0.25">
      <c r="A16" s="48" t="s">
        <v>94</v>
      </c>
    </row>
    <row r="17" spans="1:15" x14ac:dyDescent="0.25">
      <c r="A17" t="s">
        <v>95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5" ht="15.75" thickBot="1" x14ac:dyDescent="0.3">
      <c r="A18" s="48" t="s">
        <v>96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O18" s="51"/>
    </row>
    <row r="19" spans="1:15" ht="15.75" thickTop="1" x14ac:dyDescent="0.25"/>
    <row r="20" spans="1:15" ht="15.75" thickBot="1" x14ac:dyDescent="0.3">
      <c r="A20" s="48" t="s">
        <v>97</v>
      </c>
      <c r="B20" s="51">
        <f>B10+B14+B18</f>
        <v>388735.97</v>
      </c>
      <c r="C20" s="51">
        <f t="shared" ref="C20:O20" si="10">C10+C14+C18</f>
        <v>378718.28</v>
      </c>
      <c r="D20" s="51">
        <f t="shared" si="10"/>
        <v>336269.18</v>
      </c>
      <c r="E20" s="51">
        <f t="shared" si="10"/>
        <v>355553.76</v>
      </c>
      <c r="F20" s="51">
        <f t="shared" si="10"/>
        <v>335282.08999999997</v>
      </c>
      <c r="G20" s="51">
        <f t="shared" si="10"/>
        <v>379692.47</v>
      </c>
      <c r="H20" s="51">
        <f t="shared" si="10"/>
        <v>312332.84999999998</v>
      </c>
      <c r="I20" s="51">
        <f t="shared" si="10"/>
        <v>359767.63</v>
      </c>
      <c r="J20" s="51">
        <f t="shared" si="10"/>
        <v>370204.24</v>
      </c>
      <c r="K20" s="51">
        <f t="shared" si="10"/>
        <v>395429.84</v>
      </c>
      <c r="L20" s="51">
        <f t="shared" si="10"/>
        <v>347700.21</v>
      </c>
      <c r="M20" s="51">
        <f t="shared" si="10"/>
        <v>396587.85000000003</v>
      </c>
      <c r="O20" s="105">
        <f t="shared" si="10"/>
        <v>4356274.3699999992</v>
      </c>
    </row>
    <row r="21" spans="1:15" ht="15.75" thickTop="1" x14ac:dyDescent="0.25"/>
    <row r="22" spans="1:15" x14ac:dyDescent="0.25">
      <c r="A22" s="48" t="s">
        <v>98</v>
      </c>
    </row>
    <row r="23" spans="1:15" x14ac:dyDescent="0.25">
      <c r="A23" t="s">
        <v>99</v>
      </c>
      <c r="B23" s="56">
        <v>7200</v>
      </c>
      <c r="C23">
        <v>5400</v>
      </c>
      <c r="D23">
        <v>4800</v>
      </c>
      <c r="E23">
        <v>6000</v>
      </c>
      <c r="F23" s="84">
        <v>2400</v>
      </c>
      <c r="G23" s="56">
        <v>6600</v>
      </c>
      <c r="H23" s="56">
        <v>5800</v>
      </c>
      <c r="I23" s="56">
        <v>6600</v>
      </c>
      <c r="J23" s="56">
        <v>3600</v>
      </c>
      <c r="K23" s="56">
        <v>6000</v>
      </c>
      <c r="L23" s="56">
        <v>6000</v>
      </c>
      <c r="M23" s="126">
        <v>8400</v>
      </c>
      <c r="O23" s="103">
        <f t="shared" ref="O23:O39" si="11">SUM(B23:M23)</f>
        <v>68800</v>
      </c>
    </row>
    <row r="24" spans="1:15" x14ac:dyDescent="0.25">
      <c r="A24" t="s">
        <v>100</v>
      </c>
      <c r="B24" s="57"/>
      <c r="C24">
        <v>2400</v>
      </c>
      <c r="E24">
        <v>600</v>
      </c>
      <c r="F24" s="85"/>
      <c r="G24" s="57"/>
      <c r="H24" s="56">
        <v>600</v>
      </c>
      <c r="I24" s="57"/>
      <c r="J24" s="56">
        <v>-600</v>
      </c>
      <c r="K24" s="57"/>
      <c r="L24" s="56">
        <v>3000</v>
      </c>
      <c r="M24" s="127"/>
      <c r="O24" s="103">
        <f t="shared" si="11"/>
        <v>6000</v>
      </c>
    </row>
    <row r="25" spans="1:15" x14ac:dyDescent="0.25">
      <c r="A25" t="s">
        <v>101</v>
      </c>
      <c r="B25" s="57"/>
      <c r="D25">
        <v>500</v>
      </c>
      <c r="E25">
        <v>500</v>
      </c>
      <c r="F25" s="84">
        <v>500</v>
      </c>
      <c r="G25" s="57"/>
      <c r="H25" s="56">
        <v>1000</v>
      </c>
      <c r="I25" s="57"/>
      <c r="J25" s="57"/>
      <c r="K25" s="56">
        <v>500</v>
      </c>
      <c r="L25" s="56">
        <v>750</v>
      </c>
      <c r="M25" s="127"/>
      <c r="O25" s="103">
        <f t="shared" si="11"/>
        <v>3750</v>
      </c>
    </row>
    <row r="26" spans="1:15" x14ac:dyDescent="0.25">
      <c r="A26" t="s">
        <v>102</v>
      </c>
      <c r="B26" s="56">
        <v>10656.2</v>
      </c>
      <c r="C26">
        <v>8317.2099999999991</v>
      </c>
      <c r="D26">
        <v>7971.53</v>
      </c>
      <c r="E26">
        <v>8817.0300000000007</v>
      </c>
      <c r="F26" s="84">
        <v>8083.12</v>
      </c>
      <c r="G26" s="56">
        <v>8150.24</v>
      </c>
      <c r="H26" s="56">
        <v>8116.37</v>
      </c>
      <c r="I26" s="56">
        <v>7446</v>
      </c>
      <c r="J26" s="56">
        <v>6972.48</v>
      </c>
      <c r="K26" s="56">
        <v>8434.9699999999993</v>
      </c>
      <c r="L26" s="56">
        <v>9764.33</v>
      </c>
      <c r="M26" s="126">
        <v>7297.74</v>
      </c>
      <c r="O26" s="103">
        <f t="shared" si="11"/>
        <v>100027.22000000002</v>
      </c>
    </row>
    <row r="27" spans="1:15" x14ac:dyDescent="0.25">
      <c r="A27" t="s">
        <v>103</v>
      </c>
      <c r="B27" s="56">
        <v>1670</v>
      </c>
      <c r="C27">
        <v>1910</v>
      </c>
      <c r="D27">
        <v>2210</v>
      </c>
      <c r="E27">
        <v>1630</v>
      </c>
      <c r="F27" s="84">
        <v>1290</v>
      </c>
      <c r="G27" s="56">
        <v>1170</v>
      </c>
      <c r="H27" s="56">
        <v>1950</v>
      </c>
      <c r="I27" s="56">
        <v>1970</v>
      </c>
      <c r="J27" s="56">
        <v>2540</v>
      </c>
      <c r="K27" s="56">
        <v>1940</v>
      </c>
      <c r="L27" s="56">
        <v>2000</v>
      </c>
      <c r="M27" s="126">
        <v>2040</v>
      </c>
      <c r="O27" s="103">
        <f t="shared" si="11"/>
        <v>22320</v>
      </c>
    </row>
    <row r="28" spans="1:15" x14ac:dyDescent="0.25">
      <c r="A28" t="s">
        <v>104</v>
      </c>
      <c r="B28" s="56">
        <v>810</v>
      </c>
      <c r="C28">
        <v>890</v>
      </c>
      <c r="D28">
        <v>300</v>
      </c>
      <c r="E28">
        <v>570</v>
      </c>
      <c r="F28" s="84">
        <v>660</v>
      </c>
      <c r="G28" s="56">
        <v>450</v>
      </c>
      <c r="H28" s="56">
        <v>1240</v>
      </c>
      <c r="I28" s="56">
        <v>570</v>
      </c>
      <c r="J28" s="56">
        <v>770</v>
      </c>
      <c r="K28" s="56">
        <v>480</v>
      </c>
      <c r="L28" s="56">
        <v>720</v>
      </c>
      <c r="M28" s="126">
        <v>1480</v>
      </c>
      <c r="O28" s="103">
        <f t="shared" si="11"/>
        <v>8940</v>
      </c>
    </row>
    <row r="29" spans="1:15" x14ac:dyDescent="0.25">
      <c r="A29" t="s">
        <v>105</v>
      </c>
      <c r="B29" s="56">
        <v>30</v>
      </c>
      <c r="C29">
        <v>930</v>
      </c>
      <c r="D29">
        <v>1070</v>
      </c>
      <c r="E29">
        <v>240</v>
      </c>
      <c r="F29" s="84">
        <v>1250</v>
      </c>
      <c r="G29" s="56">
        <v>210</v>
      </c>
      <c r="H29" s="56">
        <v>650</v>
      </c>
      <c r="I29" s="56">
        <v>860</v>
      </c>
      <c r="J29" s="56">
        <v>1220</v>
      </c>
      <c r="K29" s="56">
        <v>90</v>
      </c>
      <c r="L29" s="56">
        <v>1050</v>
      </c>
      <c r="M29" s="126">
        <v>860</v>
      </c>
      <c r="O29" s="103">
        <f t="shared" si="11"/>
        <v>8460</v>
      </c>
    </row>
    <row r="30" spans="1:15" x14ac:dyDescent="0.25">
      <c r="A30" t="s">
        <v>106</v>
      </c>
      <c r="B30" s="56">
        <v>30</v>
      </c>
      <c r="C30">
        <v>180</v>
      </c>
      <c r="D30">
        <v>120</v>
      </c>
      <c r="E30">
        <v>30</v>
      </c>
      <c r="F30" s="84">
        <v>210</v>
      </c>
      <c r="G30" s="56">
        <v>60</v>
      </c>
      <c r="H30" s="56">
        <v>170</v>
      </c>
      <c r="I30" s="56">
        <v>150</v>
      </c>
      <c r="J30" s="56">
        <v>300</v>
      </c>
      <c r="K30" s="56">
        <v>60</v>
      </c>
      <c r="L30" s="56">
        <v>120</v>
      </c>
      <c r="M30" s="126">
        <v>120</v>
      </c>
      <c r="O30" s="103">
        <f t="shared" si="11"/>
        <v>1550</v>
      </c>
    </row>
    <row r="31" spans="1:15" x14ac:dyDescent="0.25">
      <c r="A31" t="s">
        <v>107</v>
      </c>
      <c r="B31" s="56">
        <v>60</v>
      </c>
      <c r="E31">
        <v>10</v>
      </c>
      <c r="F31" s="85"/>
      <c r="G31" s="57"/>
      <c r="H31" s="57"/>
      <c r="I31" s="57"/>
      <c r="J31" s="57"/>
      <c r="K31" s="57"/>
      <c r="L31" s="56">
        <v>50</v>
      </c>
      <c r="M31" s="127"/>
      <c r="O31" s="103">
        <f t="shared" si="11"/>
        <v>120</v>
      </c>
    </row>
    <row r="32" spans="1:15" x14ac:dyDescent="0.25">
      <c r="A32" t="s">
        <v>108</v>
      </c>
      <c r="B32" s="57"/>
      <c r="F32" s="85"/>
      <c r="G32" s="57"/>
      <c r="H32" s="57"/>
      <c r="I32" s="57"/>
      <c r="J32" s="57"/>
      <c r="K32" s="57"/>
      <c r="L32" s="57"/>
      <c r="M32" s="127"/>
      <c r="O32" s="103">
        <f t="shared" si="11"/>
        <v>0</v>
      </c>
    </row>
    <row r="33" spans="1:15" x14ac:dyDescent="0.25">
      <c r="A33" t="s">
        <v>109</v>
      </c>
      <c r="B33" s="56">
        <v>30</v>
      </c>
      <c r="C33">
        <v>210</v>
      </c>
      <c r="D33">
        <v>120</v>
      </c>
      <c r="E33">
        <v>30</v>
      </c>
      <c r="F33" s="84">
        <v>260</v>
      </c>
      <c r="G33" s="57"/>
      <c r="H33" s="57"/>
      <c r="I33" s="56">
        <v>90</v>
      </c>
      <c r="J33" s="56">
        <v>150</v>
      </c>
      <c r="K33" s="56">
        <v>30</v>
      </c>
      <c r="L33" s="56">
        <v>350</v>
      </c>
      <c r="M33" s="126">
        <v>240</v>
      </c>
      <c r="O33" s="103">
        <f t="shared" si="11"/>
        <v>1510</v>
      </c>
    </row>
    <row r="34" spans="1:15" x14ac:dyDescent="0.25">
      <c r="A34" t="s">
        <v>110</v>
      </c>
      <c r="B34" s="57"/>
      <c r="F34" s="85"/>
      <c r="G34" s="57"/>
      <c r="H34" s="56">
        <v>30</v>
      </c>
      <c r="I34" s="57"/>
      <c r="J34" s="57"/>
      <c r="K34" s="57"/>
      <c r="L34" s="57"/>
      <c r="M34" s="127"/>
      <c r="O34" s="103">
        <f t="shared" si="11"/>
        <v>30</v>
      </c>
    </row>
    <row r="35" spans="1:15" x14ac:dyDescent="0.25">
      <c r="A35" t="s">
        <v>111</v>
      </c>
      <c r="B35" s="57"/>
      <c r="F35" s="85"/>
      <c r="G35" s="57"/>
      <c r="H35" s="57"/>
      <c r="I35" s="57"/>
      <c r="J35" s="57"/>
      <c r="K35" s="57"/>
      <c r="L35" s="57"/>
      <c r="M35" s="127"/>
      <c r="O35" s="103">
        <f t="shared" si="11"/>
        <v>0</v>
      </c>
    </row>
    <row r="36" spans="1:15" x14ac:dyDescent="0.25">
      <c r="A36" t="s">
        <v>112</v>
      </c>
      <c r="B36" s="57"/>
      <c r="F36" s="85"/>
      <c r="G36" s="57"/>
      <c r="H36" s="57"/>
      <c r="I36" s="57"/>
      <c r="J36" s="57"/>
      <c r="K36" s="57"/>
      <c r="L36" s="57"/>
      <c r="M36" s="127"/>
      <c r="O36" s="103">
        <f t="shared" si="11"/>
        <v>0</v>
      </c>
    </row>
    <row r="37" spans="1:15" x14ac:dyDescent="0.25">
      <c r="A37" t="s">
        <v>113</v>
      </c>
      <c r="B37" s="56">
        <v>125</v>
      </c>
      <c r="C37">
        <v>75</v>
      </c>
      <c r="D37">
        <v>300</v>
      </c>
      <c r="E37">
        <v>250</v>
      </c>
      <c r="F37" s="84">
        <v>250</v>
      </c>
      <c r="G37" s="56">
        <v>50</v>
      </c>
      <c r="H37" s="56">
        <v>50</v>
      </c>
      <c r="I37" s="56">
        <v>100</v>
      </c>
      <c r="J37" s="56">
        <v>125</v>
      </c>
      <c r="K37" s="56">
        <v>25</v>
      </c>
      <c r="L37" s="56">
        <v>175</v>
      </c>
      <c r="M37" s="126">
        <v>275</v>
      </c>
      <c r="O37" s="103">
        <f t="shared" si="11"/>
        <v>1800</v>
      </c>
    </row>
    <row r="38" spans="1:15" x14ac:dyDescent="0.25">
      <c r="A38" t="s">
        <v>114</v>
      </c>
      <c r="B38" s="57"/>
      <c r="D38">
        <v>5280</v>
      </c>
      <c r="F38" s="85"/>
      <c r="G38" s="57"/>
      <c r="H38" s="57"/>
      <c r="I38" s="57"/>
      <c r="J38" s="57"/>
      <c r="K38" s="57"/>
      <c r="L38" s="57"/>
      <c r="M38" s="127"/>
      <c r="O38" s="103">
        <f t="shared" si="11"/>
        <v>5280</v>
      </c>
    </row>
    <row r="39" spans="1:15" x14ac:dyDescent="0.25">
      <c r="A39" t="s">
        <v>115</v>
      </c>
      <c r="B39" s="58">
        <v>100</v>
      </c>
      <c r="C39" s="50">
        <v>646.85</v>
      </c>
      <c r="D39" s="50"/>
      <c r="E39" s="50">
        <v>3050</v>
      </c>
      <c r="F39" s="50"/>
      <c r="G39" s="58">
        <v>393.51</v>
      </c>
      <c r="H39" s="63"/>
      <c r="I39" s="58">
        <v>95</v>
      </c>
      <c r="J39" s="58">
        <v>186.26</v>
      </c>
      <c r="K39" s="58">
        <v>106</v>
      </c>
      <c r="M39" s="128"/>
      <c r="O39" s="104">
        <f t="shared" si="11"/>
        <v>4577.62</v>
      </c>
    </row>
    <row r="40" spans="1:15" ht="15.75" thickBot="1" x14ac:dyDescent="0.3">
      <c r="A40" s="48" t="s">
        <v>116</v>
      </c>
      <c r="B40" s="51">
        <f>SUM(B23:B39)</f>
        <v>20711.2</v>
      </c>
      <c r="C40" s="51">
        <f t="shared" ref="C40:F40" si="12">SUM(C23:C39)</f>
        <v>20959.059999999998</v>
      </c>
      <c r="D40" s="51">
        <f t="shared" si="12"/>
        <v>22671.53</v>
      </c>
      <c r="E40" s="51">
        <f t="shared" si="12"/>
        <v>21727.03</v>
      </c>
      <c r="F40" s="51">
        <f t="shared" si="12"/>
        <v>14903.119999999999</v>
      </c>
      <c r="G40" s="51">
        <f t="shared" ref="G40" si="13">SUM(G23:G39)</f>
        <v>17083.749999999996</v>
      </c>
      <c r="H40" s="51">
        <f t="shared" ref="H40" si="14">SUM(H23:H39)</f>
        <v>19606.37</v>
      </c>
      <c r="I40" s="51">
        <f t="shared" ref="I40" si="15">SUM(I23:I39)</f>
        <v>17881</v>
      </c>
      <c r="J40" s="51">
        <f t="shared" ref="J40" si="16">SUM(J23:J39)</f>
        <v>15263.74</v>
      </c>
      <c r="K40" s="51">
        <f t="shared" ref="K40" si="17">SUM(K23:K39)</f>
        <v>17665.97</v>
      </c>
      <c r="L40" s="51">
        <f t="shared" ref="L40" si="18">SUM(L23:L39)</f>
        <v>23979.33</v>
      </c>
      <c r="M40" s="51">
        <f t="shared" ref="M40" si="19">SUM(M23:M39)</f>
        <v>20712.739999999998</v>
      </c>
      <c r="O40" s="119">
        <f>SUM(O23:O39)</f>
        <v>233164.84000000003</v>
      </c>
    </row>
    <row r="41" spans="1:15" ht="15.75" thickTop="1" x14ac:dyDescent="0.25"/>
    <row r="42" spans="1:15" x14ac:dyDescent="0.25">
      <c r="A42" s="48" t="s">
        <v>117</v>
      </c>
    </row>
    <row r="43" spans="1:15" x14ac:dyDescent="0.25">
      <c r="A43" s="48" t="s">
        <v>118</v>
      </c>
    </row>
    <row r="44" spans="1:15" x14ac:dyDescent="0.25">
      <c r="A44" t="s">
        <v>119</v>
      </c>
      <c r="B44">
        <v>64574.720000000001</v>
      </c>
      <c r="C44">
        <v>63801.8</v>
      </c>
      <c r="D44">
        <v>65692.03</v>
      </c>
      <c r="E44">
        <v>115038.81</v>
      </c>
      <c r="F44" s="86">
        <v>33007.410000000003</v>
      </c>
      <c r="G44" s="56">
        <v>64143.85</v>
      </c>
      <c r="H44" s="56">
        <v>96792.69</v>
      </c>
      <c r="I44" s="56">
        <v>63020.5</v>
      </c>
      <c r="J44" s="56">
        <v>60101.53</v>
      </c>
      <c r="K44" s="56">
        <v>61381.4</v>
      </c>
      <c r="L44" s="56">
        <v>62263.14</v>
      </c>
      <c r="M44" s="129">
        <v>95234.67</v>
      </c>
      <c r="O44" s="103">
        <f t="shared" ref="O44:O49" si="20">SUM(B44:M44)</f>
        <v>845052.55000000016</v>
      </c>
    </row>
    <row r="45" spans="1:15" x14ac:dyDescent="0.25">
      <c r="A45" t="s">
        <v>120</v>
      </c>
      <c r="B45">
        <v>12215.36</v>
      </c>
      <c r="C45">
        <v>12215.36</v>
      </c>
      <c r="D45">
        <v>12215.36</v>
      </c>
      <c r="E45">
        <v>19460.52</v>
      </c>
      <c r="F45" s="86">
        <v>7374.04</v>
      </c>
      <c r="G45" s="56">
        <v>12215.36</v>
      </c>
      <c r="H45" s="56">
        <v>17023.04</v>
      </c>
      <c r="I45" s="56">
        <v>12215.36</v>
      </c>
      <c r="J45" s="56">
        <v>12215.36</v>
      </c>
      <c r="K45" s="56">
        <v>12215.36</v>
      </c>
      <c r="L45" s="56">
        <v>12215.36</v>
      </c>
      <c r="M45" s="129">
        <v>17023.05</v>
      </c>
      <c r="O45" s="103">
        <f t="shared" si="20"/>
        <v>158603.53</v>
      </c>
    </row>
    <row r="46" spans="1:15" x14ac:dyDescent="0.25">
      <c r="A46" t="s">
        <v>121</v>
      </c>
      <c r="B46">
        <v>16208.84</v>
      </c>
      <c r="C46">
        <v>15650.39</v>
      </c>
      <c r="D46">
        <v>16230.84</v>
      </c>
      <c r="E46">
        <v>28355.69</v>
      </c>
      <c r="F46" s="86">
        <v>8512.84</v>
      </c>
      <c r="G46" s="56">
        <v>16240.89</v>
      </c>
      <c r="H46" s="56">
        <v>24286.59</v>
      </c>
      <c r="I46" s="56">
        <v>15999.59</v>
      </c>
      <c r="J46" s="56">
        <v>15372.62</v>
      </c>
      <c r="K46" s="56">
        <v>15437.23</v>
      </c>
      <c r="L46" s="56">
        <v>17211.650000000001</v>
      </c>
      <c r="M46" s="129">
        <v>26077.89</v>
      </c>
      <c r="O46" s="103">
        <f t="shared" si="20"/>
        <v>215585.06</v>
      </c>
    </row>
    <row r="47" spans="1:15" x14ac:dyDescent="0.25">
      <c r="A47" t="s">
        <v>122</v>
      </c>
      <c r="B47">
        <v>20849.509999999998</v>
      </c>
      <c r="C47">
        <v>21694.12</v>
      </c>
      <c r="D47">
        <v>21754.44</v>
      </c>
      <c r="E47">
        <v>21754.44</v>
      </c>
      <c r="F47" s="86">
        <v>21754.44</v>
      </c>
      <c r="G47" s="56">
        <v>21754.44</v>
      </c>
      <c r="H47" s="56">
        <v>21750.44</v>
      </c>
      <c r="I47" s="56">
        <v>19295.55</v>
      </c>
      <c r="J47" s="56">
        <v>20146.93</v>
      </c>
      <c r="K47" s="56">
        <v>22086.35</v>
      </c>
      <c r="L47" s="56">
        <v>21884.77</v>
      </c>
      <c r="M47" s="129">
        <v>21652</v>
      </c>
      <c r="O47" s="103">
        <f t="shared" si="20"/>
        <v>256377.42999999996</v>
      </c>
    </row>
    <row r="48" spans="1:15" x14ac:dyDescent="0.25">
      <c r="A48" t="s">
        <v>123</v>
      </c>
      <c r="B48">
        <v>1159.42</v>
      </c>
      <c r="C48">
        <v>1159.42</v>
      </c>
      <c r="F48" s="87"/>
      <c r="G48" s="56">
        <v>1159.42</v>
      </c>
      <c r="H48" s="56">
        <v>1159.42</v>
      </c>
      <c r="I48" s="56">
        <v>1159.42</v>
      </c>
      <c r="J48" s="56">
        <v>3388.69</v>
      </c>
      <c r="K48" s="56">
        <v>1130.45</v>
      </c>
      <c r="L48" s="56">
        <v>132.38</v>
      </c>
      <c r="M48" s="130"/>
      <c r="O48" s="103">
        <f t="shared" si="20"/>
        <v>10448.620000000001</v>
      </c>
    </row>
    <row r="49" spans="1:15" x14ac:dyDescent="0.25">
      <c r="A49" t="s">
        <v>124</v>
      </c>
      <c r="B49">
        <v>5833.68</v>
      </c>
      <c r="C49">
        <v>5786.55</v>
      </c>
      <c r="D49">
        <v>5924.17</v>
      </c>
      <c r="E49">
        <v>10381.76</v>
      </c>
      <c r="F49" s="88">
        <v>3257.63</v>
      </c>
      <c r="G49" s="58">
        <v>6052.68</v>
      </c>
      <c r="H49" s="58">
        <v>8973.6299999999992</v>
      </c>
      <c r="I49" s="58">
        <v>6704.13</v>
      </c>
      <c r="J49" s="58">
        <v>5504.88</v>
      </c>
      <c r="K49" s="58">
        <v>5581.87</v>
      </c>
      <c r="L49" s="58">
        <v>5785.12</v>
      </c>
      <c r="M49" s="131">
        <v>8543.02</v>
      </c>
      <c r="O49" s="104">
        <f t="shared" si="20"/>
        <v>78329.119999999995</v>
      </c>
    </row>
    <row r="50" spans="1:15" ht="15.75" thickBot="1" x14ac:dyDescent="0.3">
      <c r="A50" s="48" t="s">
        <v>125</v>
      </c>
      <c r="B50" s="51">
        <f>SUM(B44:B49)</f>
        <v>120841.53</v>
      </c>
      <c r="C50" s="51">
        <f t="shared" ref="C50:F50" si="21">SUM(C44:C49)</f>
        <v>120307.64</v>
      </c>
      <c r="D50" s="51">
        <f t="shared" si="21"/>
        <v>121816.84</v>
      </c>
      <c r="E50" s="51">
        <f t="shared" si="21"/>
        <v>194991.22</v>
      </c>
      <c r="F50" s="51">
        <f t="shared" si="21"/>
        <v>73906.360000000015</v>
      </c>
      <c r="G50" s="51">
        <f t="shared" ref="G50" si="22">SUM(G44:G49)</f>
        <v>121566.63999999998</v>
      </c>
      <c r="H50" s="51">
        <f t="shared" ref="H50" si="23">SUM(H44:H49)</f>
        <v>169985.81000000003</v>
      </c>
      <c r="I50" s="51">
        <f t="shared" ref="I50" si="24">SUM(I44:I49)</f>
        <v>118394.55</v>
      </c>
      <c r="J50" s="51">
        <f t="shared" ref="J50" si="25">SUM(J44:J49)</f>
        <v>116730.01000000001</v>
      </c>
      <c r="K50" s="51">
        <f t="shared" ref="K50" si="26">SUM(K44:K49)</f>
        <v>117832.65999999999</v>
      </c>
      <c r="L50" s="51">
        <f t="shared" ref="L50" si="27">SUM(L44:L49)</f>
        <v>119492.42</v>
      </c>
      <c r="M50" s="51">
        <f t="shared" ref="M50" si="28">SUM(M44:M49)</f>
        <v>168530.62999999998</v>
      </c>
      <c r="O50" s="119">
        <f>SUM(O44:O49)</f>
        <v>1564396.31</v>
      </c>
    </row>
    <row r="51" spans="1:15" ht="15.75" thickTop="1" x14ac:dyDescent="0.25"/>
    <row r="52" spans="1:15" x14ac:dyDescent="0.25">
      <c r="A52" s="48" t="s">
        <v>126</v>
      </c>
    </row>
    <row r="53" spans="1:15" x14ac:dyDescent="0.25">
      <c r="A53" t="s">
        <v>115</v>
      </c>
      <c r="B53">
        <v>2915.74</v>
      </c>
      <c r="C53">
        <v>22888.83</v>
      </c>
      <c r="D53">
        <v>2251.34</v>
      </c>
      <c r="E53">
        <v>-26526.98</v>
      </c>
      <c r="F53" s="89">
        <v>807.15</v>
      </c>
      <c r="G53" s="56">
        <v>837.93</v>
      </c>
      <c r="H53" s="56">
        <v>7513.32</v>
      </c>
      <c r="I53" s="56">
        <v>757.71</v>
      </c>
      <c r="J53" s="56">
        <v>1914.45</v>
      </c>
      <c r="K53" s="56">
        <v>779.73</v>
      </c>
      <c r="L53" s="56">
        <v>3276.37</v>
      </c>
      <c r="M53" s="132">
        <v>749.68</v>
      </c>
      <c r="O53" s="103">
        <f t="shared" ref="O53:O82" si="29">SUM(B53:M53)</f>
        <v>18165.27</v>
      </c>
    </row>
    <row r="54" spans="1:15" x14ac:dyDescent="0.25">
      <c r="A54" t="s">
        <v>127</v>
      </c>
      <c r="B54">
        <v>10</v>
      </c>
      <c r="C54">
        <v>15</v>
      </c>
      <c r="D54">
        <v>35</v>
      </c>
      <c r="E54">
        <v>10</v>
      </c>
      <c r="F54" s="89">
        <v>5</v>
      </c>
      <c r="G54" s="56">
        <v>15</v>
      </c>
      <c r="H54" s="57"/>
      <c r="I54" s="56">
        <v>15</v>
      </c>
      <c r="J54" s="56">
        <v>20</v>
      </c>
      <c r="K54" s="56">
        <v>20</v>
      </c>
      <c r="L54" s="56">
        <v>15</v>
      </c>
      <c r="M54" s="132">
        <v>35</v>
      </c>
      <c r="O54" s="103">
        <f t="shared" si="29"/>
        <v>195</v>
      </c>
    </row>
    <row r="55" spans="1:15" x14ac:dyDescent="0.25">
      <c r="A55" t="s">
        <v>128</v>
      </c>
      <c r="C55">
        <v>1850</v>
      </c>
      <c r="F55" s="90"/>
      <c r="G55" s="57"/>
      <c r="H55" s="57"/>
      <c r="I55" s="57"/>
      <c r="J55" s="57"/>
      <c r="K55" s="57"/>
      <c r="L55" s="57"/>
      <c r="M55" s="133"/>
      <c r="O55" s="103">
        <f t="shared" si="29"/>
        <v>1850</v>
      </c>
    </row>
    <row r="56" spans="1:15" x14ac:dyDescent="0.25">
      <c r="A56" t="s">
        <v>129</v>
      </c>
      <c r="F56" s="90"/>
      <c r="G56" s="57"/>
      <c r="H56" s="57"/>
      <c r="I56" s="57"/>
      <c r="J56" s="57"/>
      <c r="K56" s="57"/>
      <c r="L56" s="57"/>
      <c r="M56" s="133"/>
      <c r="O56" s="103">
        <f t="shared" si="29"/>
        <v>0</v>
      </c>
    </row>
    <row r="57" spans="1:15" x14ac:dyDescent="0.25">
      <c r="A57" t="s">
        <v>130</v>
      </c>
      <c r="B57">
        <v>680.53</v>
      </c>
      <c r="C57">
        <v>123.6</v>
      </c>
      <c r="D57">
        <v>28.38</v>
      </c>
      <c r="F57" s="89">
        <v>356</v>
      </c>
      <c r="G57" s="56">
        <v>190</v>
      </c>
      <c r="H57" s="56">
        <v>430.25</v>
      </c>
      <c r="I57" s="56">
        <v>1047.02</v>
      </c>
      <c r="J57" s="57"/>
      <c r="K57" s="57"/>
      <c r="L57" s="56">
        <v>190</v>
      </c>
      <c r="M57" s="132">
        <v>190</v>
      </c>
      <c r="O57" s="103">
        <f t="shared" si="29"/>
        <v>3235.7799999999997</v>
      </c>
    </row>
    <row r="58" spans="1:15" x14ac:dyDescent="0.25">
      <c r="A58" t="s">
        <v>131</v>
      </c>
      <c r="B58">
        <v>1547.75</v>
      </c>
      <c r="C58">
        <v>1627.22</v>
      </c>
      <c r="D58">
        <v>1286.47</v>
      </c>
      <c r="E58">
        <v>1496.45</v>
      </c>
      <c r="F58" s="89">
        <v>1267.24</v>
      </c>
      <c r="G58" s="56">
        <v>1411.7</v>
      </c>
      <c r="H58" s="56">
        <v>1312.19</v>
      </c>
      <c r="I58" s="56">
        <v>1464.54</v>
      </c>
      <c r="J58" s="56">
        <v>1127.02</v>
      </c>
      <c r="K58" s="56">
        <v>1170.1400000000001</v>
      </c>
      <c r="L58" s="56">
        <v>1426.24</v>
      </c>
      <c r="M58" s="132">
        <v>1429.26</v>
      </c>
      <c r="O58" s="103">
        <f t="shared" si="29"/>
        <v>16566.22</v>
      </c>
    </row>
    <row r="59" spans="1:15" x14ac:dyDescent="0.25">
      <c r="A59" t="s">
        <v>132</v>
      </c>
      <c r="B59">
        <v>10826.62</v>
      </c>
      <c r="C59">
        <v>2754.58</v>
      </c>
      <c r="D59">
        <v>9136.31</v>
      </c>
      <c r="E59">
        <v>6250.45</v>
      </c>
      <c r="F59" s="89">
        <v>6891.05</v>
      </c>
      <c r="G59" s="56">
        <v>8074.07</v>
      </c>
      <c r="H59" s="56">
        <v>9876.4599999999991</v>
      </c>
      <c r="I59" s="56">
        <v>2977.32</v>
      </c>
      <c r="J59" s="56">
        <v>9784.7000000000007</v>
      </c>
      <c r="K59" s="56">
        <v>9379.77</v>
      </c>
      <c r="L59" s="56">
        <v>3272.73</v>
      </c>
      <c r="M59" s="132">
        <v>8781.83</v>
      </c>
      <c r="O59" s="103">
        <f t="shared" si="29"/>
        <v>88005.89</v>
      </c>
    </row>
    <row r="60" spans="1:15" x14ac:dyDescent="0.25">
      <c r="A60" t="s">
        <v>133</v>
      </c>
      <c r="B60">
        <v>15390.8</v>
      </c>
      <c r="C60">
        <v>18127.68</v>
      </c>
      <c r="D60">
        <v>24596.799999999999</v>
      </c>
      <c r="E60">
        <v>47240.38</v>
      </c>
      <c r="F60" s="89">
        <v>32216.9</v>
      </c>
      <c r="G60" s="56">
        <v>30764.93</v>
      </c>
      <c r="H60" s="56">
        <v>35212.68</v>
      </c>
      <c r="I60" s="56">
        <v>18375.689999999999</v>
      </c>
      <c r="J60" s="56">
        <v>36578.339999999997</v>
      </c>
      <c r="K60" s="56">
        <v>27729.23</v>
      </c>
      <c r="L60" s="56">
        <v>20770.599999999999</v>
      </c>
      <c r="M60" s="132">
        <v>9053.77</v>
      </c>
      <c r="O60" s="103">
        <f t="shared" si="29"/>
        <v>316057.8</v>
      </c>
    </row>
    <row r="61" spans="1:15" x14ac:dyDescent="0.25">
      <c r="A61" t="s">
        <v>134</v>
      </c>
      <c r="E61">
        <v>-42945.49</v>
      </c>
      <c r="F61" s="90"/>
      <c r="G61" s="57"/>
      <c r="H61" s="56">
        <v>920</v>
      </c>
      <c r="I61" s="57"/>
      <c r="J61" s="57"/>
      <c r="K61" s="57"/>
      <c r="L61" s="57"/>
      <c r="M61" s="133"/>
      <c r="O61" s="103">
        <f t="shared" si="29"/>
        <v>-42025.49</v>
      </c>
    </row>
    <row r="62" spans="1:15" x14ac:dyDescent="0.25">
      <c r="A62" t="s">
        <v>135</v>
      </c>
      <c r="E62">
        <v>2062.96</v>
      </c>
      <c r="F62" s="89">
        <v>279.81</v>
      </c>
      <c r="G62" s="57"/>
      <c r="H62" s="57"/>
      <c r="I62" s="57"/>
      <c r="J62" s="56">
        <v>759.96</v>
      </c>
      <c r="K62" s="56">
        <v>132.49</v>
      </c>
      <c r="L62" s="56">
        <v>10941.58</v>
      </c>
      <c r="M62" s="133"/>
      <c r="O62" s="103">
        <f t="shared" si="29"/>
        <v>14176.8</v>
      </c>
    </row>
    <row r="63" spans="1:15" x14ac:dyDescent="0.25">
      <c r="A63" t="s">
        <v>214</v>
      </c>
      <c r="B63">
        <v>3146.2</v>
      </c>
      <c r="C63">
        <v>6843.02</v>
      </c>
      <c r="D63">
        <v>2713.48</v>
      </c>
      <c r="E63">
        <v>3896.01</v>
      </c>
      <c r="F63" s="89">
        <v>2151.06</v>
      </c>
      <c r="G63" s="56">
        <v>2074.48</v>
      </c>
      <c r="H63" s="56">
        <v>3055.18</v>
      </c>
      <c r="I63" s="57"/>
      <c r="J63" s="56">
        <v>6024.12</v>
      </c>
      <c r="K63" s="56">
        <v>2604.02</v>
      </c>
      <c r="L63" s="56">
        <v>3513.25</v>
      </c>
      <c r="M63" s="132">
        <v>3023.61</v>
      </c>
      <c r="O63" s="103">
        <f t="shared" si="29"/>
        <v>39044.43</v>
      </c>
    </row>
    <row r="64" spans="1:15" x14ac:dyDescent="0.25">
      <c r="A64" t="s">
        <v>136</v>
      </c>
      <c r="D64">
        <v>582.52</v>
      </c>
      <c r="E64">
        <v>8671.7900000000009</v>
      </c>
      <c r="F64" s="89">
        <v>3896.01</v>
      </c>
      <c r="G64" s="56">
        <v>6481.33</v>
      </c>
      <c r="H64" s="56">
        <v>-853.96</v>
      </c>
      <c r="I64" s="57"/>
      <c r="J64" s="57"/>
      <c r="K64" s="57"/>
      <c r="L64" s="57"/>
      <c r="M64" s="133"/>
      <c r="O64" s="103">
        <f t="shared" si="29"/>
        <v>18777.690000000002</v>
      </c>
    </row>
    <row r="65" spans="1:15" x14ac:dyDescent="0.25">
      <c r="A65" t="s">
        <v>137</v>
      </c>
      <c r="D65">
        <v>1133.49</v>
      </c>
      <c r="F65" s="89">
        <v>8671.82</v>
      </c>
      <c r="G65" s="56">
        <v>14426.16</v>
      </c>
      <c r="H65" s="57"/>
      <c r="I65" s="57"/>
      <c r="J65" s="57"/>
      <c r="K65" s="57"/>
      <c r="L65" s="57"/>
      <c r="M65" s="133"/>
      <c r="O65" s="103">
        <f t="shared" si="29"/>
        <v>24231.47</v>
      </c>
    </row>
    <row r="66" spans="1:15" x14ac:dyDescent="0.25">
      <c r="A66" t="s">
        <v>138</v>
      </c>
      <c r="F66" s="90"/>
      <c r="G66" s="56">
        <v>44.16</v>
      </c>
      <c r="H66" s="56">
        <v>75</v>
      </c>
      <c r="I66" s="56">
        <v>211.94</v>
      </c>
      <c r="J66" s="56">
        <v>80</v>
      </c>
      <c r="K66" s="56">
        <v>525</v>
      </c>
      <c r="L66" s="56">
        <v>80.28</v>
      </c>
      <c r="M66" s="133"/>
      <c r="O66" s="103">
        <f t="shared" si="29"/>
        <v>1016.38</v>
      </c>
    </row>
    <row r="67" spans="1:15" x14ac:dyDescent="0.25">
      <c r="A67" t="s">
        <v>139</v>
      </c>
      <c r="F67" s="90"/>
      <c r="G67" s="57"/>
      <c r="H67" s="57"/>
      <c r="I67" s="57"/>
      <c r="J67" s="57"/>
      <c r="K67" s="57"/>
      <c r="L67" s="57"/>
      <c r="M67" s="133"/>
      <c r="O67" s="103">
        <f t="shared" si="29"/>
        <v>0</v>
      </c>
    </row>
    <row r="68" spans="1:15" x14ac:dyDescent="0.25">
      <c r="A68" t="s">
        <v>140</v>
      </c>
      <c r="E68">
        <v>-1255</v>
      </c>
      <c r="F68" s="90"/>
      <c r="G68" s="57"/>
      <c r="H68" s="57"/>
      <c r="I68" s="57"/>
      <c r="J68" s="57"/>
      <c r="K68" s="57"/>
      <c r="L68" s="57"/>
      <c r="M68" s="133"/>
      <c r="O68" s="103">
        <f t="shared" si="29"/>
        <v>-1255</v>
      </c>
    </row>
    <row r="69" spans="1:15" x14ac:dyDescent="0.25">
      <c r="A69" t="s">
        <v>141</v>
      </c>
      <c r="B69">
        <v>445.96</v>
      </c>
      <c r="C69">
        <v>451.25</v>
      </c>
      <c r="E69">
        <v>549.66999999999996</v>
      </c>
      <c r="F69" s="89">
        <v>566.25</v>
      </c>
      <c r="G69" s="56">
        <v>499.77</v>
      </c>
      <c r="H69" s="56">
        <v>471.19</v>
      </c>
      <c r="I69" s="56">
        <v>560.82000000000005</v>
      </c>
      <c r="J69" s="56">
        <v>593.46</v>
      </c>
      <c r="K69" s="56">
        <v>477.31</v>
      </c>
      <c r="L69" s="56">
        <v>596.71</v>
      </c>
      <c r="M69" s="132">
        <v>509.23</v>
      </c>
      <c r="O69" s="103">
        <f t="shared" si="29"/>
        <v>5721.6200000000008</v>
      </c>
    </row>
    <row r="70" spans="1:15" x14ac:dyDescent="0.25">
      <c r="A70" t="s">
        <v>142</v>
      </c>
      <c r="B70">
        <v>1365.48</v>
      </c>
      <c r="C70">
        <v>1386.96</v>
      </c>
      <c r="E70">
        <v>1317.41</v>
      </c>
      <c r="F70" s="89">
        <v>1497.12</v>
      </c>
      <c r="G70" s="56">
        <v>1152.28</v>
      </c>
      <c r="H70" s="56">
        <v>1505.3</v>
      </c>
      <c r="I70" s="56">
        <v>1141.48</v>
      </c>
      <c r="J70" s="56">
        <v>1328.94</v>
      </c>
      <c r="K70" s="56">
        <v>1335.68</v>
      </c>
      <c r="L70" s="56">
        <v>1333.81</v>
      </c>
      <c r="M70" s="132">
        <v>1335.18</v>
      </c>
      <c r="O70" s="103">
        <f t="shared" si="29"/>
        <v>14699.64</v>
      </c>
    </row>
    <row r="71" spans="1:15" x14ac:dyDescent="0.25">
      <c r="A71" t="s">
        <v>143</v>
      </c>
      <c r="F71" s="90"/>
      <c r="G71" s="57"/>
      <c r="H71" s="57"/>
      <c r="I71" s="57"/>
      <c r="J71" s="57"/>
      <c r="K71" s="57"/>
      <c r="L71" s="57"/>
      <c r="M71" s="133"/>
      <c r="O71" s="103">
        <f t="shared" si="29"/>
        <v>0</v>
      </c>
    </row>
    <row r="72" spans="1:15" x14ac:dyDescent="0.25">
      <c r="A72" t="s">
        <v>144</v>
      </c>
      <c r="F72" s="90"/>
      <c r="G72" s="57"/>
      <c r="H72" s="57"/>
      <c r="I72" s="57"/>
      <c r="J72" s="57"/>
      <c r="K72" s="57"/>
      <c r="L72" s="57"/>
      <c r="M72" s="133"/>
      <c r="O72" s="103">
        <f t="shared" si="29"/>
        <v>0</v>
      </c>
    </row>
    <row r="73" spans="1:15" x14ac:dyDescent="0.25">
      <c r="A73" t="s">
        <v>145</v>
      </c>
      <c r="B73">
        <v>3711.82</v>
      </c>
      <c r="C73">
        <v>3711.05</v>
      </c>
      <c r="D73">
        <v>3592.91</v>
      </c>
      <c r="E73">
        <v>3668.39</v>
      </c>
      <c r="F73" s="89">
        <v>3570.33</v>
      </c>
      <c r="G73" s="56">
        <v>3636.65</v>
      </c>
      <c r="H73" s="56">
        <v>3719.97</v>
      </c>
      <c r="I73" s="57"/>
      <c r="J73" s="56">
        <v>7415.38</v>
      </c>
      <c r="K73" s="56">
        <v>3987.6</v>
      </c>
      <c r="L73" s="56">
        <v>3782.1</v>
      </c>
      <c r="M73" s="132">
        <v>3658.59</v>
      </c>
      <c r="O73" s="103">
        <f t="shared" si="29"/>
        <v>44454.789999999994</v>
      </c>
    </row>
    <row r="74" spans="1:15" x14ac:dyDescent="0.25">
      <c r="A74" t="s">
        <v>146</v>
      </c>
      <c r="E74">
        <v>72</v>
      </c>
      <c r="F74" s="90"/>
      <c r="G74" s="57"/>
      <c r="H74" s="56">
        <v>660</v>
      </c>
      <c r="I74" s="57"/>
      <c r="J74" s="56">
        <v>100</v>
      </c>
      <c r="K74" s="57"/>
      <c r="L74" s="57"/>
      <c r="M74" s="132">
        <v>660</v>
      </c>
      <c r="O74" s="103">
        <f t="shared" si="29"/>
        <v>1492</v>
      </c>
    </row>
    <row r="75" spans="1:15" x14ac:dyDescent="0.25">
      <c r="A75" t="s">
        <v>147</v>
      </c>
      <c r="F75" s="90"/>
      <c r="G75" s="57"/>
      <c r="H75" s="56">
        <v>226.2</v>
      </c>
      <c r="I75" s="57"/>
      <c r="J75" s="56">
        <v>166.8</v>
      </c>
      <c r="K75" s="57"/>
      <c r="L75" s="57"/>
      <c r="M75" s="133"/>
      <c r="O75" s="103">
        <f t="shared" si="29"/>
        <v>393</v>
      </c>
    </row>
    <row r="76" spans="1:15" x14ac:dyDescent="0.25">
      <c r="A76" t="s">
        <v>148</v>
      </c>
      <c r="B76">
        <v>1049.56</v>
      </c>
      <c r="F76" s="90"/>
      <c r="G76" s="57"/>
      <c r="H76" s="57"/>
      <c r="I76" s="57"/>
      <c r="J76" s="56">
        <v>1272.5</v>
      </c>
      <c r="K76" s="57"/>
      <c r="L76" s="56">
        <v>1049.56</v>
      </c>
      <c r="M76" s="133"/>
      <c r="O76" s="103">
        <f t="shared" si="29"/>
        <v>3371.62</v>
      </c>
    </row>
    <row r="77" spans="1:15" x14ac:dyDescent="0.25">
      <c r="A77" t="s">
        <v>149</v>
      </c>
      <c r="F77" s="90"/>
      <c r="G77" s="57"/>
      <c r="H77" s="57"/>
      <c r="I77" s="57"/>
      <c r="J77" s="57"/>
      <c r="K77" s="56">
        <v>9061.81</v>
      </c>
      <c r="L77" s="57"/>
      <c r="M77" s="133"/>
      <c r="O77" s="103">
        <f t="shared" si="29"/>
        <v>9061.81</v>
      </c>
    </row>
    <row r="78" spans="1:15" x14ac:dyDescent="0.25">
      <c r="A78" t="s">
        <v>150</v>
      </c>
      <c r="B78">
        <v>7487.31</v>
      </c>
      <c r="C78">
        <v>4922.3100000000004</v>
      </c>
      <c r="D78">
        <v>1766.74</v>
      </c>
      <c r="E78">
        <v>4803.4799999999996</v>
      </c>
      <c r="F78" s="89">
        <v>7658.71</v>
      </c>
      <c r="G78" s="56">
        <v>1833.21</v>
      </c>
      <c r="H78" s="56">
        <v>8149.1</v>
      </c>
      <c r="I78" s="57"/>
      <c r="J78" s="56">
        <v>9526.32</v>
      </c>
      <c r="K78" s="56">
        <v>4759.74</v>
      </c>
      <c r="L78" s="56">
        <v>1687.01</v>
      </c>
      <c r="M78" s="132">
        <v>9317.59</v>
      </c>
      <c r="O78" s="103">
        <f t="shared" si="29"/>
        <v>61911.520000000004</v>
      </c>
    </row>
    <row r="79" spans="1:15" x14ac:dyDescent="0.25">
      <c r="A79" t="s">
        <v>151</v>
      </c>
      <c r="F79" s="90"/>
      <c r="G79" s="57"/>
      <c r="H79" s="57"/>
      <c r="I79" s="57"/>
      <c r="J79" s="57"/>
      <c r="K79" s="57"/>
      <c r="L79" s="57"/>
      <c r="M79" s="133"/>
      <c r="O79" s="103">
        <f t="shared" si="29"/>
        <v>0</v>
      </c>
    </row>
    <row r="80" spans="1:15" x14ac:dyDescent="0.25">
      <c r="A80" t="s">
        <v>152</v>
      </c>
      <c r="B80">
        <v>2950.16</v>
      </c>
      <c r="C80">
        <v>62</v>
      </c>
      <c r="D80">
        <v>8829.61</v>
      </c>
      <c r="E80">
        <v>66.33</v>
      </c>
      <c r="F80" s="89">
        <v>-48.12</v>
      </c>
      <c r="G80" s="56">
        <v>39.17</v>
      </c>
      <c r="H80" s="56">
        <v>2254.36</v>
      </c>
      <c r="I80" s="56">
        <v>52.68</v>
      </c>
      <c r="J80" s="56">
        <v>99.76</v>
      </c>
      <c r="K80" s="57"/>
      <c r="L80" s="56">
        <v>20.5</v>
      </c>
      <c r="M80" s="133"/>
      <c r="O80" s="103">
        <f t="shared" si="29"/>
        <v>14326.45</v>
      </c>
    </row>
    <row r="81" spans="1:15" x14ac:dyDescent="0.25">
      <c r="A81" t="s">
        <v>153</v>
      </c>
      <c r="B81">
        <v>21999.15</v>
      </c>
      <c r="C81">
        <v>15989.11</v>
      </c>
      <c r="D81">
        <v>38705.599999999999</v>
      </c>
      <c r="E81">
        <v>17497.41</v>
      </c>
      <c r="F81" s="89">
        <v>1527</v>
      </c>
      <c r="G81" s="56">
        <v>9887.81</v>
      </c>
      <c r="H81" s="56">
        <v>18944.36</v>
      </c>
      <c r="I81" s="56">
        <v>20165.7</v>
      </c>
      <c r="J81" s="56">
        <v>17725.14</v>
      </c>
      <c r="K81" s="56">
        <v>30680.67</v>
      </c>
      <c r="L81" s="56">
        <v>33926.47</v>
      </c>
      <c r="M81" s="132">
        <v>33534.57</v>
      </c>
      <c r="O81" s="103">
        <f t="shared" si="29"/>
        <v>260582.99000000002</v>
      </c>
    </row>
    <row r="82" spans="1:15" x14ac:dyDescent="0.25">
      <c r="A82" t="s">
        <v>154</v>
      </c>
      <c r="B82">
        <v>750.77</v>
      </c>
      <c r="C82">
        <v>655.81</v>
      </c>
      <c r="D82">
        <v>759.8</v>
      </c>
      <c r="E82">
        <v>606.95000000000005</v>
      </c>
      <c r="F82" s="91">
        <v>930.04</v>
      </c>
      <c r="G82" s="58">
        <v>439.49</v>
      </c>
      <c r="H82" s="58">
        <v>617.54</v>
      </c>
      <c r="I82" s="58">
        <v>63.69</v>
      </c>
      <c r="J82" s="58">
        <v>1259.47</v>
      </c>
      <c r="K82" s="58">
        <v>561.19000000000005</v>
      </c>
      <c r="L82" s="58">
        <v>836.07</v>
      </c>
      <c r="M82" s="134">
        <v>671.83</v>
      </c>
      <c r="O82" s="104">
        <f t="shared" si="29"/>
        <v>8152.65</v>
      </c>
    </row>
    <row r="83" spans="1:15" ht="15.75" thickBot="1" x14ac:dyDescent="0.3">
      <c r="A83" s="48" t="s">
        <v>155</v>
      </c>
      <c r="B83" s="51">
        <f>SUM(B53:B82)</f>
        <v>74277.849999999991</v>
      </c>
      <c r="C83" s="51">
        <f t="shared" ref="C83:F83" si="30">SUM(C53:C82)</f>
        <v>81408.420000000013</v>
      </c>
      <c r="D83" s="51">
        <f t="shared" si="30"/>
        <v>95418.45</v>
      </c>
      <c r="E83" s="51">
        <f t="shared" si="30"/>
        <v>27482.210000000003</v>
      </c>
      <c r="F83" s="51">
        <f t="shared" si="30"/>
        <v>72243.37000000001</v>
      </c>
      <c r="G83" s="51">
        <f t="shared" ref="G83" si="31">SUM(G53:G82)</f>
        <v>81808.140000000014</v>
      </c>
      <c r="H83" s="51">
        <f t="shared" ref="H83" si="32">SUM(H53:H82)</f>
        <v>94089.14</v>
      </c>
      <c r="I83" s="51">
        <f t="shared" ref="I83" si="33">SUM(I53:I82)</f>
        <v>46833.59</v>
      </c>
      <c r="J83" s="51">
        <f t="shared" ref="J83" si="34">SUM(J53:J82)</f>
        <v>95776.359999999986</v>
      </c>
      <c r="K83" s="51">
        <f t="shared" ref="K83" si="35">SUM(K53:K82)</f>
        <v>93204.37999999999</v>
      </c>
      <c r="L83" s="51">
        <f t="shared" ref="L83" si="36">SUM(L53:L82)</f>
        <v>86718.28</v>
      </c>
      <c r="M83" s="51">
        <f t="shared" ref="M83" si="37">SUM(M53:M82)</f>
        <v>72950.14</v>
      </c>
      <c r="O83" s="119">
        <f>SUM(O53:O82)</f>
        <v>922210.33000000007</v>
      </c>
    </row>
    <row r="84" spans="1:15" ht="15.75" thickTop="1" x14ac:dyDescent="0.25"/>
    <row r="85" spans="1:15" x14ac:dyDescent="0.25">
      <c r="A85" s="48" t="s">
        <v>156</v>
      </c>
    </row>
    <row r="86" spans="1:15" x14ac:dyDescent="0.25">
      <c r="A86" t="s">
        <v>157</v>
      </c>
      <c r="B86">
        <v>614.42999999999995</v>
      </c>
      <c r="C86">
        <v>2997.6</v>
      </c>
      <c r="D86">
        <v>8923.44</v>
      </c>
      <c r="E86">
        <v>92.14</v>
      </c>
      <c r="F86" s="92">
        <v>7190.99</v>
      </c>
      <c r="G86" s="56">
        <v>1214.24</v>
      </c>
      <c r="H86" s="56">
        <v>778.95</v>
      </c>
      <c r="I86" s="56">
        <v>788.24</v>
      </c>
      <c r="J86" s="56">
        <v>542.71</v>
      </c>
      <c r="K86" s="56">
        <v>1457.55</v>
      </c>
      <c r="L86" s="56">
        <v>226</v>
      </c>
      <c r="M86" s="135">
        <v>1215.67</v>
      </c>
      <c r="O86" s="103">
        <f t="shared" ref="O86:O92" si="38">SUM(B86:M86)</f>
        <v>26041.96</v>
      </c>
    </row>
    <row r="87" spans="1:15" x14ac:dyDescent="0.25">
      <c r="A87" t="s">
        <v>158</v>
      </c>
      <c r="B87">
        <v>2466.09</v>
      </c>
      <c r="C87">
        <v>153.43</v>
      </c>
      <c r="D87">
        <v>1460.6</v>
      </c>
      <c r="E87">
        <v>8.99</v>
      </c>
      <c r="F87" s="92">
        <v>255.91</v>
      </c>
      <c r="G87" s="56">
        <v>96</v>
      </c>
      <c r="H87" s="57"/>
      <c r="I87" s="56">
        <v>20.58</v>
      </c>
      <c r="J87" s="57"/>
      <c r="K87" s="56">
        <v>554.97</v>
      </c>
      <c r="L87" s="56">
        <v>5.6</v>
      </c>
      <c r="M87" s="135">
        <v>396.94</v>
      </c>
      <c r="O87" s="103">
        <f t="shared" si="38"/>
        <v>5419.11</v>
      </c>
    </row>
    <row r="88" spans="1:15" x14ac:dyDescent="0.25">
      <c r="A88" t="s">
        <v>159</v>
      </c>
      <c r="B88">
        <v>19869.66</v>
      </c>
      <c r="C88">
        <v>42266.73</v>
      </c>
      <c r="D88">
        <v>3581.57</v>
      </c>
      <c r="E88">
        <v>-31233.68</v>
      </c>
      <c r="F88" s="92">
        <v>5700.5</v>
      </c>
      <c r="G88" s="56">
        <v>30523.200000000001</v>
      </c>
      <c r="H88" s="56">
        <v>4835.76</v>
      </c>
      <c r="I88" s="56">
        <v>3957.07</v>
      </c>
      <c r="J88" s="56">
        <v>10386.1</v>
      </c>
      <c r="K88" s="56">
        <v>7628.46</v>
      </c>
      <c r="L88" s="56">
        <v>1529.76</v>
      </c>
      <c r="M88" s="135">
        <v>15876.24</v>
      </c>
      <c r="O88" s="103">
        <f t="shared" si="38"/>
        <v>114921.37000000002</v>
      </c>
    </row>
    <row r="89" spans="1:15" x14ac:dyDescent="0.25">
      <c r="A89" t="s">
        <v>160</v>
      </c>
      <c r="C89">
        <v>1549.28</v>
      </c>
      <c r="O89" s="103">
        <f t="shared" si="38"/>
        <v>1549.28</v>
      </c>
    </row>
    <row r="90" spans="1:15" x14ac:dyDescent="0.25">
      <c r="A90" t="s">
        <v>161</v>
      </c>
      <c r="O90" s="103">
        <f t="shared" si="38"/>
        <v>0</v>
      </c>
    </row>
    <row r="91" spans="1:15" x14ac:dyDescent="0.25">
      <c r="A91" t="s">
        <v>162</v>
      </c>
      <c r="O91" s="103">
        <f t="shared" si="38"/>
        <v>0</v>
      </c>
    </row>
    <row r="92" spans="1:15" x14ac:dyDescent="0.25">
      <c r="A92" t="s">
        <v>163</v>
      </c>
      <c r="O92" s="104">
        <f t="shared" si="38"/>
        <v>0</v>
      </c>
    </row>
    <row r="93" spans="1:15" ht="15.75" thickBot="1" x14ac:dyDescent="0.3">
      <c r="A93" s="48" t="s">
        <v>164</v>
      </c>
      <c r="B93" s="51">
        <f>SUM(B86:B92)</f>
        <v>22950.18</v>
      </c>
      <c r="C93" s="51">
        <f t="shared" ref="C93:F93" si="39">SUM(C86:C92)</f>
        <v>46967.040000000001</v>
      </c>
      <c r="D93" s="51">
        <f t="shared" si="39"/>
        <v>13965.61</v>
      </c>
      <c r="E93" s="51">
        <f t="shared" si="39"/>
        <v>-31132.55</v>
      </c>
      <c r="F93" s="51">
        <f t="shared" si="39"/>
        <v>13147.4</v>
      </c>
      <c r="G93" s="51">
        <f t="shared" ref="G93" si="40">SUM(G86:G92)</f>
        <v>31833.440000000002</v>
      </c>
      <c r="H93" s="51">
        <f t="shared" ref="H93" si="41">SUM(H86:H92)</f>
        <v>5614.71</v>
      </c>
      <c r="I93" s="51">
        <f t="shared" ref="I93" si="42">SUM(I86:I92)</f>
        <v>4765.8900000000003</v>
      </c>
      <c r="J93" s="51">
        <f t="shared" ref="J93" si="43">SUM(J86:J92)</f>
        <v>10928.810000000001</v>
      </c>
      <c r="K93" s="51">
        <f t="shared" ref="K93" si="44">SUM(K86:K92)</f>
        <v>9640.98</v>
      </c>
      <c r="L93" s="51">
        <f t="shared" ref="L93" si="45">SUM(L86:L92)</f>
        <v>1761.36</v>
      </c>
      <c r="M93" s="51">
        <f t="shared" ref="M93" si="46">SUM(M86:M92)</f>
        <v>17488.849999999999</v>
      </c>
      <c r="O93" s="119">
        <f>SUM(O86:O92)</f>
        <v>147931.72000000003</v>
      </c>
    </row>
    <row r="94" spans="1:15" ht="15.75" thickTop="1" x14ac:dyDescent="0.25"/>
    <row r="95" spans="1:15" x14ac:dyDescent="0.25">
      <c r="A95" s="48" t="s">
        <v>165</v>
      </c>
    </row>
    <row r="96" spans="1:15" x14ac:dyDescent="0.25">
      <c r="A96" t="s">
        <v>166</v>
      </c>
      <c r="K96" s="56">
        <v>5000</v>
      </c>
      <c r="O96" s="103">
        <f t="shared" ref="O96:O99" si="47">SUM(B96:M96)</f>
        <v>5000</v>
      </c>
    </row>
    <row r="97" spans="1:15" x14ac:dyDescent="0.25">
      <c r="A97" t="s">
        <v>167</v>
      </c>
      <c r="C97">
        <v>14500</v>
      </c>
      <c r="K97" s="57"/>
      <c r="L97" s="56">
        <v>14500</v>
      </c>
      <c r="O97" s="103">
        <f t="shared" si="47"/>
        <v>29000</v>
      </c>
    </row>
    <row r="98" spans="1:15" x14ac:dyDescent="0.25">
      <c r="A98" t="s">
        <v>168</v>
      </c>
      <c r="B98">
        <v>137.5</v>
      </c>
      <c r="C98">
        <v>1202</v>
      </c>
      <c r="D98">
        <v>1066.4000000000001</v>
      </c>
      <c r="E98">
        <v>2947.5</v>
      </c>
      <c r="F98" s="93">
        <v>923.5</v>
      </c>
      <c r="G98" s="56">
        <v>824.4</v>
      </c>
      <c r="H98">
        <v>2858.57</v>
      </c>
      <c r="I98" s="56">
        <v>1930.5</v>
      </c>
      <c r="J98" s="56">
        <v>1276.5</v>
      </c>
      <c r="K98" s="56">
        <v>3543</v>
      </c>
      <c r="L98" s="56">
        <v>2816.4</v>
      </c>
      <c r="M98" s="136">
        <v>6951.3</v>
      </c>
      <c r="O98" s="103">
        <f t="shared" si="47"/>
        <v>26477.57</v>
      </c>
    </row>
    <row r="99" spans="1:15" x14ac:dyDescent="0.25">
      <c r="A99" t="s">
        <v>169</v>
      </c>
      <c r="B99">
        <v>91.01</v>
      </c>
      <c r="C99">
        <v>108.04</v>
      </c>
      <c r="D99">
        <v>153.83000000000001</v>
      </c>
      <c r="E99">
        <v>19011.54</v>
      </c>
      <c r="F99" s="94">
        <v>96.47</v>
      </c>
      <c r="G99" s="58">
        <v>60.65</v>
      </c>
      <c r="H99">
        <v>124.14</v>
      </c>
      <c r="I99" s="58">
        <v>100.62</v>
      </c>
      <c r="J99" s="58">
        <v>3012.47</v>
      </c>
      <c r="K99" s="58">
        <v>878.03</v>
      </c>
      <c r="L99" s="58">
        <v>144.84</v>
      </c>
      <c r="M99" s="137">
        <v>125.62</v>
      </c>
      <c r="O99" s="104">
        <f t="shared" si="47"/>
        <v>23907.260000000002</v>
      </c>
    </row>
    <row r="100" spans="1:15" ht="15.75" thickBot="1" x14ac:dyDescent="0.3">
      <c r="A100" s="48" t="s">
        <v>170</v>
      </c>
      <c r="B100" s="51">
        <f>SUM(B96:B99)</f>
        <v>228.51</v>
      </c>
      <c r="C100" s="51">
        <f t="shared" ref="C100:F100" si="48">SUM(C96:C99)</f>
        <v>15810.04</v>
      </c>
      <c r="D100" s="51">
        <f t="shared" si="48"/>
        <v>1220.23</v>
      </c>
      <c r="E100" s="51">
        <f t="shared" si="48"/>
        <v>21959.040000000001</v>
      </c>
      <c r="F100" s="51">
        <f t="shared" si="48"/>
        <v>1019.97</v>
      </c>
      <c r="G100" s="51">
        <f t="shared" ref="G100" si="49">SUM(G96:G99)</f>
        <v>885.05</v>
      </c>
      <c r="H100" s="51">
        <f t="shared" ref="H100" si="50">SUM(H96:H99)</f>
        <v>2982.71</v>
      </c>
      <c r="I100" s="51">
        <f t="shared" ref="I100" si="51">SUM(I96:I99)</f>
        <v>2031.12</v>
      </c>
      <c r="J100" s="51">
        <f t="shared" ref="J100" si="52">SUM(J96:J99)</f>
        <v>4288.9699999999993</v>
      </c>
      <c r="K100" s="51">
        <f t="shared" ref="K100" si="53">SUM(K96:K99)</f>
        <v>9421.0300000000007</v>
      </c>
      <c r="L100" s="51">
        <f t="shared" ref="L100" si="54">SUM(L96:L99)</f>
        <v>17461.240000000002</v>
      </c>
      <c r="M100" s="51">
        <f t="shared" ref="M100" si="55">SUM(M96:M99)</f>
        <v>7076.92</v>
      </c>
      <c r="O100" s="119">
        <f>SUM(O96:O99)</f>
        <v>84384.83</v>
      </c>
    </row>
    <row r="101" spans="1:15" ht="15.75" thickTop="1" x14ac:dyDescent="0.25"/>
    <row r="102" spans="1:15" x14ac:dyDescent="0.25">
      <c r="A102" s="48" t="s">
        <v>171</v>
      </c>
    </row>
    <row r="103" spans="1:15" x14ac:dyDescent="0.25">
      <c r="A103" t="s">
        <v>172</v>
      </c>
      <c r="B103">
        <v>36262.06</v>
      </c>
      <c r="C103">
        <v>18317.259999999998</v>
      </c>
      <c r="D103">
        <v>17227.79</v>
      </c>
      <c r="E103">
        <v>40229.199999999997</v>
      </c>
      <c r="F103" s="95">
        <v>6116.58</v>
      </c>
      <c r="G103" s="56">
        <v>9883.3799999999992</v>
      </c>
      <c r="H103">
        <v>14416.45</v>
      </c>
      <c r="I103" s="56">
        <v>63.81</v>
      </c>
      <c r="J103" s="56">
        <v>30785.01</v>
      </c>
      <c r="K103" s="56">
        <v>6129.85</v>
      </c>
      <c r="L103" s="56">
        <v>18716.18</v>
      </c>
      <c r="M103" s="138">
        <v>18311.64</v>
      </c>
      <c r="O103" s="103">
        <f t="shared" ref="O103:O105" si="56">SUM(B103:M103)</f>
        <v>216459.21000000002</v>
      </c>
    </row>
    <row r="104" spans="1:15" x14ac:dyDescent="0.25">
      <c r="A104" t="s">
        <v>173</v>
      </c>
      <c r="B104">
        <v>793.66</v>
      </c>
      <c r="C104">
        <v>690.61</v>
      </c>
      <c r="D104">
        <v>379.6</v>
      </c>
      <c r="E104">
        <v>313.39</v>
      </c>
      <c r="F104" s="95">
        <v>649.04999999999995</v>
      </c>
      <c r="G104" s="56">
        <v>576.97</v>
      </c>
      <c r="H104">
        <v>401.39</v>
      </c>
      <c r="I104" s="56">
        <v>89.78</v>
      </c>
      <c r="J104" s="56">
        <v>108.66</v>
      </c>
      <c r="K104" s="56">
        <v>379.01</v>
      </c>
      <c r="L104" s="56">
        <v>367.45</v>
      </c>
      <c r="M104" s="138">
        <v>1086.47</v>
      </c>
      <c r="O104" s="103">
        <f t="shared" si="56"/>
        <v>5836.04</v>
      </c>
    </row>
    <row r="105" spans="1:15" x14ac:dyDescent="0.25">
      <c r="A105" t="s">
        <v>174</v>
      </c>
      <c r="F105" s="96"/>
      <c r="O105" s="104">
        <f t="shared" si="56"/>
        <v>0</v>
      </c>
    </row>
    <row r="106" spans="1:15" ht="15.75" thickBot="1" x14ac:dyDescent="0.3">
      <c r="A106" s="48" t="s">
        <v>175</v>
      </c>
      <c r="B106" s="51">
        <f>SUM(B103:B105)</f>
        <v>37055.72</v>
      </c>
      <c r="C106" s="51">
        <f t="shared" ref="C106:F106" si="57">SUM(C103:C105)</f>
        <v>19007.87</v>
      </c>
      <c r="D106" s="51">
        <f t="shared" si="57"/>
        <v>17607.39</v>
      </c>
      <c r="E106" s="51">
        <f t="shared" si="57"/>
        <v>40542.589999999997</v>
      </c>
      <c r="F106" s="51">
        <f t="shared" si="57"/>
        <v>6765.63</v>
      </c>
      <c r="G106" s="51">
        <f t="shared" ref="G106" si="58">SUM(G103:G105)</f>
        <v>10460.349999999999</v>
      </c>
      <c r="H106" s="51">
        <f t="shared" ref="H106" si="59">SUM(H103:H105)</f>
        <v>14817.84</v>
      </c>
      <c r="I106" s="51">
        <f t="shared" ref="I106" si="60">SUM(I103:I105)</f>
        <v>153.59</v>
      </c>
      <c r="J106" s="51">
        <f t="shared" ref="J106" si="61">SUM(J103:J105)</f>
        <v>30893.67</v>
      </c>
      <c r="K106" s="51">
        <f t="shared" ref="K106" si="62">SUM(K103:K105)</f>
        <v>6508.8600000000006</v>
      </c>
      <c r="L106" s="51">
        <f t="shared" ref="L106" si="63">SUM(L103:L105)</f>
        <v>19083.63</v>
      </c>
      <c r="M106" s="51">
        <f t="shared" ref="M106" si="64">SUM(M103:M105)</f>
        <v>19398.11</v>
      </c>
      <c r="O106" s="119">
        <f>SUM(O103:O105)</f>
        <v>222295.25000000003</v>
      </c>
    </row>
    <row r="107" spans="1:15" ht="15.75" thickTop="1" x14ac:dyDescent="0.25"/>
    <row r="108" spans="1:15" ht="15.75" thickBot="1" x14ac:dyDescent="0.3">
      <c r="A108" s="48" t="s">
        <v>43</v>
      </c>
      <c r="B108" s="51">
        <f>B50+B83+B93+B100+B106</f>
        <v>255353.79</v>
      </c>
      <c r="C108" s="51">
        <f t="shared" ref="C108:F108" si="65">C50+C83+C93+C100+C106</f>
        <v>283501.01</v>
      </c>
      <c r="D108" s="51">
        <f t="shared" si="65"/>
        <v>250028.51999999996</v>
      </c>
      <c r="E108" s="51">
        <f t="shared" si="65"/>
        <v>253842.51</v>
      </c>
      <c r="F108" s="51">
        <f t="shared" si="65"/>
        <v>167082.73000000004</v>
      </c>
      <c r="G108" s="51">
        <f t="shared" ref="G108:O108" si="66">G50+G83+G93+G100+G106</f>
        <v>246553.62</v>
      </c>
      <c r="H108" s="51">
        <f t="shared" si="66"/>
        <v>287490.21000000008</v>
      </c>
      <c r="I108" s="51">
        <f t="shared" si="66"/>
        <v>172178.74000000002</v>
      </c>
      <c r="J108" s="51">
        <f t="shared" si="66"/>
        <v>258617.82</v>
      </c>
      <c r="K108" s="51">
        <f t="shared" si="66"/>
        <v>236607.90999999997</v>
      </c>
      <c r="L108" s="51">
        <f t="shared" si="66"/>
        <v>244516.93</v>
      </c>
      <c r="M108" s="51">
        <f t="shared" si="66"/>
        <v>285444.64999999997</v>
      </c>
      <c r="O108" s="105">
        <f t="shared" si="66"/>
        <v>2941218.4400000004</v>
      </c>
    </row>
    <row r="109" spans="1:15" ht="15.75" thickTop="1" x14ac:dyDescent="0.25"/>
    <row r="110" spans="1:15" x14ac:dyDescent="0.25">
      <c r="A110" s="48" t="s">
        <v>176</v>
      </c>
    </row>
    <row r="111" spans="1:15" x14ac:dyDescent="0.25">
      <c r="A111" t="s">
        <v>177</v>
      </c>
      <c r="E111">
        <v>2049738.13</v>
      </c>
      <c r="O111" s="104">
        <f t="shared" ref="O111" si="67">SUM(B111:M111)</f>
        <v>2049738.13</v>
      </c>
    </row>
    <row r="112" spans="1:15" ht="15.75" thickBot="1" x14ac:dyDescent="0.3">
      <c r="A112" s="48" t="s">
        <v>178</v>
      </c>
      <c r="B112" s="51">
        <f>B111</f>
        <v>0</v>
      </c>
      <c r="C112" s="51">
        <f t="shared" ref="C112:F112" si="68">C111</f>
        <v>0</v>
      </c>
      <c r="D112" s="51">
        <f t="shared" si="68"/>
        <v>0</v>
      </c>
      <c r="E112" s="51">
        <f t="shared" si="68"/>
        <v>2049738.13</v>
      </c>
      <c r="F112" s="51">
        <f t="shared" si="68"/>
        <v>0</v>
      </c>
      <c r="G112" s="51">
        <f t="shared" ref="G112" si="69">G111</f>
        <v>0</v>
      </c>
      <c r="H112" s="51">
        <f t="shared" ref="H112" si="70">H111</f>
        <v>0</v>
      </c>
      <c r="I112" s="51">
        <f t="shared" ref="I112" si="71">I111</f>
        <v>0</v>
      </c>
      <c r="J112" s="51">
        <f t="shared" ref="J112" si="72">J111</f>
        <v>0</v>
      </c>
      <c r="K112" s="51">
        <f t="shared" ref="K112" si="73">K111</f>
        <v>0</v>
      </c>
      <c r="L112" s="51">
        <f t="shared" ref="L112" si="74">L111</f>
        <v>0</v>
      </c>
      <c r="M112" s="51">
        <f t="shared" ref="M112" si="75">M111</f>
        <v>0</v>
      </c>
      <c r="O112" s="119">
        <f>O111</f>
        <v>2049738.13</v>
      </c>
    </row>
    <row r="113" spans="1:15" ht="15.75" thickTop="1" x14ac:dyDescent="0.25"/>
    <row r="114" spans="1:15" x14ac:dyDescent="0.25">
      <c r="A114" s="48" t="s">
        <v>179</v>
      </c>
    </row>
    <row r="115" spans="1:15" x14ac:dyDescent="0.25">
      <c r="A115" s="48" t="s">
        <v>180</v>
      </c>
    </row>
    <row r="116" spans="1:15" x14ac:dyDescent="0.25">
      <c r="A116" t="s">
        <v>181</v>
      </c>
      <c r="J116">
        <v>125.58</v>
      </c>
      <c r="O116" s="103">
        <f t="shared" ref="O116:O117" si="76">SUM(B116:M116)</f>
        <v>125.58</v>
      </c>
    </row>
    <row r="117" spans="1:15" x14ac:dyDescent="0.25">
      <c r="A117" t="s">
        <v>180</v>
      </c>
      <c r="B117">
        <v>88.55</v>
      </c>
      <c r="C117">
        <v>117.82</v>
      </c>
      <c r="D117">
        <v>9985.77</v>
      </c>
      <c r="E117">
        <v>86.74</v>
      </c>
      <c r="F117" s="97">
        <v>46.47</v>
      </c>
      <c r="G117" s="58">
        <v>50.75</v>
      </c>
      <c r="H117">
        <v>67.37</v>
      </c>
      <c r="J117">
        <v>105.38</v>
      </c>
      <c r="K117">
        <v>53.4</v>
      </c>
      <c r="L117">
        <v>52</v>
      </c>
      <c r="M117">
        <v>63.06</v>
      </c>
      <c r="O117" s="104">
        <f t="shared" si="76"/>
        <v>10717.31</v>
      </c>
    </row>
    <row r="118" spans="1:15" ht="15.75" thickBot="1" x14ac:dyDescent="0.3">
      <c r="A118" s="48" t="s">
        <v>182</v>
      </c>
      <c r="B118" s="51">
        <f>SUM(B115:B117)</f>
        <v>88.55</v>
      </c>
      <c r="C118" s="51">
        <f>SUM(C115:C117)</f>
        <v>117.82</v>
      </c>
      <c r="D118" s="51">
        <f t="shared" ref="D118:F118" si="77">SUM(D115:D117)</f>
        <v>9985.77</v>
      </c>
      <c r="E118" s="51">
        <f t="shared" si="77"/>
        <v>86.74</v>
      </c>
      <c r="F118" s="51">
        <f t="shared" si="77"/>
        <v>46.47</v>
      </c>
      <c r="G118" s="51">
        <f t="shared" ref="G118" si="78">SUM(G115:G117)</f>
        <v>50.75</v>
      </c>
      <c r="H118" s="51">
        <f t="shared" ref="H118" si="79">SUM(H115:H117)</f>
        <v>67.37</v>
      </c>
      <c r="I118" s="51">
        <f t="shared" ref="I118" si="80">SUM(I115:I117)</f>
        <v>0</v>
      </c>
      <c r="J118" s="51">
        <f t="shared" ref="J118" si="81">SUM(J115:J117)</f>
        <v>230.95999999999998</v>
      </c>
      <c r="K118" s="51">
        <f t="shared" ref="K118" si="82">SUM(K115:K117)</f>
        <v>53.4</v>
      </c>
      <c r="L118" s="51">
        <f t="shared" ref="L118" si="83">SUM(L115:L117)</f>
        <v>52</v>
      </c>
      <c r="M118" s="51">
        <f t="shared" ref="M118" si="84">SUM(M115:M117)</f>
        <v>63.06</v>
      </c>
      <c r="O118" s="119">
        <f>O116+O117</f>
        <v>10842.89</v>
      </c>
    </row>
    <row r="119" spans="1:15" ht="15.75" thickTop="1" x14ac:dyDescent="0.25">
      <c r="K119" s="52"/>
    </row>
    <row r="120" spans="1:15" x14ac:dyDescent="0.25">
      <c r="A120" s="48" t="s">
        <v>183</v>
      </c>
    </row>
    <row r="121" spans="1:15" x14ac:dyDescent="0.25">
      <c r="A121" t="s">
        <v>184</v>
      </c>
      <c r="B121">
        <v>555.80999999999995</v>
      </c>
      <c r="C121">
        <v>529.19000000000005</v>
      </c>
      <c r="D121">
        <v>537.39</v>
      </c>
      <c r="E121">
        <v>511.89</v>
      </c>
      <c r="F121" s="98">
        <v>522.28</v>
      </c>
      <c r="G121" s="56">
        <v>514.26</v>
      </c>
      <c r="H121">
        <v>456.89</v>
      </c>
      <c r="I121" s="56">
        <v>497.6</v>
      </c>
      <c r="J121">
        <v>473.43</v>
      </c>
      <c r="K121">
        <v>480.17</v>
      </c>
      <c r="L121">
        <v>455.9</v>
      </c>
      <c r="M121">
        <v>648.57000000000005</v>
      </c>
      <c r="O121" s="103">
        <f t="shared" ref="O121:O124" si="85">SUM(B121:M121)</f>
        <v>6183.3799999999992</v>
      </c>
    </row>
    <row r="122" spans="1:15" x14ac:dyDescent="0.25">
      <c r="A122" t="s">
        <v>185</v>
      </c>
      <c r="C122">
        <v>10877.31</v>
      </c>
      <c r="F122" s="98">
        <v>155914.84</v>
      </c>
      <c r="G122" s="57"/>
      <c r="I122" s="56">
        <v>10648.93</v>
      </c>
      <c r="L122">
        <v>152840.29</v>
      </c>
      <c r="O122" s="103">
        <f t="shared" si="85"/>
        <v>330281.37</v>
      </c>
    </row>
    <row r="123" spans="1:15" x14ac:dyDescent="0.25">
      <c r="A123" t="s">
        <v>186</v>
      </c>
      <c r="E123">
        <v>61151</v>
      </c>
      <c r="F123" s="99"/>
      <c r="G123" s="57"/>
      <c r="I123" s="57"/>
      <c r="K123">
        <v>60131.27</v>
      </c>
      <c r="O123" s="103">
        <f t="shared" si="85"/>
        <v>121282.26999999999</v>
      </c>
    </row>
    <row r="124" spans="1:15" x14ac:dyDescent="0.25">
      <c r="A124" t="s">
        <v>187</v>
      </c>
      <c r="B124">
        <v>36.69</v>
      </c>
      <c r="C124">
        <v>53.66</v>
      </c>
      <c r="D124">
        <v>36.53</v>
      </c>
      <c r="E124">
        <v>31.75</v>
      </c>
      <c r="F124" s="100">
        <v>80.760000000000005</v>
      </c>
      <c r="G124" s="58">
        <v>74.84</v>
      </c>
      <c r="H124">
        <v>95.28</v>
      </c>
      <c r="I124" s="58">
        <v>93.13</v>
      </c>
      <c r="J124">
        <v>92.75</v>
      </c>
      <c r="K124">
        <v>86.06</v>
      </c>
      <c r="L124">
        <v>107.09</v>
      </c>
      <c r="M124">
        <v>116.03</v>
      </c>
      <c r="O124" s="104">
        <f t="shared" si="85"/>
        <v>904.57</v>
      </c>
    </row>
    <row r="125" spans="1:15" ht="15.75" thickBot="1" x14ac:dyDescent="0.3">
      <c r="A125" s="48" t="s">
        <v>188</v>
      </c>
      <c r="B125" s="51">
        <f>SUM(B121:B124)</f>
        <v>592.5</v>
      </c>
      <c r="C125" s="51">
        <f t="shared" ref="C125:F125" si="86">SUM(C121:C124)</f>
        <v>11460.16</v>
      </c>
      <c r="D125" s="51">
        <f t="shared" si="86"/>
        <v>573.91999999999996</v>
      </c>
      <c r="E125" s="51">
        <f t="shared" si="86"/>
        <v>61694.64</v>
      </c>
      <c r="F125" s="51">
        <f t="shared" si="86"/>
        <v>156517.88</v>
      </c>
      <c r="G125" s="51">
        <f t="shared" ref="G125" si="87">SUM(G121:G124)</f>
        <v>589.1</v>
      </c>
      <c r="H125" s="51">
        <f t="shared" ref="H125" si="88">SUM(H121:H124)</f>
        <v>552.16999999999996</v>
      </c>
      <c r="I125" s="51">
        <f t="shared" ref="I125" si="89">SUM(I121:I124)</f>
        <v>11239.66</v>
      </c>
      <c r="J125" s="51">
        <f t="shared" ref="J125" si="90">SUM(J121:J124)</f>
        <v>566.18000000000006</v>
      </c>
      <c r="K125" s="51">
        <f t="shared" ref="K125" si="91">SUM(K121:K124)</f>
        <v>60697.499999999993</v>
      </c>
      <c r="L125" s="51">
        <f t="shared" ref="L125" si="92">SUM(L121:L124)</f>
        <v>153403.28</v>
      </c>
      <c r="M125" s="51">
        <f t="shared" ref="M125" si="93">SUM(M121:M124)</f>
        <v>764.6</v>
      </c>
      <c r="O125" s="119">
        <f>SUM(O121:O124)</f>
        <v>458651.59</v>
      </c>
    </row>
    <row r="126" spans="1:15" ht="15.75" thickTop="1" x14ac:dyDescent="0.25"/>
    <row r="127" spans="1:15" x14ac:dyDescent="0.25">
      <c r="A127" s="48" t="s">
        <v>189</v>
      </c>
    </row>
    <row r="128" spans="1:15" x14ac:dyDescent="0.25">
      <c r="A128" t="s">
        <v>190</v>
      </c>
      <c r="O128" s="103">
        <f t="shared" ref="O128:O129" si="94">SUM(B128:M128)</f>
        <v>0</v>
      </c>
    </row>
    <row r="129" spans="1:15" x14ac:dyDescent="0.25">
      <c r="A129" t="s">
        <v>191</v>
      </c>
      <c r="O129" s="104">
        <f t="shared" si="94"/>
        <v>0</v>
      </c>
    </row>
    <row r="130" spans="1:15" ht="15.75" thickBot="1" x14ac:dyDescent="0.3">
      <c r="A130" s="48" t="s">
        <v>192</v>
      </c>
      <c r="B130" s="51">
        <f>B128+B129</f>
        <v>0</v>
      </c>
      <c r="C130" s="51">
        <f t="shared" ref="C130:M130" si="95">C128+C129</f>
        <v>0</v>
      </c>
      <c r="D130" s="51">
        <f t="shared" si="95"/>
        <v>0</v>
      </c>
      <c r="E130" s="51">
        <f t="shared" si="95"/>
        <v>0</v>
      </c>
      <c r="F130" s="51">
        <f t="shared" si="95"/>
        <v>0</v>
      </c>
      <c r="G130" s="51">
        <f t="shared" si="95"/>
        <v>0</v>
      </c>
      <c r="H130" s="51">
        <f t="shared" si="95"/>
        <v>0</v>
      </c>
      <c r="I130" s="51">
        <f t="shared" si="95"/>
        <v>0</v>
      </c>
      <c r="J130" s="51">
        <f t="shared" si="95"/>
        <v>0</v>
      </c>
      <c r="K130" s="51">
        <f t="shared" si="95"/>
        <v>0</v>
      </c>
      <c r="L130" s="51">
        <f t="shared" si="95"/>
        <v>0</v>
      </c>
      <c r="M130" s="51">
        <f t="shared" si="95"/>
        <v>0</v>
      </c>
      <c r="O130" s="119">
        <f>O128+O129</f>
        <v>0</v>
      </c>
    </row>
    <row r="131" spans="1:15" ht="15.75" thickTop="1" x14ac:dyDescent="0.25"/>
    <row r="132" spans="1:15" x14ac:dyDescent="0.25">
      <c r="A132" s="48" t="s">
        <v>193</v>
      </c>
    </row>
    <row r="133" spans="1:15" x14ac:dyDescent="0.25">
      <c r="A133" t="s">
        <v>194</v>
      </c>
      <c r="O133" s="103">
        <f t="shared" ref="O133:O139" si="96">SUM(B133:M133)</f>
        <v>0</v>
      </c>
    </row>
    <row r="134" spans="1:15" x14ac:dyDescent="0.25">
      <c r="A134" t="s">
        <v>195</v>
      </c>
      <c r="E134">
        <v>11790</v>
      </c>
      <c r="O134" s="103">
        <f t="shared" si="96"/>
        <v>11790</v>
      </c>
    </row>
    <row r="135" spans="1:15" x14ac:dyDescent="0.25">
      <c r="A135" t="s">
        <v>196</v>
      </c>
      <c r="O135" s="103">
        <f t="shared" si="96"/>
        <v>0</v>
      </c>
    </row>
    <row r="136" spans="1:15" x14ac:dyDescent="0.25">
      <c r="A136" t="s">
        <v>197</v>
      </c>
      <c r="O136" s="103">
        <f t="shared" si="96"/>
        <v>0</v>
      </c>
    </row>
    <row r="137" spans="1:15" x14ac:dyDescent="0.25">
      <c r="A137" t="s">
        <v>198</v>
      </c>
      <c r="O137" s="103">
        <f t="shared" si="96"/>
        <v>0</v>
      </c>
    </row>
    <row r="138" spans="1:15" x14ac:dyDescent="0.25">
      <c r="A138" t="s">
        <v>194</v>
      </c>
      <c r="O138" s="103">
        <f t="shared" si="96"/>
        <v>0</v>
      </c>
    </row>
    <row r="139" spans="1:15" x14ac:dyDescent="0.25">
      <c r="A139" t="s">
        <v>195</v>
      </c>
      <c r="O139" s="104">
        <f t="shared" si="96"/>
        <v>0</v>
      </c>
    </row>
    <row r="140" spans="1:15" ht="15.75" thickBot="1" x14ac:dyDescent="0.3">
      <c r="A140" s="48" t="s">
        <v>199</v>
      </c>
      <c r="B140" s="51">
        <f>SUM(B133:B139)</f>
        <v>0</v>
      </c>
      <c r="C140" s="51">
        <f t="shared" ref="C140:F140" si="97">SUM(C133:C139)</f>
        <v>0</v>
      </c>
      <c r="D140" s="51">
        <f t="shared" si="97"/>
        <v>0</v>
      </c>
      <c r="E140" s="51">
        <f t="shared" si="97"/>
        <v>11790</v>
      </c>
      <c r="F140" s="51">
        <f t="shared" si="97"/>
        <v>0</v>
      </c>
      <c r="G140" s="51">
        <f t="shared" ref="G140" si="98">SUM(G133:G139)</f>
        <v>0</v>
      </c>
      <c r="H140" s="51">
        <f t="shared" ref="H140" si="99">SUM(H133:H139)</f>
        <v>0</v>
      </c>
      <c r="I140" s="51">
        <f t="shared" ref="I140" si="100">SUM(I133:I139)</f>
        <v>0</v>
      </c>
      <c r="J140" s="51">
        <f t="shared" ref="J140" si="101">SUM(J133:J139)</f>
        <v>0</v>
      </c>
      <c r="K140" s="51">
        <f t="shared" ref="K140" si="102">SUM(K133:K139)</f>
        <v>0</v>
      </c>
      <c r="L140" s="51">
        <f t="shared" ref="L140" si="103">SUM(L133:L139)</f>
        <v>0</v>
      </c>
      <c r="M140" s="51">
        <f t="shared" ref="M140" si="104">SUM(M133:M139)</f>
        <v>0</v>
      </c>
      <c r="O140" s="119">
        <f>SUM(O133:O139)</f>
        <v>11790</v>
      </c>
    </row>
    <row r="141" spans="1:15" ht="15.75" thickTop="1" x14ac:dyDescent="0.25"/>
    <row r="142" spans="1:15" x14ac:dyDescent="0.25">
      <c r="A142" s="48" t="s">
        <v>200</v>
      </c>
    </row>
    <row r="143" spans="1:15" x14ac:dyDescent="0.25">
      <c r="A143" t="s">
        <v>200</v>
      </c>
      <c r="O143" s="103">
        <f t="shared" ref="O143:O144" si="105">SUM(B143:M143)</f>
        <v>0</v>
      </c>
    </row>
    <row r="144" spans="1:15" x14ac:dyDescent="0.25">
      <c r="A144" t="s">
        <v>201</v>
      </c>
      <c r="O144" s="103">
        <f t="shared" si="105"/>
        <v>0</v>
      </c>
    </row>
    <row r="145" spans="1:15" ht="15.75" thickBot="1" x14ac:dyDescent="0.3">
      <c r="A145" s="48" t="s">
        <v>202</v>
      </c>
      <c r="B145" s="51">
        <f>B143+B144</f>
        <v>0</v>
      </c>
      <c r="C145" s="51">
        <f t="shared" ref="C145:F145" si="106">C143+C144</f>
        <v>0</v>
      </c>
      <c r="D145" s="51">
        <f t="shared" si="106"/>
        <v>0</v>
      </c>
      <c r="E145" s="51">
        <f t="shared" si="106"/>
        <v>0</v>
      </c>
      <c r="F145" s="51">
        <f t="shared" si="106"/>
        <v>0</v>
      </c>
      <c r="G145" s="51">
        <f t="shared" ref="G145" si="107">G143+G144</f>
        <v>0</v>
      </c>
      <c r="H145" s="51">
        <f t="shared" ref="H145" si="108">H143+H144</f>
        <v>0</v>
      </c>
      <c r="I145" s="51">
        <f t="shared" ref="I145" si="109">I143+I144</f>
        <v>0</v>
      </c>
      <c r="J145" s="51">
        <f t="shared" ref="J145" si="110">J143+J144</f>
        <v>0</v>
      </c>
      <c r="K145" s="51">
        <f t="shared" ref="K145" si="111">K143+K144</f>
        <v>0</v>
      </c>
      <c r="L145" s="51">
        <f t="shared" ref="L145" si="112">L143+L144</f>
        <v>0</v>
      </c>
      <c r="M145" s="51">
        <f t="shared" ref="M145" si="113">M143+M144</f>
        <v>0</v>
      </c>
      <c r="O145" s="119">
        <f>O143+O144</f>
        <v>0</v>
      </c>
    </row>
    <row r="146" spans="1:15" ht="15.75" thickTop="1" x14ac:dyDescent="0.25"/>
    <row r="147" spans="1:15" x14ac:dyDescent="0.25">
      <c r="A147" s="48" t="s">
        <v>203</v>
      </c>
    </row>
    <row r="148" spans="1:15" x14ac:dyDescent="0.25">
      <c r="A148" t="s">
        <v>203</v>
      </c>
      <c r="E148">
        <v>1495.74</v>
      </c>
      <c r="I148">
        <v>250</v>
      </c>
      <c r="J148">
        <v>55</v>
      </c>
      <c r="M148">
        <v>250</v>
      </c>
      <c r="O148" s="104">
        <f t="shared" ref="O148" si="114">SUM(B148:M148)</f>
        <v>2050.7399999999998</v>
      </c>
    </row>
    <row r="149" spans="1:15" ht="15.75" thickBot="1" x14ac:dyDescent="0.3">
      <c r="A149" s="48" t="s">
        <v>204</v>
      </c>
      <c r="B149" s="51">
        <f>B148</f>
        <v>0</v>
      </c>
      <c r="C149" s="51">
        <f t="shared" ref="C149:D149" si="115">C148</f>
        <v>0</v>
      </c>
      <c r="D149" s="51">
        <f t="shared" si="115"/>
        <v>0</v>
      </c>
      <c r="E149" s="51">
        <f>E148</f>
        <v>1495.74</v>
      </c>
      <c r="F149" s="51">
        <f>F148</f>
        <v>0</v>
      </c>
      <c r="G149" s="51">
        <f t="shared" ref="G149:M149" si="116">G148</f>
        <v>0</v>
      </c>
      <c r="H149" s="51">
        <f t="shared" si="116"/>
        <v>0</v>
      </c>
      <c r="I149" s="51">
        <f t="shared" si="116"/>
        <v>250</v>
      </c>
      <c r="J149" s="51">
        <f t="shared" si="116"/>
        <v>55</v>
      </c>
      <c r="K149" s="51">
        <f t="shared" si="116"/>
        <v>0</v>
      </c>
      <c r="L149" s="51">
        <f t="shared" si="116"/>
        <v>0</v>
      </c>
      <c r="M149" s="51">
        <f t="shared" si="116"/>
        <v>250</v>
      </c>
      <c r="O149" s="51"/>
    </row>
    <row r="150" spans="1:15" ht="15.75" thickTop="1" x14ac:dyDescent="0.25"/>
    <row r="151" spans="1:15" x14ac:dyDescent="0.25">
      <c r="A151" s="48" t="s">
        <v>205</v>
      </c>
    </row>
    <row r="152" spans="1:15" x14ac:dyDescent="0.25">
      <c r="A152" t="s">
        <v>205</v>
      </c>
      <c r="O152" s="103">
        <f t="shared" ref="O152:O153" si="117">SUM(B152:M152)</f>
        <v>0</v>
      </c>
    </row>
    <row r="153" spans="1:15" x14ac:dyDescent="0.25">
      <c r="A153" t="s">
        <v>206</v>
      </c>
      <c r="B153">
        <v>902.98</v>
      </c>
      <c r="C153">
        <v>902.98</v>
      </c>
      <c r="D153">
        <v>902.98</v>
      </c>
      <c r="E153">
        <v>902.98</v>
      </c>
      <c r="F153" s="101">
        <v>902.98</v>
      </c>
      <c r="G153">
        <v>902.98</v>
      </c>
      <c r="H153">
        <v>902.98</v>
      </c>
      <c r="I153">
        <v>902.98</v>
      </c>
      <c r="J153">
        <v>902.98</v>
      </c>
      <c r="K153">
        <v>902.98</v>
      </c>
      <c r="L153">
        <v>902.98</v>
      </c>
      <c r="M153">
        <v>902.98</v>
      </c>
      <c r="O153" s="104">
        <f t="shared" si="117"/>
        <v>10835.759999999997</v>
      </c>
    </row>
    <row r="154" spans="1:15" ht="15.75" thickBot="1" x14ac:dyDescent="0.3">
      <c r="A154" s="48" t="s">
        <v>207</v>
      </c>
      <c r="B154" s="51">
        <f>SUM(B152:B153)</f>
        <v>902.98</v>
      </c>
      <c r="C154" s="51">
        <f t="shared" ref="C154:F154" si="118">SUM(C152:C153)</f>
        <v>902.98</v>
      </c>
      <c r="D154" s="51">
        <f t="shared" si="118"/>
        <v>902.98</v>
      </c>
      <c r="E154" s="51">
        <f t="shared" si="118"/>
        <v>902.98</v>
      </c>
      <c r="F154" s="51">
        <f t="shared" si="118"/>
        <v>902.98</v>
      </c>
      <c r="G154" s="51">
        <f t="shared" ref="G154" si="119">SUM(G152:G153)</f>
        <v>902.98</v>
      </c>
      <c r="H154" s="51">
        <f t="shared" ref="H154" si="120">SUM(H152:H153)</f>
        <v>902.98</v>
      </c>
      <c r="I154" s="51">
        <f t="shared" ref="I154" si="121">SUM(I152:I153)</f>
        <v>902.98</v>
      </c>
      <c r="J154" s="51">
        <f t="shared" ref="J154" si="122">SUM(J152:J153)</f>
        <v>902.98</v>
      </c>
      <c r="K154" s="51">
        <f t="shared" ref="K154" si="123">SUM(K152:K153)</f>
        <v>902.98</v>
      </c>
      <c r="L154" s="51">
        <f t="shared" ref="L154" si="124">SUM(L152:L153)</f>
        <v>902.98</v>
      </c>
      <c r="M154" s="51">
        <f t="shared" ref="M154" si="125">SUM(M152:M153)</f>
        <v>902.98</v>
      </c>
      <c r="O154" s="119">
        <f>O152+O153</f>
        <v>10835.759999999997</v>
      </c>
    </row>
    <row r="155" spans="1:15" ht="15.75" thickTop="1" x14ac:dyDescent="0.25"/>
    <row r="156" spans="1:15" ht="15.75" thickBot="1" x14ac:dyDescent="0.3">
      <c r="A156" s="48" t="s">
        <v>208</v>
      </c>
      <c r="B156" s="51">
        <f>(B118+B130+B140+B145+B159)-(B125+B149+B154)</f>
        <v>-1406.93</v>
      </c>
      <c r="C156" s="51">
        <f t="shared" ref="C156:L156" si="126">(C118+C130+C140+C145+C159)-(C125+C149+C154)</f>
        <v>-12245.32</v>
      </c>
      <c r="D156" s="51">
        <f t="shared" si="126"/>
        <v>8508.8700000000008</v>
      </c>
      <c r="E156" s="51">
        <f t="shared" si="126"/>
        <v>-52216.62</v>
      </c>
      <c r="F156" s="51">
        <f t="shared" si="126"/>
        <v>-157374.39000000001</v>
      </c>
      <c r="G156" s="51">
        <f t="shared" si="126"/>
        <v>-1441.33</v>
      </c>
      <c r="H156" s="51">
        <f t="shared" si="126"/>
        <v>-1387.7800000000002</v>
      </c>
      <c r="I156" s="51">
        <f t="shared" si="126"/>
        <v>-12392.64</v>
      </c>
      <c r="J156" s="51">
        <f t="shared" si="126"/>
        <v>-1293.2</v>
      </c>
      <c r="K156" s="51">
        <f t="shared" si="126"/>
        <v>-61547.079999999994</v>
      </c>
      <c r="L156" s="51">
        <f t="shared" si="126"/>
        <v>-154254.26</v>
      </c>
      <c r="M156" s="51">
        <f t="shared" ref="M156" si="127">M154+M149+M145+M140+M130+M125+M118</f>
        <v>1980.6399999999999</v>
      </c>
      <c r="O156" s="51">
        <f t="shared" ref="O156" si="128">(O118+O130+O140+O145+O159)-(O125+O149+O154)</f>
        <v>-446854.46</v>
      </c>
    </row>
    <row r="157" spans="1:15" ht="15.75" thickTop="1" x14ac:dyDescent="0.25"/>
    <row r="158" spans="1:15" x14ac:dyDescent="0.25">
      <c r="A158" s="48" t="s">
        <v>209</v>
      </c>
    </row>
    <row r="159" spans="1:15" x14ac:dyDescent="0.25">
      <c r="A159" t="s">
        <v>210</v>
      </c>
    </row>
    <row r="160" spans="1:15" x14ac:dyDescent="0.25">
      <c r="A160" t="s">
        <v>211</v>
      </c>
      <c r="B160">
        <v>4393.92</v>
      </c>
      <c r="C160">
        <v>76.44</v>
      </c>
      <c r="D160">
        <v>147.1</v>
      </c>
      <c r="E160">
        <v>160.01</v>
      </c>
      <c r="G160">
        <v>145.08000000000001</v>
      </c>
      <c r="I160">
        <v>52.8</v>
      </c>
      <c r="J160">
        <v>20.16</v>
      </c>
      <c r="L160">
        <v>232.62</v>
      </c>
      <c r="M160">
        <v>9383.23</v>
      </c>
      <c r="O160" s="104">
        <f t="shared" ref="O160" si="129">SUM(B160:M160)</f>
        <v>14611.36</v>
      </c>
    </row>
    <row r="161" spans="1:15" ht="15.75" thickBot="1" x14ac:dyDescent="0.3">
      <c r="A161" s="48" t="s">
        <v>212</v>
      </c>
      <c r="B161" s="51">
        <f>SUM(B159:B160)</f>
        <v>4393.92</v>
      </c>
      <c r="C161" s="51">
        <f t="shared" ref="C161:F161" si="130">SUM(C159:C160)</f>
        <v>76.44</v>
      </c>
      <c r="D161" s="51">
        <f t="shared" si="130"/>
        <v>147.1</v>
      </c>
      <c r="E161" s="51">
        <f t="shared" si="130"/>
        <v>160.01</v>
      </c>
      <c r="F161" s="51">
        <f t="shared" si="130"/>
        <v>0</v>
      </c>
      <c r="G161" s="51">
        <f t="shared" ref="G161" si="131">SUM(G159:G160)</f>
        <v>145.08000000000001</v>
      </c>
      <c r="H161" s="51">
        <f t="shared" ref="H161" si="132">SUM(H159:H160)</f>
        <v>0</v>
      </c>
      <c r="I161" s="51">
        <f t="shared" ref="I161" si="133">SUM(I159:I160)</f>
        <v>52.8</v>
      </c>
      <c r="J161" s="51">
        <f t="shared" ref="J161" si="134">SUM(J159:J160)</f>
        <v>20.16</v>
      </c>
      <c r="K161" s="51">
        <f t="shared" ref="K161" si="135">SUM(K159:K160)</f>
        <v>0</v>
      </c>
      <c r="L161" s="51">
        <f t="shared" ref="L161" si="136">SUM(L159:L160)</f>
        <v>232.62</v>
      </c>
      <c r="M161" s="51">
        <f t="shared" ref="M161" si="137">SUM(M159:M160)</f>
        <v>9383.23</v>
      </c>
      <c r="O161" s="119">
        <f>O159+O160</f>
        <v>14611.36</v>
      </c>
    </row>
    <row r="162" spans="1:15" ht="15.75" thickTop="1" x14ac:dyDescent="0.25"/>
    <row r="163" spans="1:15" x14ac:dyDescent="0.25">
      <c r="A163" s="48" t="s">
        <v>213</v>
      </c>
      <c r="B163">
        <f>(B20+B40+B118+B161)-(B108+B112+B125+B149+B154)</f>
        <v>157080.36999999994</v>
      </c>
      <c r="C163">
        <f t="shared" ref="C163:O163" si="138">(C20+C40+C118+C161)-(C108+C112+C125+C149+C154)</f>
        <v>104007.45000000007</v>
      </c>
      <c r="D163">
        <f t="shared" si="138"/>
        <v>117568.15999999997</v>
      </c>
      <c r="E163">
        <f t="shared" si="138"/>
        <v>-1990146.46</v>
      </c>
      <c r="F163">
        <f t="shared" si="138"/>
        <v>25728.089999999909</v>
      </c>
      <c r="G163">
        <f t="shared" si="138"/>
        <v>148926.34999999998</v>
      </c>
      <c r="H163">
        <f t="shared" si="138"/>
        <v>43061.229999999923</v>
      </c>
      <c r="I163">
        <f t="shared" si="138"/>
        <v>193130.04999999996</v>
      </c>
      <c r="J163">
        <f t="shared" si="138"/>
        <v>125577.11999999997</v>
      </c>
      <c r="K163">
        <f t="shared" si="138"/>
        <v>114940.82000000012</v>
      </c>
      <c r="L163">
        <f t="shared" si="138"/>
        <v>-26859.029999999912</v>
      </c>
      <c r="M163">
        <f t="shared" si="138"/>
        <v>139384.65000000008</v>
      </c>
      <c r="O163">
        <f t="shared" si="138"/>
        <v>-845550.46000000089</v>
      </c>
    </row>
    <row r="165" spans="1:15" x14ac:dyDescent="0.25">
      <c r="A165" s="48"/>
    </row>
  </sheetData>
  <printOptions headings="1" gridLines="1"/>
  <pageMargins left="0.7" right="0.7" top="0.75" bottom="0.75" header="0.3" footer="0.3"/>
  <pageSetup paperSize="3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B233D-014E-4ADE-B1DF-CA3582176057}">
  <dimension ref="A1:B163"/>
  <sheetViews>
    <sheetView workbookViewId="0">
      <selection activeCell="B10" sqref="B10"/>
    </sheetView>
  </sheetViews>
  <sheetFormatPr defaultRowHeight="15" x14ac:dyDescent="0.25"/>
  <cols>
    <col min="1" max="1" width="46.85546875" customWidth="1"/>
    <col min="2" max="2" width="13.28515625" bestFit="1" customWidth="1"/>
  </cols>
  <sheetData>
    <row r="1" spans="1:2" x14ac:dyDescent="0.25">
      <c r="A1" t="s">
        <v>84</v>
      </c>
    </row>
    <row r="2" spans="1:2" x14ac:dyDescent="0.25">
      <c r="A2" t="s">
        <v>261</v>
      </c>
    </row>
    <row r="3" spans="1:2" x14ac:dyDescent="0.25">
      <c r="A3" s="48" t="s">
        <v>90</v>
      </c>
    </row>
    <row r="4" spans="1:2" x14ac:dyDescent="0.25">
      <c r="A4" t="s">
        <v>85</v>
      </c>
    </row>
    <row r="5" spans="1:2" x14ac:dyDescent="0.25">
      <c r="A5" t="s">
        <v>86</v>
      </c>
    </row>
    <row r="6" spans="1:2" x14ac:dyDescent="0.25">
      <c r="A6" t="s">
        <v>87</v>
      </c>
    </row>
    <row r="7" spans="1:2" x14ac:dyDescent="0.25">
      <c r="A7" t="s">
        <v>215</v>
      </c>
    </row>
    <row r="8" spans="1:2" x14ac:dyDescent="0.25">
      <c r="A8" t="s">
        <v>88</v>
      </c>
    </row>
    <row r="9" spans="1:2" x14ac:dyDescent="0.25">
      <c r="A9" t="s">
        <v>216</v>
      </c>
    </row>
    <row r="10" spans="1:2" x14ac:dyDescent="0.25">
      <c r="A10" s="48" t="s">
        <v>89</v>
      </c>
      <c r="B10" s="121">
        <f>'Income - Summary'!O10-'Income - Sewer'!O11</f>
        <v>3665581.9699999997</v>
      </c>
    </row>
    <row r="12" spans="1:2" x14ac:dyDescent="0.25">
      <c r="A12" s="48" t="s">
        <v>91</v>
      </c>
    </row>
    <row r="13" spans="1:2" x14ac:dyDescent="0.25">
      <c r="A13" t="s">
        <v>92</v>
      </c>
    </row>
    <row r="14" spans="1:2" x14ac:dyDescent="0.25">
      <c r="A14" s="48" t="s">
        <v>93</v>
      </c>
      <c r="B14">
        <v>0</v>
      </c>
    </row>
    <row r="16" spans="1:2" x14ac:dyDescent="0.25">
      <c r="A16" s="48" t="s">
        <v>94</v>
      </c>
    </row>
    <row r="17" spans="1:2" x14ac:dyDescent="0.25">
      <c r="A17" t="s">
        <v>95</v>
      </c>
    </row>
    <row r="18" spans="1:2" x14ac:dyDescent="0.25">
      <c r="A18" s="48" t="s">
        <v>96</v>
      </c>
      <c r="B18">
        <v>0</v>
      </c>
    </row>
    <row r="20" spans="1:2" x14ac:dyDescent="0.25">
      <c r="A20" s="48" t="s">
        <v>97</v>
      </c>
      <c r="B20" s="121">
        <f>B10+B14+B18</f>
        <v>3665581.9699999997</v>
      </c>
    </row>
    <row r="22" spans="1:2" x14ac:dyDescent="0.25">
      <c r="A22" s="48" t="s">
        <v>98</v>
      </c>
    </row>
    <row r="23" spans="1:2" x14ac:dyDescent="0.25">
      <c r="A23" t="s">
        <v>99</v>
      </c>
    </row>
    <row r="24" spans="1:2" x14ac:dyDescent="0.25">
      <c r="A24" t="s">
        <v>100</v>
      </c>
    </row>
    <row r="25" spans="1:2" x14ac:dyDescent="0.25">
      <c r="A25" t="s">
        <v>101</v>
      </c>
    </row>
    <row r="26" spans="1:2" x14ac:dyDescent="0.25">
      <c r="A26" t="s">
        <v>102</v>
      </c>
    </row>
    <row r="27" spans="1:2" x14ac:dyDescent="0.25">
      <c r="A27" t="s">
        <v>103</v>
      </c>
    </row>
    <row r="28" spans="1:2" x14ac:dyDescent="0.25">
      <c r="A28" t="s">
        <v>104</v>
      </c>
    </row>
    <row r="29" spans="1:2" x14ac:dyDescent="0.25">
      <c r="A29" t="s">
        <v>105</v>
      </c>
    </row>
    <row r="30" spans="1:2" x14ac:dyDescent="0.25">
      <c r="A30" t="s">
        <v>106</v>
      </c>
    </row>
    <row r="31" spans="1:2" x14ac:dyDescent="0.25">
      <c r="A31" t="s">
        <v>107</v>
      </c>
    </row>
    <row r="32" spans="1:2" x14ac:dyDescent="0.25">
      <c r="A32" t="s">
        <v>108</v>
      </c>
    </row>
    <row r="33" spans="1:2" x14ac:dyDescent="0.25">
      <c r="A33" t="s">
        <v>109</v>
      </c>
    </row>
    <row r="34" spans="1:2" x14ac:dyDescent="0.25">
      <c r="A34" t="s">
        <v>110</v>
      </c>
    </row>
    <row r="35" spans="1:2" x14ac:dyDescent="0.25">
      <c r="A35" t="s">
        <v>111</v>
      </c>
    </row>
    <row r="36" spans="1:2" x14ac:dyDescent="0.25">
      <c r="A36" t="s">
        <v>112</v>
      </c>
    </row>
    <row r="37" spans="1:2" x14ac:dyDescent="0.25">
      <c r="A37" t="s">
        <v>113</v>
      </c>
    </row>
    <row r="38" spans="1:2" x14ac:dyDescent="0.25">
      <c r="A38" t="s">
        <v>114</v>
      </c>
    </row>
    <row r="39" spans="1:2" x14ac:dyDescent="0.25">
      <c r="A39" t="s">
        <v>115</v>
      </c>
    </row>
    <row r="40" spans="1:2" x14ac:dyDescent="0.25">
      <c r="A40" s="48" t="s">
        <v>116</v>
      </c>
      <c r="B40" s="121">
        <f>'Income - Summary'!O40-'Income - Sewer'!O41</f>
        <v>229414.84000000003</v>
      </c>
    </row>
    <row r="42" spans="1:2" x14ac:dyDescent="0.25">
      <c r="A42" s="48" t="s">
        <v>117</v>
      </c>
    </row>
    <row r="43" spans="1:2" x14ac:dyDescent="0.25">
      <c r="A43" s="48" t="s">
        <v>118</v>
      </c>
    </row>
    <row r="44" spans="1:2" x14ac:dyDescent="0.25">
      <c r="A44" t="s">
        <v>119</v>
      </c>
    </row>
    <row r="45" spans="1:2" x14ac:dyDescent="0.25">
      <c r="A45" t="s">
        <v>120</v>
      </c>
    </row>
    <row r="46" spans="1:2" x14ac:dyDescent="0.25">
      <c r="A46" t="s">
        <v>121</v>
      </c>
    </row>
    <row r="47" spans="1:2" x14ac:dyDescent="0.25">
      <c r="A47" t="s">
        <v>122</v>
      </c>
    </row>
    <row r="48" spans="1:2" x14ac:dyDescent="0.25">
      <c r="A48" t="s">
        <v>123</v>
      </c>
    </row>
    <row r="49" spans="1:2" x14ac:dyDescent="0.25">
      <c r="A49" t="s">
        <v>124</v>
      </c>
    </row>
    <row r="50" spans="1:2" x14ac:dyDescent="0.25">
      <c r="A50" s="48" t="s">
        <v>125</v>
      </c>
      <c r="B50" s="103">
        <f>'Income - Summary'!O50-'Income - Sewer'!O52</f>
        <v>1196198.5</v>
      </c>
    </row>
    <row r="52" spans="1:2" x14ac:dyDescent="0.25">
      <c r="A52" s="48" t="s">
        <v>126</v>
      </c>
    </row>
    <row r="53" spans="1:2" x14ac:dyDescent="0.25">
      <c r="A53" t="s">
        <v>115</v>
      </c>
    </row>
    <row r="54" spans="1:2" x14ac:dyDescent="0.25">
      <c r="A54" t="s">
        <v>127</v>
      </c>
    </row>
    <row r="55" spans="1:2" x14ac:dyDescent="0.25">
      <c r="A55" t="s">
        <v>128</v>
      </c>
    </row>
    <row r="56" spans="1:2" x14ac:dyDescent="0.25">
      <c r="A56" t="s">
        <v>129</v>
      </c>
    </row>
    <row r="57" spans="1:2" x14ac:dyDescent="0.25">
      <c r="A57" t="s">
        <v>130</v>
      </c>
    </row>
    <row r="58" spans="1:2" x14ac:dyDescent="0.25">
      <c r="A58" t="s">
        <v>131</v>
      </c>
    </row>
    <row r="59" spans="1:2" x14ac:dyDescent="0.25">
      <c r="A59" t="s">
        <v>132</v>
      </c>
    </row>
    <row r="60" spans="1:2" x14ac:dyDescent="0.25">
      <c r="A60" t="s">
        <v>133</v>
      </c>
    </row>
    <row r="61" spans="1:2" x14ac:dyDescent="0.25">
      <c r="A61" t="s">
        <v>134</v>
      </c>
    </row>
    <row r="62" spans="1:2" x14ac:dyDescent="0.25">
      <c r="A62" t="s">
        <v>135</v>
      </c>
    </row>
    <row r="63" spans="1:2" x14ac:dyDescent="0.25">
      <c r="A63" t="s">
        <v>214</v>
      </c>
    </row>
    <row r="64" spans="1:2" x14ac:dyDescent="0.25">
      <c r="A64" t="s">
        <v>136</v>
      </c>
    </row>
    <row r="65" spans="1:1" x14ac:dyDescent="0.25">
      <c r="A65" t="s">
        <v>137</v>
      </c>
    </row>
    <row r="66" spans="1:1" x14ac:dyDescent="0.25">
      <c r="A66" t="s">
        <v>138</v>
      </c>
    </row>
    <row r="67" spans="1:1" x14ac:dyDescent="0.25">
      <c r="A67" t="s">
        <v>139</v>
      </c>
    </row>
    <row r="68" spans="1:1" x14ac:dyDescent="0.25">
      <c r="A68" t="s">
        <v>140</v>
      </c>
    </row>
    <row r="69" spans="1:1" x14ac:dyDescent="0.25">
      <c r="A69" t="s">
        <v>141</v>
      </c>
    </row>
    <row r="70" spans="1:1" x14ac:dyDescent="0.25">
      <c r="A70" t="s">
        <v>142</v>
      </c>
    </row>
    <row r="71" spans="1:1" x14ac:dyDescent="0.25">
      <c r="A71" t="s">
        <v>143</v>
      </c>
    </row>
    <row r="72" spans="1:1" x14ac:dyDescent="0.25">
      <c r="A72" t="s">
        <v>144</v>
      </c>
    </row>
    <row r="73" spans="1:1" x14ac:dyDescent="0.25">
      <c r="A73" t="s">
        <v>145</v>
      </c>
    </row>
    <row r="74" spans="1:1" x14ac:dyDescent="0.25">
      <c r="A74" t="s">
        <v>146</v>
      </c>
    </row>
    <row r="75" spans="1:1" x14ac:dyDescent="0.25">
      <c r="A75" t="s">
        <v>147</v>
      </c>
    </row>
    <row r="76" spans="1:1" x14ac:dyDescent="0.25">
      <c r="A76" t="s">
        <v>148</v>
      </c>
    </row>
    <row r="77" spans="1:1" x14ac:dyDescent="0.25">
      <c r="A77" t="s">
        <v>149</v>
      </c>
    </row>
    <row r="78" spans="1:1" x14ac:dyDescent="0.25">
      <c r="A78" t="s">
        <v>150</v>
      </c>
    </row>
    <row r="79" spans="1:1" x14ac:dyDescent="0.25">
      <c r="A79" t="s">
        <v>151</v>
      </c>
    </row>
    <row r="80" spans="1:1" x14ac:dyDescent="0.25">
      <c r="A80" t="s">
        <v>152</v>
      </c>
    </row>
    <row r="81" spans="1:2" x14ac:dyDescent="0.25">
      <c r="A81" t="s">
        <v>153</v>
      </c>
    </row>
    <row r="82" spans="1:2" x14ac:dyDescent="0.25">
      <c r="A82" t="s">
        <v>154</v>
      </c>
    </row>
    <row r="83" spans="1:2" x14ac:dyDescent="0.25">
      <c r="A83" s="48" t="s">
        <v>155</v>
      </c>
      <c r="B83" s="103">
        <f>'Income - Summary'!O83-'Income - Sewer'!O85</f>
        <v>715217.13000000012</v>
      </c>
    </row>
    <row r="85" spans="1:2" x14ac:dyDescent="0.25">
      <c r="A85" s="48" t="s">
        <v>156</v>
      </c>
    </row>
    <row r="86" spans="1:2" x14ac:dyDescent="0.25">
      <c r="A86" t="s">
        <v>157</v>
      </c>
    </row>
    <row r="87" spans="1:2" x14ac:dyDescent="0.25">
      <c r="A87" t="s">
        <v>158</v>
      </c>
    </row>
    <row r="88" spans="1:2" x14ac:dyDescent="0.25">
      <c r="A88" t="s">
        <v>159</v>
      </c>
    </row>
    <row r="89" spans="1:2" x14ac:dyDescent="0.25">
      <c r="A89" t="s">
        <v>160</v>
      </c>
    </row>
    <row r="90" spans="1:2" x14ac:dyDescent="0.25">
      <c r="A90" t="s">
        <v>161</v>
      </c>
    </row>
    <row r="91" spans="1:2" x14ac:dyDescent="0.25">
      <c r="A91" t="s">
        <v>162</v>
      </c>
    </row>
    <row r="92" spans="1:2" x14ac:dyDescent="0.25">
      <c r="A92" t="s">
        <v>163</v>
      </c>
    </row>
    <row r="93" spans="1:2" x14ac:dyDescent="0.25">
      <c r="A93" s="48" t="s">
        <v>164</v>
      </c>
      <c r="B93" s="103">
        <f>'Income - Summary'!O93-'Income - Sewer'!O95</f>
        <v>96391.990000000049</v>
      </c>
    </row>
    <row r="95" spans="1:2" x14ac:dyDescent="0.25">
      <c r="A95" s="48" t="s">
        <v>165</v>
      </c>
    </row>
    <row r="96" spans="1:2" x14ac:dyDescent="0.25">
      <c r="A96" t="s">
        <v>166</v>
      </c>
    </row>
    <row r="97" spans="1:2" x14ac:dyDescent="0.25">
      <c r="A97" t="s">
        <v>167</v>
      </c>
    </row>
    <row r="98" spans="1:2" x14ac:dyDescent="0.25">
      <c r="A98" t="s">
        <v>168</v>
      </c>
    </row>
    <row r="99" spans="1:2" x14ac:dyDescent="0.25">
      <c r="A99" t="s">
        <v>169</v>
      </c>
    </row>
    <row r="100" spans="1:2" x14ac:dyDescent="0.25">
      <c r="A100" s="48" t="s">
        <v>170</v>
      </c>
      <c r="B100" s="103">
        <f>'Income - Summary'!O100-'Income - Sewer'!O102</f>
        <v>60372.62</v>
      </c>
    </row>
    <row r="102" spans="1:2" x14ac:dyDescent="0.25">
      <c r="A102" s="48" t="s">
        <v>171</v>
      </c>
    </row>
    <row r="103" spans="1:2" x14ac:dyDescent="0.25">
      <c r="A103" t="s">
        <v>172</v>
      </c>
    </row>
    <row r="104" spans="1:2" x14ac:dyDescent="0.25">
      <c r="A104" t="s">
        <v>173</v>
      </c>
    </row>
    <row r="105" spans="1:2" x14ac:dyDescent="0.25">
      <c r="A105" t="s">
        <v>174</v>
      </c>
    </row>
    <row r="106" spans="1:2" x14ac:dyDescent="0.25">
      <c r="A106" s="48" t="s">
        <v>175</v>
      </c>
      <c r="B106" s="103">
        <f>'Income - Summary'!O106-'Income - Sewer'!O108</f>
        <v>188633.02000000002</v>
      </c>
    </row>
    <row r="108" spans="1:2" x14ac:dyDescent="0.25">
      <c r="A108" s="48" t="s">
        <v>43</v>
      </c>
      <c r="B108" s="121">
        <f>B50+B83+B93+B100+B106</f>
        <v>2256813.2600000002</v>
      </c>
    </row>
    <row r="110" spans="1:2" x14ac:dyDescent="0.25">
      <c r="A110" s="48" t="s">
        <v>176</v>
      </c>
    </row>
    <row r="111" spans="1:2" x14ac:dyDescent="0.25">
      <c r="A111" t="s">
        <v>177</v>
      </c>
    </row>
    <row r="112" spans="1:2" x14ac:dyDescent="0.25">
      <c r="A112" s="48" t="s">
        <v>178</v>
      </c>
      <c r="B112" s="103">
        <f>'Income - Summary'!O112-'Income - Sewer'!O114</f>
        <v>1515247.41</v>
      </c>
    </row>
    <row r="114" spans="1:2" x14ac:dyDescent="0.25">
      <c r="A114" s="48" t="s">
        <v>179</v>
      </c>
    </row>
    <row r="115" spans="1:2" x14ac:dyDescent="0.25">
      <c r="A115" s="48" t="s">
        <v>180</v>
      </c>
    </row>
    <row r="116" spans="1:2" x14ac:dyDescent="0.25">
      <c r="A116" t="s">
        <v>181</v>
      </c>
    </row>
    <row r="117" spans="1:2" x14ac:dyDescent="0.25">
      <c r="A117" t="s">
        <v>180</v>
      </c>
    </row>
    <row r="118" spans="1:2" x14ac:dyDescent="0.25">
      <c r="A118" s="48" t="s">
        <v>182</v>
      </c>
      <c r="B118" s="103">
        <f>'Income - Summary'!O118-'Income - Sewer'!O122</f>
        <v>10779.08</v>
      </c>
    </row>
    <row r="120" spans="1:2" x14ac:dyDescent="0.25">
      <c r="A120" s="48" t="s">
        <v>183</v>
      </c>
    </row>
    <row r="121" spans="1:2" x14ac:dyDescent="0.25">
      <c r="A121" t="s">
        <v>184</v>
      </c>
    </row>
    <row r="122" spans="1:2" x14ac:dyDescent="0.25">
      <c r="A122" t="s">
        <v>185</v>
      </c>
    </row>
    <row r="123" spans="1:2" x14ac:dyDescent="0.25">
      <c r="A123" t="s">
        <v>186</v>
      </c>
    </row>
    <row r="124" spans="1:2" x14ac:dyDescent="0.25">
      <c r="A124" t="s">
        <v>187</v>
      </c>
    </row>
    <row r="125" spans="1:2" x14ac:dyDescent="0.25">
      <c r="A125" s="48" t="s">
        <v>188</v>
      </c>
      <c r="B125" s="103">
        <f>'Income - Summary'!O125-'Income - Sewer'!O129</f>
        <v>413601.65</v>
      </c>
    </row>
    <row r="127" spans="1:2" x14ac:dyDescent="0.25">
      <c r="A127" s="48" t="s">
        <v>189</v>
      </c>
    </row>
    <row r="128" spans="1:2" x14ac:dyDescent="0.25">
      <c r="A128" t="s">
        <v>190</v>
      </c>
    </row>
    <row r="129" spans="1:2" x14ac:dyDescent="0.25">
      <c r="A129" t="s">
        <v>191</v>
      </c>
    </row>
    <row r="130" spans="1:2" x14ac:dyDescent="0.25">
      <c r="A130" s="48" t="s">
        <v>192</v>
      </c>
      <c r="B130" s="103">
        <f>'Income - Summary'!O130-'Income - Sewer'!O134</f>
        <v>0</v>
      </c>
    </row>
    <row r="132" spans="1:2" x14ac:dyDescent="0.25">
      <c r="A132" s="48" t="s">
        <v>193</v>
      </c>
    </row>
    <row r="133" spans="1:2" x14ac:dyDescent="0.25">
      <c r="A133" t="s">
        <v>194</v>
      </c>
    </row>
    <row r="134" spans="1:2" x14ac:dyDescent="0.25">
      <c r="A134" t="s">
        <v>195</v>
      </c>
    </row>
    <row r="135" spans="1:2" x14ac:dyDescent="0.25">
      <c r="A135" t="s">
        <v>196</v>
      </c>
    </row>
    <row r="136" spans="1:2" x14ac:dyDescent="0.25">
      <c r="A136" t="s">
        <v>197</v>
      </c>
    </row>
    <row r="137" spans="1:2" x14ac:dyDescent="0.25">
      <c r="A137" t="s">
        <v>198</v>
      </c>
    </row>
    <row r="138" spans="1:2" x14ac:dyDescent="0.25">
      <c r="A138" t="s">
        <v>194</v>
      </c>
    </row>
    <row r="139" spans="1:2" x14ac:dyDescent="0.25">
      <c r="A139" t="s">
        <v>195</v>
      </c>
    </row>
    <row r="140" spans="1:2" x14ac:dyDescent="0.25">
      <c r="A140" s="48" t="s">
        <v>199</v>
      </c>
      <c r="B140" s="103">
        <f>'Income - Summary'!O140-'Income - Sewer'!O144</f>
        <v>11790</v>
      </c>
    </row>
    <row r="142" spans="1:2" x14ac:dyDescent="0.25">
      <c r="A142" s="48" t="s">
        <v>200</v>
      </c>
    </row>
    <row r="143" spans="1:2" x14ac:dyDescent="0.25">
      <c r="A143" t="s">
        <v>200</v>
      </c>
    </row>
    <row r="144" spans="1:2" x14ac:dyDescent="0.25">
      <c r="A144" t="s">
        <v>201</v>
      </c>
    </row>
    <row r="145" spans="1:2" x14ac:dyDescent="0.25">
      <c r="A145" s="48" t="s">
        <v>202</v>
      </c>
      <c r="B145" s="107">
        <f>'Income - Summary'!O145-'Income - Sewer'!O149</f>
        <v>0</v>
      </c>
    </row>
    <row r="147" spans="1:2" x14ac:dyDescent="0.25">
      <c r="A147" s="48" t="s">
        <v>203</v>
      </c>
    </row>
    <row r="148" spans="1:2" x14ac:dyDescent="0.25">
      <c r="A148" t="s">
        <v>203</v>
      </c>
      <c r="B148" s="103">
        <f>'Income - Summary'!O148-'Income - Sewer'!O153</f>
        <v>1426.7999999999997</v>
      </c>
    </row>
    <row r="149" spans="1:2" x14ac:dyDescent="0.25">
      <c r="A149" s="48" t="s">
        <v>204</v>
      </c>
    </row>
    <row r="151" spans="1:2" x14ac:dyDescent="0.25">
      <c r="A151" s="48" t="s">
        <v>205</v>
      </c>
    </row>
    <row r="152" spans="1:2" x14ac:dyDescent="0.25">
      <c r="A152" t="s">
        <v>205</v>
      </c>
    </row>
    <row r="153" spans="1:2" x14ac:dyDescent="0.25">
      <c r="A153" t="s">
        <v>206</v>
      </c>
    </row>
    <row r="154" spans="1:2" x14ac:dyDescent="0.25">
      <c r="A154" s="48" t="s">
        <v>207</v>
      </c>
      <c r="B154" s="103">
        <f>'Income - Summary'!O154-'Income - Sewer'!O158</f>
        <v>10835.759999999997</v>
      </c>
    </row>
    <row r="156" spans="1:2" x14ac:dyDescent="0.25">
      <c r="A156" s="48" t="s">
        <v>208</v>
      </c>
      <c r="B156" s="103">
        <f>(B118+B130+B140+B145+B159)-(B125+B149+B154)</f>
        <v>-401868.33</v>
      </c>
    </row>
    <row r="158" spans="1:2" x14ac:dyDescent="0.25">
      <c r="A158" s="48" t="s">
        <v>209</v>
      </c>
    </row>
    <row r="159" spans="1:2" x14ac:dyDescent="0.25">
      <c r="A159" t="s">
        <v>210</v>
      </c>
    </row>
    <row r="160" spans="1:2" x14ac:dyDescent="0.25">
      <c r="A160" t="s">
        <v>211</v>
      </c>
    </row>
    <row r="161" spans="1:2" x14ac:dyDescent="0.25">
      <c r="A161" s="48" t="s">
        <v>212</v>
      </c>
      <c r="B161" s="103">
        <f>'Income - Summary'!O161-'Income - Sewer'!O167</f>
        <v>14611.36</v>
      </c>
    </row>
    <row r="163" spans="1:2" x14ac:dyDescent="0.25">
      <c r="A163" s="48" t="s">
        <v>213</v>
      </c>
      <c r="B163" s="103">
        <f>(B20+B40+B118+B130+B140+B145+B161)-(B108+B112+B125+B149+B154)</f>
        <v>-264320.83000000054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C0533-435E-465D-90AF-6639BF22909F}">
  <dimension ref="A1:O169"/>
  <sheetViews>
    <sheetView topLeftCell="A49" workbookViewId="0">
      <pane xSplit="1" topLeftCell="L1" activePane="topRight" state="frozen"/>
      <selection pane="topRight" activeCell="M153" sqref="M153"/>
    </sheetView>
  </sheetViews>
  <sheetFormatPr defaultRowHeight="15" x14ac:dyDescent="0.25"/>
  <cols>
    <col min="1" max="1" width="42" customWidth="1"/>
    <col min="2" max="4" width="9.85546875" bestFit="1" customWidth="1"/>
    <col min="5" max="5" width="10.85546875" bestFit="1" customWidth="1"/>
    <col min="6" max="6" width="9.7109375" bestFit="1" customWidth="1"/>
    <col min="7" max="12" width="9.85546875" bestFit="1" customWidth="1"/>
    <col min="13" max="13" width="9.7109375" bestFit="1" customWidth="1"/>
    <col min="15" max="15" width="11.5703125" bestFit="1" customWidth="1"/>
  </cols>
  <sheetData>
    <row r="1" spans="1:15" x14ac:dyDescent="0.25">
      <c r="A1" t="s">
        <v>84</v>
      </c>
    </row>
    <row r="2" spans="1:15" x14ac:dyDescent="0.25">
      <c r="A2" s="48" t="s">
        <v>259</v>
      </c>
      <c r="B2" s="49">
        <v>43344</v>
      </c>
      <c r="C2" s="49">
        <v>43374</v>
      </c>
      <c r="D2" s="49">
        <v>43405</v>
      </c>
      <c r="E2" s="49">
        <v>43435</v>
      </c>
      <c r="F2" s="53">
        <v>43466</v>
      </c>
      <c r="G2" s="53">
        <v>43497</v>
      </c>
      <c r="H2" s="53">
        <v>43525</v>
      </c>
      <c r="I2" s="53">
        <v>43556</v>
      </c>
      <c r="J2" s="53">
        <v>43586</v>
      </c>
      <c r="K2" s="53">
        <v>43617</v>
      </c>
      <c r="L2" s="53">
        <v>43647</v>
      </c>
      <c r="M2" s="53">
        <v>43678</v>
      </c>
      <c r="O2" s="106" t="s">
        <v>260</v>
      </c>
    </row>
    <row r="3" spans="1:15" x14ac:dyDescent="0.25">
      <c r="A3" s="60" t="s">
        <v>217</v>
      </c>
      <c r="B3" s="61"/>
    </row>
    <row r="4" spans="1:15" x14ac:dyDescent="0.25">
      <c r="A4" s="60" t="s">
        <v>218</v>
      </c>
      <c r="B4" s="61"/>
    </row>
    <row r="5" spans="1:15" x14ac:dyDescent="0.25">
      <c r="A5" s="62" t="s">
        <v>85</v>
      </c>
      <c r="B5" s="57"/>
    </row>
    <row r="6" spans="1:15" x14ac:dyDescent="0.25">
      <c r="A6" s="62" t="s">
        <v>86</v>
      </c>
      <c r="B6" s="57"/>
    </row>
    <row r="7" spans="1:15" x14ac:dyDescent="0.25">
      <c r="A7" s="62" t="s">
        <v>87</v>
      </c>
      <c r="B7" s="57"/>
    </row>
    <row r="8" spans="1:15" x14ac:dyDescent="0.25">
      <c r="A8" s="62" t="s">
        <v>215</v>
      </c>
      <c r="B8" s="57"/>
    </row>
    <row r="9" spans="1:15" x14ac:dyDescent="0.25">
      <c r="A9" s="62" t="s">
        <v>88</v>
      </c>
      <c r="B9" s="57"/>
    </row>
    <row r="10" spans="1:15" x14ac:dyDescent="0.25">
      <c r="A10" s="62" t="s">
        <v>219</v>
      </c>
      <c r="B10" s="67"/>
    </row>
    <row r="11" spans="1:15" x14ac:dyDescent="0.25">
      <c r="A11" s="60" t="s">
        <v>220</v>
      </c>
      <c r="B11" s="116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O11" s="115"/>
    </row>
    <row r="12" spans="1:15" x14ac:dyDescent="0.25">
      <c r="A12" s="62"/>
      <c r="B12" s="57"/>
    </row>
    <row r="13" spans="1:15" x14ac:dyDescent="0.25">
      <c r="A13" s="60" t="s">
        <v>221</v>
      </c>
      <c r="B13" s="61"/>
    </row>
    <row r="14" spans="1:15" x14ac:dyDescent="0.25">
      <c r="A14" s="62" t="s">
        <v>92</v>
      </c>
      <c r="B14" s="58">
        <v>63412.73</v>
      </c>
      <c r="C14" s="58">
        <v>64912.6</v>
      </c>
      <c r="D14" s="58">
        <v>51600.6</v>
      </c>
      <c r="E14" s="58">
        <v>58081.02</v>
      </c>
      <c r="F14" s="68">
        <v>52150.84</v>
      </c>
      <c r="G14" s="58">
        <v>63866.23</v>
      </c>
      <c r="H14" s="58">
        <v>50016.34</v>
      </c>
      <c r="I14" s="58">
        <v>60583.59</v>
      </c>
      <c r="J14" s="58">
        <v>62982.59</v>
      </c>
      <c r="K14" s="58">
        <v>57621.05</v>
      </c>
      <c r="L14" s="58">
        <v>47520.86</v>
      </c>
      <c r="M14" s="50">
        <v>57961.95</v>
      </c>
      <c r="O14" s="108">
        <f>SUM(B14:M14)</f>
        <v>690710.39999999991</v>
      </c>
    </row>
    <row r="15" spans="1:15" x14ac:dyDescent="0.25">
      <c r="A15" s="60" t="s">
        <v>222</v>
      </c>
      <c r="B15" s="64">
        <f>B14</f>
        <v>63412.73</v>
      </c>
      <c r="C15" s="64">
        <f t="shared" ref="C15:F15" si="0">C14</f>
        <v>64912.6</v>
      </c>
      <c r="D15" s="64">
        <f t="shared" si="0"/>
        <v>51600.6</v>
      </c>
      <c r="E15" s="64">
        <f t="shared" si="0"/>
        <v>58081.02</v>
      </c>
      <c r="F15" s="64">
        <f t="shared" si="0"/>
        <v>52150.84</v>
      </c>
      <c r="G15" s="64">
        <f t="shared" ref="G15" si="1">G14</f>
        <v>63866.23</v>
      </c>
      <c r="H15" s="64">
        <f t="shared" ref="H15" si="2">H14</f>
        <v>50016.34</v>
      </c>
      <c r="I15" s="64">
        <f t="shared" ref="I15" si="3">I14</f>
        <v>60583.59</v>
      </c>
      <c r="J15" s="64">
        <f t="shared" ref="J15" si="4">J14</f>
        <v>62982.59</v>
      </c>
      <c r="K15" s="64">
        <f t="shared" ref="K15" si="5">K14</f>
        <v>57621.05</v>
      </c>
      <c r="L15" s="64">
        <f t="shared" ref="L15" si="6">L14</f>
        <v>47520.86</v>
      </c>
      <c r="M15" s="64">
        <f t="shared" ref="M15" si="7">M14</f>
        <v>57961.95</v>
      </c>
      <c r="O15" s="110">
        <f>O14</f>
        <v>690710.39999999991</v>
      </c>
    </row>
    <row r="16" spans="1:15" x14ac:dyDescent="0.25">
      <c r="A16" s="62"/>
      <c r="B16" s="57"/>
    </row>
    <row r="17" spans="1:15" x14ac:dyDescent="0.25">
      <c r="A17" s="60" t="s">
        <v>223</v>
      </c>
      <c r="B17" s="61"/>
    </row>
    <row r="18" spans="1:15" x14ac:dyDescent="0.25">
      <c r="A18" s="62" t="s">
        <v>95</v>
      </c>
      <c r="B18" s="67"/>
    </row>
    <row r="19" spans="1:15" x14ac:dyDescent="0.25">
      <c r="A19" s="60" t="s">
        <v>224</v>
      </c>
      <c r="B19" s="65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5" ht="15.75" thickBot="1" x14ac:dyDescent="0.3">
      <c r="A20" s="60" t="s">
        <v>97</v>
      </c>
      <c r="B20" s="66">
        <f>SUM(B5:B18)-B11-B15</f>
        <v>63412.73</v>
      </c>
      <c r="C20" s="66">
        <f t="shared" ref="C20:O20" si="8">SUM(C5:C18)-C11-C15</f>
        <v>64912.6</v>
      </c>
      <c r="D20" s="66">
        <f t="shared" si="8"/>
        <v>51600.6</v>
      </c>
      <c r="E20" s="66">
        <f t="shared" si="8"/>
        <v>58081.02</v>
      </c>
      <c r="F20" s="66">
        <f t="shared" si="8"/>
        <v>52150.84</v>
      </c>
      <c r="G20" s="66">
        <f t="shared" si="8"/>
        <v>63866.23</v>
      </c>
      <c r="H20" s="66">
        <f t="shared" si="8"/>
        <v>50016.34</v>
      </c>
      <c r="I20" s="66">
        <f t="shared" si="8"/>
        <v>60583.59</v>
      </c>
      <c r="J20" s="66">
        <f t="shared" si="8"/>
        <v>62982.59</v>
      </c>
      <c r="K20" s="66">
        <f t="shared" si="8"/>
        <v>57621.05</v>
      </c>
      <c r="L20" s="66">
        <f t="shared" si="8"/>
        <v>47520.86</v>
      </c>
      <c r="M20" s="66">
        <f t="shared" si="8"/>
        <v>57961.95</v>
      </c>
      <c r="O20" s="109">
        <f t="shared" si="8"/>
        <v>690710.39999999991</v>
      </c>
    </row>
    <row r="21" spans="1:15" ht="15.75" thickTop="1" x14ac:dyDescent="0.25">
      <c r="A21" s="62"/>
      <c r="B21" s="57"/>
    </row>
    <row r="22" spans="1:15" x14ac:dyDescent="0.25">
      <c r="A22" s="62"/>
      <c r="B22" s="57"/>
    </row>
    <row r="23" spans="1:15" x14ac:dyDescent="0.25">
      <c r="A23" s="60" t="s">
        <v>98</v>
      </c>
      <c r="B23" s="61"/>
    </row>
    <row r="24" spans="1:15" x14ac:dyDescent="0.25">
      <c r="A24" s="62" t="s">
        <v>99</v>
      </c>
      <c r="B24" s="57"/>
      <c r="O24" s="111">
        <f t="shared" ref="O24:O40" si="9">SUM(B24:M24)</f>
        <v>0</v>
      </c>
    </row>
    <row r="25" spans="1:15" x14ac:dyDescent="0.25">
      <c r="A25" s="62" t="s">
        <v>100</v>
      </c>
      <c r="B25" s="57"/>
      <c r="O25" s="111">
        <f t="shared" si="9"/>
        <v>0</v>
      </c>
    </row>
    <row r="26" spans="1:15" x14ac:dyDescent="0.25">
      <c r="A26" s="62" t="s">
        <v>101</v>
      </c>
      <c r="B26" s="57"/>
      <c r="D26" s="56">
        <v>500</v>
      </c>
      <c r="E26" s="56">
        <v>500</v>
      </c>
      <c r="F26" s="69">
        <v>500</v>
      </c>
      <c r="G26" s="56">
        <v>1000</v>
      </c>
      <c r="K26" s="56">
        <v>500</v>
      </c>
      <c r="L26" s="56">
        <v>750</v>
      </c>
      <c r="O26" s="111">
        <f t="shared" si="9"/>
        <v>3750</v>
      </c>
    </row>
    <row r="27" spans="1:15" x14ac:dyDescent="0.25">
      <c r="A27" s="62" t="s">
        <v>102</v>
      </c>
      <c r="B27" s="57"/>
      <c r="O27" s="111">
        <f t="shared" si="9"/>
        <v>0</v>
      </c>
    </row>
    <row r="28" spans="1:15" x14ac:dyDescent="0.25">
      <c r="A28" s="62" t="s">
        <v>103</v>
      </c>
      <c r="B28" s="57"/>
      <c r="O28" s="111">
        <f t="shared" si="9"/>
        <v>0</v>
      </c>
    </row>
    <row r="29" spans="1:15" x14ac:dyDescent="0.25">
      <c r="A29" s="62" t="s">
        <v>104</v>
      </c>
      <c r="B29" s="57"/>
      <c r="O29" s="111">
        <f t="shared" si="9"/>
        <v>0</v>
      </c>
    </row>
    <row r="30" spans="1:15" x14ac:dyDescent="0.25">
      <c r="A30" s="62" t="s">
        <v>105</v>
      </c>
      <c r="B30" s="57"/>
      <c r="O30" s="111">
        <f t="shared" si="9"/>
        <v>0</v>
      </c>
    </row>
    <row r="31" spans="1:15" x14ac:dyDescent="0.25">
      <c r="A31" s="62" t="s">
        <v>225</v>
      </c>
      <c r="B31" s="57"/>
      <c r="O31" s="111">
        <f t="shared" si="9"/>
        <v>0</v>
      </c>
    </row>
    <row r="32" spans="1:15" x14ac:dyDescent="0.25">
      <c r="A32" s="62" t="s">
        <v>226</v>
      </c>
      <c r="B32" s="57"/>
      <c r="O32" s="111">
        <f t="shared" si="9"/>
        <v>0</v>
      </c>
    </row>
    <row r="33" spans="1:15" x14ac:dyDescent="0.25">
      <c r="A33" s="62" t="s">
        <v>108</v>
      </c>
      <c r="B33" s="57"/>
      <c r="O33" s="111">
        <f t="shared" si="9"/>
        <v>0</v>
      </c>
    </row>
    <row r="34" spans="1:15" x14ac:dyDescent="0.25">
      <c r="A34" s="62" t="s">
        <v>109</v>
      </c>
      <c r="B34" s="57"/>
      <c r="O34" s="111">
        <f t="shared" si="9"/>
        <v>0</v>
      </c>
    </row>
    <row r="35" spans="1:15" x14ac:dyDescent="0.25">
      <c r="A35" s="62" t="s">
        <v>110</v>
      </c>
      <c r="B35" s="57"/>
      <c r="O35" s="111">
        <f t="shared" si="9"/>
        <v>0</v>
      </c>
    </row>
    <row r="36" spans="1:15" x14ac:dyDescent="0.25">
      <c r="A36" s="62" t="s">
        <v>111</v>
      </c>
      <c r="B36" s="57"/>
      <c r="O36" s="111">
        <f t="shared" si="9"/>
        <v>0</v>
      </c>
    </row>
    <row r="37" spans="1:15" x14ac:dyDescent="0.25">
      <c r="A37" s="62" t="s">
        <v>112</v>
      </c>
      <c r="B37" s="57"/>
      <c r="O37" s="111">
        <f t="shared" si="9"/>
        <v>0</v>
      </c>
    </row>
    <row r="38" spans="1:15" x14ac:dyDescent="0.25">
      <c r="A38" s="62" t="s">
        <v>113</v>
      </c>
      <c r="B38" s="57"/>
      <c r="O38" s="111">
        <f t="shared" si="9"/>
        <v>0</v>
      </c>
    </row>
    <row r="39" spans="1:15" x14ac:dyDescent="0.25">
      <c r="A39" s="62" t="s">
        <v>227</v>
      </c>
      <c r="B39" s="57"/>
      <c r="O39" s="111">
        <f t="shared" si="9"/>
        <v>0</v>
      </c>
    </row>
    <row r="40" spans="1:15" x14ac:dyDescent="0.25">
      <c r="A40" s="62" t="s">
        <v>115</v>
      </c>
      <c r="B40" s="67"/>
      <c r="O40" s="111">
        <f t="shared" si="9"/>
        <v>0</v>
      </c>
    </row>
    <row r="41" spans="1:15" x14ac:dyDescent="0.25">
      <c r="A41" s="60" t="s">
        <v>116</v>
      </c>
      <c r="B41" s="116">
        <f>SUM(B24:B40)</f>
        <v>0</v>
      </c>
      <c r="C41" s="116">
        <f t="shared" ref="C41:M41" si="10">SUM(C24:C40)</f>
        <v>0</v>
      </c>
      <c r="D41" s="116">
        <f t="shared" si="10"/>
        <v>500</v>
      </c>
      <c r="E41" s="116">
        <f t="shared" si="10"/>
        <v>500</v>
      </c>
      <c r="F41" s="116">
        <f t="shared" si="10"/>
        <v>500</v>
      </c>
      <c r="G41" s="116">
        <f t="shared" si="10"/>
        <v>1000</v>
      </c>
      <c r="H41" s="116">
        <f t="shared" si="10"/>
        <v>0</v>
      </c>
      <c r="I41" s="116">
        <f t="shared" si="10"/>
        <v>0</v>
      </c>
      <c r="J41" s="116">
        <f t="shared" si="10"/>
        <v>0</v>
      </c>
      <c r="K41" s="116">
        <f t="shared" si="10"/>
        <v>500</v>
      </c>
      <c r="L41" s="116">
        <f t="shared" si="10"/>
        <v>750</v>
      </c>
      <c r="M41" s="116">
        <f t="shared" si="10"/>
        <v>0</v>
      </c>
      <c r="O41" s="110">
        <f>SUM(O24:O40)</f>
        <v>3750</v>
      </c>
    </row>
    <row r="42" spans="1:15" x14ac:dyDescent="0.25">
      <c r="A42" s="62"/>
      <c r="B42" s="57"/>
    </row>
    <row r="43" spans="1:15" x14ac:dyDescent="0.25">
      <c r="A43" s="62"/>
      <c r="B43" s="57"/>
    </row>
    <row r="44" spans="1:15" x14ac:dyDescent="0.25">
      <c r="A44" s="60" t="s">
        <v>117</v>
      </c>
      <c r="B44" s="61"/>
    </row>
    <row r="45" spans="1:15" x14ac:dyDescent="0.25">
      <c r="A45" s="60" t="s">
        <v>118</v>
      </c>
      <c r="B45" s="61"/>
    </row>
    <row r="46" spans="1:15" x14ac:dyDescent="0.25">
      <c r="A46" s="62" t="s">
        <v>228</v>
      </c>
      <c r="B46" s="56">
        <v>13305.55</v>
      </c>
      <c r="C46" s="56">
        <v>13001.76</v>
      </c>
      <c r="D46" s="56">
        <v>13155.74</v>
      </c>
      <c r="E46" s="56">
        <v>23467.279999999999</v>
      </c>
      <c r="F46" s="70">
        <v>6360.17</v>
      </c>
      <c r="G46" s="56">
        <v>12933.55</v>
      </c>
      <c r="H46" s="56">
        <v>19065.009999999998</v>
      </c>
      <c r="I46" s="56">
        <v>12822.86</v>
      </c>
      <c r="J46" s="56">
        <v>12537</v>
      </c>
      <c r="K46" s="56">
        <v>12545.63</v>
      </c>
      <c r="L46" s="56">
        <v>12747.76</v>
      </c>
      <c r="M46" s="139">
        <v>20050.28</v>
      </c>
      <c r="O46" s="111">
        <f t="shared" ref="O46:O51" si="11">SUM(B46:M46)</f>
        <v>171992.59</v>
      </c>
    </row>
    <row r="47" spans="1:15" x14ac:dyDescent="0.25">
      <c r="A47" s="62" t="s">
        <v>229</v>
      </c>
      <c r="B47" s="56">
        <v>3053.84</v>
      </c>
      <c r="C47" s="56">
        <v>3053.84</v>
      </c>
      <c r="D47" s="56">
        <v>3053.84</v>
      </c>
      <c r="E47" s="56">
        <v>4865.13</v>
      </c>
      <c r="F47" s="70">
        <v>1843.51</v>
      </c>
      <c r="G47" s="56">
        <v>3053.84</v>
      </c>
      <c r="H47" s="56">
        <v>4255.76</v>
      </c>
      <c r="I47" s="56">
        <v>3053.84</v>
      </c>
      <c r="J47" s="56">
        <v>3053.84</v>
      </c>
      <c r="K47" s="56">
        <v>3053.84</v>
      </c>
      <c r="L47" s="56">
        <v>3053.84</v>
      </c>
      <c r="M47" s="139">
        <v>4255.76</v>
      </c>
      <c r="O47" s="111">
        <f t="shared" si="11"/>
        <v>39650.880000000005</v>
      </c>
    </row>
    <row r="48" spans="1:15" x14ac:dyDescent="0.25">
      <c r="A48" s="62" t="s">
        <v>121</v>
      </c>
      <c r="B48" s="56">
        <v>3419.69</v>
      </c>
      <c r="C48" s="56">
        <v>3354.49</v>
      </c>
      <c r="D48" s="56">
        <v>3387.51</v>
      </c>
      <c r="E48" s="56">
        <v>48667.02</v>
      </c>
      <c r="F48" s="70">
        <v>1695.04</v>
      </c>
      <c r="G48" s="56">
        <v>3339.79</v>
      </c>
      <c r="H48" s="56">
        <v>4887.9799999999996</v>
      </c>
      <c r="I48" s="56">
        <v>3315.72</v>
      </c>
      <c r="J48" s="56">
        <v>3254.61</v>
      </c>
      <c r="K48" s="56">
        <v>3256.46</v>
      </c>
      <c r="L48" s="56">
        <v>3696.23</v>
      </c>
      <c r="M48" s="139">
        <v>5710.35</v>
      </c>
      <c r="O48" s="111">
        <f t="shared" si="11"/>
        <v>87984.890000000014</v>
      </c>
    </row>
    <row r="49" spans="1:15" x14ac:dyDescent="0.25">
      <c r="A49" s="62" t="s">
        <v>230</v>
      </c>
      <c r="B49" s="56">
        <v>4080.61</v>
      </c>
      <c r="C49" s="56">
        <v>4080.61</v>
      </c>
      <c r="D49" s="56">
        <v>4090.89</v>
      </c>
      <c r="E49" s="56">
        <v>4090.89</v>
      </c>
      <c r="F49" s="70">
        <v>4090.89</v>
      </c>
      <c r="G49" s="56">
        <v>4090.89</v>
      </c>
      <c r="H49" s="56">
        <v>4090.89</v>
      </c>
      <c r="I49" s="56">
        <v>4090.89</v>
      </c>
      <c r="J49" s="56">
        <v>4090.89</v>
      </c>
      <c r="K49" s="56">
        <v>4483.63</v>
      </c>
      <c r="L49" s="56">
        <v>4290.79</v>
      </c>
      <c r="M49" s="139">
        <v>4282.79</v>
      </c>
      <c r="O49" s="111">
        <f t="shared" si="11"/>
        <v>49854.659999999996</v>
      </c>
    </row>
    <row r="50" spans="1:15" x14ac:dyDescent="0.25">
      <c r="A50" s="62" t="s">
        <v>231</v>
      </c>
      <c r="B50" s="56">
        <v>289.86</v>
      </c>
      <c r="C50" s="56">
        <v>289.86</v>
      </c>
      <c r="D50" s="57"/>
      <c r="E50" s="57"/>
      <c r="F50" s="71"/>
      <c r="G50" s="56">
        <v>289.86</v>
      </c>
      <c r="H50" s="56">
        <v>289.86</v>
      </c>
      <c r="I50" s="56">
        <v>289.86</v>
      </c>
      <c r="J50" s="56">
        <v>847.17</v>
      </c>
      <c r="K50" s="56">
        <v>282.61</v>
      </c>
      <c r="L50" s="57"/>
      <c r="M50" s="140"/>
      <c r="O50" s="111">
        <f t="shared" si="11"/>
        <v>2579.0800000000004</v>
      </c>
    </row>
    <row r="51" spans="1:15" x14ac:dyDescent="0.25">
      <c r="A51" s="62" t="s">
        <v>124</v>
      </c>
      <c r="B51" s="58">
        <v>1224.78</v>
      </c>
      <c r="C51" s="58">
        <v>1202.9000000000001</v>
      </c>
      <c r="D51" s="58">
        <v>1214.08</v>
      </c>
      <c r="E51" s="58">
        <v>2133.5100000000002</v>
      </c>
      <c r="F51" s="72">
        <v>636.70000000000005</v>
      </c>
      <c r="G51" s="58">
        <v>1230.1600000000001</v>
      </c>
      <c r="H51" s="58">
        <v>1786.86</v>
      </c>
      <c r="I51" s="58">
        <v>1369.74</v>
      </c>
      <c r="J51" s="58">
        <v>1160.58</v>
      </c>
      <c r="K51" s="58">
        <v>1158.0999999999999</v>
      </c>
      <c r="L51" s="58">
        <v>1203.78</v>
      </c>
      <c r="M51" s="141">
        <v>1814.52</v>
      </c>
      <c r="O51" s="108">
        <f t="shared" si="11"/>
        <v>16135.710000000001</v>
      </c>
    </row>
    <row r="52" spans="1:15" x14ac:dyDescent="0.25">
      <c r="A52" s="60" t="s">
        <v>125</v>
      </c>
      <c r="B52" s="64">
        <f>SUM(B46:B51)</f>
        <v>25374.329999999998</v>
      </c>
      <c r="C52" s="64">
        <f>SUM(C46:C51)</f>
        <v>24983.460000000003</v>
      </c>
      <c r="D52" s="64">
        <f>SUM(D46:D51)</f>
        <v>24902.059999999998</v>
      </c>
      <c r="E52" s="64">
        <f t="shared" ref="E52:M52" si="12">SUM(E46:E51)</f>
        <v>83223.829999999987</v>
      </c>
      <c r="F52" s="64">
        <f t="shared" si="12"/>
        <v>14626.310000000001</v>
      </c>
      <c r="G52" s="64">
        <f t="shared" si="12"/>
        <v>24938.09</v>
      </c>
      <c r="H52" s="64">
        <f t="shared" si="12"/>
        <v>34376.359999999993</v>
      </c>
      <c r="I52" s="64">
        <f t="shared" si="12"/>
        <v>24942.910000000003</v>
      </c>
      <c r="J52" s="64">
        <f t="shared" si="12"/>
        <v>24944.089999999997</v>
      </c>
      <c r="K52" s="64">
        <f t="shared" si="12"/>
        <v>24780.27</v>
      </c>
      <c r="L52" s="64">
        <f t="shared" si="12"/>
        <v>24992.400000000001</v>
      </c>
      <c r="M52" s="64">
        <f t="shared" si="12"/>
        <v>36113.699999999997</v>
      </c>
      <c r="O52" s="110">
        <f>SUM(O46:O51)</f>
        <v>368197.81</v>
      </c>
    </row>
    <row r="53" spans="1:15" x14ac:dyDescent="0.25">
      <c r="A53" s="62"/>
      <c r="B53" s="57"/>
    </row>
    <row r="54" spans="1:15" x14ac:dyDescent="0.25">
      <c r="A54" s="60" t="s">
        <v>126</v>
      </c>
      <c r="B54" s="61"/>
    </row>
    <row r="55" spans="1:15" x14ac:dyDescent="0.25">
      <c r="A55" s="62" t="s">
        <v>115</v>
      </c>
      <c r="B55" s="56">
        <v>230.99</v>
      </c>
      <c r="C55" s="56">
        <v>5098.74</v>
      </c>
      <c r="D55" s="56">
        <v>391.68</v>
      </c>
      <c r="E55" s="56">
        <v>-4181.46</v>
      </c>
      <c r="F55" s="73">
        <v>101.97</v>
      </c>
      <c r="G55" s="56">
        <v>68.12</v>
      </c>
      <c r="H55" s="56">
        <v>725.06</v>
      </c>
      <c r="I55" s="56">
        <v>113.87</v>
      </c>
      <c r="J55" s="56">
        <v>370.35</v>
      </c>
      <c r="K55" s="56">
        <v>136.38999999999999</v>
      </c>
      <c r="L55" s="56">
        <v>686.28</v>
      </c>
      <c r="M55" s="142">
        <v>131.75</v>
      </c>
      <c r="O55" s="111">
        <f t="shared" ref="O55:O84" si="13">SUM(B55:M55)</f>
        <v>3873.74</v>
      </c>
    </row>
    <row r="56" spans="1:15" x14ac:dyDescent="0.25">
      <c r="A56" s="62" t="s">
        <v>127</v>
      </c>
      <c r="B56" s="57"/>
      <c r="C56" s="57"/>
      <c r="D56" s="57"/>
      <c r="E56" s="57"/>
      <c r="F56" s="74"/>
      <c r="G56" s="57"/>
      <c r="H56" s="57"/>
      <c r="I56" s="57"/>
      <c r="J56" s="57"/>
      <c r="K56" s="57"/>
      <c r="L56" s="57"/>
      <c r="M56" s="143"/>
      <c r="O56" s="111">
        <f t="shared" si="13"/>
        <v>0</v>
      </c>
    </row>
    <row r="57" spans="1:15" x14ac:dyDescent="0.25">
      <c r="A57" s="62" t="s">
        <v>128</v>
      </c>
      <c r="B57" s="57"/>
      <c r="C57" s="56">
        <v>462.5</v>
      </c>
      <c r="D57" s="57"/>
      <c r="E57" s="57"/>
      <c r="F57" s="74"/>
      <c r="G57" s="57"/>
      <c r="H57" s="57"/>
      <c r="I57" s="57"/>
      <c r="J57" s="57"/>
      <c r="K57" s="57"/>
      <c r="L57" s="57"/>
      <c r="M57" s="143"/>
      <c r="O57" s="111">
        <f t="shared" si="13"/>
        <v>462.5</v>
      </c>
    </row>
    <row r="58" spans="1:15" x14ac:dyDescent="0.25">
      <c r="A58" s="62" t="s">
        <v>129</v>
      </c>
      <c r="B58" s="57"/>
      <c r="C58" s="57"/>
      <c r="D58" s="57"/>
      <c r="E58" s="57"/>
      <c r="F58" s="74"/>
      <c r="G58" s="57"/>
      <c r="H58" s="57"/>
      <c r="I58" s="57"/>
      <c r="J58" s="57"/>
      <c r="K58" s="57"/>
      <c r="L58" s="57"/>
      <c r="M58" s="143"/>
      <c r="O58" s="111">
        <f t="shared" si="13"/>
        <v>0</v>
      </c>
    </row>
    <row r="59" spans="1:15" x14ac:dyDescent="0.25">
      <c r="A59" s="62" t="s">
        <v>130</v>
      </c>
      <c r="B59" s="56">
        <v>680.53</v>
      </c>
      <c r="C59" s="56">
        <v>123.6</v>
      </c>
      <c r="D59" s="56">
        <v>28.38</v>
      </c>
      <c r="E59" s="57"/>
      <c r="F59" s="73">
        <v>153.37</v>
      </c>
      <c r="G59" s="57"/>
      <c r="H59" s="56">
        <v>107.56</v>
      </c>
      <c r="I59" s="56">
        <v>51.5</v>
      </c>
      <c r="J59" s="57"/>
      <c r="K59" s="57"/>
      <c r="L59" s="57"/>
      <c r="M59" s="142">
        <v>190</v>
      </c>
      <c r="O59" s="111">
        <f t="shared" si="13"/>
        <v>1334.94</v>
      </c>
    </row>
    <row r="60" spans="1:15" x14ac:dyDescent="0.25">
      <c r="A60" s="62" t="s">
        <v>131</v>
      </c>
      <c r="B60" s="56">
        <v>331.47</v>
      </c>
      <c r="C60" s="56">
        <v>414.34</v>
      </c>
      <c r="D60" s="56">
        <v>331.47</v>
      </c>
      <c r="E60" s="56">
        <v>405.92</v>
      </c>
      <c r="F60" s="73">
        <v>334.14</v>
      </c>
      <c r="G60" s="56">
        <v>256.58999999999997</v>
      </c>
      <c r="H60" s="56">
        <v>342.12</v>
      </c>
      <c r="I60" s="56">
        <v>421.53</v>
      </c>
      <c r="J60" s="56">
        <v>331.94</v>
      </c>
      <c r="K60" s="56">
        <v>345.24</v>
      </c>
      <c r="L60" s="56">
        <v>432.6</v>
      </c>
      <c r="M60" s="142">
        <v>430.35</v>
      </c>
      <c r="O60" s="111">
        <f t="shared" si="13"/>
        <v>4377.71</v>
      </c>
    </row>
    <row r="61" spans="1:15" x14ac:dyDescent="0.25">
      <c r="A61" s="62" t="s">
        <v>132</v>
      </c>
      <c r="B61" s="57"/>
      <c r="C61" s="57"/>
      <c r="D61" s="57"/>
      <c r="E61" s="57"/>
      <c r="F61" s="74"/>
      <c r="G61" s="57"/>
      <c r="H61" s="57"/>
      <c r="I61" s="57"/>
      <c r="J61" s="57"/>
      <c r="K61" s="57"/>
      <c r="L61" s="57"/>
      <c r="M61" s="143"/>
      <c r="O61" s="111">
        <f t="shared" si="13"/>
        <v>0</v>
      </c>
    </row>
    <row r="62" spans="1:15" x14ac:dyDescent="0.25">
      <c r="A62" s="62" t="s">
        <v>133</v>
      </c>
      <c r="B62" s="56">
        <v>13125.41</v>
      </c>
      <c r="C62" s="56">
        <v>1815.86</v>
      </c>
      <c r="D62" s="56">
        <v>7550.49</v>
      </c>
      <c r="E62" s="56">
        <v>9802.1200000000008</v>
      </c>
      <c r="F62" s="73">
        <v>9379.27</v>
      </c>
      <c r="G62" s="56">
        <v>10854.22</v>
      </c>
      <c r="H62" s="56">
        <v>14859.4</v>
      </c>
      <c r="I62" s="56">
        <v>2568.88</v>
      </c>
      <c r="J62" s="56">
        <v>17381.810000000001</v>
      </c>
      <c r="K62" s="56">
        <v>10194.33</v>
      </c>
      <c r="L62" s="56">
        <v>1943.77</v>
      </c>
      <c r="M62" s="142">
        <v>7282.91</v>
      </c>
      <c r="O62" s="111">
        <f t="shared" si="13"/>
        <v>106758.47000000002</v>
      </c>
    </row>
    <row r="63" spans="1:15" x14ac:dyDescent="0.25">
      <c r="A63" s="62" t="s">
        <v>134</v>
      </c>
      <c r="B63" s="57"/>
      <c r="C63" s="57"/>
      <c r="D63" s="57"/>
      <c r="E63" s="57"/>
      <c r="F63" s="74"/>
      <c r="G63" s="57"/>
      <c r="H63" s="56">
        <v>230</v>
      </c>
      <c r="I63" s="57"/>
      <c r="J63" s="57"/>
      <c r="K63" s="57"/>
      <c r="L63" s="57"/>
      <c r="M63" s="143"/>
      <c r="O63" s="111">
        <f t="shared" si="13"/>
        <v>230</v>
      </c>
    </row>
    <row r="64" spans="1:15" x14ac:dyDescent="0.25">
      <c r="A64" s="62" t="s">
        <v>135</v>
      </c>
      <c r="B64" s="57"/>
      <c r="C64" s="57"/>
      <c r="D64" s="57"/>
      <c r="E64" s="56">
        <v>-32052.720000000001</v>
      </c>
      <c r="F64" s="74"/>
      <c r="G64" s="57"/>
      <c r="H64" s="57"/>
      <c r="I64" s="57"/>
      <c r="J64" s="57"/>
      <c r="K64" s="56">
        <v>132.49</v>
      </c>
      <c r="L64" s="56">
        <v>1277.9100000000001</v>
      </c>
      <c r="M64" s="143"/>
      <c r="O64" s="111">
        <f t="shared" si="13"/>
        <v>-30642.32</v>
      </c>
    </row>
    <row r="65" spans="1:15" x14ac:dyDescent="0.25">
      <c r="A65" s="62" t="s">
        <v>232</v>
      </c>
      <c r="B65" s="57"/>
      <c r="C65" s="57"/>
      <c r="D65" s="57"/>
      <c r="E65" s="57"/>
      <c r="F65" s="74"/>
      <c r="G65" s="57"/>
      <c r="H65" s="57"/>
      <c r="I65" s="57"/>
      <c r="J65" s="57"/>
      <c r="K65" s="57"/>
      <c r="L65" s="57"/>
      <c r="M65" s="143"/>
      <c r="O65" s="111">
        <f t="shared" si="13"/>
        <v>0</v>
      </c>
    </row>
    <row r="66" spans="1:15" x14ac:dyDescent="0.25">
      <c r="A66" s="62" t="s">
        <v>233</v>
      </c>
      <c r="B66" s="57"/>
      <c r="C66" s="57"/>
      <c r="D66" s="57"/>
      <c r="E66" s="56">
        <v>974</v>
      </c>
      <c r="F66" s="73">
        <v>974</v>
      </c>
      <c r="G66" s="56">
        <v>1620.34</v>
      </c>
      <c r="H66" s="56">
        <v>-853.96</v>
      </c>
      <c r="I66" s="57"/>
      <c r="J66" s="57"/>
      <c r="K66" s="57"/>
      <c r="L66" s="57"/>
      <c r="M66" s="143"/>
      <c r="O66" s="111">
        <f t="shared" si="13"/>
        <v>2714.38</v>
      </c>
    </row>
    <row r="67" spans="1:15" x14ac:dyDescent="0.25">
      <c r="A67" s="62" t="s">
        <v>234</v>
      </c>
      <c r="B67" s="57"/>
      <c r="C67" s="57"/>
      <c r="D67" s="57"/>
      <c r="E67" s="56">
        <v>2167.9499999999998</v>
      </c>
      <c r="F67" s="73">
        <v>2167.9499999999998</v>
      </c>
      <c r="G67" s="56">
        <v>3606.55</v>
      </c>
      <c r="H67" s="57"/>
      <c r="I67" s="57"/>
      <c r="J67" s="57"/>
      <c r="K67" s="57"/>
      <c r="L67" s="57"/>
      <c r="M67" s="143"/>
      <c r="O67" s="111">
        <f t="shared" si="13"/>
        <v>7942.45</v>
      </c>
    </row>
    <row r="68" spans="1:15" x14ac:dyDescent="0.25">
      <c r="A68" s="62" t="s">
        <v>138</v>
      </c>
      <c r="B68" s="57"/>
      <c r="C68" s="57"/>
      <c r="D68" s="57"/>
      <c r="E68" s="57"/>
      <c r="F68" s="74"/>
      <c r="G68" s="56">
        <v>11.04</v>
      </c>
      <c r="H68" s="56">
        <v>18.75</v>
      </c>
      <c r="I68" s="57"/>
      <c r="J68" s="56">
        <v>20</v>
      </c>
      <c r="K68" s="56">
        <v>131.25</v>
      </c>
      <c r="L68" s="56">
        <v>20.07</v>
      </c>
      <c r="M68" s="143"/>
      <c r="O68" s="111">
        <f t="shared" si="13"/>
        <v>201.10999999999999</v>
      </c>
    </row>
    <row r="69" spans="1:15" x14ac:dyDescent="0.25">
      <c r="A69" s="62" t="s">
        <v>139</v>
      </c>
      <c r="B69" s="57"/>
      <c r="C69" s="57"/>
      <c r="D69" s="57"/>
      <c r="E69" s="57"/>
      <c r="F69" s="74"/>
      <c r="G69" s="57"/>
      <c r="H69" s="57"/>
      <c r="I69" s="57"/>
      <c r="J69" s="57"/>
      <c r="K69" s="57"/>
      <c r="L69" s="57"/>
      <c r="M69" s="143"/>
      <c r="O69" s="111">
        <f t="shared" si="13"/>
        <v>0</v>
      </c>
    </row>
    <row r="70" spans="1:15" x14ac:dyDescent="0.25">
      <c r="A70" s="62" t="s">
        <v>140</v>
      </c>
      <c r="B70" s="57"/>
      <c r="C70" s="57"/>
      <c r="D70" s="57"/>
      <c r="E70" s="56">
        <v>-418.33</v>
      </c>
      <c r="F70" s="74"/>
      <c r="G70" s="57"/>
      <c r="H70" s="57"/>
      <c r="I70" s="57"/>
      <c r="J70" s="57"/>
      <c r="K70" s="57"/>
      <c r="L70" s="57"/>
      <c r="M70" s="143"/>
      <c r="O70" s="111">
        <f t="shared" si="13"/>
        <v>-418.33</v>
      </c>
    </row>
    <row r="71" spans="1:15" x14ac:dyDescent="0.25">
      <c r="A71" s="62" t="s">
        <v>141</v>
      </c>
      <c r="B71" s="56">
        <v>116.61</v>
      </c>
      <c r="C71" s="56">
        <v>121.9</v>
      </c>
      <c r="D71" s="56">
        <v>149.5</v>
      </c>
      <c r="E71" s="56">
        <v>138.34</v>
      </c>
      <c r="F71" s="73">
        <v>139.9</v>
      </c>
      <c r="G71" s="56">
        <v>126.77</v>
      </c>
      <c r="H71" s="56">
        <v>126.75</v>
      </c>
      <c r="I71" s="56">
        <v>135.59</v>
      </c>
      <c r="J71" s="56">
        <v>143.19</v>
      </c>
      <c r="K71" s="56">
        <v>113.6</v>
      </c>
      <c r="L71" s="56">
        <v>141.62</v>
      </c>
      <c r="M71" s="142">
        <v>128.43</v>
      </c>
      <c r="O71" s="111">
        <f t="shared" si="13"/>
        <v>1582.2</v>
      </c>
    </row>
    <row r="72" spans="1:15" x14ac:dyDescent="0.25">
      <c r="A72" s="62" t="s">
        <v>142</v>
      </c>
      <c r="B72" s="56">
        <v>361.28</v>
      </c>
      <c r="C72" s="56">
        <v>180.64</v>
      </c>
      <c r="D72" s="57"/>
      <c r="E72" s="56">
        <v>180.64</v>
      </c>
      <c r="F72" s="73">
        <v>361.28</v>
      </c>
      <c r="G72" s="57"/>
      <c r="H72" s="56">
        <v>354.4</v>
      </c>
      <c r="I72" s="57"/>
      <c r="J72" s="56">
        <v>177.2</v>
      </c>
      <c r="K72" s="56">
        <v>177.2</v>
      </c>
      <c r="L72" s="56">
        <v>177.2</v>
      </c>
      <c r="M72" s="142">
        <v>181.2</v>
      </c>
      <c r="O72" s="111">
        <f t="shared" si="13"/>
        <v>2151.04</v>
      </c>
    </row>
    <row r="73" spans="1:15" x14ac:dyDescent="0.25">
      <c r="A73" s="62" t="s">
        <v>235</v>
      </c>
      <c r="B73" s="57"/>
      <c r="C73" s="57"/>
      <c r="D73" s="57"/>
      <c r="E73" s="57"/>
      <c r="F73" s="74"/>
      <c r="G73" s="57"/>
      <c r="H73" s="57"/>
      <c r="I73" s="57"/>
      <c r="J73" s="57"/>
      <c r="K73" s="57"/>
      <c r="L73" s="57"/>
      <c r="M73" s="143"/>
      <c r="O73" s="111">
        <f t="shared" si="13"/>
        <v>0</v>
      </c>
    </row>
    <row r="74" spans="1:15" x14ac:dyDescent="0.25">
      <c r="A74" s="62" t="s">
        <v>144</v>
      </c>
      <c r="B74" s="57"/>
      <c r="C74" s="57"/>
      <c r="D74" s="57"/>
      <c r="E74" s="57"/>
      <c r="F74" s="74"/>
      <c r="G74" s="57"/>
      <c r="H74" s="57"/>
      <c r="I74" s="57"/>
      <c r="J74" s="57"/>
      <c r="K74" s="57"/>
      <c r="L74" s="57"/>
      <c r="M74" s="143"/>
      <c r="O74" s="111">
        <f t="shared" si="13"/>
        <v>0</v>
      </c>
    </row>
    <row r="75" spans="1:15" x14ac:dyDescent="0.25">
      <c r="A75" s="62" t="s">
        <v>236</v>
      </c>
      <c r="B75" s="56">
        <v>742.37</v>
      </c>
      <c r="C75" s="56">
        <v>755.55</v>
      </c>
      <c r="D75" s="56">
        <v>718.58</v>
      </c>
      <c r="E75" s="56">
        <v>733.68</v>
      </c>
      <c r="F75" s="73">
        <v>714.07</v>
      </c>
      <c r="G75" s="56">
        <v>727.33</v>
      </c>
      <c r="H75" s="56">
        <v>743.99</v>
      </c>
      <c r="I75" s="57"/>
      <c r="J75" s="56">
        <v>1496.42</v>
      </c>
      <c r="K75" s="56">
        <v>809.28</v>
      </c>
      <c r="L75" s="56">
        <v>756.42</v>
      </c>
      <c r="M75" s="142">
        <v>731.73</v>
      </c>
      <c r="O75" s="111">
        <f t="shared" si="13"/>
        <v>8929.4199999999983</v>
      </c>
    </row>
    <row r="76" spans="1:15" x14ac:dyDescent="0.25">
      <c r="A76" s="62" t="s">
        <v>237</v>
      </c>
      <c r="B76" s="57"/>
      <c r="C76" s="57"/>
      <c r="D76" s="57"/>
      <c r="E76" s="56">
        <v>18</v>
      </c>
      <c r="F76" s="74"/>
      <c r="G76" s="57"/>
      <c r="H76" s="56">
        <v>165</v>
      </c>
      <c r="I76" s="57"/>
      <c r="J76" s="57"/>
      <c r="K76" s="57"/>
      <c r="L76" s="57"/>
      <c r="M76" s="142">
        <v>165</v>
      </c>
      <c r="O76" s="111">
        <f t="shared" si="13"/>
        <v>348</v>
      </c>
    </row>
    <row r="77" spans="1:15" x14ac:dyDescent="0.25">
      <c r="A77" s="62" t="s">
        <v>147</v>
      </c>
      <c r="B77" s="57"/>
      <c r="C77" s="57"/>
      <c r="D77" s="57"/>
      <c r="E77" s="57"/>
      <c r="F77" s="74"/>
      <c r="G77" s="57"/>
      <c r="H77" s="57"/>
      <c r="I77" s="57"/>
      <c r="J77" s="56">
        <v>9.15</v>
      </c>
      <c r="K77" s="57"/>
      <c r="L77" s="57"/>
      <c r="M77" s="143"/>
      <c r="O77" s="111">
        <f t="shared" si="13"/>
        <v>9.15</v>
      </c>
    </row>
    <row r="78" spans="1:15" x14ac:dyDescent="0.25">
      <c r="A78" s="62" t="s">
        <v>238</v>
      </c>
      <c r="B78" s="56">
        <v>262.39</v>
      </c>
      <c r="C78" s="57"/>
      <c r="D78" s="57"/>
      <c r="E78" s="57"/>
      <c r="F78" s="74"/>
      <c r="G78" s="57"/>
      <c r="H78" s="57"/>
      <c r="I78" s="57"/>
      <c r="J78" s="57"/>
      <c r="K78" s="57"/>
      <c r="L78" s="56">
        <v>262.39</v>
      </c>
      <c r="M78" s="143"/>
      <c r="O78" s="111">
        <f t="shared" si="13"/>
        <v>524.78</v>
      </c>
    </row>
    <row r="79" spans="1:15" x14ac:dyDescent="0.25">
      <c r="A79" s="62" t="s">
        <v>149</v>
      </c>
      <c r="B79" s="57"/>
      <c r="C79" s="57"/>
      <c r="D79" s="57"/>
      <c r="E79" s="57"/>
      <c r="F79" s="74"/>
      <c r="G79" s="57"/>
      <c r="H79" s="57"/>
      <c r="I79" s="57"/>
      <c r="J79" s="57"/>
      <c r="K79" s="56">
        <v>1268.6600000000001</v>
      </c>
      <c r="L79" s="57"/>
      <c r="M79" s="143"/>
      <c r="O79" s="111">
        <f t="shared" si="13"/>
        <v>1268.6600000000001</v>
      </c>
    </row>
    <row r="80" spans="1:15" x14ac:dyDescent="0.25">
      <c r="A80" s="62" t="s">
        <v>150</v>
      </c>
      <c r="B80" s="56">
        <v>1497.47</v>
      </c>
      <c r="C80" s="56">
        <v>1033.82</v>
      </c>
      <c r="D80" s="56">
        <v>378.03</v>
      </c>
      <c r="E80" s="56">
        <v>985.36</v>
      </c>
      <c r="F80" s="73">
        <v>1556.41</v>
      </c>
      <c r="G80" s="56">
        <v>391.31</v>
      </c>
      <c r="H80" s="56">
        <v>1654.51</v>
      </c>
      <c r="I80" s="57"/>
      <c r="J80" s="56">
        <v>1954.62</v>
      </c>
      <c r="K80" s="56">
        <v>976.62</v>
      </c>
      <c r="L80" s="56">
        <v>337.41</v>
      </c>
      <c r="M80" s="142">
        <v>1914.35</v>
      </c>
      <c r="O80" s="111">
        <f t="shared" si="13"/>
        <v>12679.910000000002</v>
      </c>
    </row>
    <row r="81" spans="1:15" x14ac:dyDescent="0.25">
      <c r="A81" s="62" t="s">
        <v>151</v>
      </c>
      <c r="B81" s="57"/>
      <c r="C81" s="57"/>
      <c r="D81" s="57"/>
      <c r="E81" s="57"/>
      <c r="F81" s="74"/>
      <c r="G81" s="57"/>
      <c r="H81" s="57"/>
      <c r="I81" s="57"/>
      <c r="J81" s="57"/>
      <c r="K81" s="57"/>
      <c r="L81" s="57"/>
      <c r="M81" s="143"/>
      <c r="O81" s="111">
        <f t="shared" si="13"/>
        <v>0</v>
      </c>
    </row>
    <row r="82" spans="1:15" x14ac:dyDescent="0.25">
      <c r="A82" s="62" t="s">
        <v>152</v>
      </c>
      <c r="B82" s="57"/>
      <c r="C82" s="57"/>
      <c r="D82" s="57"/>
      <c r="E82" s="57"/>
      <c r="F82" s="74"/>
      <c r="G82" s="57"/>
      <c r="H82" s="57"/>
      <c r="I82" s="57"/>
      <c r="J82" s="57"/>
      <c r="K82" s="57"/>
      <c r="L82" s="57"/>
      <c r="M82" s="143"/>
      <c r="O82" s="111">
        <f t="shared" si="13"/>
        <v>0</v>
      </c>
    </row>
    <row r="83" spans="1:15" x14ac:dyDescent="0.25">
      <c r="A83" s="62" t="s">
        <v>239</v>
      </c>
      <c r="B83" s="56">
        <v>976.01</v>
      </c>
      <c r="C83" s="56">
        <v>2464.5</v>
      </c>
      <c r="D83" s="56">
        <v>31781.88</v>
      </c>
      <c r="E83" s="56">
        <v>943.5</v>
      </c>
      <c r="F83" s="73">
        <v>1104</v>
      </c>
      <c r="G83" s="56">
        <v>3304.81</v>
      </c>
      <c r="H83" s="56">
        <v>3004.5</v>
      </c>
      <c r="I83" s="56">
        <v>12395.4</v>
      </c>
      <c r="J83" s="56">
        <v>963</v>
      </c>
      <c r="K83" s="56">
        <v>15364.14</v>
      </c>
      <c r="L83" s="56">
        <v>1003.5</v>
      </c>
      <c r="M83" s="142">
        <v>1207.5</v>
      </c>
      <c r="O83" s="111">
        <f t="shared" si="13"/>
        <v>74512.739999999991</v>
      </c>
    </row>
    <row r="84" spans="1:15" x14ac:dyDescent="0.25">
      <c r="A84" s="62" t="s">
        <v>240</v>
      </c>
      <c r="B84" s="58">
        <v>750.77</v>
      </c>
      <c r="C84" s="58">
        <v>655.81</v>
      </c>
      <c r="D84" s="58">
        <v>759.8</v>
      </c>
      <c r="E84" s="58">
        <v>606.95000000000005</v>
      </c>
      <c r="F84" s="75">
        <v>930.04</v>
      </c>
      <c r="G84" s="58">
        <v>439.49</v>
      </c>
      <c r="H84" s="58">
        <v>617.54</v>
      </c>
      <c r="I84" s="58">
        <v>63.69</v>
      </c>
      <c r="J84" s="58">
        <v>1259.47</v>
      </c>
      <c r="K84" s="58">
        <v>561.19000000000005</v>
      </c>
      <c r="L84" s="58">
        <v>836.07</v>
      </c>
      <c r="M84" s="144">
        <v>671.83</v>
      </c>
      <c r="O84" s="108">
        <f t="shared" si="13"/>
        <v>8152.65</v>
      </c>
    </row>
    <row r="85" spans="1:15" x14ac:dyDescent="0.25">
      <c r="A85" s="60" t="s">
        <v>241</v>
      </c>
      <c r="B85" s="64">
        <f>SUM(B55:B84)</f>
        <v>19075.3</v>
      </c>
      <c r="C85" s="64">
        <f t="shared" ref="C85:F85" si="14">SUM(C55:C84)</f>
        <v>13127.259999999998</v>
      </c>
      <c r="D85" s="64">
        <f t="shared" si="14"/>
        <v>42089.810000000005</v>
      </c>
      <c r="E85" s="64">
        <f t="shared" si="14"/>
        <v>-19696.05</v>
      </c>
      <c r="F85" s="64">
        <f t="shared" si="14"/>
        <v>17916.400000000001</v>
      </c>
      <c r="G85" s="64">
        <f t="shared" ref="G85" si="15">SUM(G55:G84)</f>
        <v>21406.570000000007</v>
      </c>
      <c r="H85" s="64">
        <f t="shared" ref="H85" si="16">SUM(H55:H84)</f>
        <v>22095.62</v>
      </c>
      <c r="I85" s="64">
        <f t="shared" ref="I85" si="17">SUM(I55:I84)</f>
        <v>15750.460000000001</v>
      </c>
      <c r="J85" s="64">
        <f t="shared" ref="J85" si="18">SUM(J55:J84)</f>
        <v>24107.150000000005</v>
      </c>
      <c r="K85" s="64">
        <f t="shared" ref="K85" si="19">SUM(K55:K84)</f>
        <v>30210.39</v>
      </c>
      <c r="L85" s="64">
        <f t="shared" ref="L85" si="20">SUM(L55:L84)</f>
        <v>7875.24</v>
      </c>
      <c r="M85" s="64">
        <f t="shared" ref="M85" si="21">SUM(M55:M84)</f>
        <v>13035.050000000001</v>
      </c>
      <c r="O85" s="110">
        <f>SUM(O55:O84)</f>
        <v>206993.19999999998</v>
      </c>
    </row>
    <row r="86" spans="1:15" x14ac:dyDescent="0.25">
      <c r="A86" s="62"/>
      <c r="B86" s="57"/>
    </row>
    <row r="87" spans="1:15" x14ac:dyDescent="0.25">
      <c r="A87" s="60" t="s">
        <v>242</v>
      </c>
      <c r="B87" s="61"/>
    </row>
    <row r="88" spans="1:15" x14ac:dyDescent="0.25">
      <c r="A88" s="62" t="s">
        <v>157</v>
      </c>
      <c r="B88" s="56">
        <v>155</v>
      </c>
      <c r="C88" s="56">
        <v>839.56</v>
      </c>
      <c r="F88" s="76">
        <v>10</v>
      </c>
      <c r="I88" s="56">
        <v>46.91</v>
      </c>
      <c r="J88" s="56">
        <v>110.08</v>
      </c>
      <c r="K88" s="56">
        <v>232.33</v>
      </c>
      <c r="L88" s="56">
        <v>56.5</v>
      </c>
      <c r="O88" s="111">
        <f t="shared" ref="O88:O94" si="22">SUM(B88:M88)</f>
        <v>1450.3799999999999</v>
      </c>
    </row>
    <row r="89" spans="1:15" x14ac:dyDescent="0.25">
      <c r="A89" s="62" t="s">
        <v>243</v>
      </c>
      <c r="B89" s="56">
        <v>2043.13</v>
      </c>
      <c r="C89" s="56">
        <v>153.43</v>
      </c>
      <c r="D89" s="56">
        <v>351.4</v>
      </c>
      <c r="F89" s="77"/>
      <c r="G89" s="56">
        <v>24</v>
      </c>
      <c r="I89" s="56">
        <v>20.58</v>
      </c>
      <c r="J89" s="57"/>
      <c r="K89" s="56">
        <v>138.75</v>
      </c>
      <c r="L89" s="57"/>
      <c r="M89">
        <v>104.53</v>
      </c>
      <c r="O89" s="111">
        <f t="shared" si="22"/>
        <v>2835.82</v>
      </c>
    </row>
    <row r="90" spans="1:15" x14ac:dyDescent="0.25">
      <c r="A90" s="62" t="s">
        <v>159</v>
      </c>
      <c r="B90" s="56">
        <v>1406.66</v>
      </c>
      <c r="C90" s="56">
        <v>10353.11</v>
      </c>
      <c r="D90" s="56">
        <v>2450.9699999999998</v>
      </c>
      <c r="E90" s="56">
        <v>-3519.42</v>
      </c>
      <c r="F90" s="76">
        <v>3261.01</v>
      </c>
      <c r="G90" s="56">
        <v>3894.24</v>
      </c>
      <c r="H90" s="56">
        <v>4122.4799999999996</v>
      </c>
      <c r="I90" s="56">
        <v>2408.36</v>
      </c>
      <c r="J90" s="56">
        <v>9231.15</v>
      </c>
      <c r="K90" s="56">
        <v>5231.7</v>
      </c>
      <c r="L90" s="56">
        <v>970.25</v>
      </c>
      <c r="M90" s="56">
        <v>5893.74</v>
      </c>
      <c r="O90" s="111">
        <f t="shared" si="22"/>
        <v>45704.249999999993</v>
      </c>
    </row>
    <row r="91" spans="1:15" x14ac:dyDescent="0.25">
      <c r="A91" s="62" t="s">
        <v>160</v>
      </c>
      <c r="B91" s="57"/>
      <c r="C91" s="56">
        <v>1549.28</v>
      </c>
      <c r="J91" s="57"/>
      <c r="O91" s="111">
        <f t="shared" si="22"/>
        <v>1549.28</v>
      </c>
    </row>
    <row r="92" spans="1:15" x14ac:dyDescent="0.25">
      <c r="A92" s="62" t="s">
        <v>161</v>
      </c>
      <c r="B92" s="57"/>
      <c r="O92" s="111">
        <f t="shared" si="22"/>
        <v>0</v>
      </c>
    </row>
    <row r="93" spans="1:15" x14ac:dyDescent="0.25">
      <c r="A93" s="62" t="s">
        <v>162</v>
      </c>
      <c r="B93" s="57"/>
      <c r="O93" s="111">
        <f t="shared" si="22"/>
        <v>0</v>
      </c>
    </row>
    <row r="94" spans="1:15" x14ac:dyDescent="0.25">
      <c r="A94" s="62" t="s">
        <v>244</v>
      </c>
      <c r="B94" s="63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O94" s="108">
        <f t="shared" si="22"/>
        <v>0</v>
      </c>
    </row>
    <row r="95" spans="1:15" x14ac:dyDescent="0.25">
      <c r="A95" s="60" t="s">
        <v>245</v>
      </c>
      <c r="B95" s="64">
        <f>SUM(B88:B94)</f>
        <v>3604.79</v>
      </c>
      <c r="C95" s="64">
        <f t="shared" ref="C95:F95" si="23">SUM(C88:C94)</f>
        <v>12895.380000000001</v>
      </c>
      <c r="D95" s="64">
        <f t="shared" si="23"/>
        <v>2802.37</v>
      </c>
      <c r="E95" s="64">
        <f t="shared" si="23"/>
        <v>-3519.42</v>
      </c>
      <c r="F95" s="64">
        <f t="shared" si="23"/>
        <v>3271.01</v>
      </c>
      <c r="G95" s="64">
        <f t="shared" ref="G95" si="24">SUM(G88:G94)</f>
        <v>3918.24</v>
      </c>
      <c r="H95" s="64">
        <f t="shared" ref="H95" si="25">SUM(H88:H94)</f>
        <v>4122.4799999999996</v>
      </c>
      <c r="I95" s="64">
        <f t="shared" ref="I95" si="26">SUM(I88:I94)</f>
        <v>2475.85</v>
      </c>
      <c r="J95" s="64">
        <f t="shared" ref="J95" si="27">SUM(J88:J94)</f>
        <v>9341.23</v>
      </c>
      <c r="K95" s="64">
        <f t="shared" ref="K95" si="28">SUM(K88:K94)</f>
        <v>5602.78</v>
      </c>
      <c r="L95" s="64">
        <f t="shared" ref="L95" si="29">SUM(L88:L94)</f>
        <v>1026.75</v>
      </c>
      <c r="M95" s="64">
        <f t="shared" ref="M95" si="30">SUM(M88:M94)</f>
        <v>5998.2699999999995</v>
      </c>
      <c r="O95" s="110">
        <f>SUM(O88:O94)</f>
        <v>51539.729999999989</v>
      </c>
    </row>
    <row r="96" spans="1:15" x14ac:dyDescent="0.25">
      <c r="A96" s="62"/>
      <c r="B96" s="57"/>
    </row>
    <row r="97" spans="1:15" x14ac:dyDescent="0.25">
      <c r="A97" s="60" t="s">
        <v>165</v>
      </c>
      <c r="B97" s="61"/>
    </row>
    <row r="98" spans="1:15" x14ac:dyDescent="0.25">
      <c r="A98" s="62" t="s">
        <v>246</v>
      </c>
      <c r="B98" s="57"/>
      <c r="D98" s="57"/>
      <c r="K98" s="56">
        <v>4000</v>
      </c>
      <c r="O98" s="111">
        <f t="shared" ref="O98:O101" si="31">SUM(B98:M98)</f>
        <v>4000</v>
      </c>
    </row>
    <row r="99" spans="1:15" x14ac:dyDescent="0.25">
      <c r="A99" s="62" t="s">
        <v>247</v>
      </c>
      <c r="B99" s="57"/>
      <c r="C99" s="56">
        <v>3625</v>
      </c>
      <c r="K99" s="57"/>
      <c r="L99" s="56">
        <v>3625</v>
      </c>
      <c r="O99" s="111">
        <f t="shared" si="31"/>
        <v>7250</v>
      </c>
    </row>
    <row r="100" spans="1:15" x14ac:dyDescent="0.25">
      <c r="A100" s="62" t="s">
        <v>248</v>
      </c>
      <c r="B100" s="57"/>
      <c r="C100" s="56">
        <v>1060</v>
      </c>
      <c r="D100" s="56">
        <v>50</v>
      </c>
      <c r="E100" s="56">
        <v>2025.3</v>
      </c>
      <c r="F100" s="78">
        <v>75</v>
      </c>
      <c r="H100" s="56">
        <v>1330.07</v>
      </c>
      <c r="I100" s="56">
        <v>25</v>
      </c>
      <c r="J100" s="56">
        <v>1085</v>
      </c>
      <c r="K100" s="57"/>
      <c r="L100" s="56">
        <v>50</v>
      </c>
      <c r="M100" s="56">
        <v>1085</v>
      </c>
      <c r="O100" s="111">
        <f t="shared" si="31"/>
        <v>6785.37</v>
      </c>
    </row>
    <row r="101" spans="1:15" x14ac:dyDescent="0.25">
      <c r="A101" s="62" t="s">
        <v>249</v>
      </c>
      <c r="B101" s="58">
        <v>22.75</v>
      </c>
      <c r="C101" s="58">
        <v>27.01</v>
      </c>
      <c r="D101" s="58">
        <v>38.46</v>
      </c>
      <c r="E101" s="58">
        <v>4752.8900000000003</v>
      </c>
      <c r="F101" s="79">
        <v>24.12</v>
      </c>
      <c r="G101" s="58">
        <v>15.16</v>
      </c>
      <c r="H101" s="58">
        <v>31.04</v>
      </c>
      <c r="I101" s="58">
        <v>25.16</v>
      </c>
      <c r="J101" s="58">
        <v>753.12</v>
      </c>
      <c r="K101" s="58">
        <v>219.51</v>
      </c>
      <c r="L101" s="58">
        <v>36.21</v>
      </c>
      <c r="M101" s="50">
        <v>31.41</v>
      </c>
      <c r="O101" s="108">
        <f t="shared" si="31"/>
        <v>5976.84</v>
      </c>
    </row>
    <row r="102" spans="1:15" x14ac:dyDescent="0.25">
      <c r="A102" s="60" t="s">
        <v>170</v>
      </c>
      <c r="B102" s="64">
        <f>SUM(B98:B101)</f>
        <v>22.75</v>
      </c>
      <c r="C102" s="64">
        <f t="shared" ref="C102:F102" si="32">SUM(C98:C101)</f>
        <v>4712.01</v>
      </c>
      <c r="D102" s="64">
        <f t="shared" si="32"/>
        <v>88.460000000000008</v>
      </c>
      <c r="E102" s="64">
        <f t="shared" si="32"/>
        <v>6778.1900000000005</v>
      </c>
      <c r="F102" s="64">
        <f t="shared" si="32"/>
        <v>99.12</v>
      </c>
      <c r="G102" s="64">
        <f t="shared" ref="G102" si="33">SUM(G98:G101)</f>
        <v>15.16</v>
      </c>
      <c r="H102" s="64">
        <f t="shared" ref="H102" si="34">SUM(H98:H101)</f>
        <v>1361.11</v>
      </c>
      <c r="I102" s="64">
        <f t="shared" ref="I102" si="35">SUM(I98:I101)</f>
        <v>50.16</v>
      </c>
      <c r="J102" s="64">
        <f t="shared" ref="J102" si="36">SUM(J98:J101)</f>
        <v>1838.12</v>
      </c>
      <c r="K102" s="64">
        <f t="shared" ref="K102" si="37">SUM(K98:K101)</f>
        <v>4219.51</v>
      </c>
      <c r="L102" s="64">
        <f t="shared" ref="L102" si="38">SUM(L98:L101)</f>
        <v>3711.21</v>
      </c>
      <c r="M102" s="64">
        <f t="shared" ref="M102" si="39">SUM(M98:M101)</f>
        <v>1116.4100000000001</v>
      </c>
      <c r="O102" s="110">
        <f>SUM(O98:O101)</f>
        <v>24012.21</v>
      </c>
    </row>
    <row r="103" spans="1:15" x14ac:dyDescent="0.25">
      <c r="A103" s="62"/>
      <c r="B103" s="57"/>
      <c r="D103" s="57"/>
    </row>
    <row r="104" spans="1:15" x14ac:dyDescent="0.25">
      <c r="A104" s="60" t="s">
        <v>171</v>
      </c>
      <c r="B104" s="61"/>
      <c r="D104" s="67"/>
    </row>
    <row r="105" spans="1:15" x14ac:dyDescent="0.25">
      <c r="A105" s="62" t="s">
        <v>250</v>
      </c>
      <c r="B105" s="56">
        <v>6441.27</v>
      </c>
      <c r="C105" s="56">
        <v>1267.75</v>
      </c>
      <c r="D105" s="56">
        <v>3612.01</v>
      </c>
      <c r="E105" s="56">
        <v>322.33</v>
      </c>
      <c r="F105" s="80">
        <v>32.159999999999997</v>
      </c>
      <c r="G105" s="56">
        <v>1374.97</v>
      </c>
      <c r="H105" s="56">
        <v>2133.71</v>
      </c>
      <c r="I105" s="56">
        <v>1202.19</v>
      </c>
      <c r="J105" s="56">
        <v>792.31</v>
      </c>
      <c r="K105" s="56">
        <v>534.14</v>
      </c>
      <c r="L105" s="56">
        <v>3887.35</v>
      </c>
      <c r="M105" s="145">
        <v>10463.94</v>
      </c>
      <c r="O105" s="111">
        <f t="shared" ref="O105:O107" si="40">SUM(B105:M105)</f>
        <v>32064.129999999997</v>
      </c>
    </row>
    <row r="106" spans="1:15" x14ac:dyDescent="0.25">
      <c r="A106" s="62" t="s">
        <v>173</v>
      </c>
      <c r="B106" s="56">
        <v>195.78</v>
      </c>
      <c r="C106" s="56">
        <v>172.66</v>
      </c>
      <c r="D106" s="56">
        <v>94.9</v>
      </c>
      <c r="E106" s="56">
        <v>72.849999999999994</v>
      </c>
      <c r="F106" s="80">
        <v>131.53</v>
      </c>
      <c r="G106" s="56">
        <v>141.78</v>
      </c>
      <c r="H106" s="56">
        <v>93.55</v>
      </c>
      <c r="I106" s="56">
        <v>215.1</v>
      </c>
      <c r="J106" s="56">
        <v>27.17</v>
      </c>
      <c r="K106" s="56">
        <v>93.61</v>
      </c>
      <c r="L106" s="56">
        <v>88.88</v>
      </c>
      <c r="M106" s="145">
        <v>270.29000000000002</v>
      </c>
      <c r="O106" s="111">
        <f t="shared" si="40"/>
        <v>1598.1</v>
      </c>
    </row>
    <row r="107" spans="1:15" x14ac:dyDescent="0.25">
      <c r="A107" s="62" t="s">
        <v>174</v>
      </c>
      <c r="B107" s="63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O107" s="108">
        <f t="shared" si="40"/>
        <v>0</v>
      </c>
    </row>
    <row r="108" spans="1:15" x14ac:dyDescent="0.25">
      <c r="A108" s="60" t="s">
        <v>175</v>
      </c>
      <c r="B108" s="64">
        <f>SUM(B105:B107)</f>
        <v>6637.05</v>
      </c>
      <c r="C108" s="64">
        <f t="shared" ref="C108:F108" si="41">SUM(C105:C107)</f>
        <v>1440.41</v>
      </c>
      <c r="D108" s="64">
        <f t="shared" si="41"/>
        <v>3706.9100000000003</v>
      </c>
      <c r="E108" s="64">
        <f t="shared" si="41"/>
        <v>395.17999999999995</v>
      </c>
      <c r="F108" s="64">
        <f t="shared" si="41"/>
        <v>163.69</v>
      </c>
      <c r="G108" s="64">
        <f t="shared" ref="G108" si="42">SUM(G105:G107)</f>
        <v>1516.75</v>
      </c>
      <c r="H108" s="64">
        <f t="shared" ref="H108" si="43">SUM(H105:H107)</f>
        <v>2227.2600000000002</v>
      </c>
      <c r="I108" s="64">
        <f t="shared" ref="I108" si="44">SUM(I105:I107)</f>
        <v>1417.29</v>
      </c>
      <c r="J108" s="64">
        <f t="shared" ref="J108" si="45">SUM(J105:J107)</f>
        <v>819.4799999999999</v>
      </c>
      <c r="K108" s="64">
        <f t="shared" ref="K108" si="46">SUM(K105:K107)</f>
        <v>627.75</v>
      </c>
      <c r="L108" s="64">
        <f t="shared" ref="L108" si="47">SUM(L105:L107)</f>
        <v>3976.23</v>
      </c>
      <c r="M108" s="64">
        <f t="shared" ref="M108" si="48">SUM(M105:M107)</f>
        <v>10734.230000000001</v>
      </c>
      <c r="O108" s="110">
        <f>SUM(O105:O107)</f>
        <v>33662.229999999996</v>
      </c>
    </row>
    <row r="109" spans="1:15" x14ac:dyDescent="0.25">
      <c r="A109" s="62"/>
      <c r="B109" s="57"/>
    </row>
    <row r="110" spans="1:15" x14ac:dyDescent="0.25">
      <c r="A110" s="60" t="s">
        <v>43</v>
      </c>
      <c r="B110" s="116">
        <f>SUM(B46:B107)-B52-B85-B95-B102</f>
        <v>54714.219999999994</v>
      </c>
      <c r="C110" s="116">
        <f>SUM(C46:C107)-C52-C85-C95-C102</f>
        <v>57158.519999999982</v>
      </c>
      <c r="D110" s="116">
        <f t="shared" ref="D110:O110" si="49">SUM(D46:D107)-D52-D85-D95-D102</f>
        <v>73589.609999999971</v>
      </c>
      <c r="E110" s="116">
        <f t="shared" si="49"/>
        <v>67181.73000000001</v>
      </c>
      <c r="F110" s="116">
        <f t="shared" si="49"/>
        <v>36076.529999999992</v>
      </c>
      <c r="G110" s="116">
        <f t="shared" si="49"/>
        <v>51794.810000000019</v>
      </c>
      <c r="H110" s="116">
        <f t="shared" si="49"/>
        <v>64182.829999999958</v>
      </c>
      <c r="I110" s="116">
        <f t="shared" si="49"/>
        <v>44636.670000000027</v>
      </c>
      <c r="J110" s="116">
        <f t="shared" si="49"/>
        <v>61050.069999999971</v>
      </c>
      <c r="K110" s="116">
        <f t="shared" si="49"/>
        <v>65440.699999999975</v>
      </c>
      <c r="L110" s="116">
        <f t="shared" si="49"/>
        <v>41581.830000000024</v>
      </c>
      <c r="M110" s="116">
        <f t="shared" si="49"/>
        <v>66997.66</v>
      </c>
      <c r="N110" s="54"/>
      <c r="O110" s="116">
        <f t="shared" si="49"/>
        <v>684405.18000000017</v>
      </c>
    </row>
    <row r="111" spans="1:15" x14ac:dyDescent="0.25">
      <c r="A111" s="62"/>
      <c r="B111" s="57"/>
    </row>
    <row r="112" spans="1:15" x14ac:dyDescent="0.25">
      <c r="A112" s="62"/>
      <c r="B112" s="57"/>
    </row>
    <row r="113" spans="1:15" x14ac:dyDescent="0.25">
      <c r="A113" s="60" t="s">
        <v>251</v>
      </c>
      <c r="B113" s="61"/>
    </row>
    <row r="114" spans="1:15" x14ac:dyDescent="0.25">
      <c r="A114" s="62" t="s">
        <v>177</v>
      </c>
      <c r="B114" s="67"/>
      <c r="E114" s="112">
        <v>534490.72</v>
      </c>
      <c r="O114" s="111">
        <f t="shared" ref="O114" si="50">SUM(B114:M114)</f>
        <v>534490.72</v>
      </c>
    </row>
    <row r="115" spans="1:15" x14ac:dyDescent="0.25">
      <c r="A115" s="62" t="s">
        <v>178</v>
      </c>
      <c r="B115" s="114">
        <f>B114</f>
        <v>0</v>
      </c>
      <c r="C115" s="114">
        <f t="shared" ref="C115:D115" si="51">C114</f>
        <v>0</v>
      </c>
      <c r="D115" s="114">
        <f t="shared" si="51"/>
        <v>0</v>
      </c>
      <c r="E115" s="110">
        <f>E114</f>
        <v>534490.72</v>
      </c>
      <c r="F115" s="114">
        <f t="shared" ref="F115:M115" si="52">F114</f>
        <v>0</v>
      </c>
      <c r="G115" s="114">
        <f t="shared" si="52"/>
        <v>0</v>
      </c>
      <c r="H115" s="114">
        <f t="shared" si="52"/>
        <v>0</v>
      </c>
      <c r="I115" s="114">
        <f t="shared" si="52"/>
        <v>0</v>
      </c>
      <c r="J115" s="114">
        <f t="shared" si="52"/>
        <v>0</v>
      </c>
      <c r="K115" s="114">
        <f t="shared" si="52"/>
        <v>0</v>
      </c>
      <c r="L115" s="114">
        <f t="shared" si="52"/>
        <v>0</v>
      </c>
      <c r="M115" s="114">
        <f t="shared" si="52"/>
        <v>0</v>
      </c>
      <c r="N115" s="54"/>
      <c r="O115" s="110">
        <f>O114</f>
        <v>534490.72</v>
      </c>
    </row>
    <row r="116" spans="1:15" x14ac:dyDescent="0.25">
      <c r="A116" s="62"/>
      <c r="B116" s="57"/>
    </row>
    <row r="117" spans="1:15" x14ac:dyDescent="0.25">
      <c r="A117" s="62"/>
      <c r="B117" s="57"/>
    </row>
    <row r="118" spans="1:15" x14ac:dyDescent="0.25">
      <c r="A118" s="60" t="s">
        <v>179</v>
      </c>
      <c r="B118" s="61"/>
    </row>
    <row r="119" spans="1:15" x14ac:dyDescent="0.25">
      <c r="A119" s="60" t="s">
        <v>180</v>
      </c>
      <c r="B119" s="61"/>
    </row>
    <row r="120" spans="1:15" x14ac:dyDescent="0.25">
      <c r="A120" s="62" t="s">
        <v>181</v>
      </c>
      <c r="B120" s="57"/>
      <c r="I120" s="56">
        <v>63.81</v>
      </c>
      <c r="O120" s="111">
        <f t="shared" ref="O120:O121" si="53">SUM(B120:M120)</f>
        <v>63.81</v>
      </c>
    </row>
    <row r="121" spans="1:15" x14ac:dyDescent="0.25">
      <c r="A121" s="62" t="s">
        <v>180</v>
      </c>
      <c r="B121" s="67"/>
      <c r="O121" s="111">
        <f t="shared" si="53"/>
        <v>0</v>
      </c>
    </row>
    <row r="122" spans="1:15" x14ac:dyDescent="0.25">
      <c r="A122" s="60" t="s">
        <v>208</v>
      </c>
      <c r="B122" s="116">
        <f>B120+B121</f>
        <v>0</v>
      </c>
      <c r="C122" s="116">
        <f t="shared" ref="C122:M122" si="54">C120+C121</f>
        <v>0</v>
      </c>
      <c r="D122" s="116">
        <f t="shared" si="54"/>
        <v>0</v>
      </c>
      <c r="E122" s="116">
        <f t="shared" si="54"/>
        <v>0</v>
      </c>
      <c r="F122" s="116">
        <f t="shared" si="54"/>
        <v>0</v>
      </c>
      <c r="G122" s="116">
        <f t="shared" si="54"/>
        <v>0</v>
      </c>
      <c r="H122" s="116">
        <f t="shared" si="54"/>
        <v>0</v>
      </c>
      <c r="I122" s="116">
        <f t="shared" si="54"/>
        <v>63.81</v>
      </c>
      <c r="J122" s="116">
        <f t="shared" si="54"/>
        <v>0</v>
      </c>
      <c r="K122" s="116">
        <f t="shared" si="54"/>
        <v>0</v>
      </c>
      <c r="L122" s="116">
        <f t="shared" si="54"/>
        <v>0</v>
      </c>
      <c r="M122" s="116">
        <f t="shared" si="54"/>
        <v>0</v>
      </c>
      <c r="O122" s="110">
        <f>O120+O121</f>
        <v>63.81</v>
      </c>
    </row>
    <row r="123" spans="1:15" x14ac:dyDescent="0.25">
      <c r="A123" s="62"/>
      <c r="B123" s="57"/>
    </row>
    <row r="124" spans="1:15" x14ac:dyDescent="0.25">
      <c r="A124" s="60" t="s">
        <v>183</v>
      </c>
      <c r="B124" s="61"/>
    </row>
    <row r="125" spans="1:15" x14ac:dyDescent="0.25">
      <c r="A125" s="62" t="s">
        <v>184</v>
      </c>
      <c r="B125" s="57"/>
      <c r="O125" s="111">
        <f t="shared" ref="O125:O128" si="55">SUM(B125:M125)</f>
        <v>0</v>
      </c>
    </row>
    <row r="126" spans="1:15" x14ac:dyDescent="0.25">
      <c r="A126" s="62" t="s">
        <v>185</v>
      </c>
      <c r="B126" s="57"/>
      <c r="C126" s="56">
        <v>2122.31</v>
      </c>
      <c r="E126" s="56">
        <v>40842.449999999997</v>
      </c>
      <c r="I126" s="56">
        <v>2085.1799999999998</v>
      </c>
      <c r="O126" s="111">
        <f t="shared" si="55"/>
        <v>45049.939999999995</v>
      </c>
    </row>
    <row r="127" spans="1:15" x14ac:dyDescent="0.25">
      <c r="A127" s="62" t="s">
        <v>186</v>
      </c>
      <c r="B127" s="57"/>
      <c r="O127" s="111">
        <f t="shared" si="55"/>
        <v>0</v>
      </c>
    </row>
    <row r="128" spans="1:15" x14ac:dyDescent="0.25">
      <c r="A128" s="62" t="s">
        <v>187</v>
      </c>
      <c r="B128" s="63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O128" s="108">
        <f t="shared" si="55"/>
        <v>0</v>
      </c>
    </row>
    <row r="129" spans="1:15" x14ac:dyDescent="0.25">
      <c r="A129" s="60" t="s">
        <v>188</v>
      </c>
      <c r="B129" s="50">
        <f>SUM(B125:B128)</f>
        <v>0</v>
      </c>
      <c r="C129" s="50">
        <f>SUM(C125:C128)</f>
        <v>2122.31</v>
      </c>
      <c r="D129" s="50">
        <f t="shared" ref="D129:M129" si="56">SUM(D125:D128)</f>
        <v>0</v>
      </c>
      <c r="E129" s="50">
        <f t="shared" si="56"/>
        <v>40842.449999999997</v>
      </c>
      <c r="F129" s="50">
        <f t="shared" ref="F129" si="57">SUM(F125:F128)</f>
        <v>0</v>
      </c>
      <c r="G129" s="50">
        <f t="shared" ref="G129" si="58">SUM(G125:G128)</f>
        <v>0</v>
      </c>
      <c r="H129" s="50">
        <f t="shared" ref="H129" si="59">SUM(H125:H128)</f>
        <v>0</v>
      </c>
      <c r="I129" s="50">
        <f t="shared" ref="I129" si="60">SUM(I125:I128)</f>
        <v>2085.1799999999998</v>
      </c>
      <c r="J129" s="50">
        <f t="shared" ref="J129" si="61">SUM(J125:J128)</f>
        <v>0</v>
      </c>
      <c r="K129" s="50">
        <f t="shared" si="56"/>
        <v>0</v>
      </c>
      <c r="L129" s="50">
        <f t="shared" si="56"/>
        <v>0</v>
      </c>
      <c r="M129" s="50">
        <f t="shared" si="56"/>
        <v>0</v>
      </c>
      <c r="O129" s="110">
        <f>SUM(O125:O128)</f>
        <v>45049.939999999995</v>
      </c>
    </row>
    <row r="130" spans="1:15" x14ac:dyDescent="0.25">
      <c r="A130" s="62"/>
      <c r="B130" s="57"/>
    </row>
    <row r="131" spans="1:15" x14ac:dyDescent="0.25">
      <c r="A131" s="60" t="s">
        <v>189</v>
      </c>
      <c r="B131" s="61"/>
    </row>
    <row r="132" spans="1:15" x14ac:dyDescent="0.25">
      <c r="A132" s="62" t="s">
        <v>190</v>
      </c>
      <c r="B132" s="57"/>
      <c r="O132" s="111">
        <f t="shared" ref="O132:O133" si="62">SUM(B132:M132)</f>
        <v>0</v>
      </c>
    </row>
    <row r="133" spans="1:15" x14ac:dyDescent="0.25">
      <c r="A133" s="62" t="s">
        <v>191</v>
      </c>
      <c r="B133" s="63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O133" s="111">
        <f t="shared" si="62"/>
        <v>0</v>
      </c>
    </row>
    <row r="134" spans="1:15" x14ac:dyDescent="0.25">
      <c r="A134" s="60" t="s">
        <v>192</v>
      </c>
      <c r="B134" s="64">
        <f>B132+B133</f>
        <v>0</v>
      </c>
      <c r="C134" s="64">
        <f t="shared" ref="C134:M134" si="63">C132+C133</f>
        <v>0</v>
      </c>
      <c r="D134" s="64">
        <f t="shared" si="63"/>
        <v>0</v>
      </c>
      <c r="E134" s="64">
        <f t="shared" si="63"/>
        <v>0</v>
      </c>
      <c r="F134" s="64">
        <f t="shared" si="63"/>
        <v>0</v>
      </c>
      <c r="G134" s="64">
        <f t="shared" si="63"/>
        <v>0</v>
      </c>
      <c r="H134" s="64">
        <f t="shared" si="63"/>
        <v>0</v>
      </c>
      <c r="I134" s="64">
        <f t="shared" si="63"/>
        <v>0</v>
      </c>
      <c r="J134" s="64">
        <f t="shared" si="63"/>
        <v>0</v>
      </c>
      <c r="K134" s="64">
        <f t="shared" si="63"/>
        <v>0</v>
      </c>
      <c r="L134" s="64">
        <f t="shared" si="63"/>
        <v>0</v>
      </c>
      <c r="M134" s="64">
        <f t="shared" si="63"/>
        <v>0</v>
      </c>
      <c r="O134" s="110">
        <f>O132+O133</f>
        <v>0</v>
      </c>
    </row>
    <row r="135" spans="1:15" x14ac:dyDescent="0.25">
      <c r="A135" s="62"/>
      <c r="B135" s="57"/>
    </row>
    <row r="136" spans="1:15" x14ac:dyDescent="0.25">
      <c r="A136" s="60" t="s">
        <v>193</v>
      </c>
      <c r="B136" s="61"/>
    </row>
    <row r="137" spans="1:15" x14ac:dyDescent="0.25">
      <c r="A137" s="62" t="s">
        <v>194</v>
      </c>
      <c r="B137" s="57"/>
      <c r="O137" s="111">
        <f t="shared" ref="O137:O143" si="64">SUM(B137:M137)</f>
        <v>0</v>
      </c>
    </row>
    <row r="138" spans="1:15" x14ac:dyDescent="0.25">
      <c r="A138" s="62" t="s">
        <v>252</v>
      </c>
      <c r="B138" s="57"/>
      <c r="O138" s="111">
        <f t="shared" si="64"/>
        <v>0</v>
      </c>
    </row>
    <row r="139" spans="1:15" x14ac:dyDescent="0.25">
      <c r="A139" s="62" t="s">
        <v>253</v>
      </c>
      <c r="B139" s="57"/>
      <c r="O139" s="111">
        <f t="shared" si="64"/>
        <v>0</v>
      </c>
    </row>
    <row r="140" spans="1:15" x14ac:dyDescent="0.25">
      <c r="A140" s="62" t="s">
        <v>254</v>
      </c>
      <c r="B140" s="57"/>
      <c r="O140" s="111">
        <f t="shared" si="64"/>
        <v>0</v>
      </c>
    </row>
    <row r="141" spans="1:15" x14ac:dyDescent="0.25">
      <c r="A141" s="62" t="s">
        <v>198</v>
      </c>
      <c r="B141" s="57"/>
      <c r="O141" s="111">
        <f t="shared" si="64"/>
        <v>0</v>
      </c>
    </row>
    <row r="142" spans="1:15" x14ac:dyDescent="0.25">
      <c r="A142" s="62" t="s">
        <v>255</v>
      </c>
      <c r="B142" s="57"/>
      <c r="O142" s="111">
        <f t="shared" si="64"/>
        <v>0</v>
      </c>
    </row>
    <row r="143" spans="1:15" x14ac:dyDescent="0.25">
      <c r="A143" s="62" t="s">
        <v>252</v>
      </c>
      <c r="B143" s="63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O143" s="111">
        <f t="shared" si="64"/>
        <v>0</v>
      </c>
    </row>
    <row r="144" spans="1:15" x14ac:dyDescent="0.25">
      <c r="A144" s="60" t="s">
        <v>199</v>
      </c>
      <c r="B144" s="64">
        <f>SUM(B137:B143)</f>
        <v>0</v>
      </c>
      <c r="C144" s="64">
        <f t="shared" ref="C144:M144" si="65">SUM(C137:C143)</f>
        <v>0</v>
      </c>
      <c r="D144" s="64">
        <f t="shared" si="65"/>
        <v>0</v>
      </c>
      <c r="E144" s="64">
        <f t="shared" si="65"/>
        <v>0</v>
      </c>
      <c r="F144" s="64">
        <f t="shared" si="65"/>
        <v>0</v>
      </c>
      <c r="G144" s="64">
        <f t="shared" si="65"/>
        <v>0</v>
      </c>
      <c r="H144" s="64">
        <f t="shared" si="65"/>
        <v>0</v>
      </c>
      <c r="I144" s="64">
        <f t="shared" si="65"/>
        <v>0</v>
      </c>
      <c r="J144" s="64">
        <f t="shared" si="65"/>
        <v>0</v>
      </c>
      <c r="K144" s="64">
        <f t="shared" si="65"/>
        <v>0</v>
      </c>
      <c r="L144" s="64">
        <f t="shared" si="65"/>
        <v>0</v>
      </c>
      <c r="M144" s="64">
        <f t="shared" si="65"/>
        <v>0</v>
      </c>
      <c r="O144" s="110">
        <f>SUM(O137:O143)</f>
        <v>0</v>
      </c>
    </row>
    <row r="145" spans="1:15" x14ac:dyDescent="0.25">
      <c r="A145" s="62"/>
      <c r="B145" s="57"/>
    </row>
    <row r="146" spans="1:15" x14ac:dyDescent="0.25">
      <c r="A146" s="60" t="s">
        <v>200</v>
      </c>
      <c r="B146" s="61"/>
    </row>
    <row r="147" spans="1:15" x14ac:dyDescent="0.25">
      <c r="A147" s="62" t="s">
        <v>200</v>
      </c>
      <c r="B147" s="57"/>
      <c r="O147" s="111">
        <f t="shared" ref="O147:O148" si="66">SUM(B147:M147)</f>
        <v>0</v>
      </c>
    </row>
    <row r="148" spans="1:15" x14ac:dyDescent="0.25">
      <c r="A148" s="62" t="s">
        <v>201</v>
      </c>
      <c r="B148" s="117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O148" s="111">
        <f t="shared" si="66"/>
        <v>0</v>
      </c>
    </row>
    <row r="149" spans="1:15" x14ac:dyDescent="0.25">
      <c r="A149" s="60" t="s">
        <v>202</v>
      </c>
      <c r="B149" s="64">
        <f>B147+B148</f>
        <v>0</v>
      </c>
      <c r="C149" s="64">
        <f t="shared" ref="C149:M149" si="67">C147+C148</f>
        <v>0</v>
      </c>
      <c r="D149" s="64">
        <f t="shared" si="67"/>
        <v>0</v>
      </c>
      <c r="E149" s="64">
        <f t="shared" si="67"/>
        <v>0</v>
      </c>
      <c r="F149" s="64">
        <f t="shared" si="67"/>
        <v>0</v>
      </c>
      <c r="G149" s="64">
        <f t="shared" si="67"/>
        <v>0</v>
      </c>
      <c r="H149" s="64">
        <f t="shared" si="67"/>
        <v>0</v>
      </c>
      <c r="I149" s="64">
        <f t="shared" si="67"/>
        <v>0</v>
      </c>
      <c r="J149" s="64">
        <f t="shared" si="67"/>
        <v>0</v>
      </c>
      <c r="K149" s="64">
        <f t="shared" si="67"/>
        <v>0</v>
      </c>
      <c r="L149" s="64">
        <f t="shared" si="67"/>
        <v>0</v>
      </c>
      <c r="M149" s="64">
        <f t="shared" si="67"/>
        <v>0</v>
      </c>
      <c r="O149" s="110">
        <f>O147+O148</f>
        <v>0</v>
      </c>
    </row>
    <row r="150" spans="1:15" x14ac:dyDescent="0.25">
      <c r="A150" s="62"/>
      <c r="B150" s="57"/>
    </row>
    <row r="151" spans="1:15" x14ac:dyDescent="0.25">
      <c r="A151" s="60" t="s">
        <v>203</v>
      </c>
      <c r="B151" s="61"/>
    </row>
    <row r="152" spans="1:15" x14ac:dyDescent="0.25">
      <c r="A152" s="62" t="s">
        <v>256</v>
      </c>
      <c r="B152" s="117"/>
      <c r="C152" s="50"/>
      <c r="D152" s="50"/>
      <c r="E152" s="118">
        <v>373.94</v>
      </c>
      <c r="F152" s="50"/>
      <c r="G152" s="50"/>
      <c r="H152" s="50"/>
      <c r="I152" s="50"/>
      <c r="J152" s="50"/>
      <c r="K152" s="50"/>
      <c r="L152" s="50"/>
      <c r="M152" s="50">
        <v>250</v>
      </c>
      <c r="O152" s="111">
        <f t="shared" ref="O152" si="68">SUM(B152:M152)</f>
        <v>623.94000000000005</v>
      </c>
    </row>
    <row r="153" spans="1:15" x14ac:dyDescent="0.25">
      <c r="A153" s="60" t="s">
        <v>203</v>
      </c>
      <c r="B153" s="64">
        <f>B152</f>
        <v>0</v>
      </c>
      <c r="C153" s="64">
        <f t="shared" ref="C153:M153" si="69">C152</f>
        <v>0</v>
      </c>
      <c r="D153" s="64">
        <f t="shared" si="69"/>
        <v>0</v>
      </c>
      <c r="E153" s="64">
        <f t="shared" si="69"/>
        <v>373.94</v>
      </c>
      <c r="F153" s="64">
        <f t="shared" si="69"/>
        <v>0</v>
      </c>
      <c r="G153" s="64">
        <f t="shared" si="69"/>
        <v>0</v>
      </c>
      <c r="H153" s="64">
        <f t="shared" si="69"/>
        <v>0</v>
      </c>
      <c r="I153" s="64">
        <f t="shared" si="69"/>
        <v>0</v>
      </c>
      <c r="J153" s="64">
        <f t="shared" si="69"/>
        <v>0</v>
      </c>
      <c r="K153" s="64">
        <f t="shared" si="69"/>
        <v>0</v>
      </c>
      <c r="L153" s="64">
        <f t="shared" si="69"/>
        <v>0</v>
      </c>
      <c r="M153" s="64">
        <f t="shared" si="69"/>
        <v>250</v>
      </c>
      <c r="O153" s="110">
        <f>O152</f>
        <v>623.94000000000005</v>
      </c>
    </row>
    <row r="154" spans="1:15" x14ac:dyDescent="0.25">
      <c r="A154" s="62"/>
      <c r="B154" s="57"/>
    </row>
    <row r="155" spans="1:15" x14ac:dyDescent="0.25">
      <c r="A155" s="60" t="s">
        <v>205</v>
      </c>
      <c r="B155" s="61"/>
    </row>
    <row r="156" spans="1:15" x14ac:dyDescent="0.25">
      <c r="A156" s="62" t="s">
        <v>257</v>
      </c>
      <c r="B156" s="57"/>
    </row>
    <row r="157" spans="1:15" x14ac:dyDescent="0.25">
      <c r="A157" s="62" t="s">
        <v>206</v>
      </c>
      <c r="B157" s="117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O157" s="111">
        <f t="shared" ref="O157" si="70">SUM(B157:M157)</f>
        <v>0</v>
      </c>
    </row>
    <row r="158" spans="1:15" x14ac:dyDescent="0.25">
      <c r="A158" s="60" t="s">
        <v>207</v>
      </c>
      <c r="B158" s="64">
        <f>B156+B157</f>
        <v>0</v>
      </c>
      <c r="C158" s="64">
        <f t="shared" ref="C158:M158" si="71">C156+C157</f>
        <v>0</v>
      </c>
      <c r="D158" s="64">
        <f t="shared" si="71"/>
        <v>0</v>
      </c>
      <c r="E158" s="64">
        <f t="shared" si="71"/>
        <v>0</v>
      </c>
      <c r="F158" s="64">
        <f t="shared" si="71"/>
        <v>0</v>
      </c>
      <c r="G158" s="64">
        <f t="shared" si="71"/>
        <v>0</v>
      </c>
      <c r="H158" s="64">
        <f t="shared" si="71"/>
        <v>0</v>
      </c>
      <c r="I158" s="64">
        <f t="shared" si="71"/>
        <v>0</v>
      </c>
      <c r="J158" s="64">
        <f t="shared" si="71"/>
        <v>0</v>
      </c>
      <c r="K158" s="64">
        <f t="shared" si="71"/>
        <v>0</v>
      </c>
      <c r="L158" s="64">
        <f t="shared" si="71"/>
        <v>0</v>
      </c>
      <c r="M158" s="64">
        <f t="shared" si="71"/>
        <v>0</v>
      </c>
      <c r="O158" s="110">
        <f>O157</f>
        <v>0</v>
      </c>
    </row>
    <row r="159" spans="1:15" x14ac:dyDescent="0.25">
      <c r="A159" s="62"/>
      <c r="B159" s="57"/>
    </row>
    <row r="160" spans="1:15" ht="15.75" thickBot="1" x14ac:dyDescent="0.3">
      <c r="A160" s="60" t="s">
        <v>208</v>
      </c>
      <c r="B160" s="51">
        <f>B158+B153+B149+B144+B134+B129+B122</f>
        <v>0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O160" s="51"/>
    </row>
    <row r="161" spans="1:15" ht="15.75" thickTop="1" x14ac:dyDescent="0.25">
      <c r="A161" s="62"/>
      <c r="B161" s="57"/>
    </row>
    <row r="162" spans="1:15" x14ac:dyDescent="0.25">
      <c r="A162" s="62"/>
      <c r="B162" s="57"/>
    </row>
    <row r="163" spans="1:15" x14ac:dyDescent="0.25">
      <c r="A163" s="60" t="s">
        <v>209</v>
      </c>
      <c r="B163" s="61"/>
    </row>
    <row r="164" spans="1:15" x14ac:dyDescent="0.25">
      <c r="A164" s="62"/>
      <c r="B164" s="57"/>
    </row>
    <row r="165" spans="1:15" x14ac:dyDescent="0.25">
      <c r="A165" s="62" t="s">
        <v>210</v>
      </c>
      <c r="B165" s="57"/>
      <c r="O165" s="111">
        <f t="shared" ref="O165:O166" si="72">SUM(B165:M165)</f>
        <v>0</v>
      </c>
    </row>
    <row r="166" spans="1:15" x14ac:dyDescent="0.25">
      <c r="A166" s="62" t="s">
        <v>258</v>
      </c>
      <c r="B166" s="67"/>
      <c r="O166" s="111">
        <f t="shared" si="72"/>
        <v>0</v>
      </c>
    </row>
    <row r="167" spans="1:15" ht="15.75" thickBot="1" x14ac:dyDescent="0.3">
      <c r="A167" s="60" t="s">
        <v>212</v>
      </c>
      <c r="B167" s="109">
        <f>B165+B166</f>
        <v>0</v>
      </c>
      <c r="C167" s="109">
        <f t="shared" ref="C167:M167" si="73">C165+C166</f>
        <v>0</v>
      </c>
      <c r="D167" s="109">
        <f t="shared" si="73"/>
        <v>0</v>
      </c>
      <c r="E167" s="109">
        <f t="shared" si="73"/>
        <v>0</v>
      </c>
      <c r="F167" s="109">
        <f t="shared" si="73"/>
        <v>0</v>
      </c>
      <c r="G167" s="109">
        <f t="shared" si="73"/>
        <v>0</v>
      </c>
      <c r="H167" s="109">
        <f t="shared" si="73"/>
        <v>0</v>
      </c>
      <c r="I167" s="109">
        <f t="shared" si="73"/>
        <v>0</v>
      </c>
      <c r="J167" s="109">
        <f t="shared" si="73"/>
        <v>0</v>
      </c>
      <c r="K167" s="109">
        <f t="shared" si="73"/>
        <v>0</v>
      </c>
      <c r="L167" s="109">
        <f t="shared" si="73"/>
        <v>0</v>
      </c>
      <c r="M167" s="109">
        <f t="shared" si="73"/>
        <v>0</v>
      </c>
      <c r="O167" s="113">
        <f>O165+O166</f>
        <v>0</v>
      </c>
    </row>
    <row r="168" spans="1:15" ht="15.75" thickTop="1" x14ac:dyDescent="0.25">
      <c r="A168" s="62"/>
      <c r="B168" s="57"/>
    </row>
    <row r="169" spans="1:15" x14ac:dyDescent="0.25">
      <c r="A169" s="48" t="s">
        <v>213</v>
      </c>
      <c r="B169" s="57"/>
      <c r="O169" s="107">
        <f>(O15+O41+O122+O134+O144+O149+O167)-(O110+O115+O129+O153+O158)</f>
        <v>-570045.57000000007</v>
      </c>
    </row>
  </sheetData>
  <pageMargins left="0.7" right="0.7" top="0.75" bottom="0.75" header="0.3" footer="0.3"/>
  <pageSetup paperSize="28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CBED9-6AC5-4BCE-9F03-50D89641111D}">
  <dimension ref="A2:F18"/>
  <sheetViews>
    <sheetView workbookViewId="0">
      <selection activeCell="F14" sqref="F14"/>
    </sheetView>
  </sheetViews>
  <sheetFormatPr defaultRowHeight="15" x14ac:dyDescent="0.25"/>
  <cols>
    <col min="1" max="1" width="13.5703125" bestFit="1" customWidth="1"/>
  </cols>
  <sheetData>
    <row r="2" spans="1:6" x14ac:dyDescent="0.25">
      <c r="A2" t="s">
        <v>274</v>
      </c>
      <c r="B2">
        <v>2016</v>
      </c>
      <c r="C2">
        <v>2017</v>
      </c>
      <c r="D2">
        <v>2018</v>
      </c>
      <c r="F2" t="s">
        <v>315</v>
      </c>
    </row>
    <row r="3" spans="1:6" x14ac:dyDescent="0.25">
      <c r="A3" t="s">
        <v>309</v>
      </c>
      <c r="B3">
        <v>1108115</v>
      </c>
      <c r="C3">
        <v>1201507</v>
      </c>
      <c r="D3">
        <v>1363713</v>
      </c>
      <c r="F3" s="352">
        <f>(D3-B3)/B3</f>
        <v>0.2306601751623252</v>
      </c>
    </row>
    <row r="4" spans="1:6" x14ac:dyDescent="0.25">
      <c r="A4" t="s">
        <v>310</v>
      </c>
      <c r="B4">
        <v>60376</v>
      </c>
      <c r="C4">
        <v>74278</v>
      </c>
      <c r="D4">
        <v>43688</v>
      </c>
      <c r="F4" s="352">
        <f t="shared" ref="F4:F8" si="0">(D4-B4)/B4</f>
        <v>-0.27640121902742809</v>
      </c>
    </row>
    <row r="5" spans="1:6" x14ac:dyDescent="0.25">
      <c r="A5" t="s">
        <v>311</v>
      </c>
      <c r="B5">
        <v>360310</v>
      </c>
      <c r="C5">
        <v>356652</v>
      </c>
      <c r="D5">
        <v>440325</v>
      </c>
      <c r="F5" s="352">
        <f t="shared" si="0"/>
        <v>0.22207265965418668</v>
      </c>
    </row>
    <row r="6" spans="1:6" x14ac:dyDescent="0.25">
      <c r="A6" t="s">
        <v>312</v>
      </c>
      <c r="B6">
        <v>78677</v>
      </c>
      <c r="C6">
        <v>81904</v>
      </c>
      <c r="D6">
        <v>86737</v>
      </c>
      <c r="F6" s="352">
        <f t="shared" si="0"/>
        <v>0.10244417046913329</v>
      </c>
    </row>
    <row r="7" spans="1:6" x14ac:dyDescent="0.25">
      <c r="A7" t="s">
        <v>313</v>
      </c>
      <c r="B7">
        <v>586433</v>
      </c>
      <c r="C7">
        <v>632357</v>
      </c>
      <c r="D7">
        <v>633448</v>
      </c>
      <c r="F7" s="352">
        <f t="shared" si="0"/>
        <v>8.0171136344646357E-2</v>
      </c>
    </row>
    <row r="8" spans="1:6" x14ac:dyDescent="0.25">
      <c r="A8" t="s">
        <v>314</v>
      </c>
      <c r="B8" s="50">
        <v>1518854</v>
      </c>
      <c r="C8" s="50">
        <v>1516359</v>
      </c>
      <c r="D8" s="50">
        <v>1515247</v>
      </c>
      <c r="F8" s="352">
        <f t="shared" si="0"/>
        <v>-2.3748168026683277E-3</v>
      </c>
    </row>
    <row r="9" spans="1:6" x14ac:dyDescent="0.25">
      <c r="B9">
        <f>SUM(B3:B8)</f>
        <v>3712765</v>
      </c>
      <c r="C9">
        <f t="shared" ref="C9:D9" si="1">SUM(C3:C8)</f>
        <v>3863057</v>
      </c>
      <c r="D9">
        <f t="shared" si="1"/>
        <v>4083158</v>
      </c>
    </row>
    <row r="11" spans="1:6" x14ac:dyDescent="0.25">
      <c r="A11" t="s">
        <v>290</v>
      </c>
    </row>
    <row r="12" spans="1:6" x14ac:dyDescent="0.25">
      <c r="A12" t="s">
        <v>309</v>
      </c>
      <c r="B12">
        <v>231494</v>
      </c>
      <c r="C12">
        <v>284353</v>
      </c>
      <c r="D12">
        <v>362078</v>
      </c>
      <c r="F12" s="352">
        <f t="shared" ref="F12:F17" si="2">(D12-B12)/B12</f>
        <v>0.56409237388442035</v>
      </c>
    </row>
    <row r="13" spans="1:6" x14ac:dyDescent="0.25">
      <c r="A13" t="s">
        <v>310</v>
      </c>
      <c r="B13">
        <v>24787</v>
      </c>
      <c r="C13">
        <v>22600</v>
      </c>
      <c r="D13">
        <v>16747</v>
      </c>
      <c r="F13" s="352">
        <f t="shared" si="2"/>
        <v>-0.32436357768184937</v>
      </c>
    </row>
    <row r="14" spans="1:6" x14ac:dyDescent="0.25">
      <c r="A14" t="s">
        <v>311</v>
      </c>
      <c r="B14">
        <v>22163</v>
      </c>
      <c r="C14">
        <v>54466</v>
      </c>
      <c r="D14">
        <v>50650</v>
      </c>
      <c r="F14" s="352">
        <f t="shared" si="2"/>
        <v>1.2853404322519515</v>
      </c>
    </row>
    <row r="15" spans="1:6" x14ac:dyDescent="0.25">
      <c r="A15" t="s">
        <v>312</v>
      </c>
      <c r="B15">
        <v>104466</v>
      </c>
      <c r="C15">
        <v>62082</v>
      </c>
      <c r="D15">
        <v>54135</v>
      </c>
      <c r="F15" s="352">
        <f t="shared" si="2"/>
        <v>-0.48179311929240137</v>
      </c>
    </row>
    <row r="16" spans="1:6" x14ac:dyDescent="0.25">
      <c r="A16" t="s">
        <v>313</v>
      </c>
      <c r="B16">
        <v>237170</v>
      </c>
      <c r="C16">
        <v>229341</v>
      </c>
      <c r="D16">
        <v>235393</v>
      </c>
      <c r="F16" s="352">
        <f t="shared" si="2"/>
        <v>-7.4925159168528904E-3</v>
      </c>
    </row>
    <row r="17" spans="1:6" x14ac:dyDescent="0.25">
      <c r="A17" t="s">
        <v>314</v>
      </c>
      <c r="B17" s="50">
        <v>549006</v>
      </c>
      <c r="C17" s="50">
        <v>544375</v>
      </c>
      <c r="D17" s="50">
        <v>534491</v>
      </c>
      <c r="F17" s="352">
        <f t="shared" si="2"/>
        <v>-2.6438691016127329E-2</v>
      </c>
    </row>
    <row r="18" spans="1:6" x14ac:dyDescent="0.25">
      <c r="B18">
        <f>SUM(B12:B17)</f>
        <v>1169086</v>
      </c>
      <c r="C18">
        <f t="shared" ref="C18:D18" si="3">SUM(C12:C17)</f>
        <v>1197217</v>
      </c>
      <c r="D18">
        <f t="shared" si="3"/>
        <v>1253494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752E2-5E23-49A5-8937-D68B63AC4282}">
  <dimension ref="A1:N39"/>
  <sheetViews>
    <sheetView workbookViewId="0">
      <selection activeCell="Q15" sqref="Q15"/>
    </sheetView>
  </sheetViews>
  <sheetFormatPr defaultRowHeight="15" x14ac:dyDescent="0.25"/>
  <cols>
    <col min="4" max="4" width="15" bestFit="1" customWidth="1"/>
    <col min="9" max="9" width="10.7109375" customWidth="1"/>
    <col min="10" max="10" width="11" customWidth="1"/>
    <col min="11" max="11" width="12" customWidth="1"/>
    <col min="12" max="12" width="10.85546875" customWidth="1"/>
    <col min="13" max="13" width="11.42578125" customWidth="1"/>
    <col min="14" max="14" width="10.5703125" customWidth="1"/>
  </cols>
  <sheetData>
    <row r="1" spans="1:14" ht="25.5" customHeight="1" thickBot="1" x14ac:dyDescent="0.3">
      <c r="G1" s="381"/>
      <c r="H1" s="382"/>
      <c r="I1" s="413" t="s">
        <v>346</v>
      </c>
      <c r="J1" s="414"/>
      <c r="K1" s="413" t="s">
        <v>347</v>
      </c>
      <c r="L1" s="414"/>
      <c r="M1" s="413" t="s">
        <v>348</v>
      </c>
      <c r="N1" s="414"/>
    </row>
    <row r="2" spans="1:14" ht="51.75" thickBot="1" x14ac:dyDescent="0.3">
      <c r="A2" s="355"/>
      <c r="B2" s="355"/>
      <c r="C2" s="355" t="s">
        <v>316</v>
      </c>
      <c r="D2" s="355" t="s">
        <v>317</v>
      </c>
      <c r="E2" s="353"/>
      <c r="G2" s="383" t="s">
        <v>349</v>
      </c>
      <c r="H2" s="384" t="s">
        <v>350</v>
      </c>
      <c r="I2" s="384" t="s">
        <v>351</v>
      </c>
      <c r="J2" s="384" t="s">
        <v>352</v>
      </c>
      <c r="K2" s="384" t="s">
        <v>351</v>
      </c>
      <c r="L2" s="384" t="s">
        <v>352</v>
      </c>
      <c r="M2" s="384" t="s">
        <v>351</v>
      </c>
      <c r="N2" s="384" t="s">
        <v>352</v>
      </c>
    </row>
    <row r="3" spans="1:14" ht="15.75" thickBot="1" x14ac:dyDescent="0.3">
      <c r="A3" s="355" t="s">
        <v>318</v>
      </c>
      <c r="B3" s="355" t="s">
        <v>319</v>
      </c>
      <c r="C3" s="355" t="s">
        <v>320</v>
      </c>
      <c r="D3" s="355" t="s">
        <v>321</v>
      </c>
      <c r="E3" s="353"/>
      <c r="G3" s="385">
        <v>2004</v>
      </c>
      <c r="H3" s="386" t="s">
        <v>353</v>
      </c>
      <c r="I3" s="387">
        <v>24758</v>
      </c>
      <c r="J3" s="387">
        <v>39660</v>
      </c>
      <c r="K3" s="387">
        <v>25830</v>
      </c>
      <c r="L3" s="387">
        <v>38587</v>
      </c>
      <c r="M3" s="387">
        <v>26950</v>
      </c>
      <c r="N3" s="387">
        <v>37468</v>
      </c>
    </row>
    <row r="4" spans="1:14" ht="15.75" thickBot="1" x14ac:dyDescent="0.3">
      <c r="A4" s="353"/>
      <c r="B4" s="353"/>
      <c r="C4" s="353"/>
      <c r="D4" s="353"/>
      <c r="E4" s="353"/>
      <c r="G4" s="385">
        <v>2004</v>
      </c>
      <c r="H4" s="386" t="s">
        <v>353</v>
      </c>
      <c r="I4" s="387">
        <v>11242</v>
      </c>
      <c r="J4" s="387">
        <v>14514</v>
      </c>
      <c r="K4" s="387">
        <v>11730</v>
      </c>
      <c r="L4" s="387">
        <v>14026</v>
      </c>
      <c r="M4" s="387">
        <v>12238</v>
      </c>
      <c r="N4" s="387">
        <v>13518</v>
      </c>
    </row>
    <row r="5" spans="1:14" ht="15.75" thickBot="1" x14ac:dyDescent="0.3">
      <c r="A5" s="355"/>
      <c r="B5" s="355"/>
      <c r="C5" s="356"/>
      <c r="D5" s="354"/>
      <c r="E5" s="353"/>
      <c r="G5" s="385">
        <v>2006</v>
      </c>
      <c r="H5" s="386" t="s">
        <v>353</v>
      </c>
      <c r="I5" s="387">
        <v>63143</v>
      </c>
      <c r="J5" s="387">
        <v>121251</v>
      </c>
      <c r="K5" s="387">
        <v>65962</v>
      </c>
      <c r="L5" s="387">
        <v>118432</v>
      </c>
      <c r="M5" s="387">
        <v>68906</v>
      </c>
      <c r="N5" s="387">
        <v>115488</v>
      </c>
    </row>
    <row r="6" spans="1:14" ht="15.75" thickBot="1" x14ac:dyDescent="0.3">
      <c r="A6" s="355" t="s">
        <v>322</v>
      </c>
      <c r="B6" s="355">
        <v>2004</v>
      </c>
      <c r="C6" s="357">
        <v>4.2500000000000003E-2</v>
      </c>
      <c r="D6" s="354">
        <v>1238000</v>
      </c>
      <c r="E6" s="353"/>
      <c r="G6" s="385">
        <v>2007</v>
      </c>
      <c r="H6" s="386" t="s">
        <v>353</v>
      </c>
      <c r="I6" s="387">
        <v>13241</v>
      </c>
      <c r="J6" s="387">
        <v>25888</v>
      </c>
      <c r="K6" s="387">
        <v>13815</v>
      </c>
      <c r="L6" s="387">
        <v>25314</v>
      </c>
      <c r="M6" s="387">
        <v>14414</v>
      </c>
      <c r="N6" s="387">
        <v>24715</v>
      </c>
    </row>
    <row r="7" spans="1:14" ht="15.75" thickBot="1" x14ac:dyDescent="0.3">
      <c r="A7" s="355" t="s">
        <v>323</v>
      </c>
      <c r="B7" s="355">
        <v>2007</v>
      </c>
      <c r="C7" s="358">
        <v>4.2500000000000003E-2</v>
      </c>
      <c r="D7" s="354">
        <v>752000</v>
      </c>
      <c r="E7" s="353"/>
      <c r="G7" s="385">
        <v>2008</v>
      </c>
      <c r="H7" s="386" t="s">
        <v>353</v>
      </c>
      <c r="I7" s="387">
        <v>4988</v>
      </c>
      <c r="J7" s="387">
        <v>10907</v>
      </c>
      <c r="K7" s="387">
        <v>5210</v>
      </c>
      <c r="L7" s="387">
        <v>10685</v>
      </c>
      <c r="M7" s="387">
        <v>5443</v>
      </c>
      <c r="N7" s="387">
        <v>10452</v>
      </c>
    </row>
    <row r="8" spans="1:14" ht="15.75" thickBot="1" x14ac:dyDescent="0.3">
      <c r="A8" s="355" t="s">
        <v>324</v>
      </c>
      <c r="B8" s="355">
        <v>2009</v>
      </c>
      <c r="C8" s="365">
        <v>2.375E-2</v>
      </c>
      <c r="D8" s="359">
        <v>1100000</v>
      </c>
      <c r="E8" s="353"/>
      <c r="G8" s="385">
        <v>2008</v>
      </c>
      <c r="H8" s="386" t="s">
        <v>353</v>
      </c>
      <c r="I8" s="387">
        <v>1969</v>
      </c>
      <c r="J8" s="387">
        <v>3905</v>
      </c>
      <c r="K8" s="387">
        <v>2052</v>
      </c>
      <c r="L8" s="387">
        <v>3822</v>
      </c>
      <c r="M8" s="387">
        <v>2138</v>
      </c>
      <c r="N8" s="387">
        <v>3736</v>
      </c>
    </row>
    <row r="9" spans="1:14" ht="15.75" thickBot="1" x14ac:dyDescent="0.3">
      <c r="A9" s="355" t="s">
        <v>325</v>
      </c>
      <c r="B9" s="355">
        <v>2012</v>
      </c>
      <c r="C9" s="368">
        <v>2.1250000000000002E-2</v>
      </c>
      <c r="D9" s="354">
        <v>1459000</v>
      </c>
      <c r="E9" s="353"/>
      <c r="G9" s="385">
        <v>2008</v>
      </c>
      <c r="H9" s="386" t="s">
        <v>334</v>
      </c>
      <c r="I9" s="387">
        <v>233642</v>
      </c>
      <c r="J9" s="387">
        <v>20338</v>
      </c>
      <c r="K9" s="387">
        <v>235984</v>
      </c>
      <c r="L9" s="387">
        <v>17410</v>
      </c>
      <c r="M9" s="387">
        <v>238350</v>
      </c>
      <c r="N9" s="387">
        <v>14454</v>
      </c>
    </row>
    <row r="10" spans="1:14" ht="15.75" thickBot="1" x14ac:dyDescent="0.3">
      <c r="A10" s="355" t="s">
        <v>326</v>
      </c>
      <c r="B10" s="355">
        <v>2014</v>
      </c>
      <c r="C10" s="365">
        <v>1.8749999999999999E-2</v>
      </c>
      <c r="D10" s="354">
        <v>694000</v>
      </c>
      <c r="E10" s="353"/>
      <c r="G10" s="385">
        <v>2009</v>
      </c>
      <c r="H10" s="386" t="s">
        <v>353</v>
      </c>
      <c r="I10" s="387">
        <v>22175</v>
      </c>
      <c r="J10" s="387">
        <v>20449</v>
      </c>
      <c r="K10" s="387">
        <v>22708</v>
      </c>
      <c r="L10" s="387">
        <v>19917</v>
      </c>
      <c r="M10" s="387">
        <v>23253</v>
      </c>
      <c r="N10" s="387">
        <v>19371</v>
      </c>
    </row>
    <row r="11" spans="1:14" ht="15.75" thickBot="1" x14ac:dyDescent="0.3">
      <c r="A11" s="355" t="s">
        <v>327</v>
      </c>
      <c r="B11" s="355">
        <v>2006</v>
      </c>
      <c r="C11" s="365">
        <v>4.3749999999999997E-2</v>
      </c>
      <c r="D11" s="354">
        <v>3480000</v>
      </c>
      <c r="E11" s="353"/>
      <c r="G11" s="385">
        <v>2009</v>
      </c>
      <c r="H11" s="386" t="s">
        <v>334</v>
      </c>
      <c r="I11" s="387">
        <v>51177</v>
      </c>
      <c r="J11" s="387">
        <v>5140</v>
      </c>
      <c r="K11" s="387">
        <v>51690</v>
      </c>
      <c r="L11" s="387">
        <v>4498</v>
      </c>
      <c r="M11" s="387">
        <v>52208</v>
      </c>
      <c r="N11" s="387">
        <v>3850</v>
      </c>
    </row>
    <row r="12" spans="1:14" ht="15.75" thickBot="1" x14ac:dyDescent="0.3">
      <c r="A12" s="364" t="s">
        <v>328</v>
      </c>
      <c r="B12" s="355">
        <v>2008</v>
      </c>
      <c r="C12" s="365">
        <v>4.3749999999999997E-2</v>
      </c>
      <c r="D12" s="354">
        <v>300000</v>
      </c>
      <c r="E12" s="353"/>
      <c r="G12" s="385">
        <v>2011</v>
      </c>
      <c r="H12" s="386" t="s">
        <v>353</v>
      </c>
      <c r="I12" s="387">
        <v>21273</v>
      </c>
      <c r="J12" s="387">
        <v>30276</v>
      </c>
      <c r="K12" s="387">
        <v>21920</v>
      </c>
      <c r="L12" s="387">
        <v>29629</v>
      </c>
      <c r="M12" s="387">
        <v>22586</v>
      </c>
      <c r="N12" s="387">
        <v>28962</v>
      </c>
    </row>
    <row r="13" spans="1:14" ht="15.75" thickBot="1" x14ac:dyDescent="0.3">
      <c r="A13" s="364" t="s">
        <v>329</v>
      </c>
      <c r="B13" s="355">
        <v>2011</v>
      </c>
      <c r="C13" s="357">
        <v>0.03</v>
      </c>
      <c r="D13" s="354">
        <v>1200000</v>
      </c>
      <c r="E13" s="353"/>
      <c r="G13" s="385">
        <v>2012</v>
      </c>
      <c r="H13" s="386" t="s">
        <v>353</v>
      </c>
      <c r="I13" s="387">
        <v>28327</v>
      </c>
      <c r="J13" s="387">
        <v>25849</v>
      </c>
      <c r="K13" s="387">
        <v>28935</v>
      </c>
      <c r="L13" s="387">
        <v>25241</v>
      </c>
      <c r="M13" s="387">
        <v>29556</v>
      </c>
      <c r="N13" s="387">
        <v>24620</v>
      </c>
    </row>
    <row r="14" spans="1:14" ht="15.75" thickBot="1" x14ac:dyDescent="0.3">
      <c r="A14" s="353"/>
      <c r="B14" s="353"/>
      <c r="C14" s="353"/>
      <c r="D14" s="354">
        <v>10223000</v>
      </c>
      <c r="E14" s="353"/>
      <c r="G14" s="385">
        <v>2012</v>
      </c>
      <c r="H14" s="386" t="s">
        <v>334</v>
      </c>
      <c r="I14" s="387">
        <v>83719</v>
      </c>
      <c r="J14" s="387">
        <v>12425</v>
      </c>
      <c r="K14" s="387">
        <v>83559</v>
      </c>
      <c r="L14" s="387">
        <v>11377</v>
      </c>
      <c r="M14" s="387">
        <v>85407</v>
      </c>
      <c r="N14" s="387">
        <v>10318</v>
      </c>
    </row>
    <row r="15" spans="1:14" ht="15.75" thickBot="1" x14ac:dyDescent="0.3">
      <c r="G15" s="385">
        <v>2013</v>
      </c>
      <c r="H15" s="386" t="s">
        <v>334</v>
      </c>
      <c r="I15" s="387">
        <v>196703</v>
      </c>
      <c r="J15" s="387">
        <v>30573</v>
      </c>
      <c r="K15" s="387">
        <v>198675</v>
      </c>
      <c r="L15" s="387">
        <v>28108</v>
      </c>
      <c r="M15" s="387">
        <v>200667</v>
      </c>
      <c r="N15" s="387">
        <v>16169</v>
      </c>
    </row>
    <row r="16" spans="1:14" ht="15.75" thickBot="1" x14ac:dyDescent="0.3">
      <c r="A16" s="362"/>
      <c r="B16" s="353"/>
      <c r="C16" s="363"/>
      <c r="D16" s="371"/>
      <c r="E16" s="353"/>
      <c r="G16" s="385">
        <v>2013</v>
      </c>
      <c r="H16" s="386" t="s">
        <v>354</v>
      </c>
      <c r="I16" s="387">
        <v>209166</v>
      </c>
      <c r="J16" s="387">
        <v>88505</v>
      </c>
      <c r="K16" s="387">
        <v>212916</v>
      </c>
      <c r="L16" s="387">
        <v>79510</v>
      </c>
      <c r="M16" s="387">
        <v>212070</v>
      </c>
      <c r="N16" s="387">
        <v>70356</v>
      </c>
    </row>
    <row r="17" spans="1:14" ht="15.75" thickBot="1" x14ac:dyDescent="0.3">
      <c r="A17" s="362" t="s">
        <v>330</v>
      </c>
      <c r="B17" s="353">
        <v>2004</v>
      </c>
      <c r="C17" s="370">
        <v>4.2500000000000003E-2</v>
      </c>
      <c r="D17" s="371">
        <v>495000</v>
      </c>
      <c r="E17" s="353" t="s">
        <v>331</v>
      </c>
      <c r="G17" s="385">
        <v>2014</v>
      </c>
      <c r="H17" s="386" t="s">
        <v>353</v>
      </c>
      <c r="I17" s="387">
        <v>13441</v>
      </c>
      <c r="J17" s="387">
        <v>11263</v>
      </c>
      <c r="K17" s="387">
        <v>13665</v>
      </c>
      <c r="L17" s="387">
        <v>11009</v>
      </c>
      <c r="M17" s="387">
        <v>13923</v>
      </c>
      <c r="N17" s="387">
        <v>10751</v>
      </c>
    </row>
    <row r="18" spans="1:14" ht="15.75" thickBot="1" x14ac:dyDescent="0.3">
      <c r="A18" s="362" t="s">
        <v>332</v>
      </c>
      <c r="B18" s="353">
        <v>2008</v>
      </c>
      <c r="C18" s="372">
        <v>4.1250000000000002E-2</v>
      </c>
      <c r="D18" s="371">
        <v>115000</v>
      </c>
      <c r="E18" s="353" t="s">
        <v>333</v>
      </c>
      <c r="G18" s="385">
        <v>2015</v>
      </c>
      <c r="H18" s="386" t="s">
        <v>334</v>
      </c>
      <c r="I18" s="387">
        <v>26578</v>
      </c>
      <c r="J18" s="387">
        <v>8879</v>
      </c>
      <c r="K18" s="387">
        <v>13588</v>
      </c>
      <c r="L18" s="387">
        <v>8551</v>
      </c>
      <c r="M18" s="387">
        <v>27113</v>
      </c>
      <c r="N18" s="387">
        <v>8209</v>
      </c>
    </row>
    <row r="19" spans="1:14" ht="15.75" thickBot="1" x14ac:dyDescent="0.3">
      <c r="A19" s="353"/>
      <c r="B19" s="353"/>
      <c r="C19" s="353"/>
      <c r="D19" s="371"/>
      <c r="E19" s="353"/>
      <c r="G19" s="385">
        <v>2019</v>
      </c>
      <c r="H19" s="386" t="s">
        <v>334</v>
      </c>
      <c r="I19" s="387">
        <v>75483</v>
      </c>
      <c r="J19" s="387">
        <v>23236</v>
      </c>
      <c r="K19" s="387">
        <v>76050</v>
      </c>
      <c r="L19" s="387">
        <v>22479</v>
      </c>
      <c r="M19" s="387">
        <v>76622</v>
      </c>
      <c r="N19" s="387">
        <v>21718</v>
      </c>
    </row>
    <row r="20" spans="1:14" ht="15.75" thickBot="1" x14ac:dyDescent="0.3">
      <c r="A20" s="353"/>
      <c r="B20" s="353"/>
      <c r="C20" s="353"/>
      <c r="D20" s="354"/>
      <c r="E20" s="353"/>
      <c r="G20" s="385">
        <v>2020</v>
      </c>
      <c r="H20" s="386" t="s">
        <v>353</v>
      </c>
      <c r="I20" s="387">
        <v>31616</v>
      </c>
      <c r="J20" s="387" t="s">
        <v>355</v>
      </c>
      <c r="K20" s="387">
        <v>32173</v>
      </c>
      <c r="L20" s="387">
        <v>30951</v>
      </c>
      <c r="M20" s="387">
        <v>32741</v>
      </c>
      <c r="N20" s="387">
        <v>30384</v>
      </c>
    </row>
    <row r="21" spans="1:14" ht="15.75" thickBot="1" x14ac:dyDescent="0.3">
      <c r="A21" s="353"/>
      <c r="B21" s="353"/>
      <c r="C21" s="353"/>
      <c r="D21" s="353"/>
      <c r="E21" s="353"/>
      <c r="G21" s="385">
        <v>2020</v>
      </c>
      <c r="H21" s="386" t="s">
        <v>334</v>
      </c>
      <c r="I21" s="387">
        <v>63988</v>
      </c>
      <c r="J21" s="387">
        <v>9948</v>
      </c>
      <c r="K21" s="387">
        <v>64309</v>
      </c>
      <c r="L21" s="387">
        <v>9708</v>
      </c>
      <c r="M21" s="387">
        <v>64631</v>
      </c>
      <c r="N21" s="387">
        <v>8983</v>
      </c>
    </row>
    <row r="22" spans="1:14" ht="15.75" thickBot="1" x14ac:dyDescent="0.3">
      <c r="A22" s="366" t="s">
        <v>334</v>
      </c>
      <c r="B22" s="353"/>
      <c r="C22" s="353"/>
      <c r="D22" s="353"/>
      <c r="E22" s="353"/>
      <c r="G22" s="385">
        <v>2020</v>
      </c>
      <c r="H22" s="386" t="s">
        <v>334</v>
      </c>
      <c r="I22" s="387">
        <v>100325</v>
      </c>
      <c r="J22" s="387">
        <v>15597</v>
      </c>
      <c r="K22" s="387">
        <v>100827</v>
      </c>
      <c r="L22" s="387">
        <v>14843</v>
      </c>
      <c r="M22" s="387">
        <v>101332</v>
      </c>
      <c r="N22" s="387">
        <v>14086</v>
      </c>
    </row>
    <row r="23" spans="1:14" x14ac:dyDescent="0.25">
      <c r="A23" s="362" t="s">
        <v>335</v>
      </c>
      <c r="B23" s="379">
        <v>2009</v>
      </c>
      <c r="C23" s="363">
        <v>0.01</v>
      </c>
      <c r="D23" s="359">
        <v>1000000</v>
      </c>
      <c r="E23" s="359"/>
    </row>
    <row r="24" spans="1:14" x14ac:dyDescent="0.25">
      <c r="A24" s="362" t="s">
        <v>336</v>
      </c>
      <c r="B24" s="380">
        <v>2013</v>
      </c>
      <c r="C24" s="367">
        <v>0.01</v>
      </c>
      <c r="D24" s="359">
        <v>4000000</v>
      </c>
      <c r="E24" s="359"/>
    </row>
    <row r="25" spans="1:14" x14ac:dyDescent="0.25">
      <c r="A25" s="362" t="s">
        <v>337</v>
      </c>
      <c r="B25" s="379">
        <v>2015</v>
      </c>
      <c r="C25" s="363">
        <v>0.01</v>
      </c>
      <c r="D25" s="359">
        <v>871143.19</v>
      </c>
      <c r="E25" s="359"/>
    </row>
    <row r="26" spans="1:14" x14ac:dyDescent="0.25">
      <c r="A26" s="369" t="s">
        <v>338</v>
      </c>
      <c r="B26" s="379">
        <v>2019</v>
      </c>
      <c r="C26" s="370">
        <v>7.4999999999999997E-3</v>
      </c>
      <c r="D26" s="374">
        <v>3833658.05</v>
      </c>
      <c r="E26" s="376"/>
    </row>
    <row r="27" spans="1:14" x14ac:dyDescent="0.25">
      <c r="A27" s="362" t="s">
        <v>339</v>
      </c>
      <c r="B27" s="379">
        <v>2008</v>
      </c>
      <c r="C27" s="363">
        <v>0.01</v>
      </c>
      <c r="D27" s="359">
        <v>4520000</v>
      </c>
      <c r="E27" s="359"/>
    </row>
    <row r="28" spans="1:14" x14ac:dyDescent="0.25">
      <c r="A28" s="362" t="s">
        <v>340</v>
      </c>
      <c r="B28" s="380">
        <v>2012</v>
      </c>
      <c r="C28" s="367">
        <v>0.01</v>
      </c>
      <c r="D28" s="359">
        <v>1694000</v>
      </c>
      <c r="E28" s="353"/>
    </row>
    <row r="29" spans="1:14" x14ac:dyDescent="0.25">
      <c r="A29" s="359"/>
      <c r="B29" s="359"/>
      <c r="C29" s="359"/>
      <c r="D29" s="359">
        <v>15918801.239999998</v>
      </c>
      <c r="E29" s="359"/>
    </row>
    <row r="30" spans="1:14" ht="16.5" x14ac:dyDescent="0.35">
      <c r="A30" s="360"/>
      <c r="B30" s="360"/>
      <c r="C30" s="360"/>
      <c r="D30" s="373"/>
      <c r="E30" s="360"/>
    </row>
    <row r="31" spans="1:14" x14ac:dyDescent="0.25">
      <c r="A31" s="361"/>
      <c r="B31" s="361"/>
      <c r="C31" s="361"/>
      <c r="D31" s="359"/>
      <c r="E31" s="359"/>
    </row>
    <row r="32" spans="1:14" x14ac:dyDescent="0.25">
      <c r="A32" s="353" t="s">
        <v>342</v>
      </c>
      <c r="B32" s="353"/>
      <c r="C32" s="353"/>
      <c r="D32" s="359"/>
      <c r="E32" s="359"/>
    </row>
    <row r="33" spans="1:5" x14ac:dyDescent="0.25">
      <c r="A33" s="353" t="s">
        <v>343</v>
      </c>
      <c r="B33" s="353"/>
      <c r="C33" s="353">
        <v>1815000</v>
      </c>
      <c r="D33" s="359"/>
      <c r="E33" s="359"/>
    </row>
    <row r="34" spans="1:5" x14ac:dyDescent="0.25">
      <c r="A34" s="377" t="s">
        <v>344</v>
      </c>
      <c r="B34" s="377"/>
      <c r="C34" s="377">
        <v>1342530</v>
      </c>
      <c r="D34" s="376"/>
      <c r="E34" s="376"/>
    </row>
    <row r="35" spans="1:5" x14ac:dyDescent="0.25">
      <c r="A35" s="353" t="s">
        <v>345</v>
      </c>
      <c r="B35" s="353"/>
      <c r="C35" s="353">
        <v>2104870</v>
      </c>
      <c r="D35" s="359"/>
      <c r="E35" s="359"/>
    </row>
    <row r="36" spans="1:5" x14ac:dyDescent="0.25">
      <c r="A36" s="378"/>
      <c r="B36" s="353"/>
      <c r="C36" s="353"/>
      <c r="D36" s="359"/>
      <c r="E36" s="359"/>
    </row>
    <row r="37" spans="1:5" x14ac:dyDescent="0.25">
      <c r="A37" s="353"/>
      <c r="B37" s="353"/>
      <c r="C37" s="353"/>
      <c r="D37" s="359"/>
      <c r="E37" s="359"/>
    </row>
    <row r="38" spans="1:5" x14ac:dyDescent="0.25">
      <c r="A38" s="375" t="s">
        <v>341</v>
      </c>
      <c r="B38" s="375"/>
      <c r="C38" s="375"/>
      <c r="D38" s="353"/>
      <c r="E38" s="353"/>
    </row>
    <row r="39" spans="1:5" x14ac:dyDescent="0.25">
      <c r="A39" s="353"/>
      <c r="B39" s="353"/>
      <c r="C39" s="353"/>
      <c r="D39" s="353"/>
      <c r="E39" s="353"/>
    </row>
  </sheetData>
  <mergeCells count="3">
    <mergeCell ref="I1:J1"/>
    <mergeCell ref="K1:L1"/>
    <mergeCell ref="M1:N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958C-2BAA-4B1D-850C-94E792FAAC06}">
  <dimension ref="A1:U303"/>
  <sheetViews>
    <sheetView topLeftCell="B262" workbookViewId="0">
      <selection activeCell="C273" sqref="C273"/>
    </sheetView>
  </sheetViews>
  <sheetFormatPr defaultRowHeight="15" x14ac:dyDescent="0.25"/>
  <cols>
    <col min="3" max="3" width="11.140625" bestFit="1" customWidth="1"/>
    <col min="5" max="5" width="11.28515625" bestFit="1" customWidth="1"/>
    <col min="7" max="7" width="11.28515625" bestFit="1" customWidth="1"/>
    <col min="9" max="9" width="2" customWidth="1"/>
    <col min="10" max="10" width="10.5703125" bestFit="1" customWidth="1"/>
    <col min="14" max="14" width="11.28515625" bestFit="1" customWidth="1"/>
    <col min="16" max="16" width="11.28515625" bestFit="1" customWidth="1"/>
    <col min="18" max="18" width="11.28515625" bestFit="1" customWidth="1"/>
    <col min="20" max="20" width="2.7109375" customWidth="1"/>
  </cols>
  <sheetData>
    <row r="1" spans="1:21" x14ac:dyDescent="0.25">
      <c r="A1" s="48" t="s">
        <v>291</v>
      </c>
      <c r="C1" s="412" t="s">
        <v>293</v>
      </c>
      <c r="D1" s="412"/>
      <c r="E1" s="412" t="s">
        <v>294</v>
      </c>
      <c r="F1" s="412"/>
      <c r="G1" s="412" t="s">
        <v>295</v>
      </c>
      <c r="H1" s="412"/>
      <c r="L1" s="48" t="s">
        <v>291</v>
      </c>
      <c r="N1" s="412" t="s">
        <v>293</v>
      </c>
      <c r="O1" s="412"/>
      <c r="P1" s="412" t="s">
        <v>294</v>
      </c>
      <c r="Q1" s="412"/>
      <c r="R1" s="412" t="s">
        <v>297</v>
      </c>
      <c r="S1" s="412"/>
    </row>
    <row r="2" spans="1:21" x14ac:dyDescent="0.25">
      <c r="A2" s="102" t="s">
        <v>292</v>
      </c>
      <c r="B2" s="102"/>
      <c r="C2" s="102" t="s">
        <v>270</v>
      </c>
      <c r="D2" s="102" t="s">
        <v>271</v>
      </c>
      <c r="E2" s="102" t="s">
        <v>270</v>
      </c>
      <c r="F2" s="102" t="s">
        <v>271</v>
      </c>
      <c r="G2" s="102" t="s">
        <v>270</v>
      </c>
      <c r="H2" s="102" t="s">
        <v>271</v>
      </c>
      <c r="J2" s="102" t="s">
        <v>272</v>
      </c>
      <c r="L2" s="102" t="s">
        <v>296</v>
      </c>
      <c r="M2" s="102"/>
      <c r="N2" s="102" t="s">
        <v>270</v>
      </c>
      <c r="O2" s="102" t="s">
        <v>271</v>
      </c>
      <c r="P2" s="102" t="s">
        <v>270</v>
      </c>
      <c r="Q2" s="102" t="s">
        <v>271</v>
      </c>
      <c r="R2" s="102" t="s">
        <v>270</v>
      </c>
      <c r="S2" s="102" t="s">
        <v>271</v>
      </c>
      <c r="T2" s="102" t="s">
        <v>272</v>
      </c>
    </row>
    <row r="3" spans="1:21" x14ac:dyDescent="0.25">
      <c r="A3" s="47" t="s">
        <v>63</v>
      </c>
      <c r="C3">
        <f>736200+2528900+5900</f>
        <v>3271000</v>
      </c>
      <c r="D3">
        <f>8227+3586+9</f>
        <v>11822</v>
      </c>
      <c r="E3">
        <f>154900+632900</f>
        <v>787800</v>
      </c>
      <c r="F3">
        <f>1280+890</f>
        <v>2170</v>
      </c>
      <c r="G3">
        <f>C3+E3</f>
        <v>4058800</v>
      </c>
      <c r="H3">
        <f>D3+F3</f>
        <v>13992</v>
      </c>
      <c r="J3" s="202">
        <f>G3/H3</f>
        <v>290.08004574042309</v>
      </c>
      <c r="L3" s="47" t="s">
        <v>63</v>
      </c>
      <c r="N3">
        <f>53100+143400</f>
        <v>196500</v>
      </c>
      <c r="O3">
        <f>413+203</f>
        <v>616</v>
      </c>
      <c r="P3">
        <f>84800+217000</f>
        <v>301800</v>
      </c>
      <c r="Q3">
        <f>596+308</f>
        <v>904</v>
      </c>
      <c r="R3">
        <f>N3+P3</f>
        <v>498300</v>
      </c>
      <c r="S3">
        <f>O3+Q3</f>
        <v>1520</v>
      </c>
      <c r="U3" s="202">
        <f t="shared" ref="U3:U22" si="0">R3/S3</f>
        <v>327.82894736842104</v>
      </c>
    </row>
    <row r="4" spans="1:21" x14ac:dyDescent="0.25">
      <c r="A4" s="47" t="s">
        <v>64</v>
      </c>
      <c r="C4">
        <f>5183300+8820000+4200+8300</f>
        <v>14015800</v>
      </c>
      <c r="D4">
        <f>4290+5180+4+5</f>
        <v>9479</v>
      </c>
      <c r="E4">
        <f>1467500+2159600</f>
        <v>3627100</v>
      </c>
      <c r="F4">
        <f>1212+1272</f>
        <v>2484</v>
      </c>
      <c r="G4">
        <f t="shared" ref="G4:G22" si="1">C4+E4</f>
        <v>17642900</v>
      </c>
      <c r="H4">
        <f t="shared" ref="H4:H22" si="2">D4+F4</f>
        <v>11963</v>
      </c>
      <c r="J4" s="202">
        <f t="shared" ref="J4:J22" si="3">G4/H4</f>
        <v>1474.7889325420044</v>
      </c>
      <c r="L4" s="47" t="s">
        <v>64</v>
      </c>
      <c r="N4">
        <f>181400+182100</f>
        <v>363500</v>
      </c>
      <c r="O4">
        <f>155+108</f>
        <v>263</v>
      </c>
      <c r="P4">
        <f>284700+234800</f>
        <v>519500</v>
      </c>
      <c r="Q4">
        <f>241+139</f>
        <v>380</v>
      </c>
      <c r="R4">
        <f t="shared" ref="R4:R22" si="4">N4+P4</f>
        <v>883000</v>
      </c>
      <c r="S4">
        <f t="shared" ref="S4:S22" si="5">O4+Q4</f>
        <v>643</v>
      </c>
      <c r="U4" s="202">
        <f t="shared" si="0"/>
        <v>1373.2503888024883</v>
      </c>
    </row>
    <row r="5" spans="1:21" x14ac:dyDescent="0.25">
      <c r="A5" s="47" t="s">
        <v>65</v>
      </c>
      <c r="C5">
        <f>10897200+13014700+4600+5400</f>
        <v>23921900</v>
      </c>
      <c r="D5">
        <f>4958+4827+2+2</f>
        <v>9789</v>
      </c>
      <c r="E5">
        <f>2553900+2808500</f>
        <v>5362400</v>
      </c>
      <c r="F5">
        <f>1161+1040</f>
        <v>2201</v>
      </c>
      <c r="G5">
        <f t="shared" si="1"/>
        <v>29284300</v>
      </c>
      <c r="H5">
        <f t="shared" si="2"/>
        <v>11990</v>
      </c>
      <c r="J5" s="202">
        <f t="shared" si="3"/>
        <v>2442.3936613844871</v>
      </c>
      <c r="L5" s="47" t="s">
        <v>65</v>
      </c>
      <c r="N5">
        <f>164400+198600</f>
        <v>363000</v>
      </c>
      <c r="O5">
        <f>74+74</f>
        <v>148</v>
      </c>
      <c r="P5">
        <f>214700+234000</f>
        <v>448700</v>
      </c>
      <c r="Q5">
        <f>98+87</f>
        <v>185</v>
      </c>
      <c r="R5">
        <f t="shared" si="4"/>
        <v>811700</v>
      </c>
      <c r="S5">
        <f t="shared" si="5"/>
        <v>333</v>
      </c>
      <c r="U5" s="202">
        <f t="shared" si="0"/>
        <v>2437.5375375375374</v>
      </c>
    </row>
    <row r="6" spans="1:21" x14ac:dyDescent="0.25">
      <c r="A6" s="47" t="s">
        <v>66</v>
      </c>
      <c r="C6">
        <f>13562700+12992700+3500</f>
        <v>26558900</v>
      </c>
      <c r="D6">
        <f>4250+3517+1</f>
        <v>7768</v>
      </c>
      <c r="E6">
        <f>3017700+2943700</f>
        <v>5961400</v>
      </c>
      <c r="F6">
        <f>947+796</f>
        <v>1743</v>
      </c>
      <c r="G6">
        <f t="shared" si="1"/>
        <v>32520300</v>
      </c>
      <c r="H6">
        <f t="shared" si="2"/>
        <v>9511</v>
      </c>
      <c r="J6" s="202">
        <f t="shared" si="3"/>
        <v>3419.2303648407105</v>
      </c>
      <c r="L6" s="47" t="s">
        <v>66</v>
      </c>
      <c r="N6">
        <f>169900+196600</f>
        <v>366500</v>
      </c>
      <c r="O6">
        <f>53+53</f>
        <v>106</v>
      </c>
      <c r="P6">
        <f>176000+184000</f>
        <v>360000</v>
      </c>
      <c r="Q6">
        <f>55+50</f>
        <v>105</v>
      </c>
      <c r="R6">
        <f t="shared" si="4"/>
        <v>726500</v>
      </c>
      <c r="S6">
        <f t="shared" si="5"/>
        <v>211</v>
      </c>
      <c r="U6" s="202">
        <f t="shared" si="0"/>
        <v>3443.1279620853079</v>
      </c>
    </row>
    <row r="7" spans="1:21" x14ac:dyDescent="0.25">
      <c r="A7" s="47" t="s">
        <v>67</v>
      </c>
      <c r="C7">
        <f>11859500+11276200</f>
        <v>23135700</v>
      </c>
      <c r="D7">
        <f>2831+2405</f>
        <v>5236</v>
      </c>
      <c r="E7">
        <f>2696000+2472000</f>
        <v>5168000</v>
      </c>
      <c r="F7">
        <f>643+527</f>
        <v>1170</v>
      </c>
      <c r="G7">
        <f t="shared" si="1"/>
        <v>28303700</v>
      </c>
      <c r="H7">
        <f t="shared" si="2"/>
        <v>6406</v>
      </c>
      <c r="J7" s="202">
        <f t="shared" si="3"/>
        <v>4418.3109584764279</v>
      </c>
      <c r="L7" s="47" t="s">
        <v>67</v>
      </c>
      <c r="N7">
        <f>206700+186900</f>
        <v>393600</v>
      </c>
      <c r="O7">
        <f>49+40</f>
        <v>89</v>
      </c>
      <c r="P7">
        <f>230900+169000</f>
        <v>399900</v>
      </c>
      <c r="Q7">
        <f>55+36</f>
        <v>91</v>
      </c>
      <c r="R7">
        <f t="shared" si="4"/>
        <v>793500</v>
      </c>
      <c r="S7">
        <f t="shared" si="5"/>
        <v>180</v>
      </c>
      <c r="U7" s="202">
        <f t="shared" si="0"/>
        <v>4408.333333333333</v>
      </c>
    </row>
    <row r="8" spans="1:21" x14ac:dyDescent="0.25">
      <c r="A8" s="47" t="s">
        <v>68</v>
      </c>
      <c r="C8">
        <f>9624800+8118500</f>
        <v>17743300</v>
      </c>
      <c r="D8">
        <f>1855+1427</f>
        <v>3282</v>
      </c>
      <c r="E8">
        <f>1889100+1728200</f>
        <v>3617300</v>
      </c>
      <c r="F8">
        <f>364+303</f>
        <v>667</v>
      </c>
      <c r="G8">
        <f t="shared" si="1"/>
        <v>21360600</v>
      </c>
      <c r="H8">
        <f t="shared" si="2"/>
        <v>3949</v>
      </c>
      <c r="J8" s="202">
        <f t="shared" si="3"/>
        <v>5409.1162319574578</v>
      </c>
      <c r="L8" s="47" t="s">
        <v>68</v>
      </c>
      <c r="N8">
        <f>217400+181000</f>
        <v>398400</v>
      </c>
      <c r="O8">
        <f>42+32</f>
        <v>74</v>
      </c>
      <c r="P8">
        <f>202800+146800</f>
        <v>349600</v>
      </c>
      <c r="Q8">
        <f>39+26</f>
        <v>65</v>
      </c>
      <c r="R8">
        <f t="shared" si="4"/>
        <v>748000</v>
      </c>
      <c r="S8">
        <f t="shared" si="5"/>
        <v>139</v>
      </c>
      <c r="U8" s="202">
        <f t="shared" si="0"/>
        <v>5381.294964028777</v>
      </c>
    </row>
    <row r="9" spans="1:21" x14ac:dyDescent="0.25">
      <c r="A9" s="47" t="s">
        <v>69</v>
      </c>
      <c r="C9">
        <f>7574100+7062100+6400</f>
        <v>14642600</v>
      </c>
      <c r="D9">
        <f>1223+1056+1</f>
        <v>2280</v>
      </c>
      <c r="E9">
        <f>1676500+1208700</f>
        <v>2885200</v>
      </c>
      <c r="F9">
        <f>271+180</f>
        <v>451</v>
      </c>
      <c r="G9">
        <f t="shared" si="1"/>
        <v>17527800</v>
      </c>
      <c r="H9">
        <f t="shared" si="2"/>
        <v>2731</v>
      </c>
      <c r="J9" s="202">
        <f t="shared" si="3"/>
        <v>6418.0886122299526</v>
      </c>
      <c r="L9" s="47" t="s">
        <v>69</v>
      </c>
      <c r="N9">
        <f>241100+227400</f>
        <v>468500</v>
      </c>
      <c r="O9">
        <f>39+34</f>
        <v>73</v>
      </c>
      <c r="P9">
        <f>155300+114100</f>
        <v>269400</v>
      </c>
      <c r="Q9">
        <f>25+17</f>
        <v>42</v>
      </c>
      <c r="R9">
        <f t="shared" si="4"/>
        <v>737900</v>
      </c>
      <c r="S9">
        <f t="shared" si="5"/>
        <v>115</v>
      </c>
      <c r="U9" s="202">
        <f t="shared" si="0"/>
        <v>6416.521739130435</v>
      </c>
    </row>
    <row r="10" spans="1:21" x14ac:dyDescent="0.25">
      <c r="A10" s="47" t="s">
        <v>70</v>
      </c>
      <c r="C10">
        <f>5704900+5085300</f>
        <v>10790200</v>
      </c>
      <c r="D10">
        <f>793+661</f>
        <v>1454</v>
      </c>
      <c r="E10">
        <f>928700+801400</f>
        <v>1730100</v>
      </c>
      <c r="F10">
        <f>129+104</f>
        <v>233</v>
      </c>
      <c r="G10">
        <f t="shared" si="1"/>
        <v>12520300</v>
      </c>
      <c r="H10">
        <f t="shared" si="2"/>
        <v>1687</v>
      </c>
      <c r="J10" s="202">
        <f t="shared" si="3"/>
        <v>7421.6360403082399</v>
      </c>
      <c r="L10" s="47" t="s">
        <v>70</v>
      </c>
      <c r="N10">
        <f>150800+167800</f>
        <v>318600</v>
      </c>
      <c r="O10">
        <f>21+22</f>
        <v>43</v>
      </c>
      <c r="P10">
        <f>129900+176300</f>
        <v>306200</v>
      </c>
      <c r="Q10">
        <f>18+23</f>
        <v>41</v>
      </c>
      <c r="R10">
        <f t="shared" si="4"/>
        <v>624800</v>
      </c>
      <c r="S10">
        <f t="shared" si="5"/>
        <v>84</v>
      </c>
      <c r="U10" s="202">
        <f t="shared" si="0"/>
        <v>7438.0952380952385</v>
      </c>
    </row>
    <row r="11" spans="1:21" x14ac:dyDescent="0.25">
      <c r="A11" s="47" t="s">
        <v>71</v>
      </c>
      <c r="C11">
        <f>4319100+4086800</f>
        <v>8405900</v>
      </c>
      <c r="D11">
        <f>528+470</f>
        <v>998</v>
      </c>
      <c r="E11">
        <f>656100+606800</f>
        <v>1262900</v>
      </c>
      <c r="F11">
        <f>80+70</f>
        <v>150</v>
      </c>
      <c r="G11">
        <f t="shared" si="1"/>
        <v>9668800</v>
      </c>
      <c r="H11">
        <f t="shared" si="2"/>
        <v>1148</v>
      </c>
      <c r="J11" s="202">
        <f t="shared" si="3"/>
        <v>8422.2996515679442</v>
      </c>
      <c r="L11" s="47" t="s">
        <v>71</v>
      </c>
      <c r="N11">
        <f>139300+129800</f>
        <v>269100</v>
      </c>
      <c r="O11">
        <f>17+15</f>
        <v>32</v>
      </c>
      <c r="P11">
        <f>123800+113100</f>
        <v>236900</v>
      </c>
      <c r="Q11">
        <f>15+13</f>
        <v>28</v>
      </c>
      <c r="R11">
        <f t="shared" si="4"/>
        <v>506000</v>
      </c>
      <c r="S11">
        <f t="shared" si="5"/>
        <v>60</v>
      </c>
      <c r="U11" s="202">
        <f t="shared" si="0"/>
        <v>8433.3333333333339</v>
      </c>
    </row>
    <row r="12" spans="1:21" x14ac:dyDescent="0.25">
      <c r="A12" s="47" t="s">
        <v>72</v>
      </c>
      <c r="C12">
        <f>3287700+3156500</f>
        <v>6444200</v>
      </c>
      <c r="D12">
        <f>357+325</f>
        <v>682</v>
      </c>
      <c r="E12">
        <f>606800+512800</f>
        <v>1119600</v>
      </c>
      <c r="F12">
        <f>66+53</f>
        <v>119</v>
      </c>
      <c r="G12">
        <f t="shared" si="1"/>
        <v>7563800</v>
      </c>
      <c r="H12">
        <f t="shared" si="2"/>
        <v>801</v>
      </c>
      <c r="J12" s="202">
        <f t="shared" si="3"/>
        <v>9442.9463171036205</v>
      </c>
      <c r="L12" s="47" t="s">
        <v>72</v>
      </c>
      <c r="N12">
        <f>164500+96400</f>
        <v>260900</v>
      </c>
      <c r="O12">
        <f>18+10</f>
        <v>28</v>
      </c>
      <c r="P12">
        <f>118800+87300</f>
        <v>206100</v>
      </c>
      <c r="Q12">
        <f>13+9</f>
        <v>22</v>
      </c>
      <c r="R12">
        <f t="shared" si="4"/>
        <v>467000</v>
      </c>
      <c r="S12">
        <f t="shared" si="5"/>
        <v>50</v>
      </c>
      <c r="U12" s="202">
        <f t="shared" si="0"/>
        <v>9340</v>
      </c>
    </row>
    <row r="13" spans="1:21" x14ac:dyDescent="0.25">
      <c r="A13" s="47" t="s">
        <v>73</v>
      </c>
      <c r="C13">
        <f>2668600+2543400</f>
        <v>5212000</v>
      </c>
      <c r="D13">
        <f>262+238</f>
        <v>500</v>
      </c>
      <c r="E13">
        <f>448700+407500</f>
        <v>856200</v>
      </c>
      <c r="F13">
        <f>44+38</f>
        <v>82</v>
      </c>
      <c r="G13">
        <f t="shared" si="1"/>
        <v>6068200</v>
      </c>
      <c r="H13">
        <f t="shared" si="2"/>
        <v>582</v>
      </c>
      <c r="J13" s="202">
        <f t="shared" si="3"/>
        <v>10426.460481099657</v>
      </c>
      <c r="L13" s="47" t="s">
        <v>73</v>
      </c>
      <c r="N13">
        <f>121800+96200</f>
        <v>218000</v>
      </c>
      <c r="O13">
        <f>12+9</f>
        <v>21</v>
      </c>
      <c r="P13">
        <f>51100+117800</f>
        <v>168900</v>
      </c>
      <c r="Q13">
        <f>5+11</f>
        <v>16</v>
      </c>
      <c r="R13">
        <f t="shared" si="4"/>
        <v>386900</v>
      </c>
      <c r="S13">
        <f t="shared" si="5"/>
        <v>37</v>
      </c>
      <c r="U13" s="202">
        <f t="shared" si="0"/>
        <v>10456.756756756757</v>
      </c>
    </row>
    <row r="14" spans="1:21" x14ac:dyDescent="0.25">
      <c r="A14" s="47" t="s">
        <v>74</v>
      </c>
      <c r="C14">
        <f>2013700+2178800</f>
        <v>4192500</v>
      </c>
      <c r="D14">
        <f>180+186</f>
        <v>366</v>
      </c>
      <c r="E14">
        <f>335500+210800</f>
        <v>546300</v>
      </c>
      <c r="F14">
        <f>30+18</f>
        <v>48</v>
      </c>
      <c r="G14">
        <f t="shared" si="1"/>
        <v>4738800</v>
      </c>
      <c r="H14">
        <f t="shared" si="2"/>
        <v>414</v>
      </c>
      <c r="J14" s="202">
        <f t="shared" si="3"/>
        <v>11446.376811594202</v>
      </c>
      <c r="L14" s="47" t="s">
        <v>74</v>
      </c>
      <c r="N14">
        <f>145100+47100</f>
        <v>192200</v>
      </c>
      <c r="O14">
        <f>13+4</f>
        <v>17</v>
      </c>
      <c r="P14">
        <f>78400+70300</f>
        <v>148700</v>
      </c>
      <c r="Q14">
        <f>7+6</f>
        <v>13</v>
      </c>
      <c r="R14">
        <f t="shared" si="4"/>
        <v>340900</v>
      </c>
      <c r="S14">
        <f t="shared" si="5"/>
        <v>30</v>
      </c>
      <c r="U14" s="202">
        <f t="shared" si="0"/>
        <v>11363.333333333334</v>
      </c>
    </row>
    <row r="15" spans="1:21" x14ac:dyDescent="0.25">
      <c r="A15" s="47" t="s">
        <v>75</v>
      </c>
      <c r="C15">
        <f>2034000+1812700</f>
        <v>3846700</v>
      </c>
      <c r="D15">
        <f>167+143</f>
        <v>310</v>
      </c>
      <c r="E15">
        <f>242600+279100</f>
        <v>521700</v>
      </c>
      <c r="F15">
        <f>20+22</f>
        <v>42</v>
      </c>
      <c r="G15">
        <f t="shared" si="1"/>
        <v>4368400</v>
      </c>
      <c r="H15">
        <f t="shared" si="2"/>
        <v>352</v>
      </c>
      <c r="J15" s="202">
        <f t="shared" si="3"/>
        <v>12410.227272727272</v>
      </c>
      <c r="L15" s="47" t="s">
        <v>75</v>
      </c>
      <c r="N15">
        <f>48200+114500</f>
        <v>162700</v>
      </c>
      <c r="O15">
        <f>4+9</f>
        <v>13</v>
      </c>
      <c r="P15">
        <f>24600+63100</f>
        <v>87700</v>
      </c>
      <c r="Q15">
        <f>2+5</f>
        <v>7</v>
      </c>
      <c r="R15">
        <f t="shared" si="4"/>
        <v>250400</v>
      </c>
      <c r="S15">
        <f t="shared" si="5"/>
        <v>20</v>
      </c>
      <c r="U15" s="202">
        <f t="shared" si="0"/>
        <v>12520</v>
      </c>
    </row>
    <row r="16" spans="1:21" x14ac:dyDescent="0.25">
      <c r="A16" s="47" t="s">
        <v>76</v>
      </c>
      <c r="C16">
        <f>1479800+1505900</f>
        <v>2985700</v>
      </c>
      <c r="D16">
        <f>112+110</f>
        <v>222</v>
      </c>
      <c r="E16">
        <f>263600+95500</f>
        <v>359100</v>
      </c>
      <c r="F16">
        <f>20+7</f>
        <v>27</v>
      </c>
      <c r="G16">
        <f t="shared" si="1"/>
        <v>3344800</v>
      </c>
      <c r="H16">
        <f t="shared" si="2"/>
        <v>249</v>
      </c>
      <c r="J16" s="202">
        <f t="shared" si="3"/>
        <v>13432.931726907631</v>
      </c>
      <c r="L16" s="47" t="s">
        <v>76</v>
      </c>
      <c r="N16">
        <f>52800+68900</f>
        <v>121700</v>
      </c>
      <c r="O16">
        <f>4+5</f>
        <v>9</v>
      </c>
      <c r="P16">
        <f>40000+54600</f>
        <v>94600</v>
      </c>
      <c r="Q16">
        <f>3+4</f>
        <v>7</v>
      </c>
      <c r="R16">
        <f t="shared" si="4"/>
        <v>216300</v>
      </c>
      <c r="S16">
        <f t="shared" si="5"/>
        <v>16</v>
      </c>
      <c r="U16" s="202">
        <f t="shared" si="0"/>
        <v>13518.75</v>
      </c>
    </row>
    <row r="17" spans="1:21" x14ac:dyDescent="0.25">
      <c r="A17" s="47" t="s">
        <v>77</v>
      </c>
      <c r="C17">
        <f>1560400+1351200</f>
        <v>2911600</v>
      </c>
      <c r="D17">
        <f>110+92</f>
        <v>202</v>
      </c>
      <c r="E17">
        <f>143000+146400</f>
        <v>289400</v>
      </c>
      <c r="F17">
        <f>10+10</f>
        <v>20</v>
      </c>
      <c r="G17">
        <f t="shared" si="1"/>
        <v>3201000</v>
      </c>
      <c r="H17">
        <f t="shared" si="2"/>
        <v>222</v>
      </c>
      <c r="J17" s="202">
        <f t="shared" si="3"/>
        <v>14418.918918918918</v>
      </c>
      <c r="L17" s="47" t="s">
        <v>77</v>
      </c>
      <c r="N17">
        <f>14400+43900</f>
        <v>58300</v>
      </c>
      <c r="O17">
        <f>1+3</f>
        <v>4</v>
      </c>
      <c r="P17">
        <f>14100+29700</f>
        <v>43800</v>
      </c>
      <c r="Q17">
        <f>1+2</f>
        <v>3</v>
      </c>
      <c r="R17">
        <f t="shared" si="4"/>
        <v>102100</v>
      </c>
      <c r="S17">
        <f t="shared" si="5"/>
        <v>7</v>
      </c>
      <c r="U17" s="202">
        <f t="shared" si="0"/>
        <v>14585.714285714286</v>
      </c>
    </row>
    <row r="18" spans="1:21" x14ac:dyDescent="0.25">
      <c r="A18" s="47" t="s">
        <v>78</v>
      </c>
      <c r="C18">
        <f>1094900+1097700</f>
        <v>2192600</v>
      </c>
      <c r="D18">
        <f>72+70</f>
        <v>142</v>
      </c>
      <c r="E18">
        <f>166700+78800</f>
        <v>245500</v>
      </c>
      <c r="F18">
        <f>11+5</f>
        <v>16</v>
      </c>
      <c r="G18">
        <f t="shared" si="1"/>
        <v>2438100</v>
      </c>
      <c r="H18">
        <f t="shared" si="2"/>
        <v>158</v>
      </c>
      <c r="J18" s="202">
        <f t="shared" si="3"/>
        <v>15431.012658227848</v>
      </c>
      <c r="L18" s="47" t="s">
        <v>78</v>
      </c>
      <c r="N18">
        <v>46900</v>
      </c>
      <c r="O18">
        <v>3</v>
      </c>
      <c r="P18">
        <f>45400+46500</f>
        <v>91900</v>
      </c>
      <c r="Q18">
        <f>3+3</f>
        <v>6</v>
      </c>
      <c r="R18">
        <f t="shared" si="4"/>
        <v>138800</v>
      </c>
      <c r="S18">
        <f t="shared" si="5"/>
        <v>9</v>
      </c>
      <c r="U18" s="202">
        <f t="shared" si="0"/>
        <v>15422.222222222223</v>
      </c>
    </row>
    <row r="19" spans="1:21" x14ac:dyDescent="0.25">
      <c r="A19" s="47" t="s">
        <v>79</v>
      </c>
      <c r="C19">
        <f>1006500+1083700</f>
        <v>2090200</v>
      </c>
      <c r="D19">
        <f>62+65</f>
        <v>127</v>
      </c>
      <c r="E19">
        <f>80600+100100</f>
        <v>180700</v>
      </c>
      <c r="F19">
        <f>5+6</f>
        <v>11</v>
      </c>
      <c r="G19">
        <f t="shared" si="1"/>
        <v>2270900</v>
      </c>
      <c r="H19">
        <f t="shared" si="2"/>
        <v>138</v>
      </c>
      <c r="J19" s="202">
        <f t="shared" si="3"/>
        <v>16455.797101449276</v>
      </c>
      <c r="L19" s="47" t="s">
        <v>79</v>
      </c>
      <c r="N19">
        <f>16000+50200</f>
        <v>66200</v>
      </c>
      <c r="O19">
        <f>1+3</f>
        <v>4</v>
      </c>
      <c r="P19">
        <f>80400+50100</f>
        <v>130500</v>
      </c>
      <c r="Q19">
        <f>5+3</f>
        <v>8</v>
      </c>
      <c r="R19">
        <f t="shared" si="4"/>
        <v>196700</v>
      </c>
      <c r="S19">
        <f t="shared" si="5"/>
        <v>12</v>
      </c>
      <c r="U19" s="202">
        <f t="shared" si="0"/>
        <v>16391.666666666668</v>
      </c>
    </row>
    <row r="20" spans="1:21" x14ac:dyDescent="0.25">
      <c r="A20" s="47" t="s">
        <v>80</v>
      </c>
      <c r="C20">
        <f>773900+902300</f>
        <v>1676200</v>
      </c>
      <c r="D20">
        <f>45+51</f>
        <v>96</v>
      </c>
      <c r="E20">
        <f>85800+70600</f>
        <v>156400</v>
      </c>
      <c r="F20">
        <f>5+4</f>
        <v>9</v>
      </c>
      <c r="G20">
        <f t="shared" si="1"/>
        <v>1832600</v>
      </c>
      <c r="H20">
        <f t="shared" si="2"/>
        <v>105</v>
      </c>
      <c r="J20" s="202">
        <f t="shared" si="3"/>
        <v>17453.333333333332</v>
      </c>
      <c r="L20" s="47" t="s">
        <v>80</v>
      </c>
      <c r="N20">
        <f>17200+35500</f>
        <v>52700</v>
      </c>
      <c r="O20">
        <f>1+2</f>
        <v>3</v>
      </c>
      <c r="P20">
        <f>34300+17600</f>
        <v>51900</v>
      </c>
      <c r="Q20">
        <f>2+1</f>
        <v>3</v>
      </c>
      <c r="R20">
        <f t="shared" si="4"/>
        <v>104600</v>
      </c>
      <c r="S20">
        <f t="shared" si="5"/>
        <v>6</v>
      </c>
      <c r="U20" s="202">
        <f t="shared" si="0"/>
        <v>17433.333333333332</v>
      </c>
    </row>
    <row r="21" spans="1:21" x14ac:dyDescent="0.25">
      <c r="A21" s="47" t="s">
        <v>81</v>
      </c>
      <c r="C21">
        <f>1000900+636800</f>
        <v>1637700</v>
      </c>
      <c r="D21">
        <f>55+34</f>
        <v>89</v>
      </c>
      <c r="E21">
        <f>36100+56000</f>
        <v>92100</v>
      </c>
      <c r="F21">
        <f>2+3</f>
        <v>5</v>
      </c>
      <c r="G21">
        <f t="shared" si="1"/>
        <v>1729800</v>
      </c>
      <c r="H21">
        <f t="shared" si="2"/>
        <v>94</v>
      </c>
      <c r="J21" s="202">
        <f t="shared" si="3"/>
        <v>18402.127659574468</v>
      </c>
      <c r="L21" s="47" t="s">
        <v>81</v>
      </c>
      <c r="N21">
        <f>36300+37400</f>
        <v>73700</v>
      </c>
      <c r="O21">
        <f>2+2</f>
        <v>4</v>
      </c>
      <c r="P21">
        <v>18900</v>
      </c>
      <c r="Q21">
        <v>1</v>
      </c>
      <c r="R21">
        <f t="shared" si="4"/>
        <v>92600</v>
      </c>
      <c r="S21">
        <f t="shared" si="5"/>
        <v>5</v>
      </c>
      <c r="U21" s="202">
        <f t="shared" si="0"/>
        <v>18520</v>
      </c>
    </row>
    <row r="22" spans="1:21" x14ac:dyDescent="0.25">
      <c r="A22" s="47" t="s">
        <v>82</v>
      </c>
      <c r="C22">
        <f>709600+750100</f>
        <v>1459700</v>
      </c>
      <c r="D22">
        <f>37+38</f>
        <v>75</v>
      </c>
      <c r="E22">
        <f>95600+59200</f>
        <v>154800</v>
      </c>
      <c r="F22">
        <f>5+3</f>
        <v>8</v>
      </c>
      <c r="G22">
        <f t="shared" si="1"/>
        <v>1614500</v>
      </c>
      <c r="H22">
        <f t="shared" si="2"/>
        <v>83</v>
      </c>
      <c r="J22" s="202">
        <f t="shared" si="3"/>
        <v>19451.807228915663</v>
      </c>
      <c r="L22" s="47" t="s">
        <v>82</v>
      </c>
      <c r="N22">
        <f>19100+59100</f>
        <v>78200</v>
      </c>
      <c r="O22">
        <f>1+3</f>
        <v>4</v>
      </c>
      <c r="P22">
        <f>38800+118200</f>
        <v>157000</v>
      </c>
      <c r="Q22">
        <f>2+6</f>
        <v>8</v>
      </c>
      <c r="R22">
        <f t="shared" si="4"/>
        <v>235200</v>
      </c>
      <c r="S22">
        <f t="shared" si="5"/>
        <v>12</v>
      </c>
      <c r="U22" s="202">
        <f t="shared" si="0"/>
        <v>19600</v>
      </c>
    </row>
    <row r="23" spans="1:21" x14ac:dyDescent="0.25">
      <c r="A23" s="47" t="s">
        <v>83</v>
      </c>
      <c r="C23">
        <f>848200+682900</f>
        <v>1531100</v>
      </c>
      <c r="D23">
        <f>42+33</f>
        <v>75</v>
      </c>
      <c r="E23">
        <f>60500+41300</f>
        <v>101800</v>
      </c>
      <c r="F23">
        <f>3+2</f>
        <v>5</v>
      </c>
      <c r="G23">
        <f t="shared" ref="G23:G86" si="6">C23+E23</f>
        <v>1632900</v>
      </c>
      <c r="H23">
        <f t="shared" ref="H23:H86" si="7">D23+F23</f>
        <v>80</v>
      </c>
      <c r="L23" s="47" t="s">
        <v>83</v>
      </c>
      <c r="N23">
        <f>80800+20800</f>
        <v>101600</v>
      </c>
      <c r="O23">
        <f>4+1</f>
        <v>5</v>
      </c>
      <c r="P23">
        <f>80500+83100</f>
        <v>163600</v>
      </c>
      <c r="Q23">
        <f>4+4</f>
        <v>8</v>
      </c>
    </row>
    <row r="24" spans="1:21" x14ac:dyDescent="0.25">
      <c r="A24">
        <v>21000</v>
      </c>
      <c r="C24">
        <f>677500+694500</f>
        <v>1372000</v>
      </c>
      <c r="D24">
        <f>32+32</f>
        <v>64</v>
      </c>
      <c r="E24">
        <f>21000+43400</f>
        <v>64400</v>
      </c>
      <c r="F24">
        <f>1+2</f>
        <v>3</v>
      </c>
      <c r="G24">
        <f t="shared" si="6"/>
        <v>1436400</v>
      </c>
      <c r="H24">
        <f t="shared" si="7"/>
        <v>67</v>
      </c>
      <c r="N24">
        <f>64000+21800</f>
        <v>85800</v>
      </c>
      <c r="O24">
        <f>3+1</f>
        <v>4</v>
      </c>
      <c r="P24">
        <f>42300+108800</f>
        <v>151100</v>
      </c>
      <c r="Q24">
        <f>2+5</f>
        <v>7</v>
      </c>
    </row>
    <row r="25" spans="1:21" x14ac:dyDescent="0.25">
      <c r="A25">
        <v>22000</v>
      </c>
      <c r="C25">
        <f>600600+545500</f>
        <v>1146100</v>
      </c>
      <c r="D25">
        <f>27+24</f>
        <v>51</v>
      </c>
      <c r="E25">
        <f>88700+45500</f>
        <v>134200</v>
      </c>
      <c r="F25">
        <f>4+2</f>
        <v>6</v>
      </c>
      <c r="G25">
        <f t="shared" si="6"/>
        <v>1280300</v>
      </c>
      <c r="H25">
        <f t="shared" si="7"/>
        <v>57</v>
      </c>
      <c r="N25">
        <v>22200</v>
      </c>
      <c r="O25">
        <v>1</v>
      </c>
      <c r="P25">
        <f>66500+45400</f>
        <v>111900</v>
      </c>
      <c r="Q25">
        <f>3+2</f>
        <v>5</v>
      </c>
    </row>
    <row r="26" spans="1:21" x14ac:dyDescent="0.25">
      <c r="A26">
        <v>23000</v>
      </c>
      <c r="C26">
        <f>394000+759100</f>
        <v>1153100</v>
      </c>
      <c r="D26">
        <f>17+32</f>
        <v>49</v>
      </c>
      <c r="E26">
        <f>46400+47400</f>
        <v>93800</v>
      </c>
      <c r="F26">
        <f>2+2</f>
        <v>4</v>
      </c>
      <c r="G26">
        <f t="shared" si="6"/>
        <v>1246900</v>
      </c>
      <c r="H26">
        <f t="shared" si="7"/>
        <v>53</v>
      </c>
      <c r="N26">
        <v>46700</v>
      </c>
      <c r="O26">
        <v>2</v>
      </c>
      <c r="P26">
        <f>46300+47300</f>
        <v>93600</v>
      </c>
      <c r="Q26">
        <f>2+2</f>
        <v>4</v>
      </c>
    </row>
    <row r="27" spans="1:21" x14ac:dyDescent="0.25">
      <c r="A27">
        <v>24000</v>
      </c>
      <c r="C27">
        <f>557500+468500</f>
        <v>1026000</v>
      </c>
      <c r="D27">
        <f>23+19</f>
        <v>42</v>
      </c>
      <c r="E27">
        <f>48400</f>
        <v>48400</v>
      </c>
      <c r="F27">
        <v>2</v>
      </c>
      <c r="G27">
        <f t="shared" si="6"/>
        <v>1074400</v>
      </c>
      <c r="H27">
        <f t="shared" si="7"/>
        <v>44</v>
      </c>
      <c r="N27">
        <v>98700</v>
      </c>
      <c r="O27">
        <v>4</v>
      </c>
      <c r="P27">
        <v>24800</v>
      </c>
      <c r="Q27">
        <v>1</v>
      </c>
    </row>
    <row r="28" spans="1:21" x14ac:dyDescent="0.25">
      <c r="C28">
        <f>402700+566100</f>
        <v>968800</v>
      </c>
      <c r="D28">
        <f>16+22</f>
        <v>38</v>
      </c>
      <c r="E28">
        <f>25400+51500</f>
        <v>76900</v>
      </c>
      <c r="F28">
        <f>1+2</f>
        <v>3</v>
      </c>
      <c r="G28">
        <f t="shared" si="6"/>
        <v>1045700</v>
      </c>
      <c r="H28">
        <f t="shared" si="7"/>
        <v>41</v>
      </c>
      <c r="N28">
        <f>100300+102600</f>
        <v>202900</v>
      </c>
      <c r="O28">
        <f>4+4</f>
        <v>8</v>
      </c>
      <c r="P28">
        <f>25000+51400</f>
        <v>76400</v>
      </c>
      <c r="Q28">
        <v>3</v>
      </c>
    </row>
    <row r="29" spans="1:21" x14ac:dyDescent="0.25">
      <c r="C29">
        <f>261700+453900</f>
        <v>715600</v>
      </c>
      <c r="D29">
        <f>10+17</f>
        <v>27</v>
      </c>
      <c r="E29">
        <v>53100</v>
      </c>
      <c r="F29">
        <v>2</v>
      </c>
      <c r="G29">
        <f t="shared" si="6"/>
        <v>768700</v>
      </c>
      <c r="H29">
        <f t="shared" si="7"/>
        <v>29</v>
      </c>
      <c r="N29">
        <v>28100</v>
      </c>
      <c r="O29">
        <v>1</v>
      </c>
      <c r="P29">
        <f>26200+26800</f>
        <v>53000</v>
      </c>
      <c r="Q29">
        <v>2</v>
      </c>
    </row>
    <row r="30" spans="1:21" x14ac:dyDescent="0.25">
      <c r="C30">
        <f>462100+581300</f>
        <v>1043400</v>
      </c>
      <c r="D30">
        <f>17+21</f>
        <v>38</v>
      </c>
      <c r="E30">
        <f>81800+27700</f>
        <v>109500</v>
      </c>
      <c r="F30">
        <f>3+1</f>
        <v>4</v>
      </c>
      <c r="G30">
        <f t="shared" si="6"/>
        <v>1152900</v>
      </c>
      <c r="H30">
        <f t="shared" si="7"/>
        <v>42</v>
      </c>
      <c r="N30">
        <v>59400</v>
      </c>
      <c r="O30">
        <v>2</v>
      </c>
      <c r="P30">
        <v>83200</v>
      </c>
      <c r="Q30">
        <v>3</v>
      </c>
    </row>
    <row r="31" spans="1:21" x14ac:dyDescent="0.25">
      <c r="C31">
        <f>451600+373800</f>
        <v>825400</v>
      </c>
      <c r="D31">
        <f>16+13</f>
        <v>29</v>
      </c>
      <c r="E31">
        <v>28200</v>
      </c>
      <c r="F31">
        <v>1</v>
      </c>
      <c r="G31">
        <f t="shared" si="6"/>
        <v>853600</v>
      </c>
      <c r="H31">
        <f t="shared" si="7"/>
        <v>30</v>
      </c>
      <c r="N31">
        <v>30900</v>
      </c>
      <c r="O31">
        <v>1</v>
      </c>
      <c r="P31">
        <v>57400</v>
      </c>
      <c r="Q31">
        <v>2</v>
      </c>
    </row>
    <row r="32" spans="1:21" x14ac:dyDescent="0.25">
      <c r="C32">
        <f>438400+178400</f>
        <v>616800</v>
      </c>
      <c r="D32">
        <f>15+6</f>
        <v>21</v>
      </c>
      <c r="E32">
        <v>29900</v>
      </c>
      <c r="F32">
        <v>1</v>
      </c>
      <c r="G32">
        <f t="shared" si="6"/>
        <v>646700</v>
      </c>
      <c r="H32">
        <f t="shared" si="7"/>
        <v>22</v>
      </c>
      <c r="N32">
        <v>31000</v>
      </c>
      <c r="O32">
        <v>1</v>
      </c>
      <c r="P32">
        <f>58300+119200</f>
        <v>177500</v>
      </c>
      <c r="Q32">
        <f>2+4</f>
        <v>6</v>
      </c>
    </row>
    <row r="33" spans="3:17" x14ac:dyDescent="0.25">
      <c r="C33">
        <f>484100+522200</f>
        <v>1006300</v>
      </c>
      <c r="D33">
        <f>16+17</f>
        <v>33</v>
      </c>
      <c r="E33">
        <f>30400+30600</f>
        <v>61000</v>
      </c>
      <c r="F33">
        <v>2</v>
      </c>
      <c r="G33">
        <f t="shared" si="6"/>
        <v>1067300</v>
      </c>
      <c r="H33">
        <f t="shared" si="7"/>
        <v>35</v>
      </c>
      <c r="N33">
        <f>32200+65000</f>
        <v>97200</v>
      </c>
      <c r="O33">
        <f>1+2</f>
        <v>3</v>
      </c>
      <c r="P33">
        <f>30100+30500</f>
        <v>60600</v>
      </c>
      <c r="Q33">
        <v>2</v>
      </c>
    </row>
    <row r="34" spans="3:17" x14ac:dyDescent="0.25">
      <c r="C34">
        <f>312100+348600</f>
        <v>660700</v>
      </c>
      <c r="D34">
        <f>10+11</f>
        <v>21</v>
      </c>
      <c r="E34">
        <v>62200</v>
      </c>
      <c r="F34">
        <v>2</v>
      </c>
      <c r="G34">
        <f t="shared" si="6"/>
        <v>722900</v>
      </c>
      <c r="H34">
        <f t="shared" si="7"/>
        <v>23</v>
      </c>
      <c r="N34">
        <v>66200</v>
      </c>
      <c r="O34">
        <v>2</v>
      </c>
      <c r="P34">
        <f>62400+31700</f>
        <v>94100</v>
      </c>
      <c r="Q34">
        <v>3</v>
      </c>
    </row>
    <row r="35" spans="3:17" x14ac:dyDescent="0.25">
      <c r="C35">
        <f>257600+523400</f>
        <v>781000</v>
      </c>
      <c r="D35">
        <f>8+16</f>
        <v>24</v>
      </c>
      <c r="E35">
        <v>32000</v>
      </c>
      <c r="F35">
        <v>1</v>
      </c>
      <c r="G35">
        <f t="shared" si="6"/>
        <v>813000</v>
      </c>
      <c r="H35">
        <f t="shared" si="7"/>
        <v>25</v>
      </c>
      <c r="N35">
        <f>34100+34700</f>
        <v>68800</v>
      </c>
      <c r="O35">
        <f>1+1</f>
        <v>2</v>
      </c>
      <c r="P35">
        <f>32000+65400</f>
        <v>97400</v>
      </c>
      <c r="Q35">
        <v>3</v>
      </c>
    </row>
    <row r="36" spans="3:17" x14ac:dyDescent="0.25">
      <c r="C36">
        <f>132600+236000</f>
        <v>368600</v>
      </c>
      <c r="D36">
        <f>4+7</f>
        <v>11</v>
      </c>
      <c r="E36">
        <v>33500</v>
      </c>
      <c r="F36">
        <v>1</v>
      </c>
      <c r="G36">
        <f t="shared" si="6"/>
        <v>402100</v>
      </c>
      <c r="H36">
        <f t="shared" si="7"/>
        <v>12</v>
      </c>
      <c r="N36">
        <f>70600+106900</f>
        <v>177500</v>
      </c>
      <c r="O36">
        <f>2+3</f>
        <v>5</v>
      </c>
      <c r="P36">
        <v>33100</v>
      </c>
      <c r="Q36">
        <v>1</v>
      </c>
    </row>
    <row r="37" spans="3:17" x14ac:dyDescent="0.25">
      <c r="C37">
        <f>411100+277900</f>
        <v>689000</v>
      </c>
      <c r="D37">
        <f>12+8</f>
        <v>20</v>
      </c>
      <c r="E37">
        <v>68100</v>
      </c>
      <c r="F37">
        <v>2</v>
      </c>
      <c r="G37">
        <f t="shared" si="6"/>
        <v>757100</v>
      </c>
      <c r="H37">
        <f t="shared" si="7"/>
        <v>22</v>
      </c>
      <c r="N37">
        <f>36100+36700</f>
        <v>72800</v>
      </c>
      <c r="O37">
        <v>2</v>
      </c>
      <c r="P37">
        <v>34600</v>
      </c>
      <c r="Q37">
        <v>1</v>
      </c>
    </row>
    <row r="38" spans="3:17" x14ac:dyDescent="0.25">
      <c r="C38">
        <f>105700+357400</f>
        <v>463100</v>
      </c>
      <c r="D38">
        <f>3+10</f>
        <v>13</v>
      </c>
      <c r="E38">
        <v>35400</v>
      </c>
      <c r="F38">
        <v>1</v>
      </c>
      <c r="G38">
        <f t="shared" si="6"/>
        <v>498500</v>
      </c>
      <c r="H38">
        <f t="shared" si="7"/>
        <v>14</v>
      </c>
      <c r="N38">
        <f>74500+75300</f>
        <v>149800</v>
      </c>
      <c r="O38">
        <f>2+2</f>
        <v>4</v>
      </c>
      <c r="P38">
        <v>36200</v>
      </c>
      <c r="Q38">
        <v>1</v>
      </c>
    </row>
    <row r="39" spans="3:17" x14ac:dyDescent="0.25">
      <c r="C39">
        <f>289400+146900</f>
        <v>436300</v>
      </c>
      <c r="D39">
        <f>8+4</f>
        <v>12</v>
      </c>
      <c r="E39">
        <v>36000</v>
      </c>
      <c r="F39">
        <v>1</v>
      </c>
      <c r="G39">
        <f t="shared" si="6"/>
        <v>472300</v>
      </c>
      <c r="H39">
        <f t="shared" si="7"/>
        <v>13</v>
      </c>
      <c r="N39">
        <v>76300</v>
      </c>
      <c r="O39">
        <v>2</v>
      </c>
      <c r="P39">
        <v>37900</v>
      </c>
      <c r="Q39">
        <v>1</v>
      </c>
    </row>
    <row r="40" spans="3:17" x14ac:dyDescent="0.25">
      <c r="C40">
        <f>185900+113100</f>
        <v>299000</v>
      </c>
      <c r="D40">
        <f>5+3</f>
        <v>8</v>
      </c>
      <c r="E40">
        <v>39100</v>
      </c>
      <c r="F40">
        <v>1</v>
      </c>
      <c r="G40">
        <f t="shared" si="6"/>
        <v>338100</v>
      </c>
      <c r="H40">
        <f t="shared" si="7"/>
        <v>9</v>
      </c>
      <c r="N40">
        <f>41200+41700</f>
        <v>82900</v>
      </c>
      <c r="O40">
        <v>2</v>
      </c>
      <c r="P40">
        <v>77100</v>
      </c>
      <c r="Q40">
        <v>2</v>
      </c>
    </row>
    <row r="41" spans="3:17" x14ac:dyDescent="0.25">
      <c r="C41">
        <f>38200+155000</f>
        <v>193200</v>
      </c>
      <c r="D41">
        <f>1+4</f>
        <v>5</v>
      </c>
      <c r="E41">
        <v>40900</v>
      </c>
      <c r="F41">
        <v>1</v>
      </c>
      <c r="G41">
        <f t="shared" si="6"/>
        <v>234100</v>
      </c>
      <c r="H41">
        <f t="shared" si="7"/>
        <v>6</v>
      </c>
      <c r="N41">
        <v>42200</v>
      </c>
      <c r="O41">
        <v>1</v>
      </c>
      <c r="P41">
        <v>40200</v>
      </c>
      <c r="Q41">
        <v>1</v>
      </c>
    </row>
    <row r="42" spans="3:17" x14ac:dyDescent="0.25">
      <c r="C42">
        <f>313400+158500</f>
        <v>471900</v>
      </c>
      <c r="D42">
        <f>8+4</f>
        <v>12</v>
      </c>
      <c r="E42">
        <v>41300</v>
      </c>
      <c r="F42">
        <v>1</v>
      </c>
      <c r="G42">
        <f t="shared" si="6"/>
        <v>513200</v>
      </c>
      <c r="H42">
        <f t="shared" si="7"/>
        <v>13</v>
      </c>
      <c r="N42">
        <v>43100</v>
      </c>
      <c r="O42">
        <v>1</v>
      </c>
      <c r="P42">
        <v>40700</v>
      </c>
      <c r="Q42">
        <v>1</v>
      </c>
    </row>
    <row r="43" spans="3:17" x14ac:dyDescent="0.25">
      <c r="C43">
        <f>160800+163100</f>
        <v>323900</v>
      </c>
      <c r="D43">
        <f>4+4</f>
        <v>8</v>
      </c>
      <c r="E43">
        <v>42000</v>
      </c>
      <c r="F43">
        <v>1</v>
      </c>
      <c r="G43">
        <f t="shared" si="6"/>
        <v>365900</v>
      </c>
      <c r="H43">
        <f t="shared" si="7"/>
        <v>9</v>
      </c>
      <c r="N43">
        <v>44600</v>
      </c>
      <c r="O43">
        <v>1</v>
      </c>
      <c r="P43">
        <v>42300</v>
      </c>
      <c r="Q43">
        <v>1</v>
      </c>
    </row>
    <row r="44" spans="3:17" x14ac:dyDescent="0.25">
      <c r="C44">
        <f>494300+83500</f>
        <v>577800</v>
      </c>
      <c r="D44">
        <f>12+2</f>
        <v>14</v>
      </c>
      <c r="E44">
        <v>89400</v>
      </c>
      <c r="F44">
        <v>2</v>
      </c>
      <c r="G44">
        <f t="shared" si="6"/>
        <v>667200</v>
      </c>
      <c r="H44">
        <f t="shared" si="7"/>
        <v>16</v>
      </c>
      <c r="N44">
        <v>45700</v>
      </c>
      <c r="O44">
        <v>1</v>
      </c>
      <c r="P44">
        <v>42600</v>
      </c>
      <c r="Q44">
        <v>1</v>
      </c>
    </row>
    <row r="45" spans="3:17" x14ac:dyDescent="0.25">
      <c r="C45">
        <f>253500+255800</f>
        <v>509300</v>
      </c>
      <c r="D45">
        <f>6+6</f>
        <v>12</v>
      </c>
      <c r="E45">
        <v>45100</v>
      </c>
      <c r="F45">
        <v>1</v>
      </c>
      <c r="G45">
        <f t="shared" si="6"/>
        <v>554400</v>
      </c>
      <c r="H45">
        <f t="shared" si="7"/>
        <v>13</v>
      </c>
      <c r="N45">
        <v>46100</v>
      </c>
      <c r="O45">
        <v>1</v>
      </c>
      <c r="P45">
        <v>43700</v>
      </c>
      <c r="Q45">
        <v>1</v>
      </c>
    </row>
    <row r="46" spans="3:17" x14ac:dyDescent="0.25">
      <c r="C46">
        <f>129500+218900</f>
        <v>348400</v>
      </c>
      <c r="D46">
        <f>3+5</f>
        <v>8</v>
      </c>
      <c r="E46">
        <v>48200</v>
      </c>
      <c r="F46">
        <v>1</v>
      </c>
      <c r="G46">
        <f t="shared" si="6"/>
        <v>396600</v>
      </c>
      <c r="H46">
        <f t="shared" si="7"/>
        <v>9</v>
      </c>
      <c r="N46">
        <v>47000</v>
      </c>
      <c r="O46">
        <v>1</v>
      </c>
      <c r="P46">
        <v>44100</v>
      </c>
      <c r="Q46">
        <v>1</v>
      </c>
    </row>
    <row r="47" spans="3:17" x14ac:dyDescent="0.25">
      <c r="C47">
        <f>132600+268100</f>
        <v>400700</v>
      </c>
      <c r="D47">
        <f>3+6</f>
        <v>9</v>
      </c>
      <c r="E47">
        <v>110600</v>
      </c>
      <c r="F47">
        <v>2</v>
      </c>
      <c r="G47">
        <f t="shared" si="6"/>
        <v>511300</v>
      </c>
      <c r="H47">
        <f t="shared" si="7"/>
        <v>11</v>
      </c>
      <c r="N47">
        <v>48800</v>
      </c>
      <c r="O47">
        <v>1</v>
      </c>
      <c r="P47">
        <v>51200</v>
      </c>
      <c r="Q47">
        <v>1</v>
      </c>
    </row>
    <row r="48" spans="3:17" x14ac:dyDescent="0.25">
      <c r="C48">
        <f>136000+136900</f>
        <v>272900</v>
      </c>
      <c r="D48">
        <f>3+3</f>
        <v>6</v>
      </c>
      <c r="E48">
        <v>55700</v>
      </c>
      <c r="F48">
        <v>1</v>
      </c>
      <c r="G48">
        <f t="shared" si="6"/>
        <v>328600</v>
      </c>
      <c r="H48">
        <f t="shared" si="7"/>
        <v>7</v>
      </c>
      <c r="N48">
        <v>51900</v>
      </c>
      <c r="O48">
        <v>1</v>
      </c>
      <c r="P48">
        <v>51700</v>
      </c>
      <c r="Q48">
        <v>1</v>
      </c>
    </row>
    <row r="49" spans="3:17" x14ac:dyDescent="0.25">
      <c r="C49">
        <f>138400+187300</f>
        <v>325700</v>
      </c>
      <c r="D49">
        <f>3+4</f>
        <v>7</v>
      </c>
      <c r="E49">
        <v>64600</v>
      </c>
      <c r="F49">
        <v>1</v>
      </c>
      <c r="G49">
        <f t="shared" si="6"/>
        <v>390300</v>
      </c>
      <c r="H49">
        <f t="shared" si="7"/>
        <v>8</v>
      </c>
      <c r="N49">
        <v>52700</v>
      </c>
      <c r="O49">
        <v>1</v>
      </c>
      <c r="P49">
        <v>52200</v>
      </c>
      <c r="Q49">
        <v>1</v>
      </c>
    </row>
    <row r="50" spans="3:17" x14ac:dyDescent="0.25">
      <c r="C50">
        <f>141800+143200</f>
        <v>285000</v>
      </c>
      <c r="D50">
        <f>3+3</f>
        <v>6</v>
      </c>
      <c r="E50">
        <v>71500</v>
      </c>
      <c r="F50">
        <v>1</v>
      </c>
      <c r="G50">
        <f t="shared" si="6"/>
        <v>356500</v>
      </c>
      <c r="H50">
        <f t="shared" si="7"/>
        <v>7</v>
      </c>
      <c r="N50">
        <v>53600</v>
      </c>
      <c r="O50">
        <v>1</v>
      </c>
      <c r="P50">
        <v>52500</v>
      </c>
      <c r="Q50">
        <v>1</v>
      </c>
    </row>
    <row r="51" spans="3:17" x14ac:dyDescent="0.25">
      <c r="C51">
        <f>192200+48800</f>
        <v>241000</v>
      </c>
      <c r="D51">
        <f>4+1</f>
        <v>5</v>
      </c>
      <c r="E51">
        <v>139800</v>
      </c>
      <c r="F51">
        <v>1</v>
      </c>
      <c r="G51">
        <f t="shared" si="6"/>
        <v>380800</v>
      </c>
      <c r="H51">
        <f t="shared" si="7"/>
        <v>6</v>
      </c>
      <c r="N51">
        <v>54000</v>
      </c>
      <c r="O51">
        <v>1</v>
      </c>
      <c r="P51">
        <v>117100</v>
      </c>
      <c r="Q51">
        <v>1</v>
      </c>
    </row>
    <row r="52" spans="3:17" x14ac:dyDescent="0.25">
      <c r="C52">
        <f>147500+149200</f>
        <v>296700</v>
      </c>
      <c r="D52">
        <f>3+3</f>
        <v>6</v>
      </c>
      <c r="E52">
        <v>163700</v>
      </c>
      <c r="F52">
        <v>1</v>
      </c>
      <c r="G52">
        <f t="shared" si="6"/>
        <v>460400</v>
      </c>
      <c r="H52">
        <f t="shared" si="7"/>
        <v>7</v>
      </c>
      <c r="N52">
        <v>54500</v>
      </c>
      <c r="O52">
        <v>1</v>
      </c>
    </row>
    <row r="53" spans="3:17" x14ac:dyDescent="0.25">
      <c r="C53">
        <f>201300</f>
        <v>201300</v>
      </c>
      <c r="D53">
        <v>4</v>
      </c>
      <c r="G53">
        <f t="shared" si="6"/>
        <v>201300</v>
      </c>
      <c r="H53">
        <f t="shared" si="7"/>
        <v>4</v>
      </c>
      <c r="N53">
        <v>55800</v>
      </c>
      <c r="O53">
        <v>1</v>
      </c>
    </row>
    <row r="54" spans="3:17" x14ac:dyDescent="0.25">
      <c r="C54">
        <f>153400+51700</f>
        <v>205100</v>
      </c>
      <c r="D54">
        <v>4</v>
      </c>
      <c r="G54">
        <f t="shared" si="6"/>
        <v>205100</v>
      </c>
      <c r="H54">
        <f t="shared" si="7"/>
        <v>4</v>
      </c>
      <c r="N54">
        <v>56500</v>
      </c>
      <c r="O54">
        <v>1</v>
      </c>
    </row>
    <row r="55" spans="3:17" x14ac:dyDescent="0.25">
      <c r="C55">
        <f>156800</f>
        <v>156800</v>
      </c>
      <c r="D55">
        <v>3</v>
      </c>
      <c r="G55">
        <f t="shared" si="6"/>
        <v>156800</v>
      </c>
      <c r="H55">
        <f t="shared" si="7"/>
        <v>3</v>
      </c>
      <c r="N55">
        <v>57700</v>
      </c>
      <c r="O55">
        <v>1</v>
      </c>
    </row>
    <row r="56" spans="3:17" x14ac:dyDescent="0.25">
      <c r="C56">
        <v>321900</v>
      </c>
      <c r="D56">
        <v>6</v>
      </c>
      <c r="G56">
        <f t="shared" si="6"/>
        <v>321900</v>
      </c>
      <c r="H56">
        <f t="shared" si="7"/>
        <v>6</v>
      </c>
      <c r="N56">
        <v>58200</v>
      </c>
      <c r="O56">
        <v>1</v>
      </c>
    </row>
    <row r="57" spans="3:17" x14ac:dyDescent="0.25">
      <c r="C57">
        <f>54200+109400</f>
        <v>163600</v>
      </c>
      <c r="D57">
        <v>3</v>
      </c>
      <c r="G57">
        <f t="shared" si="6"/>
        <v>163600</v>
      </c>
      <c r="H57">
        <f t="shared" si="7"/>
        <v>3</v>
      </c>
      <c r="N57">
        <v>60600</v>
      </c>
      <c r="O57">
        <v>1</v>
      </c>
    </row>
    <row r="58" spans="3:17" x14ac:dyDescent="0.25">
      <c r="C58">
        <f>165400+111300</f>
        <v>276700</v>
      </c>
      <c r="D58">
        <v>5</v>
      </c>
      <c r="G58">
        <f t="shared" si="6"/>
        <v>276700</v>
      </c>
      <c r="H58">
        <f t="shared" si="7"/>
        <v>5</v>
      </c>
      <c r="N58">
        <v>123300</v>
      </c>
      <c r="O58">
        <v>2</v>
      </c>
    </row>
    <row r="59" spans="3:17" x14ac:dyDescent="0.25">
      <c r="C59">
        <f>112000+113400</f>
        <v>225400</v>
      </c>
      <c r="D59">
        <v>4</v>
      </c>
      <c r="G59">
        <f t="shared" si="6"/>
        <v>225400</v>
      </c>
      <c r="H59">
        <f t="shared" si="7"/>
        <v>4</v>
      </c>
      <c r="N59">
        <v>187600</v>
      </c>
      <c r="O59">
        <v>3</v>
      </c>
    </row>
    <row r="60" spans="3:17" x14ac:dyDescent="0.25">
      <c r="C60">
        <f>171700+173300</f>
        <v>345000</v>
      </c>
      <c r="D60">
        <v>6</v>
      </c>
      <c r="G60">
        <f t="shared" si="6"/>
        <v>345000</v>
      </c>
      <c r="H60">
        <f t="shared" si="7"/>
        <v>6</v>
      </c>
      <c r="N60">
        <v>64900</v>
      </c>
      <c r="O60">
        <v>1</v>
      </c>
    </row>
    <row r="61" spans="3:17" x14ac:dyDescent="0.25">
      <c r="C61">
        <f>116200+176200</f>
        <v>292400</v>
      </c>
      <c r="D61">
        <v>5</v>
      </c>
      <c r="G61">
        <f t="shared" si="6"/>
        <v>292400</v>
      </c>
      <c r="H61">
        <f t="shared" si="7"/>
        <v>5</v>
      </c>
      <c r="N61">
        <v>65100</v>
      </c>
      <c r="O61">
        <v>1</v>
      </c>
    </row>
    <row r="62" spans="3:17" x14ac:dyDescent="0.25">
      <c r="C62">
        <f>177700+59900</f>
        <v>237600</v>
      </c>
      <c r="D62">
        <v>4</v>
      </c>
      <c r="G62">
        <f t="shared" si="6"/>
        <v>237600</v>
      </c>
      <c r="H62">
        <f t="shared" si="7"/>
        <v>4</v>
      </c>
      <c r="N62">
        <v>132300</v>
      </c>
      <c r="O62">
        <v>2</v>
      </c>
    </row>
    <row r="63" spans="3:17" x14ac:dyDescent="0.25">
      <c r="C63">
        <f>60400+181800</f>
        <v>242200</v>
      </c>
      <c r="D63">
        <v>4</v>
      </c>
      <c r="G63">
        <f t="shared" si="6"/>
        <v>242200</v>
      </c>
      <c r="H63">
        <f t="shared" si="7"/>
        <v>4</v>
      </c>
      <c r="N63">
        <v>67400</v>
      </c>
      <c r="O63">
        <v>1</v>
      </c>
    </row>
    <row r="64" spans="3:17" x14ac:dyDescent="0.25">
      <c r="C64">
        <f>122400+123800</f>
        <v>246200</v>
      </c>
      <c r="D64">
        <v>4</v>
      </c>
      <c r="G64">
        <f t="shared" si="6"/>
        <v>246200</v>
      </c>
      <c r="H64">
        <f t="shared" si="7"/>
        <v>4</v>
      </c>
      <c r="N64">
        <v>69200</v>
      </c>
      <c r="O64">
        <v>1</v>
      </c>
    </row>
    <row r="65" spans="3:21" x14ac:dyDescent="0.25">
      <c r="C65">
        <v>124400</v>
      </c>
      <c r="D65">
        <v>2</v>
      </c>
      <c r="G65">
        <f t="shared" si="6"/>
        <v>124400</v>
      </c>
      <c r="H65">
        <f t="shared" si="7"/>
        <v>2</v>
      </c>
      <c r="N65">
        <v>70000</v>
      </c>
      <c r="O65">
        <v>1</v>
      </c>
    </row>
    <row r="66" spans="3:21" x14ac:dyDescent="0.25">
      <c r="C66">
        <f>126300+63600</f>
        <v>189900</v>
      </c>
      <c r="D66">
        <v>3</v>
      </c>
      <c r="G66">
        <f t="shared" si="6"/>
        <v>189900</v>
      </c>
      <c r="H66">
        <f t="shared" si="7"/>
        <v>3</v>
      </c>
      <c r="N66">
        <v>86400</v>
      </c>
      <c r="O66">
        <v>1</v>
      </c>
    </row>
    <row r="67" spans="3:21" x14ac:dyDescent="0.25">
      <c r="C67">
        <f>256900+194100</f>
        <v>451000</v>
      </c>
      <c r="D67">
        <v>7</v>
      </c>
      <c r="G67">
        <f t="shared" si="6"/>
        <v>451000</v>
      </c>
      <c r="H67">
        <f t="shared" si="7"/>
        <v>7</v>
      </c>
      <c r="N67">
        <v>529000</v>
      </c>
      <c r="O67">
        <v>4</v>
      </c>
    </row>
    <row r="68" spans="3:21" x14ac:dyDescent="0.25">
      <c r="C68">
        <f>130100+131200</f>
        <v>261300</v>
      </c>
      <c r="D68">
        <v>4</v>
      </c>
      <c r="G68">
        <f t="shared" si="6"/>
        <v>261300</v>
      </c>
      <c r="H68">
        <f t="shared" si="7"/>
        <v>4</v>
      </c>
      <c r="N68">
        <v>782400</v>
      </c>
      <c r="O68">
        <v>4</v>
      </c>
    </row>
    <row r="69" spans="3:21" x14ac:dyDescent="0.25">
      <c r="C69">
        <v>201600</v>
      </c>
      <c r="D69">
        <v>3</v>
      </c>
      <c r="G69">
        <f t="shared" si="6"/>
        <v>201600</v>
      </c>
      <c r="H69">
        <f t="shared" si="7"/>
        <v>3</v>
      </c>
      <c r="N69">
        <v>219700</v>
      </c>
      <c r="O69">
        <v>1</v>
      </c>
    </row>
    <row r="70" spans="3:21" x14ac:dyDescent="0.25">
      <c r="C70">
        <v>136200</v>
      </c>
      <c r="D70">
        <v>2</v>
      </c>
      <c r="G70">
        <f t="shared" si="6"/>
        <v>136200</v>
      </c>
      <c r="H70">
        <f t="shared" si="7"/>
        <v>2</v>
      </c>
      <c r="N70">
        <v>1135800</v>
      </c>
      <c r="O70">
        <v>4</v>
      </c>
    </row>
    <row r="71" spans="3:21" x14ac:dyDescent="0.25">
      <c r="C71">
        <f>138200+139400</f>
        <v>277600</v>
      </c>
      <c r="D71">
        <v>2</v>
      </c>
      <c r="G71">
        <f t="shared" si="6"/>
        <v>277600</v>
      </c>
      <c r="H71">
        <f t="shared" si="7"/>
        <v>2</v>
      </c>
    </row>
    <row r="72" spans="3:21" x14ac:dyDescent="0.25">
      <c r="C72">
        <f>72200+72800</f>
        <v>145000</v>
      </c>
      <c r="D72">
        <v>2</v>
      </c>
      <c r="G72">
        <f t="shared" si="6"/>
        <v>145000</v>
      </c>
      <c r="H72">
        <f t="shared" si="7"/>
        <v>2</v>
      </c>
      <c r="N72" s="214">
        <f>SUM(N3:N71)</f>
        <v>10374100</v>
      </c>
      <c r="O72" s="115">
        <f>SUM(O3:O71)</f>
        <v>1648</v>
      </c>
      <c r="P72" s="115">
        <f>SUM(P3:P71)</f>
        <v>6433800</v>
      </c>
      <c r="Q72" s="115">
        <f>SUM(Q3:Q71)</f>
        <v>2001</v>
      </c>
      <c r="R72" s="115">
        <f>SUM(N23:N70)+SUM(P23:P70)</f>
        <v>7946700</v>
      </c>
      <c r="S72" s="115">
        <f>SUM(O23:O70)+SUM(Q23:Q70)</f>
        <v>160</v>
      </c>
      <c r="U72" s="216">
        <f>R72/S72</f>
        <v>49666.875</v>
      </c>
    </row>
    <row r="73" spans="3:21" x14ac:dyDescent="0.25">
      <c r="C73">
        <f>74100+149400</f>
        <v>223500</v>
      </c>
      <c r="D73">
        <v>2</v>
      </c>
      <c r="G73">
        <f t="shared" si="6"/>
        <v>223500</v>
      </c>
      <c r="H73">
        <f t="shared" si="7"/>
        <v>2</v>
      </c>
    </row>
    <row r="74" spans="3:21" x14ac:dyDescent="0.25">
      <c r="C74">
        <f>150400+227600</f>
        <v>378000</v>
      </c>
      <c r="D74">
        <v>1</v>
      </c>
      <c r="G74">
        <f t="shared" si="6"/>
        <v>378000</v>
      </c>
      <c r="H74">
        <f t="shared" si="7"/>
        <v>1</v>
      </c>
    </row>
    <row r="75" spans="3:21" x14ac:dyDescent="0.25">
      <c r="C75">
        <f>76400+76500</f>
        <v>152900</v>
      </c>
      <c r="D75">
        <v>4</v>
      </c>
      <c r="G75">
        <f t="shared" si="6"/>
        <v>152900</v>
      </c>
      <c r="H75">
        <f t="shared" si="7"/>
        <v>4</v>
      </c>
    </row>
    <row r="76" spans="3:21" x14ac:dyDescent="0.25">
      <c r="C76">
        <v>155800</v>
      </c>
      <c r="D76">
        <v>4</v>
      </c>
      <c r="G76">
        <f t="shared" si="6"/>
        <v>155800</v>
      </c>
      <c r="H76">
        <f t="shared" si="7"/>
        <v>4</v>
      </c>
    </row>
    <row r="77" spans="3:21" x14ac:dyDescent="0.25">
      <c r="C77">
        <f>156300+78500</f>
        <v>234800</v>
      </c>
      <c r="D77">
        <v>1</v>
      </c>
      <c r="G77">
        <f t="shared" si="6"/>
        <v>234800</v>
      </c>
      <c r="H77">
        <f t="shared" si="7"/>
        <v>1</v>
      </c>
    </row>
    <row r="78" spans="3:21" x14ac:dyDescent="0.25">
      <c r="C78">
        <v>159600</v>
      </c>
      <c r="D78">
        <v>4</v>
      </c>
      <c r="G78">
        <f t="shared" si="6"/>
        <v>159600</v>
      </c>
      <c r="H78">
        <f t="shared" si="7"/>
        <v>4</v>
      </c>
    </row>
    <row r="79" spans="3:21" x14ac:dyDescent="0.25">
      <c r="C79">
        <v>80000</v>
      </c>
      <c r="D79">
        <v>1</v>
      </c>
      <c r="G79">
        <f t="shared" si="6"/>
        <v>80000</v>
      </c>
      <c r="H79">
        <f t="shared" si="7"/>
        <v>1</v>
      </c>
    </row>
    <row r="80" spans="3:21" x14ac:dyDescent="0.25">
      <c r="C80">
        <f>162200+163100</f>
        <v>325300</v>
      </c>
      <c r="D80">
        <v>4</v>
      </c>
      <c r="G80">
        <f t="shared" si="6"/>
        <v>325300</v>
      </c>
      <c r="H80">
        <f t="shared" si="7"/>
        <v>4</v>
      </c>
    </row>
    <row r="81" spans="3:8" x14ac:dyDescent="0.25">
      <c r="C81">
        <v>246700</v>
      </c>
      <c r="D81">
        <v>3</v>
      </c>
      <c r="G81">
        <f t="shared" si="6"/>
        <v>246700</v>
      </c>
      <c r="H81">
        <f t="shared" si="7"/>
        <v>3</v>
      </c>
    </row>
    <row r="82" spans="3:8" x14ac:dyDescent="0.25">
      <c r="C82">
        <v>83600</v>
      </c>
      <c r="D82">
        <v>2</v>
      </c>
      <c r="G82">
        <f t="shared" si="6"/>
        <v>83600</v>
      </c>
      <c r="H82">
        <f t="shared" si="7"/>
        <v>2</v>
      </c>
    </row>
    <row r="83" spans="3:8" x14ac:dyDescent="0.25">
      <c r="C83">
        <v>84100</v>
      </c>
      <c r="D83">
        <v>6</v>
      </c>
      <c r="G83">
        <f t="shared" si="6"/>
        <v>84100</v>
      </c>
      <c r="H83">
        <f t="shared" si="7"/>
        <v>6</v>
      </c>
    </row>
    <row r="84" spans="3:8" x14ac:dyDescent="0.25">
      <c r="C84">
        <f>255700+257300</f>
        <v>513000</v>
      </c>
      <c r="D84">
        <v>1</v>
      </c>
      <c r="G84">
        <f t="shared" si="6"/>
        <v>513000</v>
      </c>
      <c r="H84">
        <f t="shared" si="7"/>
        <v>1</v>
      </c>
    </row>
    <row r="85" spans="3:8" x14ac:dyDescent="0.25">
      <c r="C85">
        <v>86600</v>
      </c>
      <c r="D85">
        <v>1</v>
      </c>
      <c r="G85">
        <f t="shared" si="6"/>
        <v>86600</v>
      </c>
      <c r="H85">
        <f t="shared" si="7"/>
        <v>1</v>
      </c>
    </row>
    <row r="86" spans="3:8" x14ac:dyDescent="0.25">
      <c r="C86">
        <v>87800</v>
      </c>
      <c r="D86">
        <v>2</v>
      </c>
      <c r="G86">
        <f t="shared" si="6"/>
        <v>87800</v>
      </c>
      <c r="H86">
        <f t="shared" si="7"/>
        <v>2</v>
      </c>
    </row>
    <row r="87" spans="3:8" x14ac:dyDescent="0.25">
      <c r="C87">
        <v>176800</v>
      </c>
      <c r="D87">
        <v>2</v>
      </c>
      <c r="G87">
        <f t="shared" ref="G87:G103" si="8">C87+E87</f>
        <v>176800</v>
      </c>
      <c r="H87">
        <f t="shared" ref="H87:H103" si="9">D87+F87</f>
        <v>2</v>
      </c>
    </row>
    <row r="88" spans="3:8" x14ac:dyDescent="0.25">
      <c r="C88">
        <f>91100+91800</f>
        <v>182900</v>
      </c>
      <c r="D88">
        <v>1</v>
      </c>
      <c r="G88">
        <f t="shared" si="8"/>
        <v>182900</v>
      </c>
      <c r="H88">
        <f t="shared" si="9"/>
        <v>1</v>
      </c>
    </row>
    <row r="89" spans="3:8" x14ac:dyDescent="0.25">
      <c r="C89">
        <v>92700</v>
      </c>
      <c r="D89">
        <v>2</v>
      </c>
      <c r="G89">
        <f t="shared" si="8"/>
        <v>92700</v>
      </c>
      <c r="H89">
        <f t="shared" si="9"/>
        <v>2</v>
      </c>
    </row>
    <row r="90" spans="3:8" x14ac:dyDescent="0.25">
      <c r="C90">
        <f>93400</f>
        <v>93400</v>
      </c>
      <c r="D90">
        <v>2</v>
      </c>
      <c r="G90">
        <f t="shared" si="8"/>
        <v>93400</v>
      </c>
      <c r="H90">
        <f t="shared" si="9"/>
        <v>2</v>
      </c>
    </row>
    <row r="91" spans="3:8" x14ac:dyDescent="0.25">
      <c r="C91">
        <v>93600</v>
      </c>
      <c r="D91">
        <v>3</v>
      </c>
      <c r="G91">
        <f t="shared" si="8"/>
        <v>93600</v>
      </c>
      <c r="H91">
        <f t="shared" si="9"/>
        <v>3</v>
      </c>
    </row>
    <row r="92" spans="3:8" x14ac:dyDescent="0.25">
      <c r="C92">
        <f>94300+94500</f>
        <v>188800</v>
      </c>
      <c r="D92">
        <v>4</v>
      </c>
      <c r="G92">
        <f t="shared" si="8"/>
        <v>188800</v>
      </c>
      <c r="H92">
        <f t="shared" si="9"/>
        <v>4</v>
      </c>
    </row>
    <row r="93" spans="3:8" x14ac:dyDescent="0.25">
      <c r="C93">
        <f>190300+95700</f>
        <v>286000</v>
      </c>
      <c r="D93">
        <v>1</v>
      </c>
      <c r="G93">
        <f t="shared" si="8"/>
        <v>286000</v>
      </c>
      <c r="H93">
        <f t="shared" si="9"/>
        <v>1</v>
      </c>
    </row>
    <row r="94" spans="3:8" x14ac:dyDescent="0.25">
      <c r="C94">
        <v>384900</v>
      </c>
      <c r="D94">
        <v>3</v>
      </c>
      <c r="G94">
        <f t="shared" si="8"/>
        <v>384900</v>
      </c>
      <c r="H94">
        <f t="shared" si="9"/>
        <v>3</v>
      </c>
    </row>
    <row r="95" spans="3:8" x14ac:dyDescent="0.25">
      <c r="C95">
        <f>98200+98700</f>
        <v>196900</v>
      </c>
      <c r="D95">
        <v>3</v>
      </c>
      <c r="G95">
        <f t="shared" si="8"/>
        <v>196900</v>
      </c>
      <c r="H95">
        <f t="shared" si="9"/>
        <v>3</v>
      </c>
    </row>
    <row r="96" spans="3:8" x14ac:dyDescent="0.25">
      <c r="C96">
        <f>198500</f>
        <v>198500</v>
      </c>
      <c r="G96">
        <f t="shared" si="8"/>
        <v>198500</v>
      </c>
      <c r="H96">
        <f t="shared" si="9"/>
        <v>0</v>
      </c>
    </row>
    <row r="97" spans="1:21" x14ac:dyDescent="0.25">
      <c r="C97">
        <v>5889300</v>
      </c>
      <c r="D97">
        <v>49</v>
      </c>
      <c r="G97">
        <f t="shared" si="8"/>
        <v>5889300</v>
      </c>
      <c r="H97">
        <f t="shared" si="9"/>
        <v>49</v>
      </c>
    </row>
    <row r="98" spans="1:21" x14ac:dyDescent="0.25">
      <c r="C98">
        <v>3021100</v>
      </c>
      <c r="D98">
        <v>18</v>
      </c>
      <c r="G98">
        <f t="shared" si="8"/>
        <v>3021100</v>
      </c>
      <c r="H98">
        <f t="shared" si="9"/>
        <v>18</v>
      </c>
    </row>
    <row r="99" spans="1:21" x14ac:dyDescent="0.25">
      <c r="C99">
        <v>675400</v>
      </c>
      <c r="D99">
        <v>3</v>
      </c>
      <c r="G99">
        <f t="shared" si="8"/>
        <v>675400</v>
      </c>
      <c r="H99">
        <f t="shared" si="9"/>
        <v>3</v>
      </c>
    </row>
    <row r="100" spans="1:21" x14ac:dyDescent="0.25">
      <c r="C100">
        <v>560800</v>
      </c>
      <c r="D100">
        <v>2</v>
      </c>
      <c r="G100">
        <f t="shared" si="8"/>
        <v>560800</v>
      </c>
      <c r="H100">
        <f t="shared" si="9"/>
        <v>2</v>
      </c>
    </row>
    <row r="101" spans="1:21" x14ac:dyDescent="0.25">
      <c r="C101">
        <v>985900</v>
      </c>
      <c r="D101">
        <v>3</v>
      </c>
      <c r="G101">
        <f t="shared" si="8"/>
        <v>985900</v>
      </c>
      <c r="H101">
        <f t="shared" si="9"/>
        <v>3</v>
      </c>
    </row>
    <row r="102" spans="1:21" x14ac:dyDescent="0.25">
      <c r="C102">
        <v>391800</v>
      </c>
      <c r="D102">
        <v>1</v>
      </c>
      <c r="G102">
        <f t="shared" si="8"/>
        <v>391800</v>
      </c>
      <c r="H102">
        <f t="shared" si="9"/>
        <v>1</v>
      </c>
    </row>
    <row r="103" spans="1:21" x14ac:dyDescent="0.25">
      <c r="C103">
        <v>1142000</v>
      </c>
      <c r="D103">
        <v>2</v>
      </c>
      <c r="G103">
        <f t="shared" si="8"/>
        <v>1142000</v>
      </c>
      <c r="H103">
        <f t="shared" si="9"/>
        <v>2</v>
      </c>
    </row>
    <row r="104" spans="1:21" x14ac:dyDescent="0.25">
      <c r="G104" s="214">
        <f>SUM(G23:G103)</f>
        <v>43442800</v>
      </c>
      <c r="H104" s="115">
        <f>SUM(H23:H103)</f>
        <v>942</v>
      </c>
      <c r="I104" s="115"/>
      <c r="J104" s="216">
        <f>G104/H104</f>
        <v>46117.622080679408</v>
      </c>
    </row>
    <row r="105" spans="1:21" x14ac:dyDescent="0.25">
      <c r="C105" s="214">
        <f>SUM(C3:C104)</f>
        <v>218556900</v>
      </c>
      <c r="D105" s="115">
        <f>SUM(D3:D103)</f>
        <v>55805</v>
      </c>
      <c r="E105" s="115">
        <f>SUM(E3:E104)</f>
        <v>36944300</v>
      </c>
      <c r="F105" s="215">
        <f>SUM(F3:F103)</f>
        <v>11712</v>
      </c>
    </row>
    <row r="108" spans="1:21" x14ac:dyDescent="0.25">
      <c r="C108" s="412" t="s">
        <v>293</v>
      </c>
      <c r="D108" s="412"/>
      <c r="E108" s="412" t="s">
        <v>294</v>
      </c>
      <c r="F108" s="412"/>
      <c r="G108" s="412" t="s">
        <v>298</v>
      </c>
      <c r="H108" s="412"/>
      <c r="L108" s="48" t="s">
        <v>302</v>
      </c>
      <c r="N108" s="412" t="s">
        <v>293</v>
      </c>
      <c r="O108" s="412"/>
      <c r="P108" s="412" t="s">
        <v>294</v>
      </c>
      <c r="Q108" s="412"/>
      <c r="R108" s="412" t="s">
        <v>301</v>
      </c>
      <c r="S108" s="412"/>
    </row>
    <row r="109" spans="1:21" x14ac:dyDescent="0.25">
      <c r="A109" s="48" t="s">
        <v>278</v>
      </c>
      <c r="C109" s="102" t="s">
        <v>270</v>
      </c>
      <c r="D109" s="102" t="s">
        <v>271</v>
      </c>
      <c r="E109" s="102" t="s">
        <v>270</v>
      </c>
      <c r="F109" s="102" t="s">
        <v>271</v>
      </c>
      <c r="G109" s="102" t="s">
        <v>270</v>
      </c>
      <c r="H109" s="102" t="s">
        <v>271</v>
      </c>
      <c r="J109" s="102" t="s">
        <v>272</v>
      </c>
      <c r="L109" s="48" t="s">
        <v>278</v>
      </c>
      <c r="N109" s="102" t="s">
        <v>270</v>
      </c>
      <c r="O109" s="102" t="s">
        <v>271</v>
      </c>
      <c r="P109" s="102" t="s">
        <v>270</v>
      </c>
      <c r="Q109" s="102" t="s">
        <v>271</v>
      </c>
      <c r="R109" s="102" t="s">
        <v>270</v>
      </c>
      <c r="S109" s="102" t="s">
        <v>271</v>
      </c>
      <c r="U109" s="102" t="s">
        <v>272</v>
      </c>
    </row>
    <row r="110" spans="1:21" x14ac:dyDescent="0.25">
      <c r="A110" s="47" t="s">
        <v>63</v>
      </c>
      <c r="C110">
        <v>300</v>
      </c>
      <c r="D110">
        <v>6</v>
      </c>
      <c r="E110">
        <f>100+4900</f>
        <v>5000</v>
      </c>
      <c r="F110">
        <f>1+7</f>
        <v>8</v>
      </c>
      <c r="G110">
        <f>C110+E110</f>
        <v>5300</v>
      </c>
      <c r="H110">
        <f>D110+F110</f>
        <v>14</v>
      </c>
      <c r="J110" s="202">
        <f>G110/H110</f>
        <v>378.57142857142856</v>
      </c>
      <c r="L110" s="47" t="s">
        <v>63</v>
      </c>
      <c r="N110">
        <f>1800+17200</f>
        <v>19000</v>
      </c>
      <c r="O110">
        <f>20+26</f>
        <v>46</v>
      </c>
      <c r="P110">
        <f>1900+3800</f>
        <v>5700</v>
      </c>
      <c r="Q110">
        <f>24+5</f>
        <v>29</v>
      </c>
      <c r="R110">
        <f>N110+P110</f>
        <v>24700</v>
      </c>
      <c r="S110">
        <f>O110+Q110</f>
        <v>75</v>
      </c>
      <c r="U110" s="202">
        <f>R110/S110</f>
        <v>329.33333333333331</v>
      </c>
    </row>
    <row r="111" spans="1:21" x14ac:dyDescent="0.25">
      <c r="A111" s="47" t="s">
        <v>64</v>
      </c>
      <c r="C111">
        <f>3800+6900</f>
        <v>10700</v>
      </c>
      <c r="D111">
        <f>3+4</f>
        <v>7</v>
      </c>
      <c r="E111">
        <f>13700+19600</f>
        <v>33300</v>
      </c>
      <c r="F111">
        <f>11+12</f>
        <v>23</v>
      </c>
      <c r="G111">
        <f t="shared" ref="G111:G153" si="10">C111+E111</f>
        <v>44000</v>
      </c>
      <c r="H111">
        <f t="shared" ref="H111:H153" si="11">D111+F111</f>
        <v>30</v>
      </c>
      <c r="J111" s="202">
        <f t="shared" ref="J111:J153" si="12">G111/H111</f>
        <v>1466.6666666666667</v>
      </c>
      <c r="L111" s="47" t="s">
        <v>64</v>
      </c>
      <c r="N111">
        <f>11300+3400</f>
        <v>14700</v>
      </c>
      <c r="O111">
        <f>9+2</f>
        <v>11</v>
      </c>
      <c r="P111">
        <f>12000+30000</f>
        <v>42000</v>
      </c>
      <c r="Q111">
        <f>18+9</f>
        <v>27</v>
      </c>
      <c r="R111">
        <f t="shared" ref="R111:R147" si="13">N111+P111</f>
        <v>56700</v>
      </c>
      <c r="S111">
        <f t="shared" ref="S111:S147" si="14">O111+Q111</f>
        <v>38</v>
      </c>
      <c r="U111" s="202">
        <f t="shared" ref="U111:U147" si="15">R111/S111</f>
        <v>1492.1052631578948</v>
      </c>
    </row>
    <row r="112" spans="1:21" x14ac:dyDescent="0.25">
      <c r="A112" s="47" t="s">
        <v>65</v>
      </c>
      <c r="C112">
        <f>26300+22000</f>
        <v>48300</v>
      </c>
      <c r="D112">
        <f>12+8</f>
        <v>20</v>
      </c>
      <c r="E112">
        <f>34800+34000</f>
        <v>68800</v>
      </c>
      <c r="F112">
        <f>16+13</f>
        <v>29</v>
      </c>
      <c r="G112">
        <f t="shared" si="10"/>
        <v>117100</v>
      </c>
      <c r="H112">
        <f t="shared" si="11"/>
        <v>49</v>
      </c>
      <c r="J112" s="202">
        <f t="shared" si="12"/>
        <v>2389.795918367347</v>
      </c>
      <c r="L112" s="47" t="s">
        <v>65</v>
      </c>
      <c r="N112">
        <f>6600+5700</f>
        <v>12300</v>
      </c>
      <c r="O112">
        <v>5</v>
      </c>
      <c r="P112">
        <f>24800+23300</f>
        <v>48100</v>
      </c>
      <c r="Q112">
        <f>11+9</f>
        <v>20</v>
      </c>
      <c r="R112">
        <f t="shared" si="13"/>
        <v>60400</v>
      </c>
      <c r="S112">
        <f t="shared" si="14"/>
        <v>25</v>
      </c>
      <c r="U112" s="202">
        <f t="shared" si="15"/>
        <v>2416</v>
      </c>
    </row>
    <row r="113" spans="1:21" x14ac:dyDescent="0.25">
      <c r="A113" s="47" t="s">
        <v>66</v>
      </c>
      <c r="C113">
        <f>35500+36500</f>
        <v>72000</v>
      </c>
      <c r="D113">
        <f>11+10</f>
        <v>21</v>
      </c>
      <c r="E113">
        <f>41400+26100</f>
        <v>67500</v>
      </c>
      <c r="F113">
        <f>13+7</f>
        <v>20</v>
      </c>
      <c r="G113">
        <f t="shared" si="10"/>
        <v>139500</v>
      </c>
      <c r="H113">
        <f t="shared" si="11"/>
        <v>41</v>
      </c>
      <c r="J113" s="202">
        <f t="shared" si="12"/>
        <v>3402.439024390244</v>
      </c>
      <c r="L113" s="47" t="s">
        <v>66</v>
      </c>
      <c r="N113">
        <f>41300+30400</f>
        <v>71700</v>
      </c>
      <c r="O113">
        <f>13+8</f>
        <v>21</v>
      </c>
      <c r="P113">
        <f>19700+15000</f>
        <v>34700</v>
      </c>
      <c r="Q113">
        <v>10</v>
      </c>
      <c r="R113">
        <f t="shared" si="13"/>
        <v>106400</v>
      </c>
      <c r="S113">
        <f t="shared" si="14"/>
        <v>31</v>
      </c>
      <c r="U113" s="202">
        <f t="shared" si="15"/>
        <v>3432.2580645161293</v>
      </c>
    </row>
    <row r="114" spans="1:21" x14ac:dyDescent="0.25">
      <c r="A114" s="47" t="s">
        <v>67</v>
      </c>
      <c r="C114">
        <v>42600</v>
      </c>
      <c r="D114">
        <v>9</v>
      </c>
      <c r="E114">
        <f>25000+13800</f>
        <v>38800</v>
      </c>
      <c r="F114">
        <f>6+3</f>
        <v>9</v>
      </c>
      <c r="G114">
        <f t="shared" si="10"/>
        <v>81400</v>
      </c>
      <c r="H114">
        <f t="shared" si="11"/>
        <v>18</v>
      </c>
      <c r="J114" s="202">
        <f t="shared" si="12"/>
        <v>4522.2222222222226</v>
      </c>
      <c r="L114" s="47" t="s">
        <v>67</v>
      </c>
      <c r="N114">
        <f>63200+32700</f>
        <v>95900</v>
      </c>
      <c r="O114">
        <f>15+7</f>
        <v>22</v>
      </c>
      <c r="P114">
        <f>25000+27900</f>
        <v>52900</v>
      </c>
      <c r="Q114">
        <v>12</v>
      </c>
      <c r="R114">
        <f t="shared" si="13"/>
        <v>148800</v>
      </c>
      <c r="S114">
        <f t="shared" si="14"/>
        <v>34</v>
      </c>
      <c r="U114" s="202">
        <f t="shared" si="15"/>
        <v>4376.4705882352937</v>
      </c>
    </row>
    <row r="115" spans="1:21" x14ac:dyDescent="0.25">
      <c r="A115" s="47" t="s">
        <v>68</v>
      </c>
      <c r="C115">
        <f>36200+11500</f>
        <v>47700</v>
      </c>
      <c r="D115">
        <v>9</v>
      </c>
      <c r="E115">
        <f>20800+16900</f>
        <v>37700</v>
      </c>
      <c r="F115">
        <f>4+3</f>
        <v>7</v>
      </c>
      <c r="G115">
        <f t="shared" si="10"/>
        <v>85400</v>
      </c>
      <c r="H115">
        <f t="shared" si="11"/>
        <v>16</v>
      </c>
      <c r="J115" s="202">
        <f t="shared" si="12"/>
        <v>5337.5</v>
      </c>
      <c r="L115" s="47" t="s">
        <v>68</v>
      </c>
      <c r="N115">
        <f>21400+11600</f>
        <v>33000</v>
      </c>
      <c r="O115">
        <v>6</v>
      </c>
      <c r="P115">
        <f>20900+34900</f>
        <v>55800</v>
      </c>
      <c r="Q115">
        <v>10</v>
      </c>
      <c r="R115">
        <f t="shared" si="13"/>
        <v>88800</v>
      </c>
      <c r="S115">
        <f t="shared" si="14"/>
        <v>16</v>
      </c>
      <c r="U115" s="202">
        <f t="shared" si="15"/>
        <v>5550</v>
      </c>
    </row>
    <row r="116" spans="1:21" x14ac:dyDescent="0.25">
      <c r="A116" s="47" t="s">
        <v>69</v>
      </c>
      <c r="C116">
        <f>36700+27000</f>
        <v>63700</v>
      </c>
      <c r="D116">
        <f>6+4</f>
        <v>10</v>
      </c>
      <c r="E116">
        <f>6300+13800</f>
        <v>20100</v>
      </c>
      <c r="F116">
        <v>3</v>
      </c>
      <c r="G116">
        <f t="shared" si="10"/>
        <v>83800</v>
      </c>
      <c r="H116">
        <f t="shared" si="11"/>
        <v>13</v>
      </c>
      <c r="J116" s="202">
        <f t="shared" si="12"/>
        <v>6446.1538461538457</v>
      </c>
      <c r="L116" s="47" t="s">
        <v>69</v>
      </c>
      <c r="N116">
        <f>6000+26900</f>
        <v>32900</v>
      </c>
      <c r="O116">
        <v>5</v>
      </c>
      <c r="P116">
        <f>18800+59400</f>
        <v>78200</v>
      </c>
      <c r="Q116">
        <f>3+9</f>
        <v>12</v>
      </c>
      <c r="R116">
        <f t="shared" si="13"/>
        <v>111100</v>
      </c>
      <c r="S116">
        <f t="shared" si="14"/>
        <v>17</v>
      </c>
      <c r="U116" s="202">
        <f t="shared" si="15"/>
        <v>6535.2941176470586</v>
      </c>
    </row>
    <row r="117" spans="1:21" x14ac:dyDescent="0.25">
      <c r="A117" s="47" t="s">
        <v>70</v>
      </c>
      <c r="C117">
        <f>14500+22900</f>
        <v>37400</v>
      </c>
      <c r="D117">
        <f>2+3</f>
        <v>5</v>
      </c>
      <c r="E117">
        <v>7000</v>
      </c>
      <c r="F117">
        <v>1</v>
      </c>
      <c r="G117">
        <f t="shared" si="10"/>
        <v>44400</v>
      </c>
      <c r="H117">
        <f t="shared" si="11"/>
        <v>6</v>
      </c>
      <c r="J117" s="202">
        <f t="shared" si="12"/>
        <v>7400</v>
      </c>
      <c r="L117" s="47" t="s">
        <v>70</v>
      </c>
      <c r="N117">
        <f>7100+15300</f>
        <v>22400</v>
      </c>
      <c r="O117">
        <v>3</v>
      </c>
      <c r="P117">
        <f>28300+46200</f>
        <v>74500</v>
      </c>
      <c r="Q117">
        <v>10</v>
      </c>
      <c r="R117">
        <f t="shared" si="13"/>
        <v>96900</v>
      </c>
      <c r="S117">
        <f t="shared" si="14"/>
        <v>13</v>
      </c>
      <c r="U117" s="202">
        <f t="shared" si="15"/>
        <v>7453.8461538461543</v>
      </c>
    </row>
    <row r="118" spans="1:21" x14ac:dyDescent="0.25">
      <c r="A118" s="47" t="s">
        <v>71</v>
      </c>
      <c r="C118">
        <v>26200</v>
      </c>
      <c r="D118">
        <v>3</v>
      </c>
      <c r="E118">
        <f>8000+26000</f>
        <v>34000</v>
      </c>
      <c r="F118">
        <v>4</v>
      </c>
      <c r="G118">
        <f t="shared" si="10"/>
        <v>60200</v>
      </c>
      <c r="H118">
        <f t="shared" si="11"/>
        <v>7</v>
      </c>
      <c r="J118" s="202">
        <f t="shared" si="12"/>
        <v>8600</v>
      </c>
      <c r="L118" s="47" t="s">
        <v>71</v>
      </c>
      <c r="N118">
        <v>8500</v>
      </c>
      <c r="O118">
        <v>1</v>
      </c>
      <c r="P118">
        <f>33200+26100</f>
        <v>59300</v>
      </c>
      <c r="Q118">
        <v>7</v>
      </c>
      <c r="R118">
        <f t="shared" si="13"/>
        <v>67800</v>
      </c>
      <c r="S118">
        <f t="shared" si="14"/>
        <v>8</v>
      </c>
      <c r="U118" s="202">
        <f t="shared" si="15"/>
        <v>8475</v>
      </c>
    </row>
    <row r="119" spans="1:21" x14ac:dyDescent="0.25">
      <c r="A119" s="47" t="s">
        <v>72</v>
      </c>
      <c r="C119">
        <f>27600+9900</f>
        <v>37500</v>
      </c>
      <c r="D119">
        <f>3+1</f>
        <v>4</v>
      </c>
      <c r="E119">
        <f>9400+19400</f>
        <v>28800</v>
      </c>
      <c r="F119">
        <v>3</v>
      </c>
      <c r="G119">
        <f t="shared" si="10"/>
        <v>66300</v>
      </c>
      <c r="H119">
        <f t="shared" si="11"/>
        <v>7</v>
      </c>
      <c r="J119" s="202">
        <f t="shared" si="12"/>
        <v>9471.4285714285706</v>
      </c>
      <c r="L119" s="47" t="s">
        <v>72</v>
      </c>
      <c r="N119">
        <v>18200</v>
      </c>
      <c r="O119">
        <v>2</v>
      </c>
      <c r="P119">
        <f>9200+9500</f>
        <v>18700</v>
      </c>
      <c r="Q119">
        <v>2</v>
      </c>
      <c r="R119">
        <f t="shared" si="13"/>
        <v>36900</v>
      </c>
      <c r="S119">
        <f t="shared" si="14"/>
        <v>4</v>
      </c>
      <c r="U119" s="202">
        <f t="shared" si="15"/>
        <v>9225</v>
      </c>
    </row>
    <row r="120" spans="1:21" x14ac:dyDescent="0.25">
      <c r="A120" s="47" t="s">
        <v>73</v>
      </c>
      <c r="C120">
        <f>20300+21500</f>
        <v>41800</v>
      </c>
      <c r="D120">
        <f>2+2</f>
        <v>4</v>
      </c>
      <c r="E120">
        <v>21500</v>
      </c>
      <c r="F120">
        <v>2</v>
      </c>
      <c r="G120">
        <f t="shared" si="10"/>
        <v>63300</v>
      </c>
      <c r="H120">
        <f t="shared" si="11"/>
        <v>6</v>
      </c>
      <c r="J120" s="202">
        <f t="shared" si="12"/>
        <v>10550</v>
      </c>
      <c r="L120" s="47" t="s">
        <v>73</v>
      </c>
      <c r="N120">
        <f>20400+21500</f>
        <v>41900</v>
      </c>
      <c r="O120">
        <v>4</v>
      </c>
      <c r="P120">
        <v>30600</v>
      </c>
      <c r="Q120">
        <v>3</v>
      </c>
      <c r="R120">
        <f t="shared" si="13"/>
        <v>72500</v>
      </c>
      <c r="S120">
        <f t="shared" si="14"/>
        <v>7</v>
      </c>
      <c r="U120" s="202">
        <f t="shared" si="15"/>
        <v>10357.142857142857</v>
      </c>
    </row>
    <row r="121" spans="1:21" x14ac:dyDescent="0.25">
      <c r="A121" s="47" t="s">
        <v>74</v>
      </c>
      <c r="C121">
        <f>11000+11500</f>
        <v>22500</v>
      </c>
      <c r="D121">
        <v>2</v>
      </c>
      <c r="E121">
        <f>45200+58700</f>
        <v>103900</v>
      </c>
      <c r="F121">
        <f>4+5</f>
        <v>9</v>
      </c>
      <c r="G121">
        <f t="shared" si="10"/>
        <v>126400</v>
      </c>
      <c r="H121">
        <f t="shared" si="11"/>
        <v>11</v>
      </c>
      <c r="J121" s="202">
        <f t="shared" si="12"/>
        <v>11490.90909090909</v>
      </c>
      <c r="L121" s="47" t="s">
        <v>74</v>
      </c>
      <c r="N121">
        <v>11600</v>
      </c>
      <c r="O121">
        <v>1</v>
      </c>
      <c r="P121">
        <v>11700</v>
      </c>
      <c r="Q121">
        <v>1</v>
      </c>
      <c r="R121">
        <f t="shared" si="13"/>
        <v>23300</v>
      </c>
      <c r="S121">
        <f t="shared" si="14"/>
        <v>2</v>
      </c>
      <c r="U121" s="202">
        <f t="shared" si="15"/>
        <v>11650</v>
      </c>
    </row>
    <row r="122" spans="1:21" x14ac:dyDescent="0.25">
      <c r="A122" s="47" t="s">
        <v>75</v>
      </c>
      <c r="C122">
        <f>12100+25200</f>
        <v>37300</v>
      </c>
      <c r="D122">
        <v>3</v>
      </c>
      <c r="E122">
        <v>12900</v>
      </c>
      <c r="F122">
        <v>1</v>
      </c>
      <c r="G122">
        <f t="shared" si="10"/>
        <v>50200</v>
      </c>
      <c r="H122">
        <f t="shared" si="11"/>
        <v>4</v>
      </c>
      <c r="J122" s="202">
        <f t="shared" si="12"/>
        <v>12550</v>
      </c>
      <c r="L122" s="47" t="s">
        <v>75</v>
      </c>
      <c r="N122">
        <v>12700</v>
      </c>
      <c r="O122">
        <v>1</v>
      </c>
      <c r="P122">
        <v>12200</v>
      </c>
      <c r="Q122">
        <v>1</v>
      </c>
      <c r="R122">
        <f t="shared" si="13"/>
        <v>24900</v>
      </c>
      <c r="S122">
        <f t="shared" si="14"/>
        <v>2</v>
      </c>
      <c r="U122" s="202">
        <f t="shared" si="15"/>
        <v>12450</v>
      </c>
    </row>
    <row r="123" spans="1:21" x14ac:dyDescent="0.25">
      <c r="A123" s="47" t="s">
        <v>76</v>
      </c>
      <c r="C123">
        <f>13400+13800</f>
        <v>27200</v>
      </c>
      <c r="D123">
        <v>2</v>
      </c>
      <c r="G123">
        <f t="shared" si="10"/>
        <v>27200</v>
      </c>
      <c r="H123">
        <f t="shared" si="11"/>
        <v>2</v>
      </c>
      <c r="J123" s="202">
        <f t="shared" si="12"/>
        <v>13600</v>
      </c>
      <c r="L123" s="47" t="s">
        <v>76</v>
      </c>
      <c r="P123">
        <v>40900</v>
      </c>
      <c r="Q123">
        <v>3</v>
      </c>
      <c r="R123">
        <f t="shared" si="13"/>
        <v>40900</v>
      </c>
      <c r="S123">
        <f t="shared" si="14"/>
        <v>3</v>
      </c>
      <c r="U123" s="202">
        <f t="shared" si="15"/>
        <v>13633.333333333334</v>
      </c>
    </row>
    <row r="124" spans="1:21" x14ac:dyDescent="0.25">
      <c r="A124" s="47" t="s">
        <v>77</v>
      </c>
      <c r="C124">
        <v>14800</v>
      </c>
      <c r="D124">
        <v>1</v>
      </c>
      <c r="E124">
        <f>14300+14800</f>
        <v>29100</v>
      </c>
      <c r="F124">
        <v>2</v>
      </c>
      <c r="G124">
        <f t="shared" si="10"/>
        <v>43900</v>
      </c>
      <c r="H124">
        <f t="shared" si="11"/>
        <v>3</v>
      </c>
      <c r="J124" s="202">
        <f t="shared" si="12"/>
        <v>14633.333333333334</v>
      </c>
      <c r="L124" s="47" t="s">
        <v>77</v>
      </c>
      <c r="N124">
        <v>29300</v>
      </c>
      <c r="O124">
        <v>2</v>
      </c>
      <c r="P124">
        <f>42700+14700</f>
        <v>57400</v>
      </c>
      <c r="Q124">
        <v>4</v>
      </c>
      <c r="R124">
        <f t="shared" si="13"/>
        <v>86700</v>
      </c>
      <c r="S124">
        <f t="shared" si="14"/>
        <v>6</v>
      </c>
      <c r="U124" s="202">
        <f t="shared" si="15"/>
        <v>14450</v>
      </c>
    </row>
    <row r="125" spans="1:21" x14ac:dyDescent="0.25">
      <c r="A125" s="47" t="s">
        <v>78</v>
      </c>
      <c r="C125">
        <f>15200+15800</f>
        <v>31000</v>
      </c>
      <c r="D125">
        <v>2</v>
      </c>
      <c r="E125">
        <v>15300</v>
      </c>
      <c r="F125">
        <v>1</v>
      </c>
      <c r="G125">
        <f t="shared" si="10"/>
        <v>46300</v>
      </c>
      <c r="H125">
        <f t="shared" si="11"/>
        <v>3</v>
      </c>
      <c r="J125" s="202">
        <f t="shared" si="12"/>
        <v>15433.333333333334</v>
      </c>
      <c r="L125" s="47" t="s">
        <v>78</v>
      </c>
      <c r="N125">
        <v>15200</v>
      </c>
      <c r="O125">
        <v>1</v>
      </c>
      <c r="P125">
        <v>15900</v>
      </c>
      <c r="Q125">
        <v>1</v>
      </c>
      <c r="R125">
        <f t="shared" si="13"/>
        <v>31100</v>
      </c>
      <c r="S125">
        <f t="shared" si="14"/>
        <v>2</v>
      </c>
      <c r="U125" s="202">
        <f t="shared" si="15"/>
        <v>15550</v>
      </c>
    </row>
    <row r="126" spans="1:21" x14ac:dyDescent="0.25">
      <c r="A126" s="47" t="s">
        <v>79</v>
      </c>
      <c r="C126">
        <v>16700</v>
      </c>
      <c r="D126">
        <v>1</v>
      </c>
      <c r="G126">
        <f t="shared" si="10"/>
        <v>16700</v>
      </c>
      <c r="H126">
        <f t="shared" si="11"/>
        <v>1</v>
      </c>
      <c r="J126" s="202">
        <f t="shared" si="12"/>
        <v>16700</v>
      </c>
      <c r="L126" s="47" t="s">
        <v>79</v>
      </c>
      <c r="N126">
        <v>16600</v>
      </c>
      <c r="O126">
        <v>1</v>
      </c>
      <c r="P126">
        <v>33700</v>
      </c>
      <c r="Q126">
        <v>2</v>
      </c>
      <c r="R126">
        <f t="shared" si="13"/>
        <v>50300</v>
      </c>
      <c r="S126">
        <f t="shared" si="14"/>
        <v>3</v>
      </c>
      <c r="U126" s="202">
        <f t="shared" si="15"/>
        <v>16766.666666666668</v>
      </c>
    </row>
    <row r="127" spans="1:21" x14ac:dyDescent="0.25">
      <c r="A127" s="47" t="s">
        <v>80</v>
      </c>
      <c r="C127">
        <f>34200+17900</f>
        <v>52100</v>
      </c>
      <c r="D127">
        <v>3</v>
      </c>
      <c r="G127">
        <f t="shared" si="10"/>
        <v>52100</v>
      </c>
      <c r="H127">
        <f t="shared" si="11"/>
        <v>3</v>
      </c>
      <c r="J127" s="202">
        <f t="shared" si="12"/>
        <v>17366.666666666668</v>
      </c>
      <c r="L127" s="47" t="s">
        <v>80</v>
      </c>
      <c r="N127">
        <v>17700</v>
      </c>
      <c r="O127">
        <v>1</v>
      </c>
      <c r="P127">
        <f>85900+17900</f>
        <v>103800</v>
      </c>
      <c r="Q127">
        <v>6</v>
      </c>
      <c r="R127">
        <f t="shared" si="13"/>
        <v>121500</v>
      </c>
      <c r="S127">
        <f t="shared" si="14"/>
        <v>7</v>
      </c>
      <c r="U127" s="202">
        <f t="shared" si="15"/>
        <v>17357.142857142859</v>
      </c>
    </row>
    <row r="128" spans="1:21" x14ac:dyDescent="0.25">
      <c r="A128" s="47" t="s">
        <v>81</v>
      </c>
      <c r="J128" s="202"/>
      <c r="L128" s="47" t="s">
        <v>81</v>
      </c>
      <c r="N128">
        <f>18100+37700</f>
        <v>55800</v>
      </c>
      <c r="O128">
        <v>3</v>
      </c>
      <c r="P128">
        <f>36400+56300</f>
        <v>92700</v>
      </c>
      <c r="Q128">
        <v>5</v>
      </c>
      <c r="R128">
        <f t="shared" si="13"/>
        <v>148500</v>
      </c>
      <c r="S128">
        <f t="shared" si="14"/>
        <v>8</v>
      </c>
      <c r="U128" s="202">
        <f t="shared" si="15"/>
        <v>18562.5</v>
      </c>
    </row>
    <row r="129" spans="1:21" x14ac:dyDescent="0.25">
      <c r="A129" s="47" t="s">
        <v>82</v>
      </c>
      <c r="C129">
        <v>19600</v>
      </c>
      <c r="D129">
        <v>1</v>
      </c>
      <c r="E129">
        <v>19100</v>
      </c>
      <c r="F129">
        <v>1</v>
      </c>
      <c r="G129">
        <f t="shared" si="10"/>
        <v>38700</v>
      </c>
      <c r="H129">
        <f t="shared" si="11"/>
        <v>2</v>
      </c>
      <c r="J129" s="202">
        <f t="shared" si="12"/>
        <v>19350</v>
      </c>
      <c r="L129" s="47" t="s">
        <v>82</v>
      </c>
      <c r="N129">
        <v>39200</v>
      </c>
      <c r="O129">
        <v>2</v>
      </c>
      <c r="P129">
        <f>38300+19900</f>
        <v>58200</v>
      </c>
      <c r="Q129">
        <v>3</v>
      </c>
      <c r="R129">
        <f t="shared" si="13"/>
        <v>97400</v>
      </c>
      <c r="S129">
        <f t="shared" si="14"/>
        <v>5</v>
      </c>
      <c r="U129" s="202">
        <f t="shared" si="15"/>
        <v>19480</v>
      </c>
    </row>
    <row r="130" spans="1:21" x14ac:dyDescent="0.25">
      <c r="A130" s="47" t="s">
        <v>83</v>
      </c>
      <c r="C130">
        <v>22400</v>
      </c>
      <c r="D130">
        <v>1</v>
      </c>
      <c r="E130">
        <v>24000</v>
      </c>
      <c r="F130">
        <v>1</v>
      </c>
      <c r="G130">
        <f t="shared" si="10"/>
        <v>46400</v>
      </c>
      <c r="H130">
        <f t="shared" si="11"/>
        <v>2</v>
      </c>
      <c r="J130" s="202">
        <f t="shared" si="12"/>
        <v>23200</v>
      </c>
      <c r="L130" s="47" t="s">
        <v>83</v>
      </c>
      <c r="N130">
        <f>44200+22600</f>
        <v>66800</v>
      </c>
      <c r="O130">
        <v>3</v>
      </c>
      <c r="P130">
        <v>62100</v>
      </c>
      <c r="Q130">
        <v>3</v>
      </c>
      <c r="R130">
        <f t="shared" si="13"/>
        <v>128900</v>
      </c>
      <c r="S130">
        <f t="shared" si="14"/>
        <v>6</v>
      </c>
      <c r="U130" s="202">
        <f t="shared" si="15"/>
        <v>21483.333333333332</v>
      </c>
    </row>
    <row r="131" spans="1:21" x14ac:dyDescent="0.25">
      <c r="C131">
        <f>23300+23700</f>
        <v>47000</v>
      </c>
      <c r="D131">
        <v>2</v>
      </c>
      <c r="E131">
        <v>32800</v>
      </c>
      <c r="F131">
        <v>1</v>
      </c>
      <c r="G131">
        <f t="shared" si="10"/>
        <v>79800</v>
      </c>
      <c r="H131">
        <f t="shared" si="11"/>
        <v>3</v>
      </c>
      <c r="J131" s="202">
        <f t="shared" si="12"/>
        <v>26600</v>
      </c>
      <c r="N131">
        <v>71100</v>
      </c>
      <c r="O131">
        <v>3</v>
      </c>
      <c r="P131">
        <v>21500</v>
      </c>
      <c r="Q131">
        <v>1</v>
      </c>
      <c r="R131">
        <f t="shared" si="13"/>
        <v>92600</v>
      </c>
      <c r="S131">
        <f t="shared" si="14"/>
        <v>4</v>
      </c>
      <c r="U131" s="202">
        <f t="shared" si="15"/>
        <v>23150</v>
      </c>
    </row>
    <row r="132" spans="1:21" x14ac:dyDescent="0.25">
      <c r="C132">
        <f>24200+24500</f>
        <v>48700</v>
      </c>
      <c r="D132">
        <v>2</v>
      </c>
      <c r="E132">
        <v>33500</v>
      </c>
      <c r="F132">
        <v>1</v>
      </c>
      <c r="G132">
        <f t="shared" si="10"/>
        <v>82200</v>
      </c>
      <c r="H132">
        <f t="shared" si="11"/>
        <v>3</v>
      </c>
      <c r="J132" s="202">
        <f t="shared" si="12"/>
        <v>27400</v>
      </c>
      <c r="N132">
        <v>49100</v>
      </c>
      <c r="O132">
        <v>2</v>
      </c>
      <c r="P132">
        <f>44600+67900</f>
        <v>112500</v>
      </c>
      <c r="Q132">
        <v>5</v>
      </c>
      <c r="R132">
        <f t="shared" si="13"/>
        <v>161600</v>
      </c>
      <c r="S132">
        <f t="shared" si="14"/>
        <v>7</v>
      </c>
      <c r="U132" s="202">
        <f t="shared" si="15"/>
        <v>23085.714285714286</v>
      </c>
    </row>
    <row r="133" spans="1:21" x14ac:dyDescent="0.25">
      <c r="C133">
        <v>25800</v>
      </c>
      <c r="D133">
        <v>1</v>
      </c>
      <c r="E133">
        <v>35300</v>
      </c>
      <c r="F133">
        <v>1</v>
      </c>
      <c r="G133">
        <f t="shared" si="10"/>
        <v>61100</v>
      </c>
      <c r="H133">
        <f t="shared" si="11"/>
        <v>2</v>
      </c>
      <c r="J133" s="202">
        <f t="shared" si="12"/>
        <v>30550</v>
      </c>
      <c r="N133">
        <f>25200+51400</f>
        <v>76600</v>
      </c>
      <c r="O133">
        <v>3</v>
      </c>
      <c r="P133">
        <f>69400+71200</f>
        <v>140600</v>
      </c>
      <c r="Q133">
        <v>6</v>
      </c>
      <c r="R133">
        <f t="shared" si="13"/>
        <v>217200</v>
      </c>
      <c r="S133">
        <f t="shared" si="14"/>
        <v>9</v>
      </c>
      <c r="U133" s="202">
        <f t="shared" si="15"/>
        <v>24133.333333333332</v>
      </c>
    </row>
    <row r="134" spans="1:21" x14ac:dyDescent="0.25">
      <c r="C134">
        <f>54500+27800</f>
        <v>82300</v>
      </c>
      <c r="D134">
        <v>3</v>
      </c>
      <c r="E134">
        <v>44600</v>
      </c>
      <c r="F134">
        <v>1</v>
      </c>
      <c r="G134">
        <f t="shared" si="10"/>
        <v>126900</v>
      </c>
      <c r="H134">
        <f t="shared" si="11"/>
        <v>4</v>
      </c>
      <c r="J134" s="202">
        <f t="shared" si="12"/>
        <v>31725</v>
      </c>
      <c r="N134">
        <f>26300+26800</f>
        <v>53100</v>
      </c>
      <c r="O134">
        <v>2</v>
      </c>
      <c r="P134">
        <v>48600</v>
      </c>
      <c r="Q134">
        <v>2</v>
      </c>
      <c r="R134">
        <f t="shared" si="13"/>
        <v>101700</v>
      </c>
      <c r="S134">
        <f t="shared" si="14"/>
        <v>4</v>
      </c>
      <c r="U134" s="202">
        <f t="shared" si="15"/>
        <v>25425</v>
      </c>
    </row>
    <row r="135" spans="1:21" x14ac:dyDescent="0.25">
      <c r="C135">
        <v>28200</v>
      </c>
      <c r="D135">
        <v>1</v>
      </c>
      <c r="E135">
        <v>60800</v>
      </c>
      <c r="F135">
        <v>1</v>
      </c>
      <c r="G135">
        <f t="shared" si="10"/>
        <v>89000</v>
      </c>
      <c r="H135">
        <f t="shared" si="11"/>
        <v>2</v>
      </c>
      <c r="J135" s="202">
        <f t="shared" si="12"/>
        <v>44500</v>
      </c>
      <c r="N135">
        <v>27300</v>
      </c>
      <c r="O135">
        <v>1</v>
      </c>
      <c r="P135">
        <f>100700+25800</f>
        <v>126500</v>
      </c>
      <c r="Q135">
        <v>5</v>
      </c>
      <c r="R135">
        <f t="shared" si="13"/>
        <v>153800</v>
      </c>
      <c r="S135">
        <f t="shared" si="14"/>
        <v>6</v>
      </c>
      <c r="U135" s="202">
        <f t="shared" si="15"/>
        <v>25633.333333333332</v>
      </c>
    </row>
    <row r="136" spans="1:21" x14ac:dyDescent="0.25">
      <c r="C136">
        <v>29600</v>
      </c>
      <c r="D136">
        <v>1</v>
      </c>
      <c r="E136">
        <v>71200</v>
      </c>
      <c r="F136">
        <v>1</v>
      </c>
      <c r="G136">
        <f t="shared" si="10"/>
        <v>100800</v>
      </c>
      <c r="H136">
        <f t="shared" si="11"/>
        <v>2</v>
      </c>
      <c r="J136" s="202">
        <f t="shared" si="12"/>
        <v>50400</v>
      </c>
      <c r="N136">
        <f>56000+28900</f>
        <v>84900</v>
      </c>
      <c r="O136">
        <v>3</v>
      </c>
      <c r="P136">
        <v>26400</v>
      </c>
      <c r="Q136">
        <v>1</v>
      </c>
      <c r="R136">
        <f t="shared" si="13"/>
        <v>111300</v>
      </c>
      <c r="S136">
        <f t="shared" si="14"/>
        <v>4</v>
      </c>
      <c r="U136" s="202">
        <f t="shared" si="15"/>
        <v>27825</v>
      </c>
    </row>
    <row r="137" spans="1:21" x14ac:dyDescent="0.25">
      <c r="C137">
        <f>31400+31900</f>
        <v>63300</v>
      </c>
      <c r="D137">
        <v>2</v>
      </c>
      <c r="E137">
        <v>74400</v>
      </c>
      <c r="F137">
        <v>1</v>
      </c>
      <c r="G137">
        <f t="shared" si="10"/>
        <v>137700</v>
      </c>
      <c r="H137">
        <f t="shared" si="11"/>
        <v>3</v>
      </c>
      <c r="J137" s="202">
        <f t="shared" si="12"/>
        <v>45900</v>
      </c>
      <c r="N137">
        <v>29100</v>
      </c>
      <c r="O137">
        <v>1</v>
      </c>
      <c r="P137">
        <v>27200</v>
      </c>
      <c r="Q137">
        <v>1</v>
      </c>
      <c r="R137">
        <f t="shared" si="13"/>
        <v>56300</v>
      </c>
      <c r="S137">
        <f t="shared" si="14"/>
        <v>2</v>
      </c>
      <c r="U137" s="202">
        <f t="shared" si="15"/>
        <v>28150</v>
      </c>
    </row>
    <row r="138" spans="1:21" x14ac:dyDescent="0.25">
      <c r="C138">
        <v>33100</v>
      </c>
      <c r="D138">
        <v>1</v>
      </c>
      <c r="E138">
        <v>84700</v>
      </c>
      <c r="F138">
        <v>1</v>
      </c>
      <c r="G138">
        <f t="shared" si="10"/>
        <v>117800</v>
      </c>
      <c r="H138">
        <f t="shared" si="11"/>
        <v>2</v>
      </c>
      <c r="J138" s="202">
        <f t="shared" si="12"/>
        <v>58900</v>
      </c>
      <c r="N138">
        <v>31200</v>
      </c>
      <c r="O138">
        <v>1</v>
      </c>
      <c r="P138">
        <v>29700</v>
      </c>
      <c r="Q138">
        <v>1</v>
      </c>
      <c r="R138">
        <f t="shared" si="13"/>
        <v>60900</v>
      </c>
      <c r="S138">
        <f t="shared" si="14"/>
        <v>2</v>
      </c>
      <c r="U138" s="202">
        <f t="shared" si="15"/>
        <v>30450</v>
      </c>
    </row>
    <row r="139" spans="1:21" x14ac:dyDescent="0.25">
      <c r="C139">
        <v>35100</v>
      </c>
      <c r="D139">
        <v>1</v>
      </c>
      <c r="G139">
        <f t="shared" si="10"/>
        <v>35100</v>
      </c>
      <c r="H139">
        <f t="shared" si="11"/>
        <v>1</v>
      </c>
      <c r="J139" s="202">
        <f t="shared" si="12"/>
        <v>35100</v>
      </c>
      <c r="N139">
        <v>34000</v>
      </c>
      <c r="O139">
        <v>1</v>
      </c>
      <c r="P139">
        <v>30400</v>
      </c>
      <c r="Q139">
        <v>1</v>
      </c>
      <c r="R139">
        <f t="shared" si="13"/>
        <v>64400</v>
      </c>
      <c r="S139">
        <f t="shared" si="14"/>
        <v>2</v>
      </c>
      <c r="U139" s="202">
        <f t="shared" si="15"/>
        <v>32200</v>
      </c>
    </row>
    <row r="140" spans="1:21" x14ac:dyDescent="0.25">
      <c r="C140">
        <v>36000</v>
      </c>
      <c r="D140">
        <v>1</v>
      </c>
      <c r="G140">
        <f t="shared" si="10"/>
        <v>36000</v>
      </c>
      <c r="H140">
        <f t="shared" si="11"/>
        <v>1</v>
      </c>
      <c r="J140" s="202">
        <f t="shared" si="12"/>
        <v>36000</v>
      </c>
      <c r="N140">
        <v>36600</v>
      </c>
      <c r="O140">
        <v>1</v>
      </c>
      <c r="P140">
        <v>31000</v>
      </c>
      <c r="Q140">
        <v>1</v>
      </c>
      <c r="R140">
        <f t="shared" si="13"/>
        <v>67600</v>
      </c>
      <c r="S140">
        <f t="shared" si="14"/>
        <v>2</v>
      </c>
      <c r="U140" s="202">
        <f t="shared" si="15"/>
        <v>33800</v>
      </c>
    </row>
    <row r="141" spans="1:21" x14ac:dyDescent="0.25">
      <c r="C141">
        <v>37800</v>
      </c>
      <c r="D141">
        <v>1</v>
      </c>
      <c r="G141">
        <f t="shared" si="10"/>
        <v>37800</v>
      </c>
      <c r="H141">
        <f t="shared" si="11"/>
        <v>1</v>
      </c>
      <c r="J141" s="202">
        <f t="shared" si="12"/>
        <v>37800</v>
      </c>
      <c r="N141">
        <v>39600</v>
      </c>
      <c r="O141">
        <v>1</v>
      </c>
      <c r="P141">
        <v>32500</v>
      </c>
      <c r="Q141">
        <v>1</v>
      </c>
      <c r="R141">
        <f t="shared" si="13"/>
        <v>72100</v>
      </c>
      <c r="S141">
        <f t="shared" si="14"/>
        <v>2</v>
      </c>
      <c r="U141" s="202">
        <f t="shared" si="15"/>
        <v>36050</v>
      </c>
    </row>
    <row r="142" spans="1:21" x14ac:dyDescent="0.25">
      <c r="C142">
        <v>52200</v>
      </c>
      <c r="D142">
        <v>1</v>
      </c>
      <c r="G142">
        <f t="shared" si="10"/>
        <v>52200</v>
      </c>
      <c r="H142">
        <f t="shared" si="11"/>
        <v>1</v>
      </c>
      <c r="J142" s="202">
        <f t="shared" si="12"/>
        <v>52200</v>
      </c>
      <c r="N142">
        <v>42800</v>
      </c>
      <c r="O142">
        <v>1</v>
      </c>
      <c r="P142">
        <v>33900</v>
      </c>
      <c r="Q142">
        <v>1</v>
      </c>
      <c r="R142">
        <f t="shared" si="13"/>
        <v>76700</v>
      </c>
      <c r="S142">
        <f t="shared" si="14"/>
        <v>2</v>
      </c>
      <c r="U142" s="202">
        <f t="shared" si="15"/>
        <v>38350</v>
      </c>
    </row>
    <row r="143" spans="1:21" x14ac:dyDescent="0.25">
      <c r="C143">
        <v>65900</v>
      </c>
      <c r="D143">
        <v>1</v>
      </c>
      <c r="G143">
        <f t="shared" si="10"/>
        <v>65900</v>
      </c>
      <c r="H143">
        <f t="shared" si="11"/>
        <v>1</v>
      </c>
      <c r="J143" s="202">
        <f t="shared" si="12"/>
        <v>65900</v>
      </c>
      <c r="N143">
        <v>43600</v>
      </c>
      <c r="O143">
        <v>1</v>
      </c>
      <c r="P143">
        <f>70700+35800</f>
        <v>106500</v>
      </c>
      <c r="Q143">
        <v>3</v>
      </c>
      <c r="R143">
        <f t="shared" si="13"/>
        <v>150100</v>
      </c>
      <c r="S143">
        <f t="shared" si="14"/>
        <v>4</v>
      </c>
      <c r="U143" s="202">
        <f t="shared" si="15"/>
        <v>37525</v>
      </c>
    </row>
    <row r="144" spans="1:21" x14ac:dyDescent="0.25">
      <c r="C144">
        <v>67200</v>
      </c>
      <c r="D144">
        <v>1</v>
      </c>
      <c r="G144">
        <f t="shared" si="10"/>
        <v>67200</v>
      </c>
      <c r="H144">
        <f t="shared" si="11"/>
        <v>1</v>
      </c>
      <c r="J144" s="202">
        <f t="shared" si="12"/>
        <v>67200</v>
      </c>
      <c r="N144">
        <v>70100</v>
      </c>
      <c r="O144">
        <v>1</v>
      </c>
      <c r="P144">
        <v>36000</v>
      </c>
      <c r="Q144">
        <v>1</v>
      </c>
      <c r="R144">
        <f t="shared" si="13"/>
        <v>106100</v>
      </c>
      <c r="S144">
        <f t="shared" si="14"/>
        <v>2</v>
      </c>
      <c r="U144" s="202">
        <f t="shared" si="15"/>
        <v>53050</v>
      </c>
    </row>
    <row r="145" spans="1:21" x14ac:dyDescent="0.25">
      <c r="C145">
        <v>70900</v>
      </c>
      <c r="D145">
        <v>1</v>
      </c>
      <c r="G145">
        <f t="shared" si="10"/>
        <v>70900</v>
      </c>
      <c r="H145">
        <f t="shared" si="11"/>
        <v>1</v>
      </c>
      <c r="J145" s="202">
        <f t="shared" si="12"/>
        <v>70900</v>
      </c>
      <c r="N145">
        <v>75700</v>
      </c>
      <c r="O145">
        <v>1</v>
      </c>
      <c r="P145">
        <v>334500</v>
      </c>
      <c r="Q145">
        <v>2</v>
      </c>
      <c r="R145">
        <f t="shared" si="13"/>
        <v>410200</v>
      </c>
      <c r="S145">
        <f t="shared" si="14"/>
        <v>3</v>
      </c>
      <c r="U145" s="202">
        <f t="shared" si="15"/>
        <v>136733.33333333334</v>
      </c>
    </row>
    <row r="146" spans="1:21" x14ac:dyDescent="0.25">
      <c r="C146">
        <v>74200</v>
      </c>
      <c r="D146">
        <v>1</v>
      </c>
      <c r="G146">
        <f t="shared" si="10"/>
        <v>74200</v>
      </c>
      <c r="H146">
        <f t="shared" si="11"/>
        <v>1</v>
      </c>
      <c r="J146" s="202">
        <f t="shared" si="12"/>
        <v>74200</v>
      </c>
      <c r="N146">
        <v>107600</v>
      </c>
      <c r="O146">
        <v>1</v>
      </c>
      <c r="R146">
        <f t="shared" si="13"/>
        <v>107600</v>
      </c>
      <c r="S146">
        <f t="shared" si="14"/>
        <v>1</v>
      </c>
      <c r="U146" s="202">
        <f t="shared" si="15"/>
        <v>107600</v>
      </c>
    </row>
    <row r="147" spans="1:21" x14ac:dyDescent="0.25">
      <c r="C147">
        <v>83200</v>
      </c>
      <c r="D147">
        <v>1</v>
      </c>
      <c r="G147">
        <f t="shared" si="10"/>
        <v>83200</v>
      </c>
      <c r="H147">
        <f t="shared" si="11"/>
        <v>1</v>
      </c>
      <c r="J147" s="202">
        <f t="shared" si="12"/>
        <v>83200</v>
      </c>
      <c r="N147">
        <v>158400</v>
      </c>
      <c r="O147">
        <v>1</v>
      </c>
      <c r="R147">
        <f t="shared" si="13"/>
        <v>158400</v>
      </c>
      <c r="S147">
        <f t="shared" si="14"/>
        <v>1</v>
      </c>
      <c r="U147" s="202">
        <f t="shared" si="15"/>
        <v>158400</v>
      </c>
    </row>
    <row r="148" spans="1:21" x14ac:dyDescent="0.25">
      <c r="C148">
        <v>84800</v>
      </c>
      <c r="D148">
        <v>1</v>
      </c>
      <c r="G148">
        <f t="shared" si="10"/>
        <v>84800</v>
      </c>
      <c r="H148">
        <f t="shared" si="11"/>
        <v>1</v>
      </c>
      <c r="J148" s="202">
        <f t="shared" si="12"/>
        <v>84800</v>
      </c>
    </row>
    <row r="149" spans="1:21" x14ac:dyDescent="0.25">
      <c r="C149">
        <v>85300</v>
      </c>
      <c r="D149">
        <v>1</v>
      </c>
      <c r="G149">
        <f t="shared" si="10"/>
        <v>85300</v>
      </c>
      <c r="H149">
        <f t="shared" si="11"/>
        <v>1</v>
      </c>
      <c r="J149" s="202">
        <f t="shared" si="12"/>
        <v>85300</v>
      </c>
      <c r="N149" s="214">
        <f t="shared" ref="N149:S149" si="16">SUM(N110:N147)</f>
        <v>1666200</v>
      </c>
      <c r="O149" s="215">
        <f t="shared" si="16"/>
        <v>166</v>
      </c>
      <c r="P149" s="214">
        <f t="shared" si="16"/>
        <v>2126900</v>
      </c>
      <c r="Q149" s="215">
        <f t="shared" si="16"/>
        <v>203</v>
      </c>
      <c r="R149" s="214">
        <f t="shared" si="16"/>
        <v>3793100</v>
      </c>
      <c r="S149" s="215">
        <f t="shared" si="16"/>
        <v>369</v>
      </c>
    </row>
    <row r="150" spans="1:21" x14ac:dyDescent="0.25">
      <c r="C150">
        <v>108500</v>
      </c>
      <c r="D150">
        <v>1</v>
      </c>
      <c r="G150">
        <f t="shared" si="10"/>
        <v>108500</v>
      </c>
      <c r="H150">
        <f t="shared" si="11"/>
        <v>1</v>
      </c>
      <c r="J150" s="202">
        <f t="shared" si="12"/>
        <v>108500</v>
      </c>
    </row>
    <row r="151" spans="1:21" x14ac:dyDescent="0.25">
      <c r="C151">
        <v>508800</v>
      </c>
      <c r="D151">
        <v>3</v>
      </c>
      <c r="G151">
        <f t="shared" si="10"/>
        <v>508800</v>
      </c>
      <c r="H151">
        <f t="shared" si="11"/>
        <v>3</v>
      </c>
      <c r="J151" s="202">
        <f t="shared" si="12"/>
        <v>169600</v>
      </c>
    </row>
    <row r="152" spans="1:21" x14ac:dyDescent="0.25">
      <c r="C152">
        <v>1566300</v>
      </c>
      <c r="D152">
        <v>7</v>
      </c>
      <c r="G152">
        <f t="shared" si="10"/>
        <v>1566300</v>
      </c>
      <c r="H152">
        <f t="shared" si="11"/>
        <v>7</v>
      </c>
      <c r="J152" s="202">
        <f t="shared" si="12"/>
        <v>223757.14285714287</v>
      </c>
    </row>
    <row r="153" spans="1:21" x14ac:dyDescent="0.25">
      <c r="C153">
        <v>819100</v>
      </c>
      <c r="D153">
        <v>3</v>
      </c>
      <c r="G153">
        <f t="shared" si="10"/>
        <v>819100</v>
      </c>
      <c r="H153">
        <f t="shared" si="11"/>
        <v>3</v>
      </c>
      <c r="J153" s="202">
        <f t="shared" si="12"/>
        <v>273033.33333333331</v>
      </c>
    </row>
    <row r="154" spans="1:21" x14ac:dyDescent="0.25">
      <c r="J154" s="202"/>
    </row>
    <row r="155" spans="1:21" x14ac:dyDescent="0.25">
      <c r="C155" s="214">
        <f t="shared" ref="C155:H155" si="17">SUM(C110:C154)</f>
        <v>4725100</v>
      </c>
      <c r="D155" s="115">
        <f t="shared" si="17"/>
        <v>152</v>
      </c>
      <c r="E155" s="115">
        <f t="shared" si="17"/>
        <v>1004100</v>
      </c>
      <c r="F155" s="115">
        <f t="shared" si="17"/>
        <v>132</v>
      </c>
      <c r="G155" s="115">
        <f t="shared" si="17"/>
        <v>5729200</v>
      </c>
      <c r="H155" s="215">
        <f t="shared" si="17"/>
        <v>284</v>
      </c>
      <c r="J155" s="202"/>
    </row>
    <row r="156" spans="1:21" x14ac:dyDescent="0.25">
      <c r="J156" s="202"/>
    </row>
    <row r="157" spans="1:21" x14ac:dyDescent="0.25">
      <c r="J157" s="202"/>
    </row>
    <row r="158" spans="1:21" x14ac:dyDescent="0.25">
      <c r="C158" s="412" t="s">
        <v>293</v>
      </c>
      <c r="D158" s="412"/>
      <c r="E158" s="412" t="s">
        <v>294</v>
      </c>
      <c r="F158" s="412"/>
      <c r="G158" s="412" t="s">
        <v>299</v>
      </c>
      <c r="H158" s="412"/>
      <c r="L158" s="48" t="s">
        <v>302</v>
      </c>
      <c r="N158" s="412" t="s">
        <v>293</v>
      </c>
      <c r="O158" s="412"/>
      <c r="P158" s="412" t="s">
        <v>294</v>
      </c>
      <c r="Q158" s="412"/>
      <c r="R158" s="412" t="s">
        <v>303</v>
      </c>
      <c r="S158" s="412"/>
    </row>
    <row r="159" spans="1:21" x14ac:dyDescent="0.25">
      <c r="A159" s="48" t="s">
        <v>281</v>
      </c>
      <c r="C159" s="102" t="s">
        <v>270</v>
      </c>
      <c r="D159" s="102" t="s">
        <v>271</v>
      </c>
      <c r="E159" s="102" t="s">
        <v>270</v>
      </c>
      <c r="F159" s="102" t="s">
        <v>271</v>
      </c>
      <c r="G159" s="102" t="s">
        <v>270</v>
      </c>
      <c r="H159" s="102" t="s">
        <v>271</v>
      </c>
      <c r="J159" s="102" t="s">
        <v>272</v>
      </c>
      <c r="L159" s="48" t="s">
        <v>281</v>
      </c>
      <c r="N159" s="102" t="s">
        <v>270</v>
      </c>
      <c r="O159" s="102" t="s">
        <v>271</v>
      </c>
      <c r="P159" s="102" t="s">
        <v>270</v>
      </c>
      <c r="Q159" s="102" t="s">
        <v>271</v>
      </c>
      <c r="R159" s="102" t="s">
        <v>270</v>
      </c>
      <c r="S159" s="102" t="s">
        <v>271</v>
      </c>
      <c r="U159" s="102" t="s">
        <v>272</v>
      </c>
    </row>
    <row r="160" spans="1:21" x14ac:dyDescent="0.25">
      <c r="A160" s="47" t="s">
        <v>63</v>
      </c>
      <c r="C160">
        <v>700</v>
      </c>
      <c r="D160">
        <v>10</v>
      </c>
      <c r="E160">
        <v>1100</v>
      </c>
      <c r="F160">
        <v>3</v>
      </c>
      <c r="G160">
        <f>C160+E160</f>
        <v>1800</v>
      </c>
      <c r="H160">
        <f>D160+F160</f>
        <v>13</v>
      </c>
      <c r="J160" s="202">
        <f>G160/H160</f>
        <v>138.46153846153845</v>
      </c>
      <c r="L160" s="47" t="s">
        <v>63</v>
      </c>
      <c r="P160">
        <f>2200+2300</f>
        <v>4500</v>
      </c>
      <c r="Q160">
        <v>18</v>
      </c>
      <c r="R160">
        <f>N160+P160</f>
        <v>4500</v>
      </c>
      <c r="S160">
        <f>O160+Q160</f>
        <v>18</v>
      </c>
      <c r="U160" s="202">
        <f>R160/S160</f>
        <v>250</v>
      </c>
    </row>
    <row r="161" spans="1:21" x14ac:dyDescent="0.25">
      <c r="A161" s="47" t="s">
        <v>64</v>
      </c>
      <c r="C161">
        <f>1200+6700</f>
        <v>7900</v>
      </c>
      <c r="D161">
        <v>5</v>
      </c>
      <c r="E161">
        <v>2500</v>
      </c>
      <c r="F161">
        <v>2</v>
      </c>
      <c r="G161">
        <f t="shared" ref="G161:G200" si="18">C161+E161</f>
        <v>10400</v>
      </c>
      <c r="H161">
        <f t="shared" ref="H161:H200" si="19">D161+F161</f>
        <v>7</v>
      </c>
      <c r="J161" s="202">
        <f t="shared" ref="J161:J200" si="20">G161/H161</f>
        <v>1485.7142857142858</v>
      </c>
      <c r="L161" s="47" t="s">
        <v>64</v>
      </c>
      <c r="P161">
        <f>5700+1600</f>
        <v>7300</v>
      </c>
      <c r="Q161">
        <v>6</v>
      </c>
      <c r="R161">
        <f t="shared" ref="R161:R194" si="21">N161+P161</f>
        <v>7300</v>
      </c>
      <c r="S161">
        <f t="shared" ref="S161:S194" si="22">O161+Q161</f>
        <v>6</v>
      </c>
      <c r="U161" s="202">
        <f t="shared" ref="U161:U194" si="23">R161/S161</f>
        <v>1216.6666666666667</v>
      </c>
    </row>
    <row r="162" spans="1:21" x14ac:dyDescent="0.25">
      <c r="A162" s="47" t="s">
        <v>65</v>
      </c>
      <c r="E162">
        <v>2900</v>
      </c>
      <c r="F162">
        <v>1</v>
      </c>
      <c r="G162">
        <f t="shared" si="18"/>
        <v>2900</v>
      </c>
      <c r="H162">
        <f t="shared" si="19"/>
        <v>1</v>
      </c>
      <c r="J162" s="202">
        <f t="shared" si="20"/>
        <v>2900</v>
      </c>
      <c r="L162" s="47" t="s">
        <v>65</v>
      </c>
      <c r="U162" s="202"/>
    </row>
    <row r="163" spans="1:21" x14ac:dyDescent="0.25">
      <c r="A163" s="47" t="s">
        <v>66</v>
      </c>
      <c r="C163">
        <f>12400+18200</f>
        <v>30600</v>
      </c>
      <c r="D163">
        <v>9</v>
      </c>
      <c r="G163">
        <f t="shared" si="18"/>
        <v>30600</v>
      </c>
      <c r="H163">
        <f t="shared" si="19"/>
        <v>9</v>
      </c>
      <c r="J163" s="202">
        <f t="shared" si="20"/>
        <v>3400</v>
      </c>
      <c r="L163" s="47" t="s">
        <v>66</v>
      </c>
      <c r="U163" s="202"/>
    </row>
    <row r="164" spans="1:21" x14ac:dyDescent="0.25">
      <c r="A164" s="47" t="s">
        <v>67</v>
      </c>
      <c r="C164">
        <f>21100+9600</f>
        <v>30700</v>
      </c>
      <c r="D164">
        <v>7</v>
      </c>
      <c r="E164">
        <v>4700</v>
      </c>
      <c r="F164">
        <v>1</v>
      </c>
      <c r="G164">
        <f t="shared" si="18"/>
        <v>35400</v>
      </c>
      <c r="H164">
        <f t="shared" si="19"/>
        <v>8</v>
      </c>
      <c r="J164" s="202">
        <f t="shared" si="20"/>
        <v>4425</v>
      </c>
      <c r="L164" s="47" t="s">
        <v>67</v>
      </c>
      <c r="U164" s="202"/>
    </row>
    <row r="165" spans="1:21" x14ac:dyDescent="0.25">
      <c r="A165" s="47" t="s">
        <v>68</v>
      </c>
      <c r="C165">
        <f>10400+5700</f>
        <v>16100</v>
      </c>
      <c r="D165">
        <v>3</v>
      </c>
      <c r="G165">
        <f t="shared" si="18"/>
        <v>16100</v>
      </c>
      <c r="H165">
        <f t="shared" si="19"/>
        <v>3</v>
      </c>
      <c r="J165" s="202">
        <f t="shared" si="20"/>
        <v>5366.666666666667</v>
      </c>
      <c r="L165" s="47" t="s">
        <v>68</v>
      </c>
      <c r="U165" s="202"/>
    </row>
    <row r="166" spans="1:21" x14ac:dyDescent="0.25">
      <c r="A166" s="47" t="s">
        <v>69</v>
      </c>
      <c r="C166">
        <f>24600+6600</f>
        <v>31200</v>
      </c>
      <c r="D166">
        <v>5</v>
      </c>
      <c r="E166">
        <v>6600</v>
      </c>
      <c r="F166">
        <v>1</v>
      </c>
      <c r="G166">
        <f t="shared" si="18"/>
        <v>37800</v>
      </c>
      <c r="H166">
        <f t="shared" si="19"/>
        <v>6</v>
      </c>
      <c r="J166" s="202">
        <f t="shared" si="20"/>
        <v>6300</v>
      </c>
      <c r="L166" s="47" t="s">
        <v>69</v>
      </c>
      <c r="U166" s="202"/>
    </row>
    <row r="167" spans="1:21" x14ac:dyDescent="0.25">
      <c r="A167" s="47" t="s">
        <v>70</v>
      </c>
      <c r="C167">
        <f>7100+7700</f>
        <v>14800</v>
      </c>
      <c r="D167">
        <v>2</v>
      </c>
      <c r="E167">
        <f>7000+15200</f>
        <v>22200</v>
      </c>
      <c r="F167">
        <v>3</v>
      </c>
      <c r="G167">
        <f t="shared" si="18"/>
        <v>37000</v>
      </c>
      <c r="H167">
        <f t="shared" si="19"/>
        <v>5</v>
      </c>
      <c r="J167" s="202">
        <f t="shared" si="20"/>
        <v>7400</v>
      </c>
      <c r="L167" s="47" t="s">
        <v>70</v>
      </c>
      <c r="U167" s="202"/>
    </row>
    <row r="168" spans="1:21" x14ac:dyDescent="0.25">
      <c r="A168" s="47" t="s">
        <v>71</v>
      </c>
      <c r="C168">
        <v>8400</v>
      </c>
      <c r="D168">
        <v>1</v>
      </c>
      <c r="E168">
        <f>16200+17000</f>
        <v>33200</v>
      </c>
      <c r="F168">
        <v>4</v>
      </c>
      <c r="G168">
        <f t="shared" si="18"/>
        <v>41600</v>
      </c>
      <c r="H168">
        <f t="shared" si="19"/>
        <v>5</v>
      </c>
      <c r="J168" s="202">
        <f t="shared" si="20"/>
        <v>8320</v>
      </c>
      <c r="L168" s="47" t="s">
        <v>71</v>
      </c>
      <c r="U168" s="202"/>
    </row>
    <row r="169" spans="1:21" x14ac:dyDescent="0.25">
      <c r="A169" s="47" t="s">
        <v>72</v>
      </c>
      <c r="C169">
        <v>9300</v>
      </c>
      <c r="D169">
        <v>1</v>
      </c>
      <c r="E169">
        <v>9300</v>
      </c>
      <c r="F169">
        <v>1</v>
      </c>
      <c r="G169">
        <f t="shared" si="18"/>
        <v>18600</v>
      </c>
      <c r="H169">
        <f t="shared" si="19"/>
        <v>2</v>
      </c>
      <c r="J169" s="202">
        <f t="shared" si="20"/>
        <v>9300</v>
      </c>
      <c r="L169" s="47" t="s">
        <v>72</v>
      </c>
      <c r="P169">
        <v>9100</v>
      </c>
      <c r="Q169">
        <v>1</v>
      </c>
      <c r="R169">
        <f t="shared" si="21"/>
        <v>9100</v>
      </c>
      <c r="S169">
        <f t="shared" si="22"/>
        <v>1</v>
      </c>
      <c r="U169" s="202">
        <f t="shared" si="23"/>
        <v>9100</v>
      </c>
    </row>
    <row r="170" spans="1:21" x14ac:dyDescent="0.25">
      <c r="A170" s="47" t="s">
        <v>73</v>
      </c>
      <c r="E170">
        <v>20200</v>
      </c>
      <c r="F170">
        <v>2</v>
      </c>
      <c r="G170">
        <f t="shared" si="18"/>
        <v>20200</v>
      </c>
      <c r="H170">
        <f t="shared" si="19"/>
        <v>2</v>
      </c>
      <c r="J170" s="202">
        <f t="shared" si="20"/>
        <v>10100</v>
      </c>
      <c r="L170" s="47" t="s">
        <v>73</v>
      </c>
      <c r="U170" s="202"/>
    </row>
    <row r="171" spans="1:21" x14ac:dyDescent="0.25">
      <c r="A171" s="47" t="s">
        <v>74</v>
      </c>
      <c r="J171" s="202"/>
      <c r="L171" s="47" t="s">
        <v>74</v>
      </c>
      <c r="U171" s="202"/>
    </row>
    <row r="172" spans="1:21" x14ac:dyDescent="0.25">
      <c r="A172" s="47" t="s">
        <v>75</v>
      </c>
      <c r="E172">
        <v>12700</v>
      </c>
      <c r="F172">
        <v>1</v>
      </c>
      <c r="G172">
        <f t="shared" si="18"/>
        <v>12700</v>
      </c>
      <c r="H172">
        <f t="shared" si="19"/>
        <v>1</v>
      </c>
      <c r="J172" s="202">
        <f t="shared" si="20"/>
        <v>12700</v>
      </c>
      <c r="L172" s="47" t="s">
        <v>75</v>
      </c>
      <c r="P172">
        <v>12400</v>
      </c>
      <c r="Q172">
        <v>1</v>
      </c>
      <c r="R172">
        <f t="shared" si="21"/>
        <v>12400</v>
      </c>
      <c r="S172">
        <f t="shared" si="22"/>
        <v>1</v>
      </c>
      <c r="U172" s="202">
        <f t="shared" si="23"/>
        <v>12400</v>
      </c>
    </row>
    <row r="173" spans="1:21" x14ac:dyDescent="0.25">
      <c r="A173" s="47" t="s">
        <v>76</v>
      </c>
      <c r="E173">
        <v>13800</v>
      </c>
      <c r="F173">
        <v>1</v>
      </c>
      <c r="G173">
        <f t="shared" si="18"/>
        <v>13800</v>
      </c>
      <c r="H173">
        <f t="shared" si="19"/>
        <v>1</v>
      </c>
      <c r="J173" s="202">
        <f t="shared" si="20"/>
        <v>13800</v>
      </c>
      <c r="L173" s="47" t="s">
        <v>76</v>
      </c>
      <c r="P173">
        <v>13600</v>
      </c>
      <c r="Q173">
        <v>1</v>
      </c>
      <c r="R173">
        <f t="shared" si="21"/>
        <v>13600</v>
      </c>
      <c r="S173">
        <f t="shared" si="22"/>
        <v>1</v>
      </c>
      <c r="U173" s="202">
        <f t="shared" si="23"/>
        <v>13600</v>
      </c>
    </row>
    <row r="174" spans="1:21" x14ac:dyDescent="0.25">
      <c r="A174" s="47" t="s">
        <v>77</v>
      </c>
      <c r="C174">
        <v>14700</v>
      </c>
      <c r="D174">
        <v>1</v>
      </c>
      <c r="G174">
        <f t="shared" si="18"/>
        <v>14700</v>
      </c>
      <c r="H174">
        <f t="shared" si="19"/>
        <v>1</v>
      </c>
      <c r="J174" s="202">
        <f t="shared" si="20"/>
        <v>14700</v>
      </c>
      <c r="L174" s="47" t="s">
        <v>77</v>
      </c>
      <c r="P174">
        <v>28600</v>
      </c>
      <c r="Q174">
        <v>2</v>
      </c>
      <c r="R174">
        <f t="shared" si="21"/>
        <v>28600</v>
      </c>
      <c r="S174">
        <f t="shared" si="22"/>
        <v>2</v>
      </c>
      <c r="U174" s="202">
        <f t="shared" si="23"/>
        <v>14300</v>
      </c>
    </row>
    <row r="175" spans="1:21" x14ac:dyDescent="0.25">
      <c r="A175" s="47" t="s">
        <v>78</v>
      </c>
      <c r="J175" s="202"/>
      <c r="L175" s="47" t="s">
        <v>78</v>
      </c>
      <c r="P175">
        <v>15600</v>
      </c>
      <c r="Q175">
        <v>1</v>
      </c>
      <c r="R175">
        <f t="shared" si="21"/>
        <v>15600</v>
      </c>
      <c r="S175">
        <f t="shared" si="22"/>
        <v>1</v>
      </c>
      <c r="U175" s="202">
        <f t="shared" si="23"/>
        <v>15600</v>
      </c>
    </row>
    <row r="176" spans="1:21" x14ac:dyDescent="0.25">
      <c r="A176" s="47" t="s">
        <v>79</v>
      </c>
      <c r="J176" s="202"/>
      <c r="L176" s="47" t="s">
        <v>79</v>
      </c>
      <c r="P176">
        <v>16700</v>
      </c>
      <c r="Q176">
        <v>1</v>
      </c>
      <c r="R176">
        <f t="shared" si="21"/>
        <v>16700</v>
      </c>
      <c r="S176">
        <f t="shared" si="22"/>
        <v>1</v>
      </c>
      <c r="U176" s="202">
        <f t="shared" si="23"/>
        <v>16700</v>
      </c>
    </row>
    <row r="177" spans="1:21" x14ac:dyDescent="0.25">
      <c r="A177" s="47" t="s">
        <v>80</v>
      </c>
      <c r="J177" s="202"/>
      <c r="L177" s="47" t="s">
        <v>80</v>
      </c>
      <c r="P177">
        <v>34400</v>
      </c>
      <c r="Q177">
        <v>2</v>
      </c>
      <c r="R177">
        <f t="shared" si="21"/>
        <v>34400</v>
      </c>
      <c r="S177">
        <f t="shared" si="22"/>
        <v>2</v>
      </c>
      <c r="U177" s="202">
        <f t="shared" si="23"/>
        <v>17200</v>
      </c>
    </row>
    <row r="178" spans="1:21" x14ac:dyDescent="0.25">
      <c r="A178" s="47" t="s">
        <v>81</v>
      </c>
      <c r="C178">
        <v>18100</v>
      </c>
      <c r="D178">
        <v>1</v>
      </c>
      <c r="G178">
        <f t="shared" si="18"/>
        <v>18100</v>
      </c>
      <c r="H178">
        <f t="shared" si="19"/>
        <v>1</v>
      </c>
      <c r="J178" s="202">
        <f t="shared" si="20"/>
        <v>18100</v>
      </c>
      <c r="L178" s="47" t="s">
        <v>81</v>
      </c>
      <c r="U178" s="202"/>
    </row>
    <row r="179" spans="1:21" x14ac:dyDescent="0.25">
      <c r="A179" s="47" t="s">
        <v>82</v>
      </c>
      <c r="E179">
        <v>19600</v>
      </c>
      <c r="F179">
        <v>1</v>
      </c>
      <c r="G179">
        <f t="shared" si="18"/>
        <v>19600</v>
      </c>
      <c r="H179">
        <f t="shared" si="19"/>
        <v>1</v>
      </c>
      <c r="J179" s="202">
        <f t="shared" si="20"/>
        <v>19600</v>
      </c>
      <c r="L179" s="47" t="s">
        <v>82</v>
      </c>
      <c r="P179">
        <v>19600</v>
      </c>
      <c r="Q179">
        <v>1</v>
      </c>
      <c r="R179">
        <f t="shared" si="21"/>
        <v>19600</v>
      </c>
      <c r="S179">
        <f t="shared" si="22"/>
        <v>1</v>
      </c>
      <c r="U179" s="202">
        <f t="shared" si="23"/>
        <v>19600</v>
      </c>
    </row>
    <row r="180" spans="1:21" x14ac:dyDescent="0.25">
      <c r="A180" s="47" t="s">
        <v>83</v>
      </c>
      <c r="C180">
        <v>20500</v>
      </c>
      <c r="D180">
        <v>1</v>
      </c>
      <c r="E180">
        <v>22600</v>
      </c>
      <c r="F180">
        <v>1</v>
      </c>
      <c r="G180">
        <f t="shared" si="18"/>
        <v>43100</v>
      </c>
      <c r="H180">
        <f t="shared" si="19"/>
        <v>2</v>
      </c>
      <c r="J180" s="202">
        <f t="shared" si="20"/>
        <v>21550</v>
      </c>
      <c r="L180" s="47" t="s">
        <v>83</v>
      </c>
      <c r="N180">
        <f>23100+23500</f>
        <v>46600</v>
      </c>
      <c r="O180">
        <v>2</v>
      </c>
      <c r="P180">
        <v>23500</v>
      </c>
      <c r="Q180">
        <v>1</v>
      </c>
      <c r="R180">
        <f t="shared" si="21"/>
        <v>70100</v>
      </c>
      <c r="S180">
        <f t="shared" si="22"/>
        <v>3</v>
      </c>
      <c r="U180" s="202">
        <f t="shared" si="23"/>
        <v>23366.666666666668</v>
      </c>
    </row>
    <row r="181" spans="1:21" x14ac:dyDescent="0.25">
      <c r="C181">
        <v>23100</v>
      </c>
      <c r="D181">
        <v>1</v>
      </c>
      <c r="E181">
        <v>24400</v>
      </c>
      <c r="F181">
        <v>1</v>
      </c>
      <c r="G181">
        <f t="shared" si="18"/>
        <v>47500</v>
      </c>
      <c r="H181">
        <f t="shared" si="19"/>
        <v>2</v>
      </c>
      <c r="J181" s="202">
        <f t="shared" si="20"/>
        <v>23750</v>
      </c>
      <c r="N181">
        <v>24600</v>
      </c>
      <c r="O181">
        <v>1</v>
      </c>
      <c r="P181">
        <v>29300</v>
      </c>
      <c r="Q181">
        <v>1</v>
      </c>
      <c r="R181">
        <f t="shared" si="21"/>
        <v>53900</v>
      </c>
      <c r="S181">
        <f t="shared" si="22"/>
        <v>2</v>
      </c>
      <c r="U181" s="202">
        <f t="shared" si="23"/>
        <v>26950</v>
      </c>
    </row>
    <row r="182" spans="1:21" x14ac:dyDescent="0.25">
      <c r="C182">
        <v>26100</v>
      </c>
      <c r="D182">
        <v>1</v>
      </c>
      <c r="E182">
        <v>24800</v>
      </c>
      <c r="F182">
        <v>1</v>
      </c>
      <c r="G182">
        <f t="shared" si="18"/>
        <v>50900</v>
      </c>
      <c r="H182">
        <f t="shared" si="19"/>
        <v>2</v>
      </c>
      <c r="J182" s="202">
        <f t="shared" si="20"/>
        <v>25450</v>
      </c>
      <c r="N182">
        <v>25700</v>
      </c>
      <c r="O182">
        <v>1</v>
      </c>
      <c r="P182">
        <v>56200</v>
      </c>
      <c r="Q182">
        <v>1</v>
      </c>
      <c r="R182">
        <f t="shared" si="21"/>
        <v>81900</v>
      </c>
      <c r="S182">
        <f t="shared" si="22"/>
        <v>2</v>
      </c>
      <c r="U182" s="202">
        <f t="shared" si="23"/>
        <v>40950</v>
      </c>
    </row>
    <row r="183" spans="1:21" x14ac:dyDescent="0.25">
      <c r="E183">
        <f>26400+26700</f>
        <v>53100</v>
      </c>
      <c r="F183">
        <v>2</v>
      </c>
      <c r="G183">
        <f t="shared" si="18"/>
        <v>53100</v>
      </c>
      <c r="H183">
        <f t="shared" si="19"/>
        <v>2</v>
      </c>
      <c r="J183" s="202">
        <f t="shared" si="20"/>
        <v>26550</v>
      </c>
      <c r="N183">
        <v>26000</v>
      </c>
      <c r="O183">
        <v>1</v>
      </c>
      <c r="P183">
        <v>70800</v>
      </c>
      <c r="Q183">
        <v>1</v>
      </c>
      <c r="R183">
        <f t="shared" si="21"/>
        <v>96800</v>
      </c>
      <c r="S183">
        <f t="shared" si="22"/>
        <v>2</v>
      </c>
      <c r="U183" s="202">
        <f t="shared" si="23"/>
        <v>48400</v>
      </c>
    </row>
    <row r="184" spans="1:21" x14ac:dyDescent="0.25">
      <c r="C184" s="214">
        <f>SUM(C160:C182)</f>
        <v>252200</v>
      </c>
      <c r="D184" s="215">
        <f>SUM(D160:D182)</f>
        <v>48</v>
      </c>
      <c r="E184">
        <v>27600</v>
      </c>
      <c r="F184">
        <v>1</v>
      </c>
      <c r="G184">
        <f>E184</f>
        <v>27600</v>
      </c>
      <c r="H184">
        <f>F184</f>
        <v>1</v>
      </c>
      <c r="J184" s="202">
        <f t="shared" si="20"/>
        <v>27600</v>
      </c>
      <c r="N184">
        <v>54600</v>
      </c>
      <c r="O184">
        <v>2</v>
      </c>
      <c r="P184">
        <v>72500</v>
      </c>
      <c r="Q184">
        <v>1</v>
      </c>
      <c r="R184">
        <f t="shared" si="21"/>
        <v>127100</v>
      </c>
      <c r="S184">
        <f t="shared" si="22"/>
        <v>3</v>
      </c>
      <c r="U184" s="202">
        <f t="shared" si="23"/>
        <v>42366.666666666664</v>
      </c>
    </row>
    <row r="185" spans="1:21" x14ac:dyDescent="0.25">
      <c r="E185">
        <v>28500</v>
      </c>
      <c r="F185">
        <v>1</v>
      </c>
      <c r="G185">
        <f t="shared" si="18"/>
        <v>28500</v>
      </c>
      <c r="H185">
        <f t="shared" si="19"/>
        <v>1</v>
      </c>
      <c r="J185" s="202">
        <f t="shared" si="20"/>
        <v>28500</v>
      </c>
      <c r="N185">
        <f>28200+28700</f>
        <v>56900</v>
      </c>
      <c r="O185">
        <v>2</v>
      </c>
      <c r="P185">
        <v>77900</v>
      </c>
      <c r="Q185">
        <v>1</v>
      </c>
      <c r="R185">
        <f t="shared" si="21"/>
        <v>134800</v>
      </c>
      <c r="S185">
        <f t="shared" si="22"/>
        <v>3</v>
      </c>
      <c r="U185" s="202">
        <f t="shared" si="23"/>
        <v>44933.333333333336</v>
      </c>
    </row>
    <row r="186" spans="1:21" x14ac:dyDescent="0.25">
      <c r="E186">
        <v>42000</v>
      </c>
      <c r="F186">
        <v>1</v>
      </c>
      <c r="G186">
        <f t="shared" si="18"/>
        <v>42000</v>
      </c>
      <c r="H186">
        <f t="shared" si="19"/>
        <v>1</v>
      </c>
      <c r="J186" s="202">
        <f t="shared" si="20"/>
        <v>42000</v>
      </c>
      <c r="N186">
        <v>30100</v>
      </c>
      <c r="O186">
        <v>1</v>
      </c>
      <c r="P186">
        <v>80500</v>
      </c>
      <c r="Q186">
        <v>1</v>
      </c>
      <c r="R186">
        <f t="shared" si="21"/>
        <v>110600</v>
      </c>
      <c r="S186">
        <f t="shared" si="22"/>
        <v>2</v>
      </c>
      <c r="U186" s="202">
        <f t="shared" si="23"/>
        <v>55300</v>
      </c>
    </row>
    <row r="187" spans="1:21" x14ac:dyDescent="0.25">
      <c r="E187">
        <v>44100</v>
      </c>
      <c r="F187">
        <v>1</v>
      </c>
      <c r="G187">
        <f t="shared" si="18"/>
        <v>44100</v>
      </c>
      <c r="H187">
        <f t="shared" si="19"/>
        <v>1</v>
      </c>
      <c r="J187" s="202">
        <f t="shared" si="20"/>
        <v>44100</v>
      </c>
      <c r="N187">
        <v>62000</v>
      </c>
      <c r="O187">
        <v>2</v>
      </c>
      <c r="P187">
        <v>82500</v>
      </c>
      <c r="Q187">
        <v>1</v>
      </c>
      <c r="R187">
        <f t="shared" si="21"/>
        <v>144500</v>
      </c>
      <c r="S187">
        <f t="shared" si="22"/>
        <v>3</v>
      </c>
      <c r="U187" s="202">
        <f t="shared" si="23"/>
        <v>48166.666666666664</v>
      </c>
    </row>
    <row r="188" spans="1:21" x14ac:dyDescent="0.25">
      <c r="E188">
        <v>51700</v>
      </c>
      <c r="F188">
        <v>1</v>
      </c>
      <c r="G188">
        <f t="shared" si="18"/>
        <v>51700</v>
      </c>
      <c r="H188">
        <f t="shared" si="19"/>
        <v>1</v>
      </c>
      <c r="J188" s="202">
        <f t="shared" si="20"/>
        <v>51700</v>
      </c>
      <c r="N188">
        <v>358000</v>
      </c>
      <c r="O188">
        <v>3</v>
      </c>
      <c r="P188">
        <v>84000</v>
      </c>
      <c r="Q188">
        <v>1</v>
      </c>
      <c r="R188">
        <f t="shared" si="21"/>
        <v>442000</v>
      </c>
      <c r="S188">
        <f t="shared" si="22"/>
        <v>4</v>
      </c>
      <c r="U188" s="202">
        <f t="shared" si="23"/>
        <v>110500</v>
      </c>
    </row>
    <row r="189" spans="1:21" x14ac:dyDescent="0.25">
      <c r="E189">
        <v>53900</v>
      </c>
      <c r="F189">
        <v>1</v>
      </c>
      <c r="G189">
        <f t="shared" si="18"/>
        <v>53900</v>
      </c>
      <c r="H189">
        <f t="shared" si="19"/>
        <v>1</v>
      </c>
      <c r="J189" s="202">
        <f t="shared" si="20"/>
        <v>53900</v>
      </c>
      <c r="N189">
        <v>158400</v>
      </c>
      <c r="O189">
        <v>1</v>
      </c>
      <c r="P189">
        <v>86300</v>
      </c>
      <c r="Q189">
        <v>1</v>
      </c>
      <c r="R189">
        <f t="shared" si="21"/>
        <v>244700</v>
      </c>
      <c r="S189">
        <f t="shared" si="22"/>
        <v>2</v>
      </c>
      <c r="U189" s="202">
        <f t="shared" si="23"/>
        <v>122350</v>
      </c>
    </row>
    <row r="190" spans="1:21" x14ac:dyDescent="0.25">
      <c r="E190">
        <v>54800</v>
      </c>
      <c r="F190">
        <v>1</v>
      </c>
      <c r="G190">
        <f t="shared" si="18"/>
        <v>54800</v>
      </c>
      <c r="H190">
        <f t="shared" si="19"/>
        <v>1</v>
      </c>
      <c r="J190" s="202">
        <f t="shared" si="20"/>
        <v>54800</v>
      </c>
      <c r="N190">
        <v>785300</v>
      </c>
      <c r="O190">
        <v>3</v>
      </c>
      <c r="P190">
        <v>90800</v>
      </c>
      <c r="Q190">
        <v>1</v>
      </c>
      <c r="R190">
        <f t="shared" si="21"/>
        <v>876100</v>
      </c>
      <c r="S190">
        <f t="shared" si="22"/>
        <v>4</v>
      </c>
      <c r="U190" s="202">
        <f t="shared" si="23"/>
        <v>219025</v>
      </c>
    </row>
    <row r="191" spans="1:21" x14ac:dyDescent="0.25">
      <c r="E191">
        <v>65100</v>
      </c>
      <c r="F191">
        <v>1</v>
      </c>
      <c r="G191">
        <f t="shared" si="18"/>
        <v>65100</v>
      </c>
      <c r="H191">
        <f t="shared" si="19"/>
        <v>1</v>
      </c>
      <c r="J191" s="202">
        <f t="shared" si="20"/>
        <v>65100</v>
      </c>
      <c r="N191">
        <v>612700</v>
      </c>
      <c r="O191">
        <v>2</v>
      </c>
      <c r="P191">
        <v>234100</v>
      </c>
      <c r="Q191">
        <v>2</v>
      </c>
      <c r="R191">
        <f t="shared" si="21"/>
        <v>846800</v>
      </c>
      <c r="S191">
        <f t="shared" si="22"/>
        <v>4</v>
      </c>
      <c r="U191" s="202">
        <f t="shared" si="23"/>
        <v>211700</v>
      </c>
    </row>
    <row r="192" spans="1:21" x14ac:dyDescent="0.25">
      <c r="E192">
        <v>69500</v>
      </c>
      <c r="F192">
        <v>1</v>
      </c>
      <c r="G192">
        <f t="shared" si="18"/>
        <v>69500</v>
      </c>
      <c r="H192">
        <f t="shared" si="19"/>
        <v>1</v>
      </c>
      <c r="J192" s="202">
        <f t="shared" si="20"/>
        <v>69500</v>
      </c>
      <c r="N192">
        <v>353800</v>
      </c>
      <c r="O192">
        <v>1</v>
      </c>
      <c r="P192">
        <v>165700</v>
      </c>
      <c r="Q192">
        <v>1</v>
      </c>
      <c r="R192">
        <f t="shared" si="21"/>
        <v>519500</v>
      </c>
      <c r="S192">
        <f t="shared" si="22"/>
        <v>2</v>
      </c>
      <c r="U192" s="202">
        <f t="shared" si="23"/>
        <v>259750</v>
      </c>
    </row>
    <row r="193" spans="1:21" x14ac:dyDescent="0.25">
      <c r="E193">
        <v>92400</v>
      </c>
      <c r="F193">
        <v>1</v>
      </c>
      <c r="G193">
        <f t="shared" si="18"/>
        <v>92400</v>
      </c>
      <c r="H193">
        <f t="shared" si="19"/>
        <v>1</v>
      </c>
      <c r="J193" s="202">
        <f t="shared" si="20"/>
        <v>92400</v>
      </c>
      <c r="N193">
        <v>845300</v>
      </c>
      <c r="O193">
        <v>2</v>
      </c>
      <c r="R193">
        <f t="shared" si="21"/>
        <v>845300</v>
      </c>
      <c r="S193">
        <f t="shared" si="22"/>
        <v>2</v>
      </c>
      <c r="U193" s="202">
        <f t="shared" si="23"/>
        <v>422650</v>
      </c>
    </row>
    <row r="194" spans="1:21" x14ac:dyDescent="0.25">
      <c r="E194">
        <v>99300</v>
      </c>
      <c r="F194">
        <v>1</v>
      </c>
      <c r="G194">
        <f t="shared" si="18"/>
        <v>99300</v>
      </c>
      <c r="H194">
        <f t="shared" si="19"/>
        <v>1</v>
      </c>
      <c r="J194" s="202">
        <f t="shared" si="20"/>
        <v>99300</v>
      </c>
      <c r="N194">
        <v>496000</v>
      </c>
      <c r="O194">
        <v>1</v>
      </c>
      <c r="R194">
        <f t="shared" si="21"/>
        <v>496000</v>
      </c>
      <c r="S194">
        <f t="shared" si="22"/>
        <v>1</v>
      </c>
      <c r="U194" s="202">
        <f t="shared" si="23"/>
        <v>496000</v>
      </c>
    </row>
    <row r="195" spans="1:21" x14ac:dyDescent="0.25">
      <c r="E195">
        <v>348200</v>
      </c>
      <c r="F195">
        <v>3</v>
      </c>
      <c r="G195">
        <f t="shared" si="18"/>
        <v>348200</v>
      </c>
      <c r="H195">
        <f t="shared" si="19"/>
        <v>3</v>
      </c>
      <c r="J195" s="202">
        <f t="shared" si="20"/>
        <v>116066.66666666667</v>
      </c>
    </row>
    <row r="196" spans="1:21" x14ac:dyDescent="0.25">
      <c r="E196">
        <v>380000</v>
      </c>
      <c r="F196">
        <v>2</v>
      </c>
      <c r="G196">
        <f t="shared" si="18"/>
        <v>380000</v>
      </c>
      <c r="H196">
        <f t="shared" si="19"/>
        <v>2</v>
      </c>
      <c r="J196" s="202">
        <f t="shared" si="20"/>
        <v>190000</v>
      </c>
      <c r="N196" s="214">
        <f>SUM(N180:N194)</f>
        <v>3936000</v>
      </c>
      <c r="O196" s="215">
        <f>SUM(O180:O194)</f>
        <v>25</v>
      </c>
      <c r="P196" s="214">
        <f>SUM(P160:P194)</f>
        <v>1315900</v>
      </c>
      <c r="Q196" s="215">
        <f>SUM(Q160:Q194)</f>
        <v>48</v>
      </c>
      <c r="R196" s="214">
        <f>SUM(R160:R194)</f>
        <v>5251900</v>
      </c>
      <c r="S196" s="215">
        <f>SUM(S160:S194)</f>
        <v>73</v>
      </c>
    </row>
    <row r="197" spans="1:21" x14ac:dyDescent="0.25">
      <c r="E197">
        <v>220100</v>
      </c>
      <c r="F197">
        <v>1</v>
      </c>
      <c r="G197">
        <f t="shared" si="18"/>
        <v>220100</v>
      </c>
      <c r="H197">
        <f t="shared" si="19"/>
        <v>1</v>
      </c>
      <c r="J197" s="202">
        <f t="shared" si="20"/>
        <v>220100</v>
      </c>
    </row>
    <row r="198" spans="1:21" x14ac:dyDescent="0.25">
      <c r="E198">
        <v>523000</v>
      </c>
      <c r="F198">
        <v>2</v>
      </c>
      <c r="G198">
        <f t="shared" si="18"/>
        <v>523000</v>
      </c>
      <c r="H198">
        <f t="shared" si="19"/>
        <v>2</v>
      </c>
      <c r="J198" s="202">
        <f t="shared" si="20"/>
        <v>261500</v>
      </c>
    </row>
    <row r="199" spans="1:21" x14ac:dyDescent="0.25">
      <c r="E199">
        <v>625100</v>
      </c>
      <c r="F199">
        <v>2</v>
      </c>
      <c r="G199">
        <f t="shared" si="18"/>
        <v>625100</v>
      </c>
      <c r="H199">
        <f t="shared" si="19"/>
        <v>2</v>
      </c>
      <c r="J199" s="202">
        <f t="shared" si="20"/>
        <v>312550</v>
      </c>
    </row>
    <row r="200" spans="1:21" x14ac:dyDescent="0.25">
      <c r="E200">
        <v>367200</v>
      </c>
      <c r="F200">
        <v>1</v>
      </c>
      <c r="G200">
        <f t="shared" si="18"/>
        <v>367200</v>
      </c>
      <c r="H200">
        <f t="shared" si="19"/>
        <v>1</v>
      </c>
      <c r="J200" s="202">
        <f t="shared" si="20"/>
        <v>367200</v>
      </c>
    </row>
    <row r="202" spans="1:21" x14ac:dyDescent="0.25">
      <c r="E202" s="214">
        <f>SUM(E160:E200)</f>
        <v>3366200</v>
      </c>
      <c r="F202" s="115">
        <f>SUM(F160:F200)</f>
        <v>48</v>
      </c>
      <c r="G202" s="115">
        <f>SUM(G160:G200)</f>
        <v>3618400</v>
      </c>
      <c r="H202" s="215">
        <f>SUM(H160:H200)</f>
        <v>96</v>
      </c>
    </row>
    <row r="205" spans="1:21" x14ac:dyDescent="0.25">
      <c r="C205" s="412" t="s">
        <v>293</v>
      </c>
      <c r="D205" s="412"/>
      <c r="E205" s="412" t="s">
        <v>294</v>
      </c>
      <c r="F205" s="412"/>
      <c r="G205" s="412" t="s">
        <v>300</v>
      </c>
      <c r="H205" s="412"/>
      <c r="L205" s="48" t="s">
        <v>302</v>
      </c>
      <c r="N205" s="412" t="s">
        <v>293</v>
      </c>
      <c r="O205" s="412"/>
      <c r="P205" s="412" t="s">
        <v>294</v>
      </c>
      <c r="Q205" s="412"/>
      <c r="R205" s="412" t="s">
        <v>304</v>
      </c>
      <c r="S205" s="412"/>
    </row>
    <row r="206" spans="1:21" x14ac:dyDescent="0.25">
      <c r="A206" s="48" t="s">
        <v>283</v>
      </c>
      <c r="C206" s="102" t="s">
        <v>270</v>
      </c>
      <c r="D206" s="102" t="s">
        <v>271</v>
      </c>
      <c r="E206" s="102" t="s">
        <v>270</v>
      </c>
      <c r="F206" s="102" t="s">
        <v>271</v>
      </c>
      <c r="G206" s="102" t="s">
        <v>270</v>
      </c>
      <c r="H206" s="102" t="s">
        <v>271</v>
      </c>
      <c r="J206" s="102" t="s">
        <v>272</v>
      </c>
      <c r="L206" s="48" t="s">
        <v>283</v>
      </c>
      <c r="N206" s="102" t="s">
        <v>270</v>
      </c>
      <c r="O206" s="102" t="s">
        <v>271</v>
      </c>
      <c r="P206" s="102" t="s">
        <v>270</v>
      </c>
      <c r="Q206" s="102" t="s">
        <v>271</v>
      </c>
      <c r="R206" s="102" t="s">
        <v>270</v>
      </c>
      <c r="S206" s="102" t="s">
        <v>271</v>
      </c>
      <c r="U206" s="102" t="s">
        <v>272</v>
      </c>
    </row>
    <row r="207" spans="1:21" x14ac:dyDescent="0.25">
      <c r="A207" s="47" t="s">
        <v>63</v>
      </c>
      <c r="C207">
        <v>1400</v>
      </c>
      <c r="D207">
        <v>22</v>
      </c>
      <c r="E207">
        <f>1300</f>
        <v>1300</v>
      </c>
      <c r="F207">
        <f>19+2</f>
        <v>21</v>
      </c>
      <c r="G207">
        <f>C207+E207</f>
        <v>2700</v>
      </c>
      <c r="H207">
        <f>D207+F207</f>
        <v>43</v>
      </c>
      <c r="J207" s="202">
        <f>G207/H207</f>
        <v>62.790697674418603</v>
      </c>
      <c r="L207" s="47" t="s">
        <v>63</v>
      </c>
      <c r="N207">
        <f>3000+3300</f>
        <v>6300</v>
      </c>
      <c r="O207">
        <f>27+5</f>
        <v>32</v>
      </c>
      <c r="P207">
        <f>1700+2400</f>
        <v>4100</v>
      </c>
      <c r="Q207">
        <f>17+4</f>
        <v>21</v>
      </c>
      <c r="R207">
        <f>N207+P207</f>
        <v>10400</v>
      </c>
      <c r="S207">
        <f>O207+Q207</f>
        <v>53</v>
      </c>
      <c r="U207" s="202">
        <f>R207/S207</f>
        <v>196.22641509433961</v>
      </c>
    </row>
    <row r="208" spans="1:21" x14ac:dyDescent="0.25">
      <c r="A208" s="47" t="s">
        <v>64</v>
      </c>
      <c r="C208">
        <f>2300+3300</f>
        <v>5600</v>
      </c>
      <c r="D208">
        <v>4</v>
      </c>
      <c r="E208">
        <f>6200+6200</f>
        <v>12400</v>
      </c>
      <c r="F208">
        <v>9</v>
      </c>
      <c r="G208">
        <f t="shared" ref="G208:G271" si="24">C208+E208</f>
        <v>18000</v>
      </c>
      <c r="H208">
        <f t="shared" ref="H208:H271" si="25">D208+F208</f>
        <v>13</v>
      </c>
      <c r="J208" s="202">
        <f t="shared" ref="J208:J271" si="26">G208/H208</f>
        <v>1384.6153846153845</v>
      </c>
      <c r="L208" s="47" t="s">
        <v>64</v>
      </c>
      <c r="N208">
        <f>3300+1700</f>
        <v>5000</v>
      </c>
      <c r="O208">
        <v>4</v>
      </c>
      <c r="P208">
        <v>3300</v>
      </c>
      <c r="Q208">
        <v>2</v>
      </c>
      <c r="R208">
        <f t="shared" ref="R208:R271" si="27">N208+P208</f>
        <v>8300</v>
      </c>
      <c r="S208">
        <f t="shared" ref="S208:S271" si="28">O208+Q208</f>
        <v>6</v>
      </c>
      <c r="U208" s="202">
        <f t="shared" ref="U208:U271" si="29">R208/S208</f>
        <v>1383.3333333333333</v>
      </c>
    </row>
    <row r="209" spans="1:21" x14ac:dyDescent="0.25">
      <c r="A209" s="47" t="s">
        <v>65</v>
      </c>
      <c r="C209">
        <f>10900+2900</f>
        <v>13800</v>
      </c>
      <c r="D209">
        <v>6</v>
      </c>
      <c r="E209">
        <f>20400+26300</f>
        <v>46700</v>
      </c>
      <c r="F209">
        <v>19</v>
      </c>
      <c r="G209">
        <f t="shared" si="24"/>
        <v>60500</v>
      </c>
      <c r="H209">
        <f t="shared" si="25"/>
        <v>25</v>
      </c>
      <c r="J209" s="202">
        <f t="shared" si="26"/>
        <v>2420</v>
      </c>
      <c r="L209" s="47" t="s">
        <v>65</v>
      </c>
      <c r="N209">
        <f>11600+10600</f>
        <v>22200</v>
      </c>
      <c r="O209">
        <v>9</v>
      </c>
      <c r="R209">
        <f t="shared" si="27"/>
        <v>22200</v>
      </c>
      <c r="S209">
        <f t="shared" si="28"/>
        <v>9</v>
      </c>
      <c r="U209" s="202">
        <f t="shared" si="29"/>
        <v>2466.6666666666665</v>
      </c>
    </row>
    <row r="210" spans="1:21" x14ac:dyDescent="0.25">
      <c r="A210" s="47" t="s">
        <v>66</v>
      </c>
      <c r="C210">
        <f>16400+3900</f>
        <v>20300</v>
      </c>
      <c r="D210">
        <v>6</v>
      </c>
      <c r="E210">
        <f>28800+33500</f>
        <v>62300</v>
      </c>
      <c r="F210">
        <v>18</v>
      </c>
      <c r="G210">
        <f t="shared" si="24"/>
        <v>82600</v>
      </c>
      <c r="H210">
        <f t="shared" si="25"/>
        <v>24</v>
      </c>
      <c r="J210" s="202">
        <f t="shared" si="26"/>
        <v>3441.6666666666665</v>
      </c>
      <c r="L210" s="47" t="s">
        <v>66</v>
      </c>
      <c r="N210">
        <f>6400+7300</f>
        <v>13700</v>
      </c>
      <c r="O210">
        <v>4</v>
      </c>
      <c r="P210">
        <f>3200+14600</f>
        <v>17800</v>
      </c>
      <c r="Q210">
        <v>5</v>
      </c>
      <c r="R210">
        <f t="shared" si="27"/>
        <v>31500</v>
      </c>
      <c r="S210">
        <f t="shared" si="28"/>
        <v>9</v>
      </c>
      <c r="U210" s="202">
        <f t="shared" si="29"/>
        <v>3500</v>
      </c>
    </row>
    <row r="211" spans="1:21" x14ac:dyDescent="0.25">
      <c r="A211" s="47" t="s">
        <v>67</v>
      </c>
      <c r="C211">
        <f>32640+4800</f>
        <v>37440</v>
      </c>
      <c r="D211">
        <v>9</v>
      </c>
      <c r="E211">
        <f>29500+32500</f>
        <v>62000</v>
      </c>
      <c r="F211">
        <v>14</v>
      </c>
      <c r="G211">
        <f t="shared" si="24"/>
        <v>99440</v>
      </c>
      <c r="H211">
        <f t="shared" si="25"/>
        <v>23</v>
      </c>
      <c r="J211" s="202">
        <f t="shared" si="26"/>
        <v>4323.478260869565</v>
      </c>
      <c r="L211" s="47" t="s">
        <v>67</v>
      </c>
      <c r="N211">
        <v>16400</v>
      </c>
      <c r="O211">
        <v>4</v>
      </c>
      <c r="P211">
        <f>8300+18900</f>
        <v>27200</v>
      </c>
      <c r="Q211">
        <v>6</v>
      </c>
      <c r="R211">
        <f t="shared" si="27"/>
        <v>43600</v>
      </c>
      <c r="S211">
        <f t="shared" si="28"/>
        <v>10</v>
      </c>
      <c r="U211" s="202">
        <f t="shared" si="29"/>
        <v>4360</v>
      </c>
    </row>
    <row r="212" spans="1:21" x14ac:dyDescent="0.25">
      <c r="A212" s="47" t="s">
        <v>68</v>
      </c>
      <c r="C212">
        <f>10300+5700</f>
        <v>16000</v>
      </c>
      <c r="D212">
        <v>3</v>
      </c>
      <c r="E212">
        <f>52300+50900</f>
        <v>103200</v>
      </c>
      <c r="F212">
        <v>19</v>
      </c>
      <c r="G212">
        <f t="shared" si="24"/>
        <v>119200</v>
      </c>
      <c r="H212">
        <f t="shared" si="25"/>
        <v>22</v>
      </c>
      <c r="J212" s="202">
        <f t="shared" si="26"/>
        <v>5418.181818181818</v>
      </c>
      <c r="L212" s="47" t="s">
        <v>68</v>
      </c>
      <c r="N212">
        <f>26500+11200</f>
        <v>37700</v>
      </c>
      <c r="O212">
        <v>7</v>
      </c>
      <c r="P212">
        <v>15400</v>
      </c>
      <c r="Q212">
        <v>3</v>
      </c>
      <c r="R212">
        <f t="shared" si="27"/>
        <v>53100</v>
      </c>
      <c r="S212">
        <f t="shared" si="28"/>
        <v>10</v>
      </c>
      <c r="U212" s="202">
        <f t="shared" si="29"/>
        <v>5310</v>
      </c>
    </row>
    <row r="213" spans="1:21" x14ac:dyDescent="0.25">
      <c r="A213" s="47" t="s">
        <v>69</v>
      </c>
      <c r="C213">
        <f>24500+19800</f>
        <v>44300</v>
      </c>
      <c r="D213">
        <v>7</v>
      </c>
      <c r="E213">
        <f>62000+66400</f>
        <v>128400</v>
      </c>
      <c r="F213">
        <v>20</v>
      </c>
      <c r="G213">
        <f t="shared" si="24"/>
        <v>172700</v>
      </c>
      <c r="H213">
        <f t="shared" si="25"/>
        <v>27</v>
      </c>
      <c r="J213" s="202">
        <f t="shared" si="26"/>
        <v>6396.2962962962965</v>
      </c>
      <c r="L213" s="47" t="s">
        <v>69</v>
      </c>
      <c r="N213">
        <f>18400+26400</f>
        <v>44800</v>
      </c>
      <c r="O213">
        <v>7</v>
      </c>
      <c r="P213">
        <v>6400</v>
      </c>
      <c r="Q213">
        <v>1</v>
      </c>
      <c r="R213">
        <f t="shared" si="27"/>
        <v>51200</v>
      </c>
      <c r="S213">
        <f t="shared" si="28"/>
        <v>8</v>
      </c>
      <c r="U213" s="202">
        <f t="shared" si="29"/>
        <v>6400</v>
      </c>
    </row>
    <row r="214" spans="1:21" x14ac:dyDescent="0.25">
      <c r="A214" s="47" t="s">
        <v>70</v>
      </c>
      <c r="C214">
        <v>21450</v>
      </c>
      <c r="D214">
        <v>3</v>
      </c>
      <c r="E214">
        <f>57500+45700</f>
        <v>103200</v>
      </c>
      <c r="F214">
        <f>8+6</f>
        <v>14</v>
      </c>
      <c r="G214">
        <f t="shared" si="24"/>
        <v>124650</v>
      </c>
      <c r="H214">
        <f t="shared" si="25"/>
        <v>17</v>
      </c>
      <c r="J214" s="202">
        <f t="shared" si="26"/>
        <v>7332.3529411764703</v>
      </c>
      <c r="L214" s="47" t="s">
        <v>70</v>
      </c>
      <c r="N214">
        <f>35900+31100</f>
        <v>67000</v>
      </c>
      <c r="O214">
        <v>9</v>
      </c>
      <c r="R214">
        <f t="shared" si="27"/>
        <v>67000</v>
      </c>
      <c r="S214">
        <f t="shared" si="28"/>
        <v>9</v>
      </c>
      <c r="U214" s="202">
        <f t="shared" si="29"/>
        <v>7444.4444444444443</v>
      </c>
    </row>
    <row r="215" spans="1:21" x14ac:dyDescent="0.25">
      <c r="A215" s="47" t="s">
        <v>71</v>
      </c>
      <c r="C215">
        <f>41100+8900</f>
        <v>50000</v>
      </c>
      <c r="D215">
        <v>6</v>
      </c>
      <c r="E215">
        <f>16300+17500</f>
        <v>33800</v>
      </c>
      <c r="F215">
        <v>4</v>
      </c>
      <c r="G215">
        <f t="shared" si="24"/>
        <v>83800</v>
      </c>
      <c r="H215">
        <f t="shared" si="25"/>
        <v>10</v>
      </c>
      <c r="J215" s="202">
        <f t="shared" si="26"/>
        <v>8380</v>
      </c>
      <c r="L215" s="47" t="s">
        <v>71</v>
      </c>
      <c r="N215">
        <f>33600+17200</f>
        <v>50800</v>
      </c>
      <c r="O215">
        <v>6</v>
      </c>
      <c r="P215">
        <v>8800</v>
      </c>
      <c r="Q215">
        <v>1</v>
      </c>
      <c r="R215">
        <f t="shared" si="27"/>
        <v>59600</v>
      </c>
      <c r="S215">
        <f t="shared" si="28"/>
        <v>7</v>
      </c>
      <c r="U215" s="202">
        <f t="shared" si="29"/>
        <v>8514.2857142857138</v>
      </c>
    </row>
    <row r="216" spans="1:21" x14ac:dyDescent="0.25">
      <c r="A216" s="47" t="s">
        <v>72</v>
      </c>
      <c r="C216">
        <v>27600</v>
      </c>
      <c r="D216">
        <v>3</v>
      </c>
      <c r="E216">
        <f>37000+58000</f>
        <v>95000</v>
      </c>
      <c r="F216">
        <v>10</v>
      </c>
      <c r="G216">
        <f t="shared" si="24"/>
        <v>122600</v>
      </c>
      <c r="H216">
        <f t="shared" si="25"/>
        <v>13</v>
      </c>
      <c r="J216" s="202">
        <f t="shared" si="26"/>
        <v>9430.7692307692305</v>
      </c>
      <c r="L216" s="47" t="s">
        <v>72</v>
      </c>
      <c r="N216">
        <f>27700+29300</f>
        <v>57000</v>
      </c>
      <c r="O216">
        <v>6</v>
      </c>
      <c r="P216">
        <f>18400+58100</f>
        <v>76500</v>
      </c>
      <c r="Q216">
        <v>8</v>
      </c>
      <c r="R216">
        <f t="shared" si="27"/>
        <v>133500</v>
      </c>
      <c r="S216">
        <f t="shared" si="28"/>
        <v>14</v>
      </c>
      <c r="U216" s="202">
        <f t="shared" si="29"/>
        <v>9535.7142857142862</v>
      </c>
    </row>
    <row r="217" spans="1:21" x14ac:dyDescent="0.25">
      <c r="A217" s="47" t="s">
        <v>73</v>
      </c>
      <c r="C217">
        <f>50800+75100</f>
        <v>125900</v>
      </c>
      <c r="D217">
        <v>12</v>
      </c>
      <c r="E217">
        <f>50600+21500</f>
        <v>72100</v>
      </c>
      <c r="F217">
        <v>7</v>
      </c>
      <c r="G217">
        <f t="shared" si="24"/>
        <v>198000</v>
      </c>
      <c r="H217">
        <f t="shared" si="25"/>
        <v>19</v>
      </c>
      <c r="J217" s="202">
        <f t="shared" si="26"/>
        <v>10421.052631578947</v>
      </c>
      <c r="L217" s="47" t="s">
        <v>73</v>
      </c>
      <c r="N217">
        <f>20300+10900</f>
        <v>31200</v>
      </c>
      <c r="O217">
        <v>3</v>
      </c>
      <c r="P217">
        <f>30200+32200</f>
        <v>62400</v>
      </c>
      <c r="Q217">
        <v>6</v>
      </c>
      <c r="R217">
        <f t="shared" si="27"/>
        <v>93600</v>
      </c>
      <c r="S217">
        <f t="shared" si="28"/>
        <v>9</v>
      </c>
      <c r="U217" s="202">
        <f t="shared" si="29"/>
        <v>10400</v>
      </c>
    </row>
    <row r="218" spans="1:21" x14ac:dyDescent="0.25">
      <c r="A218" s="47" t="s">
        <v>74</v>
      </c>
      <c r="C218">
        <f>34200+46410</f>
        <v>80610</v>
      </c>
      <c r="D218">
        <v>7</v>
      </c>
      <c r="E218">
        <v>11000</v>
      </c>
      <c r="F218">
        <v>1</v>
      </c>
      <c r="G218">
        <f t="shared" si="24"/>
        <v>91610</v>
      </c>
      <c r="H218">
        <f t="shared" si="25"/>
        <v>8</v>
      </c>
      <c r="J218" s="202">
        <f t="shared" si="26"/>
        <v>11451.25</v>
      </c>
      <c r="L218" s="47" t="s">
        <v>74</v>
      </c>
      <c r="N218">
        <f>22500+11900</f>
        <v>34400</v>
      </c>
      <c r="O218">
        <v>3</v>
      </c>
      <c r="P218">
        <f>11400+23500</f>
        <v>34900</v>
      </c>
      <c r="Q218">
        <v>3</v>
      </c>
      <c r="R218">
        <f t="shared" si="27"/>
        <v>69300</v>
      </c>
      <c r="S218">
        <f t="shared" si="28"/>
        <v>6</v>
      </c>
      <c r="U218" s="202">
        <f t="shared" si="29"/>
        <v>11550</v>
      </c>
    </row>
    <row r="219" spans="1:21" x14ac:dyDescent="0.25">
      <c r="A219" s="47" t="s">
        <v>75</v>
      </c>
      <c r="C219">
        <f>60810+25200</f>
        <v>86010</v>
      </c>
      <c r="D219">
        <v>7</v>
      </c>
      <c r="E219">
        <f>12400+12600</f>
        <v>25000</v>
      </c>
      <c r="F219">
        <v>2</v>
      </c>
      <c r="G219">
        <f t="shared" si="24"/>
        <v>111010</v>
      </c>
      <c r="H219">
        <f t="shared" si="25"/>
        <v>9</v>
      </c>
      <c r="J219" s="202">
        <f t="shared" si="26"/>
        <v>12334.444444444445</v>
      </c>
      <c r="L219" s="47" t="s">
        <v>75</v>
      </c>
      <c r="N219">
        <v>12500</v>
      </c>
      <c r="O219">
        <v>1</v>
      </c>
      <c r="P219">
        <v>12200</v>
      </c>
      <c r="Q219">
        <v>1</v>
      </c>
      <c r="R219">
        <f t="shared" si="27"/>
        <v>24700</v>
      </c>
      <c r="S219">
        <f t="shared" si="28"/>
        <v>2</v>
      </c>
      <c r="U219" s="202">
        <f t="shared" si="29"/>
        <v>12350</v>
      </c>
    </row>
    <row r="220" spans="1:21" x14ac:dyDescent="0.25">
      <c r="A220" s="47" t="s">
        <v>76</v>
      </c>
      <c r="C220">
        <f>26700+68200</f>
        <v>94900</v>
      </c>
      <c r="D220">
        <v>7</v>
      </c>
      <c r="E220">
        <f>26100+27600</f>
        <v>53700</v>
      </c>
      <c r="F220">
        <v>4</v>
      </c>
      <c r="G220">
        <f t="shared" si="24"/>
        <v>148600</v>
      </c>
      <c r="H220">
        <f t="shared" si="25"/>
        <v>11</v>
      </c>
      <c r="J220" s="202">
        <f t="shared" si="26"/>
        <v>13509.09090909091</v>
      </c>
      <c r="L220" s="47" t="s">
        <v>76</v>
      </c>
      <c r="N220">
        <v>13100</v>
      </c>
      <c r="O220">
        <v>1</v>
      </c>
      <c r="P220">
        <f>13300+13700</f>
        <v>27000</v>
      </c>
      <c r="Q220">
        <v>2</v>
      </c>
      <c r="R220">
        <f t="shared" si="27"/>
        <v>40100</v>
      </c>
      <c r="S220">
        <f t="shared" si="28"/>
        <v>3</v>
      </c>
      <c r="U220" s="202">
        <f t="shared" si="29"/>
        <v>13366.666666666666</v>
      </c>
    </row>
    <row r="221" spans="1:21" x14ac:dyDescent="0.25">
      <c r="A221" s="47" t="s">
        <v>77</v>
      </c>
      <c r="C221">
        <f>42710+44300</f>
        <v>87010</v>
      </c>
      <c r="D221">
        <v>6</v>
      </c>
      <c r="G221">
        <f t="shared" si="24"/>
        <v>87010</v>
      </c>
      <c r="H221">
        <f t="shared" si="25"/>
        <v>6</v>
      </c>
      <c r="J221" s="202">
        <f t="shared" si="26"/>
        <v>14501.666666666666</v>
      </c>
      <c r="L221" s="47" t="s">
        <v>77</v>
      </c>
      <c r="N221">
        <v>14000</v>
      </c>
      <c r="O221">
        <v>1</v>
      </c>
      <c r="P221">
        <f>28800+14700</f>
        <v>43500</v>
      </c>
      <c r="Q221">
        <v>3</v>
      </c>
      <c r="R221">
        <f t="shared" si="27"/>
        <v>57500</v>
      </c>
      <c r="S221">
        <f t="shared" si="28"/>
        <v>4</v>
      </c>
      <c r="U221" s="202">
        <f t="shared" si="29"/>
        <v>14375</v>
      </c>
    </row>
    <row r="222" spans="1:21" x14ac:dyDescent="0.25">
      <c r="A222" s="47" t="s">
        <v>78</v>
      </c>
      <c r="C222">
        <f>76500+15500</f>
        <v>92000</v>
      </c>
      <c r="D222">
        <v>6</v>
      </c>
      <c r="G222">
        <f t="shared" si="24"/>
        <v>92000</v>
      </c>
      <c r="H222">
        <f t="shared" si="25"/>
        <v>6</v>
      </c>
      <c r="J222" s="202">
        <f t="shared" si="26"/>
        <v>15333.333333333334</v>
      </c>
      <c r="L222" s="47" t="s">
        <v>78</v>
      </c>
      <c r="N222">
        <v>15400</v>
      </c>
      <c r="O222">
        <v>1</v>
      </c>
      <c r="R222">
        <f t="shared" si="27"/>
        <v>15400</v>
      </c>
      <c r="S222">
        <f t="shared" si="28"/>
        <v>1</v>
      </c>
      <c r="U222" s="202">
        <f t="shared" si="29"/>
        <v>15400</v>
      </c>
    </row>
    <row r="223" spans="1:21" x14ac:dyDescent="0.25">
      <c r="A223" s="47" t="s">
        <v>79</v>
      </c>
      <c r="C223">
        <f>32300+117040</f>
        <v>149340</v>
      </c>
      <c r="D223">
        <v>9</v>
      </c>
      <c r="E223">
        <f>64500+33600</f>
        <v>98100</v>
      </c>
      <c r="F223">
        <v>6</v>
      </c>
      <c r="G223">
        <f t="shared" si="24"/>
        <v>247440</v>
      </c>
      <c r="H223">
        <f t="shared" si="25"/>
        <v>15</v>
      </c>
      <c r="J223" s="202">
        <f t="shared" si="26"/>
        <v>16496</v>
      </c>
      <c r="L223" s="47" t="s">
        <v>79</v>
      </c>
      <c r="N223">
        <f>16300+16700</f>
        <v>33000</v>
      </c>
      <c r="O223">
        <v>2</v>
      </c>
      <c r="P223">
        <f>48500+16900</f>
        <v>65400</v>
      </c>
      <c r="Q223">
        <v>4</v>
      </c>
      <c r="R223">
        <f t="shared" si="27"/>
        <v>98400</v>
      </c>
      <c r="S223">
        <f t="shared" si="28"/>
        <v>6</v>
      </c>
      <c r="U223" s="202">
        <f t="shared" si="29"/>
        <v>16400</v>
      </c>
    </row>
    <row r="224" spans="1:21" x14ac:dyDescent="0.25">
      <c r="A224" s="47" t="s">
        <v>80</v>
      </c>
      <c r="C224">
        <f>17100+88150</f>
        <v>105250</v>
      </c>
      <c r="D224">
        <v>6</v>
      </c>
      <c r="G224">
        <f t="shared" si="24"/>
        <v>105250</v>
      </c>
      <c r="H224">
        <f t="shared" si="25"/>
        <v>6</v>
      </c>
      <c r="J224" s="202">
        <f t="shared" si="26"/>
        <v>17541.666666666668</v>
      </c>
      <c r="L224" s="47" t="s">
        <v>80</v>
      </c>
      <c r="N224">
        <v>17400</v>
      </c>
      <c r="O224">
        <v>1</v>
      </c>
      <c r="P224">
        <v>17100</v>
      </c>
      <c r="Q224">
        <v>1</v>
      </c>
      <c r="R224">
        <f t="shared" si="27"/>
        <v>34500</v>
      </c>
      <c r="S224">
        <f t="shared" si="28"/>
        <v>2</v>
      </c>
      <c r="U224" s="202">
        <f t="shared" si="29"/>
        <v>17250</v>
      </c>
    </row>
    <row r="225" spans="1:21" x14ac:dyDescent="0.25">
      <c r="A225" s="47" t="s">
        <v>81</v>
      </c>
      <c r="C225">
        <f>54900+18700</f>
        <v>73600</v>
      </c>
      <c r="D225">
        <v>4</v>
      </c>
      <c r="E225">
        <f>18100+18600</f>
        <v>36700</v>
      </c>
      <c r="F225">
        <v>2</v>
      </c>
      <c r="G225">
        <f t="shared" si="24"/>
        <v>110300</v>
      </c>
      <c r="H225">
        <f t="shared" si="25"/>
        <v>6</v>
      </c>
      <c r="J225" s="202">
        <f t="shared" si="26"/>
        <v>18383.333333333332</v>
      </c>
      <c r="L225" s="47" t="s">
        <v>81</v>
      </c>
      <c r="N225">
        <f>18400+56700</f>
        <v>75100</v>
      </c>
      <c r="O225">
        <v>4</v>
      </c>
      <c r="P225">
        <f>54900+112300</f>
        <v>167200</v>
      </c>
      <c r="Q225">
        <v>9</v>
      </c>
      <c r="R225">
        <f t="shared" si="27"/>
        <v>242300</v>
      </c>
      <c r="S225">
        <f t="shared" si="28"/>
        <v>13</v>
      </c>
      <c r="U225" s="202">
        <f t="shared" si="29"/>
        <v>18638.461538461539</v>
      </c>
    </row>
    <row r="226" spans="1:21" x14ac:dyDescent="0.25">
      <c r="A226" s="47" t="s">
        <v>82</v>
      </c>
      <c r="E226">
        <v>19500</v>
      </c>
      <c r="F226">
        <v>1</v>
      </c>
      <c r="G226">
        <f t="shared" si="24"/>
        <v>19500</v>
      </c>
      <c r="H226">
        <f t="shared" si="25"/>
        <v>1</v>
      </c>
      <c r="J226" s="202">
        <f t="shared" si="26"/>
        <v>19500</v>
      </c>
      <c r="L226" s="47" t="s">
        <v>82</v>
      </c>
      <c r="N226">
        <f>19100+19700</f>
        <v>38800</v>
      </c>
      <c r="O226">
        <v>2</v>
      </c>
      <c r="P226">
        <v>38500</v>
      </c>
      <c r="Q226">
        <v>2</v>
      </c>
      <c r="R226">
        <f t="shared" si="27"/>
        <v>77300</v>
      </c>
      <c r="S226">
        <f t="shared" si="28"/>
        <v>4</v>
      </c>
      <c r="U226" s="202">
        <f t="shared" si="29"/>
        <v>19325</v>
      </c>
    </row>
    <row r="227" spans="1:21" x14ac:dyDescent="0.25">
      <c r="A227" s="47" t="s">
        <v>83</v>
      </c>
      <c r="C227">
        <v>40300</v>
      </c>
      <c r="D227">
        <v>2</v>
      </c>
      <c r="E227">
        <f>21400+21700</f>
        <v>43100</v>
      </c>
      <c r="F227">
        <v>2</v>
      </c>
      <c r="G227">
        <f t="shared" si="24"/>
        <v>83400</v>
      </c>
      <c r="H227">
        <f t="shared" si="25"/>
        <v>4</v>
      </c>
      <c r="J227" s="202">
        <f t="shared" si="26"/>
        <v>20850</v>
      </c>
      <c r="L227" s="47" t="s">
        <v>83</v>
      </c>
      <c r="N227">
        <f>40200</f>
        <v>40200</v>
      </c>
      <c r="O227">
        <v>2</v>
      </c>
      <c r="P227">
        <f>60600+61800</f>
        <v>122400</v>
      </c>
      <c r="Q227">
        <v>6</v>
      </c>
      <c r="R227">
        <f t="shared" si="27"/>
        <v>162600</v>
      </c>
      <c r="S227">
        <f t="shared" si="28"/>
        <v>8</v>
      </c>
      <c r="U227" s="202">
        <f t="shared" si="29"/>
        <v>20325</v>
      </c>
    </row>
    <row r="228" spans="1:21" x14ac:dyDescent="0.25">
      <c r="C228">
        <f>42400+86770</f>
        <v>129170</v>
      </c>
      <c r="D228">
        <v>6</v>
      </c>
      <c r="E228">
        <v>45300</v>
      </c>
      <c r="F228">
        <v>2</v>
      </c>
      <c r="G228">
        <f t="shared" si="24"/>
        <v>174470</v>
      </c>
      <c r="H228">
        <f t="shared" si="25"/>
        <v>8</v>
      </c>
      <c r="J228" s="202">
        <f t="shared" si="26"/>
        <v>21808.75</v>
      </c>
      <c r="N228">
        <f>63400+21900</f>
        <v>85300</v>
      </c>
      <c r="O228">
        <v>4</v>
      </c>
      <c r="P228">
        <f>63200+43200</f>
        <v>106400</v>
      </c>
      <c r="Q228">
        <v>5</v>
      </c>
      <c r="R228">
        <f t="shared" si="27"/>
        <v>191700</v>
      </c>
      <c r="S228">
        <f t="shared" si="28"/>
        <v>9</v>
      </c>
      <c r="U228" s="202">
        <f t="shared" si="29"/>
        <v>21300</v>
      </c>
    </row>
    <row r="229" spans="1:21" x14ac:dyDescent="0.25">
      <c r="C229">
        <f>22200+45100</f>
        <v>67300</v>
      </c>
      <c r="D229">
        <v>3</v>
      </c>
      <c r="E229">
        <v>23000</v>
      </c>
      <c r="F229">
        <v>1</v>
      </c>
      <c r="G229">
        <f t="shared" si="24"/>
        <v>90300</v>
      </c>
      <c r="H229">
        <f t="shared" si="25"/>
        <v>4</v>
      </c>
      <c r="J229" s="202">
        <f t="shared" si="26"/>
        <v>22575</v>
      </c>
      <c r="N229">
        <v>45500</v>
      </c>
      <c r="O229">
        <v>2</v>
      </c>
      <c r="P229">
        <f>111600+22600</f>
        <v>134200</v>
      </c>
      <c r="Q229">
        <v>6</v>
      </c>
      <c r="R229">
        <f t="shared" si="27"/>
        <v>179700</v>
      </c>
      <c r="S229">
        <f t="shared" si="28"/>
        <v>8</v>
      </c>
      <c r="U229" s="202">
        <f t="shared" si="29"/>
        <v>22462.5</v>
      </c>
    </row>
    <row r="230" spans="1:21" x14ac:dyDescent="0.25">
      <c r="C230">
        <f>48800+74100</f>
        <v>122900</v>
      </c>
      <c r="D230">
        <v>5</v>
      </c>
      <c r="E230">
        <v>24000</v>
      </c>
      <c r="F230">
        <v>1</v>
      </c>
      <c r="G230">
        <f t="shared" si="24"/>
        <v>146900</v>
      </c>
      <c r="H230">
        <f t="shared" si="25"/>
        <v>6</v>
      </c>
      <c r="J230" s="202">
        <f t="shared" si="26"/>
        <v>24483.333333333332</v>
      </c>
      <c r="N230">
        <v>69300</v>
      </c>
      <c r="O230">
        <v>3</v>
      </c>
      <c r="P230">
        <f>69600+47300</f>
        <v>116900</v>
      </c>
      <c r="Q230">
        <v>5</v>
      </c>
      <c r="R230">
        <f t="shared" si="27"/>
        <v>186200</v>
      </c>
      <c r="S230">
        <f t="shared" si="28"/>
        <v>8</v>
      </c>
      <c r="U230" s="202">
        <f t="shared" si="29"/>
        <v>23275</v>
      </c>
    </row>
    <row r="231" spans="1:21" x14ac:dyDescent="0.25">
      <c r="C231">
        <v>25420</v>
      </c>
      <c r="D231">
        <v>1</v>
      </c>
      <c r="E231">
        <v>25200</v>
      </c>
      <c r="F231">
        <v>1</v>
      </c>
      <c r="G231">
        <f t="shared" si="24"/>
        <v>50620</v>
      </c>
      <c r="H231">
        <f t="shared" si="25"/>
        <v>2</v>
      </c>
      <c r="J231" s="202">
        <f t="shared" si="26"/>
        <v>25310</v>
      </c>
      <c r="N231">
        <f>24000+24800</f>
        <v>48800</v>
      </c>
      <c r="O231">
        <v>2</v>
      </c>
      <c r="P231">
        <v>24800</v>
      </c>
      <c r="Q231">
        <v>1</v>
      </c>
      <c r="R231">
        <f t="shared" si="27"/>
        <v>73600</v>
      </c>
      <c r="S231">
        <f t="shared" si="28"/>
        <v>3</v>
      </c>
      <c r="U231" s="202">
        <f t="shared" si="29"/>
        <v>24533.333333333332</v>
      </c>
    </row>
    <row r="232" spans="1:21" x14ac:dyDescent="0.25">
      <c r="C232">
        <v>52420</v>
      </c>
      <c r="D232">
        <v>2</v>
      </c>
      <c r="E232">
        <v>82900</v>
      </c>
      <c r="F232">
        <v>3</v>
      </c>
      <c r="G232">
        <f t="shared" si="24"/>
        <v>135320</v>
      </c>
      <c r="H232">
        <f t="shared" si="25"/>
        <v>5</v>
      </c>
      <c r="J232" s="202">
        <f t="shared" si="26"/>
        <v>27064</v>
      </c>
      <c r="N232">
        <f>50300+51300</f>
        <v>101600</v>
      </c>
      <c r="O232">
        <v>4</v>
      </c>
      <c r="P232">
        <f>50200+51100</f>
        <v>101300</v>
      </c>
      <c r="Q232">
        <v>4</v>
      </c>
      <c r="R232">
        <f t="shared" si="27"/>
        <v>202900</v>
      </c>
      <c r="S232">
        <f t="shared" si="28"/>
        <v>8</v>
      </c>
      <c r="U232" s="202">
        <f t="shared" si="29"/>
        <v>25362.5</v>
      </c>
    </row>
    <row r="233" spans="1:21" x14ac:dyDescent="0.25">
      <c r="C233">
        <f>27140+27600</f>
        <v>54740</v>
      </c>
      <c r="D233">
        <v>2</v>
      </c>
      <c r="E233">
        <v>28400</v>
      </c>
      <c r="F233">
        <v>1</v>
      </c>
      <c r="G233">
        <f t="shared" si="24"/>
        <v>83140</v>
      </c>
      <c r="H233">
        <f t="shared" si="25"/>
        <v>3</v>
      </c>
      <c r="J233" s="202">
        <f t="shared" si="26"/>
        <v>27713.333333333332</v>
      </c>
      <c r="N233">
        <f>27000+27900</f>
        <v>54900</v>
      </c>
      <c r="O233">
        <v>2</v>
      </c>
      <c r="P233">
        <f>26400+80200</f>
        <v>106600</v>
      </c>
      <c r="Q233">
        <v>4</v>
      </c>
      <c r="R233">
        <f t="shared" si="27"/>
        <v>161500</v>
      </c>
      <c r="S233">
        <f t="shared" si="28"/>
        <v>6</v>
      </c>
      <c r="U233" s="202">
        <f t="shared" si="29"/>
        <v>26916.666666666668</v>
      </c>
    </row>
    <row r="234" spans="1:21" x14ac:dyDescent="0.25">
      <c r="C234">
        <f>28200+28600</f>
        <v>56800</v>
      </c>
      <c r="D234">
        <v>2</v>
      </c>
      <c r="E234">
        <f>31200+31500</f>
        <v>62700</v>
      </c>
      <c r="F234">
        <v>2</v>
      </c>
      <c r="G234">
        <f t="shared" si="24"/>
        <v>119500</v>
      </c>
      <c r="H234">
        <f t="shared" si="25"/>
        <v>4</v>
      </c>
      <c r="J234" s="202">
        <f t="shared" si="26"/>
        <v>29875</v>
      </c>
      <c r="N234">
        <v>28400</v>
      </c>
      <c r="O234">
        <v>1</v>
      </c>
      <c r="P234">
        <f>81500+27700</f>
        <v>109200</v>
      </c>
      <c r="Q234">
        <v>4</v>
      </c>
      <c r="R234">
        <f t="shared" si="27"/>
        <v>137600</v>
      </c>
      <c r="S234">
        <f t="shared" si="28"/>
        <v>5</v>
      </c>
      <c r="U234" s="202">
        <f t="shared" si="29"/>
        <v>27520</v>
      </c>
    </row>
    <row r="235" spans="1:21" x14ac:dyDescent="0.25">
      <c r="C235">
        <v>29600</v>
      </c>
      <c r="D235">
        <v>1</v>
      </c>
      <c r="E235">
        <v>34700</v>
      </c>
      <c r="F235">
        <v>1</v>
      </c>
      <c r="G235">
        <f t="shared" si="24"/>
        <v>64300</v>
      </c>
      <c r="H235">
        <f t="shared" si="25"/>
        <v>2</v>
      </c>
      <c r="J235" s="202">
        <f t="shared" si="26"/>
        <v>32150</v>
      </c>
      <c r="N235">
        <v>30100</v>
      </c>
      <c r="O235">
        <v>1</v>
      </c>
      <c r="P235">
        <v>28800</v>
      </c>
      <c r="Q235">
        <v>1</v>
      </c>
      <c r="R235">
        <f t="shared" si="27"/>
        <v>58900</v>
      </c>
      <c r="S235">
        <f t="shared" si="28"/>
        <v>2</v>
      </c>
      <c r="U235" s="202">
        <f t="shared" si="29"/>
        <v>29450</v>
      </c>
    </row>
    <row r="236" spans="1:21" x14ac:dyDescent="0.25">
      <c r="C236">
        <v>61100</v>
      </c>
      <c r="D236">
        <v>2</v>
      </c>
      <c r="E236">
        <v>35300</v>
      </c>
      <c r="F236">
        <v>1</v>
      </c>
      <c r="G236">
        <f t="shared" si="24"/>
        <v>96400</v>
      </c>
      <c r="H236">
        <f t="shared" si="25"/>
        <v>3</v>
      </c>
      <c r="J236" s="202">
        <f t="shared" si="26"/>
        <v>32133.333333333332</v>
      </c>
      <c r="N236">
        <f>93700+31900</f>
        <v>125600</v>
      </c>
      <c r="O236">
        <v>4</v>
      </c>
      <c r="P236">
        <f>58300+89100</f>
        <v>147400</v>
      </c>
      <c r="Q236">
        <v>5</v>
      </c>
      <c r="R236">
        <f t="shared" si="27"/>
        <v>273000</v>
      </c>
      <c r="S236">
        <f t="shared" si="28"/>
        <v>9</v>
      </c>
      <c r="U236" s="202">
        <f t="shared" si="29"/>
        <v>30333.333333333332</v>
      </c>
    </row>
    <row r="237" spans="1:21" x14ac:dyDescent="0.25">
      <c r="C237">
        <f>96750+32700</f>
        <v>129450</v>
      </c>
      <c r="D237">
        <v>4</v>
      </c>
      <c r="E237">
        <f>36300+36900</f>
        <v>73200</v>
      </c>
      <c r="F237">
        <v>2</v>
      </c>
      <c r="G237">
        <f t="shared" si="24"/>
        <v>202650</v>
      </c>
      <c r="H237">
        <f t="shared" si="25"/>
        <v>6</v>
      </c>
      <c r="J237" s="202">
        <f t="shared" si="26"/>
        <v>33775</v>
      </c>
      <c r="N237">
        <v>34400</v>
      </c>
      <c r="O237">
        <v>1</v>
      </c>
      <c r="P237">
        <f>90200+61100</f>
        <v>151300</v>
      </c>
      <c r="Q237">
        <v>5</v>
      </c>
      <c r="R237">
        <f t="shared" si="27"/>
        <v>185700</v>
      </c>
      <c r="S237">
        <f t="shared" si="28"/>
        <v>6</v>
      </c>
      <c r="U237" s="202">
        <f t="shared" si="29"/>
        <v>30950</v>
      </c>
    </row>
    <row r="238" spans="1:21" x14ac:dyDescent="0.25">
      <c r="C238">
        <f>33000+67400</f>
        <v>100400</v>
      </c>
      <c r="D238">
        <v>3</v>
      </c>
      <c r="E238">
        <v>37500</v>
      </c>
      <c r="F238">
        <v>1</v>
      </c>
      <c r="G238">
        <f t="shared" si="24"/>
        <v>137900</v>
      </c>
      <c r="H238">
        <f t="shared" si="25"/>
        <v>4</v>
      </c>
      <c r="J238" s="202">
        <f t="shared" si="26"/>
        <v>34475</v>
      </c>
      <c r="N238">
        <f>70400+35900</f>
        <v>106300</v>
      </c>
      <c r="O238">
        <v>3</v>
      </c>
      <c r="P238">
        <f>62800+95200</f>
        <v>158000</v>
      </c>
      <c r="Q238">
        <v>5</v>
      </c>
      <c r="R238">
        <f t="shared" si="27"/>
        <v>264300</v>
      </c>
      <c r="S238">
        <f t="shared" si="28"/>
        <v>8</v>
      </c>
      <c r="U238" s="202">
        <f t="shared" si="29"/>
        <v>33037.5</v>
      </c>
    </row>
    <row r="239" spans="1:21" x14ac:dyDescent="0.25">
      <c r="C239">
        <f>68400+34500</f>
        <v>102900</v>
      </c>
      <c r="D239">
        <v>3</v>
      </c>
      <c r="E239">
        <f>38400+38500</f>
        <v>76900</v>
      </c>
      <c r="F239">
        <v>2</v>
      </c>
      <c r="G239">
        <f t="shared" si="24"/>
        <v>179800</v>
      </c>
      <c r="H239">
        <f t="shared" si="25"/>
        <v>5</v>
      </c>
      <c r="J239" s="202">
        <f t="shared" si="26"/>
        <v>35960</v>
      </c>
      <c r="N239">
        <v>37900</v>
      </c>
      <c r="O239">
        <v>1</v>
      </c>
      <c r="P239">
        <f>96800+32500</f>
        <v>129300</v>
      </c>
      <c r="Q239">
        <v>4</v>
      </c>
      <c r="R239">
        <f t="shared" si="27"/>
        <v>167200</v>
      </c>
      <c r="S239">
        <f t="shared" si="28"/>
        <v>5</v>
      </c>
      <c r="U239" s="202">
        <f t="shared" si="29"/>
        <v>33440</v>
      </c>
    </row>
    <row r="240" spans="1:21" x14ac:dyDescent="0.25">
      <c r="C240">
        <v>35500</v>
      </c>
      <c r="D240">
        <v>1</v>
      </c>
      <c r="E240">
        <v>79800</v>
      </c>
      <c r="F240">
        <v>2</v>
      </c>
      <c r="G240">
        <f t="shared" si="24"/>
        <v>115300</v>
      </c>
      <c r="H240">
        <f t="shared" si="25"/>
        <v>3</v>
      </c>
      <c r="J240" s="202">
        <f t="shared" si="26"/>
        <v>38433.333333333336</v>
      </c>
      <c r="N240">
        <v>77000</v>
      </c>
      <c r="O240">
        <v>2</v>
      </c>
      <c r="P240">
        <v>33900</v>
      </c>
      <c r="Q240">
        <v>1</v>
      </c>
      <c r="R240">
        <f t="shared" si="27"/>
        <v>110900</v>
      </c>
      <c r="S240">
        <f t="shared" si="28"/>
        <v>3</v>
      </c>
      <c r="U240" s="202">
        <f t="shared" si="29"/>
        <v>36966.666666666664</v>
      </c>
    </row>
    <row r="241" spans="3:21" x14ac:dyDescent="0.25">
      <c r="C241">
        <v>36800</v>
      </c>
      <c r="D241">
        <v>1</v>
      </c>
      <c r="E241">
        <v>83400</v>
      </c>
      <c r="F241">
        <v>2</v>
      </c>
      <c r="G241">
        <f t="shared" si="24"/>
        <v>120200</v>
      </c>
      <c r="H241">
        <f t="shared" si="25"/>
        <v>3</v>
      </c>
      <c r="J241" s="202">
        <f t="shared" si="26"/>
        <v>40066.666666666664</v>
      </c>
      <c r="N241">
        <v>40400</v>
      </c>
      <c r="O241">
        <v>1</v>
      </c>
      <c r="P241">
        <f>68300+69800</f>
        <v>138100</v>
      </c>
      <c r="Q241">
        <v>4</v>
      </c>
      <c r="R241">
        <f t="shared" si="27"/>
        <v>178500</v>
      </c>
      <c r="S241">
        <f t="shared" si="28"/>
        <v>5</v>
      </c>
      <c r="U241" s="202">
        <f t="shared" si="29"/>
        <v>35700</v>
      </c>
    </row>
    <row r="242" spans="3:21" x14ac:dyDescent="0.25">
      <c r="C242">
        <v>77100</v>
      </c>
      <c r="D242">
        <v>2</v>
      </c>
      <c r="E242">
        <f>42100+42600</f>
        <v>84700</v>
      </c>
      <c r="F242">
        <v>2</v>
      </c>
      <c r="G242">
        <f t="shared" si="24"/>
        <v>161800</v>
      </c>
      <c r="H242">
        <f t="shared" si="25"/>
        <v>4</v>
      </c>
      <c r="J242" s="202">
        <f t="shared" si="26"/>
        <v>40450</v>
      </c>
      <c r="N242">
        <v>125100</v>
      </c>
      <c r="O242">
        <v>3</v>
      </c>
      <c r="P242">
        <f>35400+35600</f>
        <v>71000</v>
      </c>
      <c r="Q242">
        <v>2</v>
      </c>
      <c r="R242">
        <f t="shared" si="27"/>
        <v>196100</v>
      </c>
      <c r="S242">
        <f t="shared" si="28"/>
        <v>5</v>
      </c>
      <c r="U242" s="202">
        <f t="shared" si="29"/>
        <v>39220</v>
      </c>
    </row>
    <row r="243" spans="3:21" x14ac:dyDescent="0.25">
      <c r="C243">
        <f>39000+39800</f>
        <v>78800</v>
      </c>
      <c r="D243">
        <v>2</v>
      </c>
      <c r="E243">
        <f>86500+43900</f>
        <v>130400</v>
      </c>
      <c r="F243">
        <v>3</v>
      </c>
      <c r="G243">
        <f t="shared" si="24"/>
        <v>209200</v>
      </c>
      <c r="H243">
        <f t="shared" si="25"/>
        <v>5</v>
      </c>
      <c r="J243" s="202">
        <f t="shared" si="26"/>
        <v>41840</v>
      </c>
      <c r="N243">
        <v>85400</v>
      </c>
      <c r="O243">
        <v>2</v>
      </c>
      <c r="P243">
        <v>110400</v>
      </c>
      <c r="Q243">
        <v>3</v>
      </c>
      <c r="R243">
        <f t="shared" si="27"/>
        <v>195800</v>
      </c>
      <c r="S243">
        <f t="shared" si="28"/>
        <v>5</v>
      </c>
      <c r="U243" s="202">
        <f t="shared" si="29"/>
        <v>39160</v>
      </c>
    </row>
    <row r="244" spans="3:21" x14ac:dyDescent="0.25">
      <c r="C244">
        <v>80500</v>
      </c>
      <c r="D244">
        <v>2</v>
      </c>
      <c r="E244">
        <v>44600</v>
      </c>
      <c r="F244">
        <v>1</v>
      </c>
      <c r="G244">
        <f t="shared" si="24"/>
        <v>125100</v>
      </c>
      <c r="H244">
        <f t="shared" si="25"/>
        <v>3</v>
      </c>
      <c r="J244" s="202">
        <f t="shared" si="26"/>
        <v>41700</v>
      </c>
      <c r="N244">
        <v>86100</v>
      </c>
      <c r="O244">
        <v>2</v>
      </c>
      <c r="P244">
        <f>37300+113000</f>
        <v>150300</v>
      </c>
      <c r="Q244">
        <v>4</v>
      </c>
      <c r="R244">
        <f t="shared" si="27"/>
        <v>236400</v>
      </c>
      <c r="S244">
        <f t="shared" si="28"/>
        <v>6</v>
      </c>
      <c r="U244" s="202">
        <f t="shared" si="29"/>
        <v>39400</v>
      </c>
    </row>
    <row r="245" spans="3:21" x14ac:dyDescent="0.25">
      <c r="C245">
        <v>41730</v>
      </c>
      <c r="D245">
        <v>1</v>
      </c>
      <c r="E245">
        <v>45000</v>
      </c>
      <c r="F245">
        <v>1</v>
      </c>
      <c r="G245">
        <f t="shared" si="24"/>
        <v>86730</v>
      </c>
      <c r="H245">
        <f t="shared" si="25"/>
        <v>2</v>
      </c>
      <c r="J245" s="202">
        <f t="shared" si="26"/>
        <v>43365</v>
      </c>
      <c r="N245">
        <v>90500</v>
      </c>
      <c r="O245">
        <v>2</v>
      </c>
      <c r="P245">
        <f>115000+38500</f>
        <v>153500</v>
      </c>
      <c r="Q245">
        <v>4</v>
      </c>
      <c r="R245">
        <f t="shared" si="27"/>
        <v>244000</v>
      </c>
      <c r="S245">
        <f t="shared" si="28"/>
        <v>6</v>
      </c>
      <c r="U245" s="202">
        <f t="shared" si="29"/>
        <v>40666.666666666664</v>
      </c>
    </row>
    <row r="246" spans="3:21" x14ac:dyDescent="0.25">
      <c r="C246">
        <f>84800+128500</f>
        <v>213300</v>
      </c>
      <c r="D246">
        <v>5</v>
      </c>
      <c r="E246">
        <v>93600</v>
      </c>
      <c r="F246">
        <v>2</v>
      </c>
      <c r="G246">
        <f t="shared" si="24"/>
        <v>306900</v>
      </c>
      <c r="H246">
        <f t="shared" si="25"/>
        <v>7</v>
      </c>
      <c r="J246" s="202">
        <f t="shared" si="26"/>
        <v>43842.857142857145</v>
      </c>
      <c r="N246">
        <f>138600+46800</f>
        <v>185400</v>
      </c>
      <c r="O246">
        <v>4</v>
      </c>
      <c r="P246">
        <v>39500</v>
      </c>
      <c r="Q246">
        <v>1</v>
      </c>
      <c r="R246">
        <f t="shared" si="27"/>
        <v>224900</v>
      </c>
      <c r="S246">
        <f t="shared" si="28"/>
        <v>5</v>
      </c>
      <c r="U246" s="202">
        <f t="shared" si="29"/>
        <v>44980</v>
      </c>
    </row>
    <row r="247" spans="3:21" x14ac:dyDescent="0.25">
      <c r="C247">
        <v>88600</v>
      </c>
      <c r="D247">
        <v>2</v>
      </c>
      <c r="E247">
        <v>95100</v>
      </c>
      <c r="F247">
        <v>2</v>
      </c>
      <c r="G247">
        <f t="shared" si="24"/>
        <v>183700</v>
      </c>
      <c r="H247">
        <f t="shared" si="25"/>
        <v>4</v>
      </c>
      <c r="J247" s="202">
        <f t="shared" si="26"/>
        <v>45925</v>
      </c>
      <c r="N247">
        <v>47300</v>
      </c>
      <c r="O247">
        <v>1</v>
      </c>
      <c r="P247">
        <f>120700+163400</f>
        <v>284100</v>
      </c>
      <c r="Q247">
        <v>7</v>
      </c>
      <c r="R247">
        <f t="shared" si="27"/>
        <v>331400</v>
      </c>
      <c r="S247">
        <f t="shared" si="28"/>
        <v>8</v>
      </c>
      <c r="U247" s="202">
        <f t="shared" si="29"/>
        <v>41425</v>
      </c>
    </row>
    <row r="248" spans="3:21" x14ac:dyDescent="0.25">
      <c r="C248">
        <f>45000+45800</f>
        <v>90800</v>
      </c>
      <c r="D248">
        <v>2</v>
      </c>
      <c r="E248">
        <f>48300+146000</f>
        <v>194300</v>
      </c>
      <c r="F248">
        <v>4</v>
      </c>
      <c r="G248">
        <f t="shared" si="24"/>
        <v>285100</v>
      </c>
      <c r="H248">
        <f t="shared" si="25"/>
        <v>6</v>
      </c>
      <c r="J248" s="202">
        <f t="shared" si="26"/>
        <v>47516.666666666664</v>
      </c>
      <c r="N248">
        <v>146300</v>
      </c>
      <c r="O248">
        <v>3</v>
      </c>
      <c r="P248">
        <f>205700+41800</f>
        <v>247500</v>
      </c>
      <c r="Q248">
        <v>6</v>
      </c>
      <c r="R248">
        <f t="shared" si="27"/>
        <v>393800</v>
      </c>
      <c r="S248">
        <f t="shared" si="28"/>
        <v>9</v>
      </c>
      <c r="U248" s="202">
        <f t="shared" si="29"/>
        <v>43755.555555555555</v>
      </c>
    </row>
    <row r="249" spans="3:21" x14ac:dyDescent="0.25">
      <c r="C249">
        <v>46900</v>
      </c>
      <c r="D249">
        <v>1</v>
      </c>
      <c r="E249">
        <v>49700</v>
      </c>
      <c r="F249">
        <v>1</v>
      </c>
      <c r="G249">
        <f t="shared" si="24"/>
        <v>96600</v>
      </c>
      <c r="H249">
        <f t="shared" si="25"/>
        <v>2</v>
      </c>
      <c r="J249" s="202">
        <f t="shared" si="26"/>
        <v>48300</v>
      </c>
      <c r="N249">
        <v>49100</v>
      </c>
      <c r="O249">
        <v>1</v>
      </c>
      <c r="P249">
        <f>84600+85800</f>
        <v>170400</v>
      </c>
      <c r="Q249">
        <v>4</v>
      </c>
      <c r="R249">
        <f t="shared" si="27"/>
        <v>219500</v>
      </c>
      <c r="S249">
        <f t="shared" si="28"/>
        <v>5</v>
      </c>
      <c r="U249" s="202">
        <f t="shared" si="29"/>
        <v>43900</v>
      </c>
    </row>
    <row r="250" spans="3:21" x14ac:dyDescent="0.25">
      <c r="C250">
        <v>94100</v>
      </c>
      <c r="D250">
        <v>2</v>
      </c>
      <c r="E250">
        <v>51400</v>
      </c>
      <c r="F250">
        <v>1</v>
      </c>
      <c r="G250">
        <f t="shared" si="24"/>
        <v>145500</v>
      </c>
      <c r="H250">
        <f t="shared" si="25"/>
        <v>3</v>
      </c>
      <c r="J250" s="202">
        <f t="shared" si="26"/>
        <v>48500</v>
      </c>
      <c r="N250">
        <v>50200</v>
      </c>
      <c r="O250">
        <v>1</v>
      </c>
      <c r="P250">
        <v>86400</v>
      </c>
      <c r="Q250">
        <v>2</v>
      </c>
      <c r="R250">
        <f t="shared" si="27"/>
        <v>136600</v>
      </c>
      <c r="S250">
        <f t="shared" si="28"/>
        <v>3</v>
      </c>
      <c r="U250" s="202">
        <f t="shared" si="29"/>
        <v>45533.333333333336</v>
      </c>
    </row>
    <row r="251" spans="3:21" x14ac:dyDescent="0.25">
      <c r="C251">
        <v>48100</v>
      </c>
      <c r="D251">
        <v>1</v>
      </c>
      <c r="E251">
        <f>106300+53600</f>
        <v>159900</v>
      </c>
      <c r="F251">
        <v>3</v>
      </c>
      <c r="G251">
        <f t="shared" si="24"/>
        <v>208000</v>
      </c>
      <c r="H251">
        <f t="shared" si="25"/>
        <v>4</v>
      </c>
      <c r="J251" s="202">
        <f t="shared" si="26"/>
        <v>52000</v>
      </c>
      <c r="N251">
        <f>102600+51600</f>
        <v>154200</v>
      </c>
      <c r="O251">
        <v>3</v>
      </c>
      <c r="P251">
        <f>44100+133700</f>
        <v>177800</v>
      </c>
      <c r="Q251">
        <v>4</v>
      </c>
      <c r="R251">
        <f t="shared" si="27"/>
        <v>332000</v>
      </c>
      <c r="S251">
        <f t="shared" si="28"/>
        <v>7</v>
      </c>
      <c r="U251" s="202">
        <f t="shared" si="29"/>
        <v>47428.571428571428</v>
      </c>
    </row>
    <row r="252" spans="3:21" x14ac:dyDescent="0.25">
      <c r="C252">
        <v>49380</v>
      </c>
      <c r="D252">
        <v>1</v>
      </c>
      <c r="E252">
        <v>54100</v>
      </c>
      <c r="F252">
        <v>1</v>
      </c>
      <c r="G252">
        <f t="shared" si="24"/>
        <v>103480</v>
      </c>
      <c r="H252">
        <f t="shared" si="25"/>
        <v>2</v>
      </c>
      <c r="J252" s="202">
        <f t="shared" si="26"/>
        <v>51740</v>
      </c>
      <c r="N252">
        <f>104400+52600</f>
        <v>157000</v>
      </c>
      <c r="O252">
        <v>3</v>
      </c>
      <c r="P252">
        <v>45500</v>
      </c>
      <c r="Q252">
        <v>1</v>
      </c>
      <c r="R252">
        <f t="shared" si="27"/>
        <v>202500</v>
      </c>
      <c r="S252">
        <f t="shared" si="28"/>
        <v>4</v>
      </c>
      <c r="U252" s="202">
        <f t="shared" si="29"/>
        <v>50625</v>
      </c>
    </row>
    <row r="253" spans="3:21" x14ac:dyDescent="0.25">
      <c r="C253">
        <f>100500+50700</f>
        <v>151200</v>
      </c>
      <c r="D253">
        <v>3</v>
      </c>
      <c r="E253">
        <v>56700</v>
      </c>
      <c r="F253">
        <v>1</v>
      </c>
      <c r="G253">
        <f t="shared" si="24"/>
        <v>207900</v>
      </c>
      <c r="H253">
        <f t="shared" si="25"/>
        <v>4</v>
      </c>
      <c r="J253" s="202">
        <f t="shared" si="26"/>
        <v>51975</v>
      </c>
      <c r="N253">
        <f>112800+113400</f>
        <v>226200</v>
      </c>
      <c r="O253">
        <v>4</v>
      </c>
      <c r="P253">
        <f>46000+46600</f>
        <v>92600</v>
      </c>
      <c r="Q253">
        <v>2</v>
      </c>
      <c r="R253">
        <f t="shared" si="27"/>
        <v>318800</v>
      </c>
      <c r="S253">
        <f t="shared" si="28"/>
        <v>6</v>
      </c>
      <c r="U253" s="202">
        <f t="shared" si="29"/>
        <v>53133.333333333336</v>
      </c>
    </row>
    <row r="254" spans="3:21" x14ac:dyDescent="0.25">
      <c r="C254">
        <v>51100</v>
      </c>
      <c r="D254">
        <v>1</v>
      </c>
      <c r="E254">
        <f>114400+57700</f>
        <v>172100</v>
      </c>
      <c r="F254">
        <v>3</v>
      </c>
      <c r="G254">
        <f t="shared" si="24"/>
        <v>223200</v>
      </c>
      <c r="H254">
        <f t="shared" si="25"/>
        <v>4</v>
      </c>
      <c r="J254" s="202">
        <f t="shared" si="26"/>
        <v>55800</v>
      </c>
      <c r="N254">
        <v>117400</v>
      </c>
      <c r="O254">
        <v>2</v>
      </c>
      <c r="P254">
        <f>47200+95600</f>
        <v>142800</v>
      </c>
      <c r="Q254">
        <v>3</v>
      </c>
      <c r="R254">
        <f t="shared" si="27"/>
        <v>260200</v>
      </c>
      <c r="S254">
        <f t="shared" si="28"/>
        <v>5</v>
      </c>
      <c r="U254" s="202">
        <f t="shared" si="29"/>
        <v>52040</v>
      </c>
    </row>
    <row r="255" spans="3:21" x14ac:dyDescent="0.25">
      <c r="C255">
        <f>52400+52800</f>
        <v>105200</v>
      </c>
      <c r="D255">
        <v>2</v>
      </c>
      <c r="E255">
        <v>58500</v>
      </c>
      <c r="F255">
        <v>1</v>
      </c>
      <c r="G255">
        <f t="shared" si="24"/>
        <v>163700</v>
      </c>
      <c r="H255">
        <f t="shared" si="25"/>
        <v>3</v>
      </c>
      <c r="J255" s="202">
        <f t="shared" si="26"/>
        <v>54566.666666666664</v>
      </c>
      <c r="N255">
        <v>59200</v>
      </c>
      <c r="O255">
        <v>1</v>
      </c>
      <c r="P255">
        <v>48400</v>
      </c>
      <c r="Q255">
        <v>1</v>
      </c>
      <c r="R255">
        <f t="shared" si="27"/>
        <v>107600</v>
      </c>
      <c r="S255">
        <f t="shared" si="28"/>
        <v>2</v>
      </c>
      <c r="U255" s="202">
        <f t="shared" si="29"/>
        <v>53800</v>
      </c>
    </row>
    <row r="256" spans="3:21" x14ac:dyDescent="0.25">
      <c r="C256">
        <v>53520</v>
      </c>
      <c r="D256">
        <v>1</v>
      </c>
      <c r="E256">
        <v>127300</v>
      </c>
      <c r="F256">
        <v>2</v>
      </c>
      <c r="G256">
        <f t="shared" si="24"/>
        <v>180820</v>
      </c>
      <c r="H256">
        <f t="shared" si="25"/>
        <v>3</v>
      </c>
      <c r="J256" s="202">
        <f t="shared" si="26"/>
        <v>60273.333333333336</v>
      </c>
      <c r="N256">
        <v>60700</v>
      </c>
      <c r="O256">
        <v>1</v>
      </c>
      <c r="P256">
        <f>49400+99400</f>
        <v>148800</v>
      </c>
      <c r="Q256">
        <v>3</v>
      </c>
      <c r="R256">
        <f t="shared" si="27"/>
        <v>209500</v>
      </c>
      <c r="S256">
        <f t="shared" si="28"/>
        <v>4</v>
      </c>
      <c r="U256" s="202">
        <f t="shared" si="29"/>
        <v>52375</v>
      </c>
    </row>
    <row r="257" spans="3:21" x14ac:dyDescent="0.25">
      <c r="C257">
        <v>118200</v>
      </c>
      <c r="D257">
        <v>2</v>
      </c>
      <c r="E257">
        <v>64400</v>
      </c>
      <c r="F257">
        <v>1</v>
      </c>
      <c r="G257">
        <f t="shared" si="24"/>
        <v>182600</v>
      </c>
      <c r="H257">
        <f t="shared" si="25"/>
        <v>3</v>
      </c>
      <c r="J257" s="202">
        <f t="shared" si="26"/>
        <v>60866.666666666664</v>
      </c>
      <c r="N257">
        <v>61100</v>
      </c>
      <c r="O257">
        <v>1</v>
      </c>
      <c r="P257">
        <f>50000+101500</f>
        <v>151500</v>
      </c>
      <c r="Q257">
        <v>3</v>
      </c>
      <c r="R257">
        <f t="shared" si="27"/>
        <v>212600</v>
      </c>
      <c r="S257">
        <f t="shared" si="28"/>
        <v>4</v>
      </c>
      <c r="U257" s="202">
        <f t="shared" si="29"/>
        <v>53150</v>
      </c>
    </row>
    <row r="258" spans="3:21" x14ac:dyDescent="0.25">
      <c r="C258">
        <f>61300+61900</f>
        <v>123200</v>
      </c>
      <c r="D258">
        <v>2</v>
      </c>
      <c r="E258">
        <v>131200</v>
      </c>
      <c r="F258">
        <v>2</v>
      </c>
      <c r="G258">
        <f t="shared" si="24"/>
        <v>254400</v>
      </c>
      <c r="H258">
        <f t="shared" si="25"/>
        <v>4</v>
      </c>
      <c r="J258" s="202">
        <f t="shared" si="26"/>
        <v>63600</v>
      </c>
      <c r="N258">
        <v>132000</v>
      </c>
      <c r="O258">
        <v>2</v>
      </c>
      <c r="P258">
        <f>102000+103800</f>
        <v>205800</v>
      </c>
      <c r="Q258">
        <v>4</v>
      </c>
      <c r="R258">
        <f t="shared" si="27"/>
        <v>337800</v>
      </c>
      <c r="S258">
        <f t="shared" si="28"/>
        <v>6</v>
      </c>
      <c r="U258" s="202">
        <f t="shared" si="29"/>
        <v>56300</v>
      </c>
    </row>
    <row r="259" spans="3:21" x14ac:dyDescent="0.25">
      <c r="C259">
        <v>62400</v>
      </c>
      <c r="D259">
        <v>1</v>
      </c>
      <c r="E259">
        <f>66100+66500</f>
        <v>132600</v>
      </c>
      <c r="F259">
        <v>2</v>
      </c>
      <c r="G259">
        <f t="shared" si="24"/>
        <v>195000</v>
      </c>
      <c r="H259">
        <f t="shared" si="25"/>
        <v>3</v>
      </c>
      <c r="J259" s="202">
        <f t="shared" si="26"/>
        <v>65000</v>
      </c>
      <c r="N259">
        <v>67400</v>
      </c>
      <c r="O259">
        <v>1</v>
      </c>
      <c r="P259">
        <f>52000+52600</f>
        <v>104600</v>
      </c>
      <c r="Q259">
        <v>2</v>
      </c>
      <c r="R259">
        <f t="shared" si="27"/>
        <v>172000</v>
      </c>
      <c r="S259">
        <f t="shared" si="28"/>
        <v>3</v>
      </c>
      <c r="U259" s="202">
        <f t="shared" si="29"/>
        <v>57333.333333333336</v>
      </c>
    </row>
    <row r="260" spans="3:21" x14ac:dyDescent="0.25">
      <c r="C260">
        <f>63110+63600</f>
        <v>126710</v>
      </c>
      <c r="D260">
        <v>2</v>
      </c>
      <c r="E260">
        <v>67300</v>
      </c>
      <c r="F260">
        <v>1</v>
      </c>
      <c r="G260">
        <f t="shared" si="24"/>
        <v>194010</v>
      </c>
      <c r="H260">
        <f t="shared" si="25"/>
        <v>3</v>
      </c>
      <c r="J260" s="202">
        <f t="shared" si="26"/>
        <v>64670</v>
      </c>
      <c r="N260">
        <v>68500</v>
      </c>
      <c r="O260">
        <v>1</v>
      </c>
      <c r="P260">
        <v>159700</v>
      </c>
      <c r="Q260">
        <v>3</v>
      </c>
      <c r="R260">
        <f t="shared" si="27"/>
        <v>228200</v>
      </c>
      <c r="S260">
        <f t="shared" si="28"/>
        <v>4</v>
      </c>
      <c r="U260" s="202">
        <f t="shared" si="29"/>
        <v>57050</v>
      </c>
    </row>
    <row r="261" spans="3:21" x14ac:dyDescent="0.25">
      <c r="C261">
        <f>64210+129600</f>
        <v>193810</v>
      </c>
      <c r="D261">
        <v>3</v>
      </c>
      <c r="E261">
        <v>68200</v>
      </c>
      <c r="F261">
        <v>1</v>
      </c>
      <c r="G261">
        <f t="shared" si="24"/>
        <v>262010</v>
      </c>
      <c r="H261">
        <f t="shared" si="25"/>
        <v>4</v>
      </c>
      <c r="J261" s="202">
        <f t="shared" si="26"/>
        <v>65502.5</v>
      </c>
      <c r="N261">
        <v>74300</v>
      </c>
      <c r="O261">
        <v>1</v>
      </c>
      <c r="P261">
        <f>108500+109100</f>
        <v>217600</v>
      </c>
      <c r="Q261">
        <v>4</v>
      </c>
      <c r="R261">
        <f t="shared" si="27"/>
        <v>291900</v>
      </c>
      <c r="S261">
        <f t="shared" si="28"/>
        <v>5</v>
      </c>
      <c r="U261" s="202">
        <f t="shared" si="29"/>
        <v>58380</v>
      </c>
    </row>
    <row r="262" spans="3:21" x14ac:dyDescent="0.25">
      <c r="C262">
        <v>68700</v>
      </c>
      <c r="D262">
        <v>1</v>
      </c>
      <c r="E262">
        <v>69700</v>
      </c>
      <c r="F262">
        <v>1</v>
      </c>
      <c r="G262">
        <f t="shared" si="24"/>
        <v>138400</v>
      </c>
      <c r="H262">
        <f t="shared" si="25"/>
        <v>2</v>
      </c>
      <c r="J262" s="202">
        <f t="shared" si="26"/>
        <v>69200</v>
      </c>
      <c r="N262">
        <v>76500</v>
      </c>
      <c r="O262">
        <v>1</v>
      </c>
      <c r="P262">
        <v>55200</v>
      </c>
      <c r="Q262">
        <v>1</v>
      </c>
      <c r="R262">
        <f t="shared" si="27"/>
        <v>131700</v>
      </c>
      <c r="S262">
        <f t="shared" si="28"/>
        <v>2</v>
      </c>
      <c r="U262" s="202">
        <f t="shared" si="29"/>
        <v>65850</v>
      </c>
    </row>
    <row r="263" spans="3:21" x14ac:dyDescent="0.25">
      <c r="C263">
        <v>70900</v>
      </c>
      <c r="D263">
        <v>1</v>
      </c>
      <c r="E263">
        <v>70200</v>
      </c>
      <c r="F263">
        <v>1</v>
      </c>
      <c r="G263">
        <f t="shared" si="24"/>
        <v>141100</v>
      </c>
      <c r="H263">
        <f t="shared" si="25"/>
        <v>2</v>
      </c>
      <c r="J263" s="202">
        <f t="shared" si="26"/>
        <v>70550</v>
      </c>
      <c r="N263">
        <v>77400</v>
      </c>
      <c r="O263">
        <v>1</v>
      </c>
      <c r="P263">
        <v>56800</v>
      </c>
      <c r="Q263">
        <v>1</v>
      </c>
      <c r="R263">
        <f t="shared" si="27"/>
        <v>134200</v>
      </c>
      <c r="S263">
        <f t="shared" si="28"/>
        <v>2</v>
      </c>
      <c r="U263" s="202">
        <f t="shared" si="29"/>
        <v>67100</v>
      </c>
    </row>
    <row r="264" spans="3:21" x14ac:dyDescent="0.25">
      <c r="C264">
        <v>71000</v>
      </c>
      <c r="D264">
        <v>1</v>
      </c>
      <c r="E264">
        <v>72900</v>
      </c>
      <c r="F264">
        <v>1</v>
      </c>
      <c r="G264">
        <f t="shared" si="24"/>
        <v>143900</v>
      </c>
      <c r="H264">
        <f t="shared" si="25"/>
        <v>2</v>
      </c>
      <c r="J264" s="202">
        <f t="shared" si="26"/>
        <v>71950</v>
      </c>
      <c r="N264">
        <v>78300</v>
      </c>
      <c r="O264">
        <v>1</v>
      </c>
      <c r="P264">
        <f>59000+119700</f>
        <v>178700</v>
      </c>
      <c r="Q264">
        <v>3</v>
      </c>
      <c r="R264">
        <f t="shared" si="27"/>
        <v>257000</v>
      </c>
      <c r="S264">
        <f t="shared" si="28"/>
        <v>4</v>
      </c>
      <c r="U264" s="202">
        <f t="shared" si="29"/>
        <v>64250</v>
      </c>
    </row>
    <row r="265" spans="3:21" x14ac:dyDescent="0.25">
      <c r="C265">
        <f>74200+74500</f>
        <v>148700</v>
      </c>
      <c r="D265">
        <v>2</v>
      </c>
      <c r="E265">
        <f>74200+74700</f>
        <v>148900</v>
      </c>
      <c r="F265">
        <v>2</v>
      </c>
      <c r="G265">
        <f t="shared" si="24"/>
        <v>297600</v>
      </c>
      <c r="H265">
        <f t="shared" si="25"/>
        <v>4</v>
      </c>
      <c r="J265" s="202">
        <f t="shared" si="26"/>
        <v>74400</v>
      </c>
      <c r="N265">
        <v>163700</v>
      </c>
      <c r="O265">
        <v>2</v>
      </c>
      <c r="P265">
        <v>60300</v>
      </c>
      <c r="Q265">
        <v>1</v>
      </c>
      <c r="R265">
        <f t="shared" si="27"/>
        <v>224000</v>
      </c>
      <c r="S265">
        <f t="shared" si="28"/>
        <v>3</v>
      </c>
      <c r="U265" s="202">
        <f t="shared" si="29"/>
        <v>74666.666666666672</v>
      </c>
    </row>
    <row r="266" spans="3:21" x14ac:dyDescent="0.25">
      <c r="C266">
        <v>76000</v>
      </c>
      <c r="D266">
        <v>1</v>
      </c>
      <c r="E266">
        <v>75900</v>
      </c>
      <c r="F266">
        <v>1</v>
      </c>
      <c r="G266">
        <f t="shared" si="24"/>
        <v>151900</v>
      </c>
      <c r="H266">
        <f t="shared" si="25"/>
        <v>2</v>
      </c>
      <c r="J266" s="202">
        <f t="shared" si="26"/>
        <v>75950</v>
      </c>
      <c r="N266">
        <v>83500</v>
      </c>
      <c r="O266">
        <v>1</v>
      </c>
      <c r="P266">
        <f>122500+61600</f>
        <v>184100</v>
      </c>
      <c r="Q266">
        <v>3</v>
      </c>
      <c r="R266">
        <f t="shared" si="27"/>
        <v>267600</v>
      </c>
      <c r="S266">
        <f t="shared" si="28"/>
        <v>4</v>
      </c>
      <c r="U266" s="202">
        <f t="shared" si="29"/>
        <v>66900</v>
      </c>
    </row>
    <row r="267" spans="3:21" x14ac:dyDescent="0.25">
      <c r="C267">
        <v>79900</v>
      </c>
      <c r="D267">
        <v>1</v>
      </c>
      <c r="E267">
        <v>78900</v>
      </c>
      <c r="F267">
        <v>1</v>
      </c>
      <c r="G267">
        <f t="shared" si="24"/>
        <v>158800</v>
      </c>
      <c r="H267">
        <f t="shared" si="25"/>
        <v>2</v>
      </c>
      <c r="J267" s="202">
        <f t="shared" si="26"/>
        <v>79400</v>
      </c>
      <c r="N267">
        <v>169300</v>
      </c>
      <c r="O267">
        <v>2</v>
      </c>
      <c r="P267">
        <f>124300+62900</f>
        <v>187200</v>
      </c>
      <c r="Q267">
        <v>3</v>
      </c>
      <c r="R267">
        <f t="shared" si="27"/>
        <v>356500</v>
      </c>
      <c r="S267">
        <f t="shared" si="28"/>
        <v>5</v>
      </c>
      <c r="U267" s="202">
        <f t="shared" si="29"/>
        <v>71300</v>
      </c>
    </row>
    <row r="268" spans="3:21" x14ac:dyDescent="0.25">
      <c r="C268">
        <f>81200+81900</f>
        <v>163100</v>
      </c>
      <c r="D268">
        <v>2</v>
      </c>
      <c r="E268">
        <v>86000</v>
      </c>
      <c r="F268">
        <v>1</v>
      </c>
      <c r="G268">
        <f t="shared" si="24"/>
        <v>249100</v>
      </c>
      <c r="H268">
        <f t="shared" si="25"/>
        <v>3</v>
      </c>
      <c r="J268" s="202">
        <f t="shared" si="26"/>
        <v>83033.333333333328</v>
      </c>
      <c r="N268">
        <v>174000</v>
      </c>
      <c r="O268">
        <v>2</v>
      </c>
      <c r="P268">
        <v>63100</v>
      </c>
      <c r="Q268">
        <v>1</v>
      </c>
      <c r="R268">
        <f t="shared" si="27"/>
        <v>237100</v>
      </c>
      <c r="S268">
        <f t="shared" si="28"/>
        <v>3</v>
      </c>
      <c r="U268" s="202">
        <f t="shared" si="29"/>
        <v>79033.333333333328</v>
      </c>
    </row>
    <row r="269" spans="3:21" x14ac:dyDescent="0.25">
      <c r="C269">
        <v>165200</v>
      </c>
      <c r="D269">
        <v>2</v>
      </c>
      <c r="E269">
        <v>87000</v>
      </c>
      <c r="F269">
        <v>1</v>
      </c>
      <c r="G269">
        <f t="shared" si="24"/>
        <v>252200</v>
      </c>
      <c r="H269">
        <f t="shared" si="25"/>
        <v>3</v>
      </c>
      <c r="J269" s="202">
        <f t="shared" si="26"/>
        <v>84066.666666666672</v>
      </c>
      <c r="N269">
        <v>90900</v>
      </c>
      <c r="O269">
        <v>1</v>
      </c>
      <c r="P269">
        <f>64000+129600</f>
        <v>193600</v>
      </c>
      <c r="Q269">
        <v>3</v>
      </c>
      <c r="R269">
        <f t="shared" si="27"/>
        <v>284500</v>
      </c>
      <c r="S269">
        <f t="shared" si="28"/>
        <v>4</v>
      </c>
      <c r="U269" s="202">
        <f t="shared" si="29"/>
        <v>71125</v>
      </c>
    </row>
    <row r="270" spans="3:21" x14ac:dyDescent="0.25">
      <c r="C270">
        <f>83200+83900</f>
        <v>167100</v>
      </c>
      <c r="D270">
        <v>2</v>
      </c>
      <c r="E270">
        <v>179700</v>
      </c>
      <c r="F270">
        <v>2</v>
      </c>
      <c r="G270">
        <f t="shared" si="24"/>
        <v>346800</v>
      </c>
      <c r="H270">
        <f t="shared" si="25"/>
        <v>4</v>
      </c>
      <c r="J270" s="202">
        <f t="shared" si="26"/>
        <v>86700</v>
      </c>
      <c r="N270">
        <v>373000</v>
      </c>
      <c r="O270">
        <v>4</v>
      </c>
      <c r="P270">
        <v>65800</v>
      </c>
      <c r="Q270">
        <v>1</v>
      </c>
      <c r="R270">
        <f t="shared" si="27"/>
        <v>438800</v>
      </c>
      <c r="S270">
        <f t="shared" si="28"/>
        <v>5</v>
      </c>
      <c r="U270" s="202">
        <f t="shared" si="29"/>
        <v>87760</v>
      </c>
    </row>
    <row r="271" spans="3:21" x14ac:dyDescent="0.25">
      <c r="C271">
        <f>85400+85700</f>
        <v>171100</v>
      </c>
      <c r="D271">
        <v>2</v>
      </c>
      <c r="E271">
        <v>93700</v>
      </c>
      <c r="F271">
        <v>1</v>
      </c>
      <c r="G271">
        <f t="shared" si="24"/>
        <v>264800</v>
      </c>
      <c r="H271">
        <f t="shared" si="25"/>
        <v>3</v>
      </c>
      <c r="J271" s="202">
        <f t="shared" si="26"/>
        <v>88266.666666666672</v>
      </c>
      <c r="N271">
        <v>94300</v>
      </c>
      <c r="O271">
        <v>1</v>
      </c>
      <c r="P271">
        <v>67300</v>
      </c>
      <c r="Q271">
        <v>1</v>
      </c>
      <c r="R271">
        <f t="shared" si="27"/>
        <v>161600</v>
      </c>
      <c r="S271">
        <f t="shared" si="28"/>
        <v>2</v>
      </c>
      <c r="U271" s="202">
        <f t="shared" si="29"/>
        <v>80800</v>
      </c>
    </row>
    <row r="272" spans="3:21" x14ac:dyDescent="0.25">
      <c r="C272">
        <v>173500</v>
      </c>
      <c r="D272">
        <v>2</v>
      </c>
      <c r="E272">
        <v>189500</v>
      </c>
      <c r="F272">
        <v>2</v>
      </c>
      <c r="G272">
        <f t="shared" ref="G272:G284" si="30">C272+E272</f>
        <v>363000</v>
      </c>
      <c r="H272">
        <f t="shared" ref="H272:H284" si="31">D272+F272</f>
        <v>4</v>
      </c>
      <c r="J272" s="202">
        <f t="shared" ref="J272:J284" si="32">G272/H272</f>
        <v>90750</v>
      </c>
      <c r="N272">
        <v>95500</v>
      </c>
      <c r="O272">
        <v>1</v>
      </c>
      <c r="P272">
        <f>68400+137400</f>
        <v>205800</v>
      </c>
      <c r="Q272">
        <v>3</v>
      </c>
      <c r="R272">
        <f t="shared" ref="R272:R301" si="33">N272+P272</f>
        <v>301300</v>
      </c>
      <c r="S272">
        <f t="shared" ref="S272:S301" si="34">O272+Q272</f>
        <v>4</v>
      </c>
      <c r="U272" s="202">
        <f t="shared" ref="U272:U301" si="35">R272/S272</f>
        <v>75325</v>
      </c>
    </row>
    <row r="273" spans="3:21" x14ac:dyDescent="0.25">
      <c r="C273">
        <f>87300+87700</f>
        <v>175000</v>
      </c>
      <c r="D273">
        <v>2</v>
      </c>
      <c r="E273">
        <v>195400</v>
      </c>
      <c r="F273">
        <v>2</v>
      </c>
      <c r="G273">
        <f t="shared" si="30"/>
        <v>370400</v>
      </c>
      <c r="H273">
        <f t="shared" si="31"/>
        <v>4</v>
      </c>
      <c r="J273" s="202">
        <f t="shared" si="32"/>
        <v>92600</v>
      </c>
      <c r="N273">
        <v>96600</v>
      </c>
      <c r="O273">
        <v>1</v>
      </c>
      <c r="P273">
        <v>69800</v>
      </c>
      <c r="Q273">
        <v>1</v>
      </c>
      <c r="R273">
        <f t="shared" si="33"/>
        <v>166400</v>
      </c>
      <c r="S273">
        <f t="shared" si="34"/>
        <v>2</v>
      </c>
      <c r="U273" s="202">
        <f t="shared" si="35"/>
        <v>83200</v>
      </c>
    </row>
    <row r="274" spans="3:21" x14ac:dyDescent="0.25">
      <c r="C274">
        <f>89100+89600</f>
        <v>178700</v>
      </c>
      <c r="D274">
        <v>2</v>
      </c>
      <c r="E274">
        <v>1964400</v>
      </c>
      <c r="F274">
        <v>17</v>
      </c>
      <c r="G274">
        <f t="shared" si="30"/>
        <v>2143100</v>
      </c>
      <c r="H274">
        <f t="shared" si="31"/>
        <v>19</v>
      </c>
      <c r="J274" s="202">
        <f t="shared" si="32"/>
        <v>112794.73684210527</v>
      </c>
      <c r="N274">
        <v>97500</v>
      </c>
      <c r="O274">
        <v>1</v>
      </c>
      <c r="P274">
        <f>140500+70500</f>
        <v>211000</v>
      </c>
      <c r="Q274">
        <v>3</v>
      </c>
      <c r="R274">
        <f t="shared" si="33"/>
        <v>308500</v>
      </c>
      <c r="S274">
        <f t="shared" si="34"/>
        <v>4</v>
      </c>
      <c r="U274" s="202">
        <f t="shared" si="35"/>
        <v>77125</v>
      </c>
    </row>
    <row r="275" spans="3:21" x14ac:dyDescent="0.25">
      <c r="C275">
        <v>91300</v>
      </c>
      <c r="D275">
        <v>1</v>
      </c>
      <c r="E275">
        <v>1051200</v>
      </c>
      <c r="F275">
        <v>6</v>
      </c>
      <c r="G275">
        <f t="shared" si="30"/>
        <v>1142500</v>
      </c>
      <c r="H275">
        <f t="shared" si="31"/>
        <v>7</v>
      </c>
      <c r="J275" s="202">
        <f t="shared" si="32"/>
        <v>163214.28571428571</v>
      </c>
      <c r="N275">
        <v>2476000</v>
      </c>
      <c r="O275">
        <v>20</v>
      </c>
      <c r="P275">
        <f>72100+72600</f>
        <v>144700</v>
      </c>
      <c r="Q275">
        <v>2</v>
      </c>
      <c r="R275">
        <f t="shared" si="33"/>
        <v>2620700</v>
      </c>
      <c r="S275">
        <f t="shared" si="34"/>
        <v>22</v>
      </c>
      <c r="U275" s="202">
        <f t="shared" si="35"/>
        <v>119122.72727272728</v>
      </c>
    </row>
    <row r="276" spans="3:21" x14ac:dyDescent="0.25">
      <c r="C276">
        <v>98600</v>
      </c>
      <c r="D276">
        <v>1</v>
      </c>
      <c r="E276">
        <v>1362600</v>
      </c>
      <c r="F276">
        <v>6</v>
      </c>
      <c r="G276">
        <f t="shared" si="30"/>
        <v>1461200</v>
      </c>
      <c r="H276">
        <f t="shared" si="31"/>
        <v>7</v>
      </c>
      <c r="J276" s="202">
        <f t="shared" si="32"/>
        <v>208742.85714285713</v>
      </c>
      <c r="N276">
        <v>3080800</v>
      </c>
      <c r="O276">
        <v>18</v>
      </c>
      <c r="P276">
        <v>73100</v>
      </c>
      <c r="Q276">
        <v>1</v>
      </c>
      <c r="R276">
        <f t="shared" si="33"/>
        <v>3153900</v>
      </c>
      <c r="S276">
        <f t="shared" si="34"/>
        <v>19</v>
      </c>
      <c r="U276" s="202">
        <f t="shared" si="35"/>
        <v>165994.73684210525</v>
      </c>
    </row>
    <row r="277" spans="3:21" x14ac:dyDescent="0.25">
      <c r="C277">
        <v>3208500</v>
      </c>
      <c r="D277">
        <v>26</v>
      </c>
      <c r="E277">
        <v>807800</v>
      </c>
      <c r="F277">
        <v>3</v>
      </c>
      <c r="G277">
        <f t="shared" si="30"/>
        <v>4016300</v>
      </c>
      <c r="H277">
        <f t="shared" si="31"/>
        <v>29</v>
      </c>
      <c r="J277" s="202">
        <f t="shared" si="32"/>
        <v>138493.10344827586</v>
      </c>
      <c r="N277">
        <v>1134300</v>
      </c>
      <c r="O277">
        <v>5</v>
      </c>
      <c r="P277">
        <f>75100+302900</f>
        <v>378000</v>
      </c>
      <c r="Q277">
        <v>5</v>
      </c>
      <c r="R277">
        <f t="shared" si="33"/>
        <v>1512300</v>
      </c>
      <c r="S277">
        <f t="shared" si="34"/>
        <v>10</v>
      </c>
      <c r="U277" s="202">
        <f t="shared" si="35"/>
        <v>151230</v>
      </c>
    </row>
    <row r="278" spans="3:21" x14ac:dyDescent="0.25">
      <c r="C278">
        <v>1805800</v>
      </c>
      <c r="D278">
        <v>10</v>
      </c>
      <c r="E278">
        <v>1276700</v>
      </c>
      <c r="F278">
        <v>4</v>
      </c>
      <c r="G278">
        <f t="shared" si="30"/>
        <v>3082500</v>
      </c>
      <c r="H278">
        <f t="shared" si="31"/>
        <v>14</v>
      </c>
      <c r="J278" s="202">
        <f t="shared" si="32"/>
        <v>220178.57142857142</v>
      </c>
      <c r="N278">
        <v>771400</v>
      </c>
      <c r="O278">
        <v>3</v>
      </c>
      <c r="P278">
        <v>76400</v>
      </c>
      <c r="Q278">
        <v>1</v>
      </c>
      <c r="R278">
        <f t="shared" si="33"/>
        <v>847800</v>
      </c>
      <c r="S278">
        <f t="shared" si="34"/>
        <v>4</v>
      </c>
      <c r="U278" s="202">
        <f t="shared" si="35"/>
        <v>211950</v>
      </c>
    </row>
    <row r="279" spans="3:21" x14ac:dyDescent="0.25">
      <c r="C279">
        <v>3256800</v>
      </c>
      <c r="D279">
        <v>15</v>
      </c>
      <c r="G279">
        <f t="shared" si="30"/>
        <v>3256800</v>
      </c>
      <c r="H279">
        <f t="shared" si="31"/>
        <v>15</v>
      </c>
      <c r="J279" s="202">
        <f t="shared" si="32"/>
        <v>217120</v>
      </c>
      <c r="N279">
        <v>1611800</v>
      </c>
      <c r="O279">
        <v>5</v>
      </c>
      <c r="P279">
        <f>78000+157800</f>
        <v>235800</v>
      </c>
      <c r="Q279">
        <v>3</v>
      </c>
      <c r="R279">
        <f t="shared" si="33"/>
        <v>1847600</v>
      </c>
      <c r="S279">
        <f t="shared" si="34"/>
        <v>8</v>
      </c>
      <c r="U279" s="202">
        <f t="shared" si="35"/>
        <v>230950</v>
      </c>
    </row>
    <row r="280" spans="3:21" x14ac:dyDescent="0.25">
      <c r="C280">
        <v>557400</v>
      </c>
      <c r="D280">
        <v>2</v>
      </c>
      <c r="G280">
        <f t="shared" si="30"/>
        <v>557400</v>
      </c>
      <c r="H280">
        <f t="shared" si="31"/>
        <v>2</v>
      </c>
      <c r="J280" s="202">
        <f t="shared" si="32"/>
        <v>278700</v>
      </c>
      <c r="N280">
        <v>757500</v>
      </c>
      <c r="O280">
        <v>2</v>
      </c>
      <c r="P280">
        <v>79900</v>
      </c>
      <c r="Q280">
        <v>1</v>
      </c>
      <c r="R280">
        <f t="shared" si="33"/>
        <v>837400</v>
      </c>
      <c r="S280">
        <f t="shared" si="34"/>
        <v>3</v>
      </c>
      <c r="U280" s="202">
        <f t="shared" si="35"/>
        <v>279133.33333333331</v>
      </c>
    </row>
    <row r="281" spans="3:21" x14ac:dyDescent="0.25">
      <c r="C281">
        <v>656400</v>
      </c>
      <c r="D281">
        <v>2</v>
      </c>
      <c r="G281">
        <f t="shared" si="30"/>
        <v>656400</v>
      </c>
      <c r="H281">
        <f t="shared" si="31"/>
        <v>2</v>
      </c>
      <c r="J281" s="202">
        <f t="shared" si="32"/>
        <v>328200</v>
      </c>
      <c r="N281">
        <v>580100</v>
      </c>
      <c r="O281">
        <v>1</v>
      </c>
      <c r="P281">
        <f>160000+80800</f>
        <v>240800</v>
      </c>
      <c r="Q281">
        <v>3</v>
      </c>
      <c r="R281">
        <f t="shared" si="33"/>
        <v>820900</v>
      </c>
      <c r="S281">
        <f t="shared" si="34"/>
        <v>4</v>
      </c>
      <c r="U281" s="202">
        <f t="shared" si="35"/>
        <v>205225</v>
      </c>
    </row>
    <row r="282" spans="3:21" x14ac:dyDescent="0.25">
      <c r="C282">
        <v>351900</v>
      </c>
      <c r="D282">
        <v>1</v>
      </c>
      <c r="G282">
        <f t="shared" si="30"/>
        <v>351900</v>
      </c>
      <c r="H282">
        <f t="shared" si="31"/>
        <v>1</v>
      </c>
      <c r="J282" s="202">
        <f t="shared" si="32"/>
        <v>351900</v>
      </c>
      <c r="P282">
        <f>81200+81700</f>
        <v>162900</v>
      </c>
      <c r="Q282">
        <v>2</v>
      </c>
      <c r="R282">
        <f t="shared" si="33"/>
        <v>162900</v>
      </c>
      <c r="S282">
        <f t="shared" si="34"/>
        <v>2</v>
      </c>
      <c r="U282" s="202">
        <f t="shared" si="35"/>
        <v>81450</v>
      </c>
    </row>
    <row r="283" spans="3:21" x14ac:dyDescent="0.25">
      <c r="C283">
        <v>482200</v>
      </c>
      <c r="D283">
        <v>1</v>
      </c>
      <c r="G283">
        <f t="shared" si="30"/>
        <v>482200</v>
      </c>
      <c r="H283">
        <f t="shared" si="31"/>
        <v>1</v>
      </c>
      <c r="J283" s="202">
        <f t="shared" si="32"/>
        <v>482200</v>
      </c>
      <c r="N283" s="214">
        <f>SUM(N207:N281)</f>
        <v>15657300</v>
      </c>
      <c r="O283" s="215">
        <f>SUM(O207:O281)</f>
        <v>252</v>
      </c>
      <c r="P283">
        <v>164200</v>
      </c>
      <c r="Q283">
        <v>2</v>
      </c>
      <c r="R283">
        <f>P283</f>
        <v>164200</v>
      </c>
      <c r="S283">
        <f>Q283</f>
        <v>2</v>
      </c>
      <c r="U283" s="202">
        <f t="shared" si="35"/>
        <v>82100</v>
      </c>
    </row>
    <row r="284" spans="3:21" x14ac:dyDescent="0.25">
      <c r="C284">
        <v>749500</v>
      </c>
      <c r="D284">
        <v>1</v>
      </c>
      <c r="G284">
        <f t="shared" si="30"/>
        <v>749500</v>
      </c>
      <c r="H284">
        <f t="shared" si="31"/>
        <v>1</v>
      </c>
      <c r="J284" s="202">
        <f t="shared" si="32"/>
        <v>749500</v>
      </c>
      <c r="P284">
        <f>166700+83500</f>
        <v>250200</v>
      </c>
      <c r="Q284">
        <v>3</v>
      </c>
      <c r="R284">
        <f t="shared" si="33"/>
        <v>250200</v>
      </c>
      <c r="S284">
        <f t="shared" si="34"/>
        <v>3</v>
      </c>
      <c r="U284" s="202">
        <f t="shared" si="35"/>
        <v>83400</v>
      </c>
    </row>
    <row r="285" spans="3:21" x14ac:dyDescent="0.25">
      <c r="P285">
        <v>84700</v>
      </c>
      <c r="Q285">
        <v>1</v>
      </c>
      <c r="R285">
        <f t="shared" si="33"/>
        <v>84700</v>
      </c>
      <c r="S285">
        <f t="shared" si="34"/>
        <v>1</v>
      </c>
      <c r="U285" s="202">
        <f t="shared" si="35"/>
        <v>84700</v>
      </c>
    </row>
    <row r="286" spans="3:21" x14ac:dyDescent="0.25">
      <c r="C286" s="214">
        <f t="shared" ref="C286:H286" si="36">SUM(C207:C284)</f>
        <v>17039260</v>
      </c>
      <c r="D286" s="115">
        <f t="shared" si="36"/>
        <v>290</v>
      </c>
      <c r="E286" s="214">
        <f t="shared" si="36"/>
        <v>11411400</v>
      </c>
      <c r="F286" s="115">
        <f t="shared" si="36"/>
        <v>282</v>
      </c>
      <c r="G286" s="214">
        <f t="shared" si="36"/>
        <v>28450660</v>
      </c>
      <c r="H286" s="115">
        <f t="shared" si="36"/>
        <v>572</v>
      </c>
      <c r="P286">
        <v>87900</v>
      </c>
      <c r="Q286">
        <v>1</v>
      </c>
      <c r="R286">
        <f t="shared" si="33"/>
        <v>87900</v>
      </c>
      <c r="S286">
        <f t="shared" si="34"/>
        <v>1</v>
      </c>
      <c r="U286" s="202">
        <f t="shared" si="35"/>
        <v>87900</v>
      </c>
    </row>
    <row r="287" spans="3:21" x14ac:dyDescent="0.25">
      <c r="P287">
        <f>88200+88900</f>
        <v>177100</v>
      </c>
      <c r="Q287">
        <v>2</v>
      </c>
      <c r="R287">
        <f t="shared" si="33"/>
        <v>177100</v>
      </c>
      <c r="S287">
        <f t="shared" si="34"/>
        <v>2</v>
      </c>
      <c r="U287" s="202">
        <f t="shared" si="35"/>
        <v>88550</v>
      </c>
    </row>
    <row r="288" spans="3:21" x14ac:dyDescent="0.25">
      <c r="P288">
        <v>89600</v>
      </c>
      <c r="Q288">
        <v>1</v>
      </c>
      <c r="R288">
        <f t="shared" si="33"/>
        <v>89600</v>
      </c>
      <c r="S288">
        <f t="shared" si="34"/>
        <v>1</v>
      </c>
      <c r="U288" s="202">
        <f t="shared" si="35"/>
        <v>89600</v>
      </c>
    </row>
    <row r="289" spans="16:21" x14ac:dyDescent="0.25">
      <c r="P289">
        <v>181500</v>
      </c>
      <c r="Q289">
        <v>2</v>
      </c>
      <c r="R289">
        <f t="shared" si="33"/>
        <v>181500</v>
      </c>
      <c r="S289">
        <f t="shared" si="34"/>
        <v>2</v>
      </c>
      <c r="U289" s="202">
        <f t="shared" si="35"/>
        <v>90750</v>
      </c>
    </row>
    <row r="290" spans="16:21" x14ac:dyDescent="0.25">
      <c r="P290">
        <v>185600</v>
      </c>
      <c r="Q290">
        <v>2</v>
      </c>
      <c r="R290">
        <f t="shared" si="33"/>
        <v>185600</v>
      </c>
      <c r="S290">
        <f t="shared" si="34"/>
        <v>2</v>
      </c>
      <c r="U290" s="202">
        <f t="shared" si="35"/>
        <v>92800</v>
      </c>
    </row>
    <row r="291" spans="16:21" x14ac:dyDescent="0.25">
      <c r="P291">
        <v>187300</v>
      </c>
      <c r="Q291">
        <v>2</v>
      </c>
      <c r="R291">
        <f t="shared" si="33"/>
        <v>187300</v>
      </c>
      <c r="S291">
        <f t="shared" si="34"/>
        <v>2</v>
      </c>
      <c r="U291" s="202">
        <f t="shared" si="35"/>
        <v>93650</v>
      </c>
    </row>
    <row r="292" spans="16:21" x14ac:dyDescent="0.25">
      <c r="P292">
        <v>96800</v>
      </c>
      <c r="Q292">
        <v>1</v>
      </c>
      <c r="R292">
        <f t="shared" si="33"/>
        <v>96800</v>
      </c>
      <c r="S292">
        <f t="shared" si="34"/>
        <v>1</v>
      </c>
      <c r="U292" s="202">
        <f t="shared" si="35"/>
        <v>96800</v>
      </c>
    </row>
    <row r="293" spans="16:21" x14ac:dyDescent="0.25">
      <c r="P293">
        <v>97600</v>
      </c>
      <c r="Q293">
        <v>1</v>
      </c>
      <c r="R293">
        <f t="shared" si="33"/>
        <v>97600</v>
      </c>
      <c r="S293">
        <f t="shared" si="34"/>
        <v>1</v>
      </c>
      <c r="U293" s="202">
        <f t="shared" si="35"/>
        <v>97600</v>
      </c>
    </row>
    <row r="294" spans="16:21" x14ac:dyDescent="0.25">
      <c r="P294">
        <v>98900</v>
      </c>
      <c r="Q294">
        <v>1</v>
      </c>
      <c r="R294">
        <f t="shared" si="33"/>
        <v>98900</v>
      </c>
      <c r="S294">
        <f t="shared" si="34"/>
        <v>1</v>
      </c>
      <c r="U294" s="202">
        <f t="shared" si="35"/>
        <v>98900</v>
      </c>
    </row>
    <row r="295" spans="16:21" x14ac:dyDescent="0.25">
      <c r="P295">
        <v>99900</v>
      </c>
      <c r="Q295">
        <v>1</v>
      </c>
      <c r="R295">
        <f t="shared" si="33"/>
        <v>99900</v>
      </c>
      <c r="S295">
        <f t="shared" si="34"/>
        <v>1</v>
      </c>
      <c r="U295" s="202">
        <f t="shared" si="35"/>
        <v>99900</v>
      </c>
    </row>
    <row r="296" spans="16:21" x14ac:dyDescent="0.25">
      <c r="P296">
        <v>2617500</v>
      </c>
      <c r="Q296">
        <v>22</v>
      </c>
      <c r="R296">
        <f t="shared" si="33"/>
        <v>2617500</v>
      </c>
      <c r="S296">
        <f t="shared" si="34"/>
        <v>22</v>
      </c>
      <c r="U296" s="202">
        <f t="shared" si="35"/>
        <v>118977.27272727272</v>
      </c>
    </row>
    <row r="297" spans="16:21" x14ac:dyDescent="0.25">
      <c r="P297">
        <v>1520500</v>
      </c>
      <c r="Q297">
        <v>9</v>
      </c>
      <c r="R297">
        <f t="shared" si="33"/>
        <v>1520500</v>
      </c>
      <c r="S297">
        <f t="shared" si="34"/>
        <v>9</v>
      </c>
      <c r="U297" s="202">
        <f t="shared" si="35"/>
        <v>168944.44444444444</v>
      </c>
    </row>
    <row r="298" spans="16:21" x14ac:dyDescent="0.25">
      <c r="P298">
        <v>1997700</v>
      </c>
      <c r="Q298">
        <v>9</v>
      </c>
      <c r="R298">
        <f t="shared" si="33"/>
        <v>1997700</v>
      </c>
      <c r="S298">
        <f t="shared" si="34"/>
        <v>9</v>
      </c>
      <c r="U298" s="202">
        <f t="shared" si="35"/>
        <v>221966.66666666666</v>
      </c>
    </row>
    <row r="299" spans="16:21" x14ac:dyDescent="0.25">
      <c r="P299">
        <v>1934600</v>
      </c>
      <c r="Q299">
        <v>7</v>
      </c>
      <c r="R299">
        <f t="shared" si="33"/>
        <v>1934600</v>
      </c>
      <c r="S299">
        <f t="shared" si="34"/>
        <v>7</v>
      </c>
      <c r="U299" s="202">
        <f t="shared" si="35"/>
        <v>276371.42857142858</v>
      </c>
    </row>
    <row r="300" spans="16:21" x14ac:dyDescent="0.25">
      <c r="P300">
        <v>968200</v>
      </c>
      <c r="Q300">
        <v>3</v>
      </c>
      <c r="R300">
        <f t="shared" si="33"/>
        <v>968200</v>
      </c>
      <c r="S300">
        <f t="shared" si="34"/>
        <v>3</v>
      </c>
      <c r="U300" s="202">
        <f t="shared" si="35"/>
        <v>322733.33333333331</v>
      </c>
    </row>
    <row r="301" spans="16:21" x14ac:dyDescent="0.25">
      <c r="P301">
        <v>364700</v>
      </c>
      <c r="Q301">
        <v>1</v>
      </c>
      <c r="R301">
        <f t="shared" si="33"/>
        <v>364700</v>
      </c>
      <c r="S301">
        <f t="shared" si="34"/>
        <v>1</v>
      </c>
      <c r="U301" s="202">
        <f t="shared" si="35"/>
        <v>364700</v>
      </c>
    </row>
    <row r="303" spans="16:21" x14ac:dyDescent="0.25">
      <c r="P303" s="214">
        <f>SUM(P207:P302)</f>
        <v>19239300</v>
      </c>
      <c r="Q303" s="215">
        <f>SUM(Q207:Q302)</f>
        <v>315</v>
      </c>
      <c r="R303" s="214">
        <f>SUM(R207:R302)</f>
        <v>34896600</v>
      </c>
      <c r="S303" s="215">
        <f>SUM(S207:S302)</f>
        <v>567</v>
      </c>
    </row>
  </sheetData>
  <mergeCells count="24">
    <mergeCell ref="P205:Q205"/>
    <mergeCell ref="R205:S205"/>
    <mergeCell ref="C205:D205"/>
    <mergeCell ref="E205:F205"/>
    <mergeCell ref="G205:H205"/>
    <mergeCell ref="N205:O205"/>
    <mergeCell ref="N108:O108"/>
    <mergeCell ref="P108:Q108"/>
    <mergeCell ref="R108:S108"/>
    <mergeCell ref="N158:O158"/>
    <mergeCell ref="P158:Q158"/>
    <mergeCell ref="R158:S158"/>
    <mergeCell ref="C108:D108"/>
    <mergeCell ref="E108:F108"/>
    <mergeCell ref="G108:H108"/>
    <mergeCell ref="C158:D158"/>
    <mergeCell ref="E158:F158"/>
    <mergeCell ref="G158:H158"/>
    <mergeCell ref="R1:S1"/>
    <mergeCell ref="C1:D1"/>
    <mergeCell ref="E1:F1"/>
    <mergeCell ref="G1:H1"/>
    <mergeCell ref="N1:O1"/>
    <mergeCell ref="P1:Q1"/>
  </mergeCells>
  <pageMargins left="0.7" right="0.7" top="0.75" bottom="0.75" header="0.3" footer="0.3"/>
  <pageSetup paperSize="289" scale="9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03D62-4563-428A-AFA5-A39DC09E852D}">
  <dimension ref="A1:J50"/>
  <sheetViews>
    <sheetView tabSelected="1" topLeftCell="A16" workbookViewId="0">
      <selection activeCell="J31" sqref="J31:J33"/>
    </sheetView>
  </sheetViews>
  <sheetFormatPr defaultRowHeight="15" x14ac:dyDescent="0.25"/>
  <cols>
    <col min="3" max="4" width="10.5703125" bestFit="1" customWidth="1"/>
    <col min="5" max="5" width="10.140625" bestFit="1" customWidth="1"/>
    <col min="6" max="6" width="14" bestFit="1" customWidth="1"/>
    <col min="8" max="8" width="14.28515625" bestFit="1" customWidth="1"/>
    <col min="10" max="10" width="10.5703125" bestFit="1" customWidth="1"/>
  </cols>
  <sheetData>
    <row r="1" spans="1:9" x14ac:dyDescent="0.25">
      <c r="A1" s="146" t="s">
        <v>264</v>
      </c>
      <c r="B1" s="2"/>
      <c r="C1" s="2"/>
      <c r="D1" s="2"/>
      <c r="E1" s="2"/>
      <c r="F1" s="2"/>
      <c r="G1" s="2"/>
      <c r="H1" s="2"/>
    </row>
    <row r="2" spans="1:9" x14ac:dyDescent="0.25">
      <c r="A2" s="174"/>
      <c r="B2" s="149"/>
      <c r="C2" s="149"/>
      <c r="D2" s="149"/>
      <c r="E2" s="149"/>
      <c r="F2" s="149"/>
      <c r="G2" s="149"/>
      <c r="H2" s="149"/>
    </row>
    <row r="3" spans="1:9" x14ac:dyDescent="0.25">
      <c r="A3" s="149"/>
      <c r="B3" s="149"/>
      <c r="C3" s="149"/>
      <c r="D3" s="149"/>
      <c r="E3" s="149"/>
      <c r="F3" s="149"/>
      <c r="G3" s="149"/>
      <c r="H3" s="149"/>
    </row>
    <row r="4" spans="1:9" x14ac:dyDescent="0.25">
      <c r="A4" s="150"/>
      <c r="B4" s="175"/>
      <c r="C4" s="175"/>
      <c r="D4" s="176"/>
      <c r="E4" s="177" t="s">
        <v>0</v>
      </c>
      <c r="F4" s="178"/>
      <c r="G4" s="177" t="s">
        <v>1</v>
      </c>
      <c r="H4" s="178"/>
    </row>
    <row r="5" spans="1:9" x14ac:dyDescent="0.25">
      <c r="A5" s="176" t="s">
        <v>2</v>
      </c>
      <c r="B5" s="149"/>
      <c r="C5" s="149"/>
      <c r="D5" s="150"/>
      <c r="E5" s="179" t="s">
        <v>3</v>
      </c>
      <c r="F5" s="180" t="s">
        <v>4</v>
      </c>
      <c r="G5" s="181" t="s">
        <v>3</v>
      </c>
      <c r="H5" s="180" t="s">
        <v>4</v>
      </c>
    </row>
    <row r="6" spans="1:9" x14ac:dyDescent="0.25">
      <c r="A6" s="182"/>
      <c r="B6" s="183"/>
      <c r="C6" s="184" t="s">
        <v>267</v>
      </c>
      <c r="D6" s="184" t="s">
        <v>268</v>
      </c>
      <c r="E6" s="185" t="s">
        <v>6</v>
      </c>
      <c r="F6" s="186"/>
      <c r="G6" s="187" t="s">
        <v>6</v>
      </c>
      <c r="H6" s="186"/>
    </row>
    <row r="7" spans="1:9" x14ac:dyDescent="0.25">
      <c r="B7" s="157"/>
      <c r="C7" s="157"/>
      <c r="D7" s="189"/>
      <c r="E7" s="165"/>
      <c r="F7" s="166"/>
      <c r="G7" s="165"/>
      <c r="H7" s="166"/>
      <c r="I7" s="167"/>
    </row>
    <row r="8" spans="1:9" x14ac:dyDescent="0.25">
      <c r="A8" s="188" t="s">
        <v>266</v>
      </c>
      <c r="B8" s="157"/>
      <c r="C8" s="157"/>
      <c r="D8" s="189"/>
      <c r="E8" s="208">
        <v>20</v>
      </c>
      <c r="F8" s="166"/>
      <c r="G8" s="165">
        <v>3</v>
      </c>
      <c r="H8" s="166"/>
      <c r="I8" s="167"/>
    </row>
    <row r="9" spans="1:9" x14ac:dyDescent="0.25">
      <c r="A9" s="190" t="s">
        <v>63</v>
      </c>
      <c r="B9" s="149"/>
      <c r="C9" s="194">
        <f>'WW Usage'!E5</f>
        <v>378.70771899392889</v>
      </c>
      <c r="D9" s="194">
        <f>'WW Usage'!L5</f>
        <v>358.22784810126581</v>
      </c>
      <c r="E9" s="194">
        <f>('WW Usage'!C4+'WW Usage'!C5)/9</f>
        <v>256.22222222222223</v>
      </c>
      <c r="F9" s="194">
        <f>C9*E9</f>
        <v>97033.333333333343</v>
      </c>
      <c r="G9" s="194">
        <f>('WW Usage'!J4+'WW Usage'!J5)/9</f>
        <v>96.555555555555557</v>
      </c>
      <c r="H9" s="194">
        <f>G9*D9</f>
        <v>34588.888888888891</v>
      </c>
      <c r="I9" s="167"/>
    </row>
    <row r="10" spans="1:9" x14ac:dyDescent="0.25">
      <c r="A10" s="190" t="s">
        <v>64</v>
      </c>
      <c r="B10" s="149"/>
      <c r="C10" s="194">
        <f>'WW Usage'!E7</f>
        <v>1458.6041358936484</v>
      </c>
      <c r="D10" s="203">
        <f>'WW Usage'!L7</f>
        <v>1379.4749403341289</v>
      </c>
      <c r="E10" s="194">
        <f>('WW Usage'!C6+'WW Usage'!C7)/9</f>
        <v>300.88888888888891</v>
      </c>
      <c r="F10" s="194">
        <f t="shared" ref="F10:F29" si="0">C10*E10</f>
        <v>438877.77777777781</v>
      </c>
      <c r="G10" s="203">
        <f>('WW Usage'!J6+'WW Usage'!J7)/9</f>
        <v>46.555555555555557</v>
      </c>
      <c r="H10" s="194">
        <f t="shared" ref="H10:H29" si="1">G10*D10</f>
        <v>64222.222222222226</v>
      </c>
      <c r="I10" s="167"/>
    </row>
    <row r="11" spans="1:9" x14ac:dyDescent="0.25">
      <c r="A11" s="190" t="s">
        <v>65</v>
      </c>
      <c r="B11" s="149"/>
      <c r="C11" s="194">
        <f>'WW Usage'!E9</f>
        <v>2439.9511798209928</v>
      </c>
      <c r="D11" s="203">
        <f>'WW Usage'!L9</f>
        <v>2411.5577889447236</v>
      </c>
      <c r="E11" s="207">
        <f>('WW Usage'!C8+'WW Usage'!C9)/9</f>
        <v>273.11111111111109</v>
      </c>
      <c r="F11" s="194">
        <f t="shared" si="0"/>
        <v>666377.77777777775</v>
      </c>
      <c r="G11" s="207">
        <f>('WW Usage'!J8+'WW Usage'!J9)/9</f>
        <v>22.111111111111111</v>
      </c>
      <c r="H11" s="194">
        <f t="shared" si="1"/>
        <v>53322.222222222219</v>
      </c>
      <c r="I11" s="167"/>
    </row>
    <row r="12" spans="1:9" x14ac:dyDescent="0.25">
      <c r="A12" s="190" t="s">
        <v>66</v>
      </c>
      <c r="B12" s="149"/>
      <c r="C12" s="194">
        <f>'WW Usage'!E11</f>
        <v>3420.7272727272725</v>
      </c>
      <c r="D12" s="203">
        <f>'WW Usage'!L11</f>
        <v>3441.5254237288136</v>
      </c>
      <c r="E12" s="207">
        <f>('WW Usage'!C10+'WW Usage'!C11)/9</f>
        <v>213.88888888888889</v>
      </c>
      <c r="F12" s="194">
        <f t="shared" si="0"/>
        <v>731655.5555555555</v>
      </c>
      <c r="G12" s="207">
        <f>('WW Usage'!J10+'WW Usage'!J11)/9</f>
        <v>13.111111111111111</v>
      </c>
      <c r="H12" s="194">
        <f t="shared" si="1"/>
        <v>45122.222222222219</v>
      </c>
      <c r="I12" s="167"/>
    </row>
    <row r="13" spans="1:9" x14ac:dyDescent="0.25">
      <c r="A13" s="190" t="s">
        <v>67</v>
      </c>
      <c r="B13" s="149"/>
      <c r="C13" s="194">
        <f>'WW Usage'!E13</f>
        <v>4415.4028436018962</v>
      </c>
      <c r="D13" s="203">
        <f>'WW Usage'!L13</f>
        <v>4375.5319148936169</v>
      </c>
      <c r="E13" s="207">
        <f>('WW Usage'!C12+'WW Usage'!C13)/9</f>
        <v>140.66666666666666</v>
      </c>
      <c r="F13" s="194">
        <f t="shared" si="0"/>
        <v>621100</v>
      </c>
      <c r="G13" s="207">
        <f>('WW Usage'!J12+'WW Usage'!J13)/9</f>
        <v>10.444444444444445</v>
      </c>
      <c r="H13" s="194">
        <f t="shared" si="1"/>
        <v>45700</v>
      </c>
      <c r="I13" s="167"/>
    </row>
    <row r="14" spans="1:9" x14ac:dyDescent="0.25">
      <c r="A14" s="190" t="s">
        <v>68</v>
      </c>
      <c r="B14" s="149"/>
      <c r="C14" s="194">
        <f>'WW Usage'!E15</f>
        <v>5421.16991643454</v>
      </c>
      <c r="D14" s="203">
        <f>'WW Usage'!L15</f>
        <v>5370.1298701298701</v>
      </c>
      <c r="E14" s="207">
        <f>('WW Usage'!C14+'WW Usage'!C15)/9</f>
        <v>79.777777777777771</v>
      </c>
      <c r="F14" s="194">
        <f t="shared" si="0"/>
        <v>432488.88888888882</v>
      </c>
      <c r="G14" s="207">
        <f>('WW Usage'!J14+'WW Usage'!J15)/9</f>
        <v>8.5555555555555554</v>
      </c>
      <c r="H14" s="194">
        <f t="shared" si="1"/>
        <v>45944.444444444445</v>
      </c>
      <c r="I14" s="167"/>
    </row>
    <row r="15" spans="1:9" x14ac:dyDescent="0.25">
      <c r="A15" s="190" t="s">
        <v>69</v>
      </c>
      <c r="B15" s="149"/>
      <c r="C15" s="194">
        <f>'WW Usage'!E17</f>
        <v>6393.2405566600401</v>
      </c>
      <c r="D15" s="203">
        <f>'WW Usage'!L17</f>
        <v>6438</v>
      </c>
      <c r="E15" s="207">
        <f>('WW Usage'!C16+'WW Usage'!C17)/9</f>
        <v>55.888888888888886</v>
      </c>
      <c r="F15" s="194">
        <f t="shared" si="0"/>
        <v>357311.11111111112</v>
      </c>
      <c r="G15" s="207">
        <f>('WW Usage'!J16+'WW Usage'!J17)/9</f>
        <v>5.5555555555555554</v>
      </c>
      <c r="H15" s="194">
        <f t="shared" si="1"/>
        <v>35766.666666666664</v>
      </c>
      <c r="I15" s="167"/>
    </row>
    <row r="16" spans="1:9" x14ac:dyDescent="0.25">
      <c r="A16" s="190" t="s">
        <v>70</v>
      </c>
      <c r="B16" s="149"/>
      <c r="C16" s="194">
        <f>'WW Usage'!E19</f>
        <v>7418.9922480620153</v>
      </c>
      <c r="D16" s="203">
        <f>'WW Usage'!L19</f>
        <v>7470.588235294118</v>
      </c>
      <c r="E16" s="207">
        <f>('WW Usage'!C18+'WW Usage'!C19)/9</f>
        <v>28.666666666666668</v>
      </c>
      <c r="F16" s="194">
        <f t="shared" si="0"/>
        <v>212677.77777777778</v>
      </c>
      <c r="G16" s="207">
        <f>('WW Usage'!J18+'WW Usage'!J19)/9</f>
        <v>5.666666666666667</v>
      </c>
      <c r="H16" s="194">
        <f t="shared" si="1"/>
        <v>42333.333333333336</v>
      </c>
      <c r="I16" s="167"/>
    </row>
    <row r="17" spans="1:10" x14ac:dyDescent="0.25">
      <c r="A17" s="190" t="s">
        <v>71</v>
      </c>
      <c r="B17" s="149"/>
      <c r="C17" s="194">
        <f>'WW Usage'!E21</f>
        <v>8428.9017341040471</v>
      </c>
      <c r="D17" s="203">
        <f>'WW Usage'!L21</f>
        <v>8426.4705882352937</v>
      </c>
      <c r="E17" s="207">
        <f>('WW Usage'!C20+'WW Usage'!C21)/9</f>
        <v>19.222222222222221</v>
      </c>
      <c r="F17" s="194">
        <f t="shared" si="0"/>
        <v>162022.22222222222</v>
      </c>
      <c r="G17" s="207">
        <f>('WW Usage'!J20+'WW Usage'!J21)/9</f>
        <v>3.7777777777777777</v>
      </c>
      <c r="H17" s="194">
        <f t="shared" si="1"/>
        <v>31833.333333333332</v>
      </c>
      <c r="I17" s="167"/>
    </row>
    <row r="18" spans="1:10" x14ac:dyDescent="0.25">
      <c r="A18" s="190" t="s">
        <v>72</v>
      </c>
      <c r="B18" s="149"/>
      <c r="C18" s="194">
        <f>'WW Usage'!E23</f>
        <v>9408.633093525179</v>
      </c>
      <c r="D18" s="203">
        <f>'WW Usage'!L23</f>
        <v>9367.8571428571431</v>
      </c>
      <c r="E18" s="207">
        <f>('WW Usage'!C22+'WW Usage'!C23)/9</f>
        <v>15.444444444444445</v>
      </c>
      <c r="F18" s="194">
        <f t="shared" si="0"/>
        <v>145311.11111111109</v>
      </c>
      <c r="G18" s="207">
        <f>('WW Usage'!J22+'WW Usage'!J23)/9</f>
        <v>3.1111111111111112</v>
      </c>
      <c r="H18" s="194">
        <f t="shared" si="1"/>
        <v>29144.444444444445</v>
      </c>
      <c r="I18" s="167"/>
    </row>
    <row r="19" spans="1:10" x14ac:dyDescent="0.25">
      <c r="A19" s="190" t="s">
        <v>73</v>
      </c>
      <c r="B19" s="149"/>
      <c r="C19" s="194">
        <f>'WW Usage'!E25</f>
        <v>10432.967032967033</v>
      </c>
      <c r="D19" s="203">
        <f>'WW Usage'!L25</f>
        <v>10458.620689655172</v>
      </c>
      <c r="E19" s="207">
        <f>('WW Usage'!C24+'WW Usage'!C25)/9</f>
        <v>10.111111111111111</v>
      </c>
      <c r="F19" s="194">
        <f t="shared" si="0"/>
        <v>105488.88888888889</v>
      </c>
      <c r="G19" s="207">
        <f>('WW Usage'!J24+'WW Usage'!J25)/9</f>
        <v>3.2222222222222223</v>
      </c>
      <c r="H19" s="194">
        <f t="shared" si="1"/>
        <v>33700</v>
      </c>
      <c r="I19" s="167"/>
    </row>
    <row r="20" spans="1:10" x14ac:dyDescent="0.25">
      <c r="A20" s="190" t="s">
        <v>74</v>
      </c>
      <c r="B20" s="149"/>
      <c r="C20" s="194">
        <f>'WW Usage'!E27</f>
        <v>11400</v>
      </c>
      <c r="D20" s="203">
        <f>'WW Usage'!L27</f>
        <v>11386.363636363636</v>
      </c>
      <c r="E20" s="207">
        <f>('WW Usage'!C26+'WW Usage'!C27)/9</f>
        <v>6.333333333333333</v>
      </c>
      <c r="F20" s="194">
        <f t="shared" si="0"/>
        <v>72200</v>
      </c>
      <c r="G20" s="207">
        <f>('WW Usage'!J26+'WW Usage'!J27)/9</f>
        <v>2.4444444444444446</v>
      </c>
      <c r="H20" s="194">
        <f t="shared" si="1"/>
        <v>27833.333333333336</v>
      </c>
      <c r="I20" s="167"/>
    </row>
    <row r="21" spans="1:10" x14ac:dyDescent="0.25">
      <c r="A21" s="190" t="s">
        <v>75</v>
      </c>
      <c r="B21" s="149"/>
      <c r="C21" s="194">
        <f>'WW Usage'!E29</f>
        <v>12429.411764705883</v>
      </c>
      <c r="D21" s="203">
        <f>'WW Usage'!L29</f>
        <v>12506.666666666666</v>
      </c>
      <c r="E21" s="207">
        <f>('WW Usage'!C28+'WW Usage'!C29)/9</f>
        <v>5.666666666666667</v>
      </c>
      <c r="F21" s="194">
        <f t="shared" si="0"/>
        <v>70433.333333333343</v>
      </c>
      <c r="G21" s="207">
        <f>('WW Usage'!J28+'WW Usage'!J29)/9</f>
        <v>1.6666666666666667</v>
      </c>
      <c r="H21" s="194">
        <f t="shared" si="1"/>
        <v>20844.444444444445</v>
      </c>
      <c r="I21" s="167"/>
    </row>
    <row r="22" spans="1:10" x14ac:dyDescent="0.25">
      <c r="A22" s="190" t="s">
        <v>76</v>
      </c>
      <c r="B22" s="149"/>
      <c r="C22" s="194">
        <f>'WW Usage'!E31</f>
        <v>13284.375</v>
      </c>
      <c r="D22" s="203">
        <f>'WW Usage'!L31</f>
        <v>13518.181818181818</v>
      </c>
      <c r="E22" s="207">
        <f>('WW Usage'!C30+'WW Usage'!C31)/9</f>
        <v>3.5555555555555554</v>
      </c>
      <c r="F22" s="194">
        <f t="shared" si="0"/>
        <v>47233.333333333328</v>
      </c>
      <c r="G22" s="207">
        <f>('WW Usage'!J30+'WW Usage'!J31)/9</f>
        <v>1.2222222222222223</v>
      </c>
      <c r="H22" s="194">
        <f t="shared" si="1"/>
        <v>16522.222222222223</v>
      </c>
      <c r="I22" s="167"/>
    </row>
    <row r="23" spans="1:10" x14ac:dyDescent="0.25">
      <c r="A23" s="190" t="s">
        <v>77</v>
      </c>
      <c r="B23" s="149"/>
      <c r="C23" s="194">
        <f>'WW Usage'!E33</f>
        <v>14462.962962962964</v>
      </c>
      <c r="D23" s="203">
        <f>'WW Usage'!L33</f>
        <v>14514.285714285714</v>
      </c>
      <c r="E23" s="207">
        <f>('WW Usage'!C32+'WW Usage'!C33)/9</f>
        <v>3</v>
      </c>
      <c r="F23" s="194">
        <f t="shared" si="0"/>
        <v>43388.888888888891</v>
      </c>
      <c r="G23" s="207">
        <f>('WW Usage'!J32+'WW Usage'!J33)/9</f>
        <v>0.77777777777777779</v>
      </c>
      <c r="H23" s="194">
        <f t="shared" si="1"/>
        <v>11288.888888888889</v>
      </c>
      <c r="I23" s="167"/>
    </row>
    <row r="24" spans="1:10" x14ac:dyDescent="0.25">
      <c r="A24" s="190" t="s">
        <v>78</v>
      </c>
      <c r="B24" s="149"/>
      <c r="C24" s="194">
        <f>'WW Usage'!E35</f>
        <v>15323.529411764706</v>
      </c>
      <c r="D24" s="203">
        <f>'WW Usage'!L35</f>
        <v>15344.444444444445</v>
      </c>
      <c r="E24" s="207">
        <f>('WW Usage'!C34+'WW Usage'!C35)/9</f>
        <v>1.8888888888888888</v>
      </c>
      <c r="F24" s="194">
        <f t="shared" si="0"/>
        <v>28944.444444444445</v>
      </c>
      <c r="G24" s="207">
        <f>('WW Usage'!J34+'WW Usage'!J35)/9</f>
        <v>1</v>
      </c>
      <c r="H24" s="194">
        <f t="shared" si="1"/>
        <v>15344.444444444445</v>
      </c>
      <c r="I24" s="167"/>
    </row>
    <row r="25" spans="1:10" x14ac:dyDescent="0.25">
      <c r="A25" s="190" t="s">
        <v>79</v>
      </c>
      <c r="B25" s="149"/>
      <c r="C25" s="194">
        <f>'WW Usage'!E37</f>
        <v>16380</v>
      </c>
      <c r="D25" s="203">
        <f>'WW Usage'!L37</f>
        <v>16293.75</v>
      </c>
      <c r="E25" s="207">
        <f>('WW Usage'!C36+'WW Usage'!C37)/9</f>
        <v>1.6666666666666667</v>
      </c>
      <c r="F25" s="194">
        <f t="shared" si="0"/>
        <v>27300</v>
      </c>
      <c r="G25" s="207">
        <f>('WW Usage'!J36+'WW Usage'!J37)/9</f>
        <v>1.7777777777777777</v>
      </c>
      <c r="H25" s="194">
        <f t="shared" si="1"/>
        <v>28966.666666666664</v>
      </c>
      <c r="I25" s="167"/>
    </row>
    <row r="26" spans="1:10" x14ac:dyDescent="0.25">
      <c r="A26" s="190" t="s">
        <v>80</v>
      </c>
      <c r="B26" s="149"/>
      <c r="C26" s="194">
        <f>'WW Usage'!E39</f>
        <v>17333.333333333332</v>
      </c>
      <c r="D26" s="203">
        <f>'WW Usage'!L39</f>
        <v>17466.666666666668</v>
      </c>
      <c r="E26" s="207">
        <f>('WW Usage'!C38+'WW Usage'!C39)/9</f>
        <v>1.6666666666666667</v>
      </c>
      <c r="F26" s="194">
        <f t="shared" si="0"/>
        <v>28888.888888888887</v>
      </c>
      <c r="G26" s="207">
        <f>('WW Usage'!J38+'WW Usage'!J39)/9</f>
        <v>1</v>
      </c>
      <c r="H26" s="194">
        <f t="shared" si="1"/>
        <v>17466.666666666668</v>
      </c>
      <c r="I26" s="167"/>
    </row>
    <row r="27" spans="1:10" x14ac:dyDescent="0.25">
      <c r="A27" s="190" t="s">
        <v>81</v>
      </c>
      <c r="B27" s="149"/>
      <c r="C27" s="194">
        <f>'WW Usage'!E41</f>
        <v>18455.555555555555</v>
      </c>
      <c r="D27" s="203">
        <f>'WW Usage'!L41</f>
        <v>18585.714285714286</v>
      </c>
      <c r="E27" s="207">
        <f>('WW Usage'!C40+'WW Usage'!C41)/9</f>
        <v>1</v>
      </c>
      <c r="F27" s="194">
        <f t="shared" si="0"/>
        <v>18455.555555555555</v>
      </c>
      <c r="G27" s="207">
        <f>('WW Usage'!J40+'WW Usage'!J41)/9</f>
        <v>0.77777777777777779</v>
      </c>
      <c r="H27" s="194">
        <f t="shared" si="1"/>
        <v>14455.555555555557</v>
      </c>
      <c r="I27" s="167"/>
    </row>
    <row r="28" spans="1:10" x14ac:dyDescent="0.25">
      <c r="A28" s="190" t="s">
        <v>82</v>
      </c>
      <c r="B28" s="149"/>
      <c r="C28" s="194">
        <f>'WW Usage'!E43</f>
        <v>19250</v>
      </c>
      <c r="D28" s="203">
        <f>'WW Usage'!L43</f>
        <v>19525</v>
      </c>
      <c r="E28" s="207">
        <f>('WW Usage'!C42+'WW Usage'!C43)/9</f>
        <v>0.88888888888888884</v>
      </c>
      <c r="F28" s="194">
        <f t="shared" si="0"/>
        <v>17111.111111111109</v>
      </c>
      <c r="G28" s="207">
        <f>('WW Usage'!J42+'WW Usage'!J43)/9</f>
        <v>2.2222222222222223</v>
      </c>
      <c r="H28" s="194">
        <f t="shared" si="1"/>
        <v>43388.888888888891</v>
      </c>
      <c r="I28" s="167"/>
    </row>
    <row r="29" spans="1:10" x14ac:dyDescent="0.25">
      <c r="A29" s="190" t="s">
        <v>83</v>
      </c>
      <c r="B29" s="149"/>
      <c r="C29" s="194">
        <f>'WW Usage'!E157</f>
        <v>69169.685039370073</v>
      </c>
      <c r="D29" s="203">
        <f>'WW Usage'!L150</f>
        <v>66399.715909090912</v>
      </c>
      <c r="E29" s="207">
        <f>'WW Usage'!E153/9</f>
        <v>28.222222222222221</v>
      </c>
      <c r="F29" s="194">
        <f t="shared" si="0"/>
        <v>1952122.222222222</v>
      </c>
      <c r="G29" s="207">
        <f>'WW Usage'!L149/9</f>
        <v>39.111111111111114</v>
      </c>
      <c r="H29" s="194">
        <f t="shared" si="1"/>
        <v>2596966.666666667</v>
      </c>
      <c r="I29" s="167"/>
    </row>
    <row r="30" spans="1:10" x14ac:dyDescent="0.25">
      <c r="A30" s="190"/>
      <c r="B30" s="149"/>
      <c r="C30" s="149"/>
      <c r="D30" s="151"/>
      <c r="E30" s="207"/>
      <c r="F30" s="170"/>
      <c r="G30" s="207"/>
      <c r="H30" s="170"/>
      <c r="I30" s="167"/>
    </row>
    <row r="31" spans="1:10" x14ac:dyDescent="0.25">
      <c r="A31" s="149"/>
      <c r="B31" s="149"/>
      <c r="C31" s="149"/>
      <c r="D31" s="191" t="s">
        <v>9</v>
      </c>
      <c r="E31" s="201">
        <f>SUM(E7:E30)</f>
        <v>1467.7777777777781</v>
      </c>
      <c r="F31" s="201">
        <f>SUM(F7:F30)</f>
        <v>6276422.222222222</v>
      </c>
      <c r="G31" s="201">
        <f>SUM(G7:G30)</f>
        <v>273.66666666666663</v>
      </c>
      <c r="H31" s="201">
        <f>SUM(H7:H30)</f>
        <v>3254755.555555556</v>
      </c>
      <c r="I31" s="167"/>
      <c r="J31" s="409"/>
    </row>
    <row r="32" spans="1:10" x14ac:dyDescent="0.25">
      <c r="A32" s="190"/>
      <c r="B32" s="149"/>
      <c r="C32" s="149"/>
      <c r="D32" s="149"/>
      <c r="E32" s="171"/>
      <c r="F32" s="171"/>
      <c r="G32" s="209"/>
      <c r="H32" s="171"/>
      <c r="I32" s="167"/>
      <c r="J32" s="409"/>
    </row>
    <row r="33" spans="1:9" ht="15.75" thickBot="1" x14ac:dyDescent="0.3">
      <c r="A33" s="190" t="s">
        <v>10</v>
      </c>
      <c r="B33" s="149"/>
      <c r="C33" s="149"/>
      <c r="D33" s="149"/>
      <c r="E33" s="172"/>
      <c r="F33" s="204">
        <f>F31/E31</f>
        <v>4276.139288417864</v>
      </c>
      <c r="G33" s="205"/>
      <c r="H33" s="204">
        <f>H31/G31</f>
        <v>11893.138449045882</v>
      </c>
      <c r="I33" s="167"/>
    </row>
    <row r="34" spans="1:9" ht="15.75" thickTop="1" x14ac:dyDescent="0.25">
      <c r="A34" s="149"/>
      <c r="B34" s="149"/>
      <c r="C34" s="149"/>
      <c r="D34" s="149"/>
      <c r="E34" s="173"/>
      <c r="F34" s="173"/>
      <c r="G34" s="210"/>
      <c r="H34" s="173"/>
      <c r="I34" s="167"/>
    </row>
    <row r="35" spans="1:9" hidden="1" x14ac:dyDescent="0.25">
      <c r="A35" s="192"/>
      <c r="B35" s="149"/>
      <c r="C35" s="149"/>
      <c r="D35" s="151"/>
      <c r="E35" s="168"/>
      <c r="F35" s="168"/>
      <c r="G35" s="194"/>
      <c r="H35" s="169"/>
      <c r="I35" s="167"/>
    </row>
    <row r="36" spans="1:9" hidden="1" x14ac:dyDescent="0.25">
      <c r="A36" s="190"/>
      <c r="B36" s="149"/>
      <c r="C36" s="149"/>
      <c r="D36" s="151"/>
      <c r="E36" s="169"/>
      <c r="F36" s="169"/>
      <c r="G36" s="203"/>
      <c r="H36" s="169"/>
      <c r="I36" s="167"/>
    </row>
    <row r="37" spans="1:9" hidden="1" x14ac:dyDescent="0.25">
      <c r="A37" s="190"/>
      <c r="B37" s="149"/>
      <c r="C37" s="149"/>
      <c r="D37" s="151"/>
      <c r="E37" s="169"/>
      <c r="F37" s="169"/>
      <c r="G37" s="203"/>
      <c r="H37" s="169"/>
      <c r="I37" s="167"/>
    </row>
    <row r="38" spans="1:9" hidden="1" x14ac:dyDescent="0.25">
      <c r="A38" s="190"/>
      <c r="B38" s="149"/>
      <c r="C38" s="149"/>
      <c r="D38" s="151"/>
      <c r="E38" s="169"/>
      <c r="F38" s="169"/>
      <c r="G38" s="203"/>
      <c r="H38" s="169"/>
      <c r="I38" s="167"/>
    </row>
    <row r="39" spans="1:9" hidden="1" x14ac:dyDescent="0.25">
      <c r="A39" s="190"/>
      <c r="B39" s="149"/>
      <c r="C39" s="150"/>
      <c r="D39" s="193"/>
      <c r="E39" s="331"/>
      <c r="F39" s="331"/>
      <c r="G39" s="268"/>
      <c r="H39" s="331"/>
      <c r="I39" s="167"/>
    </row>
    <row r="40" spans="1:9" hidden="1" x14ac:dyDescent="0.25">
      <c r="A40" s="190"/>
      <c r="B40" s="149"/>
      <c r="C40" s="149"/>
      <c r="D40" s="161"/>
      <c r="E40" s="171"/>
      <c r="F40" s="173"/>
      <c r="G40" s="210"/>
      <c r="H40" s="173"/>
      <c r="I40" s="167"/>
    </row>
    <row r="41" spans="1:9" hidden="1" x14ac:dyDescent="0.25">
      <c r="A41" s="192"/>
      <c r="B41" s="149"/>
      <c r="C41" s="149"/>
      <c r="D41" s="157"/>
      <c r="E41" s="171"/>
      <c r="F41" s="171"/>
      <c r="G41" s="209"/>
      <c r="H41" s="171"/>
      <c r="I41" s="167"/>
    </row>
    <row r="42" spans="1:9" hidden="1" x14ac:dyDescent="0.25">
      <c r="A42" s="190"/>
      <c r="B42" s="149"/>
      <c r="C42" s="149"/>
      <c r="D42" s="161"/>
      <c r="E42" s="173"/>
      <c r="F42" s="173"/>
      <c r="G42" s="173"/>
      <c r="H42" s="173"/>
      <c r="I42" s="167"/>
    </row>
    <row r="43" spans="1:9" hidden="1" x14ac:dyDescent="0.25">
      <c r="A43" s="190"/>
      <c r="B43" s="149"/>
      <c r="C43" s="194"/>
      <c r="D43" s="161"/>
      <c r="E43" s="173"/>
      <c r="F43" s="173"/>
      <c r="G43" s="173"/>
      <c r="H43" s="173"/>
      <c r="I43" s="167"/>
    </row>
    <row r="44" spans="1:9" hidden="1" x14ac:dyDescent="0.25">
      <c r="A44" s="190"/>
      <c r="B44" s="149"/>
      <c r="C44" s="194"/>
      <c r="D44" s="161"/>
      <c r="E44" s="173"/>
      <c r="F44" s="173"/>
      <c r="G44" s="173"/>
      <c r="H44" s="173"/>
      <c r="I44" s="167"/>
    </row>
    <row r="45" spans="1:9" hidden="1" x14ac:dyDescent="0.25">
      <c r="A45" s="190"/>
      <c r="B45" s="149"/>
      <c r="C45" s="149"/>
      <c r="D45" s="195"/>
      <c r="E45" s="332"/>
      <c r="F45" s="333"/>
      <c r="G45" s="332"/>
      <c r="H45" s="333"/>
      <c r="I45" s="167"/>
    </row>
    <row r="46" spans="1:9" hidden="1" x14ac:dyDescent="0.25">
      <c r="A46" s="150"/>
      <c r="B46" s="149"/>
      <c r="C46" s="149"/>
      <c r="D46" s="195"/>
      <c r="E46" s="196"/>
      <c r="F46" s="197"/>
      <c r="G46" s="196"/>
      <c r="H46" s="197"/>
    </row>
    <row r="47" spans="1:9" ht="15.75" thickBot="1" x14ac:dyDescent="0.3">
      <c r="A47" s="150"/>
      <c r="B47" s="150"/>
      <c r="C47" s="150"/>
      <c r="D47" s="198" t="s">
        <v>13</v>
      </c>
      <c r="E47" s="199">
        <f>+E31+E39+E45</f>
        <v>1467.7777777777781</v>
      </c>
      <c r="F47" s="199">
        <f>+F31+F39+F45</f>
        <v>6276422.222222222</v>
      </c>
      <c r="G47" s="199">
        <f>+G31+G39+G45</f>
        <v>273.66666666666663</v>
      </c>
      <c r="H47" s="199">
        <f>+H31+H39+H45</f>
        <v>3254755.555555556</v>
      </c>
    </row>
    <row r="48" spans="1:9" ht="15.75" thickTop="1" x14ac:dyDescent="0.25">
      <c r="A48" s="147"/>
      <c r="B48" s="147"/>
      <c r="C48" s="147"/>
      <c r="D48" s="147"/>
      <c r="E48" s="147"/>
      <c r="F48" s="147"/>
      <c r="G48" s="147"/>
      <c r="H48" s="147"/>
    </row>
    <row r="49" spans="1:8" x14ac:dyDescent="0.25">
      <c r="A49" s="147"/>
      <c r="B49" s="147"/>
      <c r="C49" s="147"/>
      <c r="D49" s="147"/>
      <c r="E49" s="147"/>
      <c r="F49" s="147"/>
      <c r="G49" s="147"/>
      <c r="H49" s="147"/>
    </row>
    <row r="50" spans="1:8" x14ac:dyDescent="0.25">
      <c r="A50" s="147"/>
      <c r="B50" s="147"/>
      <c r="C50" s="147"/>
      <c r="D50" s="147"/>
      <c r="E50" s="147"/>
      <c r="F50" s="147"/>
      <c r="G50" s="147"/>
      <c r="H50" s="147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3E35E-6E50-4F3B-9D86-2E7709027FEC}">
  <dimension ref="A1:L175"/>
  <sheetViews>
    <sheetView topLeftCell="A133" workbookViewId="0">
      <selection activeCell="L150" sqref="L150"/>
    </sheetView>
  </sheetViews>
  <sheetFormatPr defaultRowHeight="15" x14ac:dyDescent="0.25"/>
  <cols>
    <col min="1" max="1" width="14.5703125" customWidth="1"/>
    <col min="2" max="2" width="13.28515625" bestFit="1" customWidth="1"/>
    <col min="8" max="8" width="11.5703125" bestFit="1" customWidth="1"/>
    <col min="9" max="9" width="11.140625" bestFit="1" customWidth="1"/>
  </cols>
  <sheetData>
    <row r="1" spans="1:12" x14ac:dyDescent="0.25">
      <c r="A1" t="s">
        <v>269</v>
      </c>
    </row>
    <row r="3" spans="1:12" x14ac:dyDescent="0.25">
      <c r="A3" t="s">
        <v>0</v>
      </c>
      <c r="B3" t="s">
        <v>270</v>
      </c>
      <c r="C3" t="s">
        <v>271</v>
      </c>
      <c r="E3" t="s">
        <v>272</v>
      </c>
      <c r="H3" t="s">
        <v>1</v>
      </c>
      <c r="I3" t="s">
        <v>270</v>
      </c>
      <c r="J3" t="s">
        <v>271</v>
      </c>
      <c r="L3" t="s">
        <v>272</v>
      </c>
    </row>
    <row r="4" spans="1:12" x14ac:dyDescent="0.25">
      <c r="B4">
        <v>167900</v>
      </c>
      <c r="C4">
        <v>1317</v>
      </c>
      <c r="I4">
        <v>87000</v>
      </c>
      <c r="J4">
        <v>552</v>
      </c>
    </row>
    <row r="5" spans="1:12" x14ac:dyDescent="0.25">
      <c r="B5">
        <v>705400</v>
      </c>
      <c r="C5">
        <v>989</v>
      </c>
      <c r="E5">
        <f>(B4+B5)/(C4+C5)</f>
        <v>378.70771899392889</v>
      </c>
      <c r="I5">
        <v>224300</v>
      </c>
      <c r="J5">
        <v>317</v>
      </c>
      <c r="L5">
        <f>(I4+I5)/(J4+J5)</f>
        <v>358.22784810126581</v>
      </c>
    </row>
    <row r="6" spans="1:12" x14ac:dyDescent="0.25">
      <c r="B6">
        <v>1612000</v>
      </c>
      <c r="C6">
        <v>1332</v>
      </c>
      <c r="I6">
        <v>309300</v>
      </c>
      <c r="J6">
        <v>260</v>
      </c>
    </row>
    <row r="7" spans="1:12" x14ac:dyDescent="0.25">
      <c r="B7">
        <v>2337900</v>
      </c>
      <c r="C7">
        <v>1376</v>
      </c>
      <c r="E7">
        <f>(B6+B7)/(C6+C7)</f>
        <v>1458.6041358936484</v>
      </c>
      <c r="I7">
        <v>268700</v>
      </c>
      <c r="J7">
        <v>159</v>
      </c>
      <c r="L7">
        <f>(I6+I7)/(J6+J7)</f>
        <v>1379.4749403341289</v>
      </c>
    </row>
    <row r="8" spans="1:12" x14ac:dyDescent="0.25">
      <c r="B8">
        <v>2811700</v>
      </c>
      <c r="C8">
        <v>1278</v>
      </c>
      <c r="I8">
        <v>240600</v>
      </c>
      <c r="J8">
        <v>110</v>
      </c>
    </row>
    <row r="9" spans="1:12" x14ac:dyDescent="0.25">
      <c r="B9">
        <v>3185700</v>
      </c>
      <c r="C9">
        <v>1180</v>
      </c>
      <c r="E9">
        <f t="shared" ref="E9:E43" si="0">(B8+B9)/(C8+C9)</f>
        <v>2439.9511798209928</v>
      </c>
      <c r="I9">
        <v>239300</v>
      </c>
      <c r="J9">
        <v>89</v>
      </c>
      <c r="L9">
        <f>(I8+I9)/(J8+J9)</f>
        <v>2411.5577889447236</v>
      </c>
    </row>
    <row r="10" spans="1:12" x14ac:dyDescent="0.25">
      <c r="B10">
        <v>3306800</v>
      </c>
      <c r="C10">
        <v>1038</v>
      </c>
      <c r="I10">
        <v>189100</v>
      </c>
      <c r="J10">
        <v>59</v>
      </c>
    </row>
    <row r="11" spans="1:12" x14ac:dyDescent="0.25">
      <c r="B11">
        <v>3278100</v>
      </c>
      <c r="C11">
        <v>887</v>
      </c>
      <c r="E11">
        <f t="shared" si="0"/>
        <v>3420.7272727272725</v>
      </c>
      <c r="I11">
        <v>217000</v>
      </c>
      <c r="J11">
        <v>59</v>
      </c>
      <c r="L11">
        <f>(I10+I11)/(J10+J11)</f>
        <v>3441.5254237288136</v>
      </c>
    </row>
    <row r="12" spans="1:12" x14ac:dyDescent="0.25">
      <c r="B12">
        <v>2951300</v>
      </c>
      <c r="C12">
        <v>704</v>
      </c>
      <c r="I12">
        <v>247000</v>
      </c>
      <c r="J12">
        <v>59</v>
      </c>
    </row>
    <row r="13" spans="1:12" x14ac:dyDescent="0.25">
      <c r="B13">
        <v>2638600</v>
      </c>
      <c r="C13">
        <v>562</v>
      </c>
      <c r="E13">
        <f t="shared" si="0"/>
        <v>4415.4028436018962</v>
      </c>
      <c r="I13">
        <v>164300</v>
      </c>
      <c r="J13">
        <v>35</v>
      </c>
      <c r="L13">
        <f>(I12+I13)/(J12+J13)</f>
        <v>4375.5319148936169</v>
      </c>
    </row>
    <row r="14" spans="1:12" x14ac:dyDescent="0.25">
      <c r="B14">
        <v>2055500</v>
      </c>
      <c r="C14">
        <v>396</v>
      </c>
      <c r="I14">
        <v>243900</v>
      </c>
      <c r="J14">
        <v>47</v>
      </c>
    </row>
    <row r="15" spans="1:12" x14ac:dyDescent="0.25">
      <c r="B15">
        <v>1836900</v>
      </c>
      <c r="C15">
        <v>322</v>
      </c>
      <c r="E15">
        <f t="shared" si="0"/>
        <v>5421.16991643454</v>
      </c>
      <c r="I15">
        <v>169600</v>
      </c>
      <c r="J15">
        <v>30</v>
      </c>
      <c r="L15">
        <f>(I14+I15)/(J14+J15)</f>
        <v>5370.1298701298701</v>
      </c>
    </row>
    <row r="16" spans="1:12" x14ac:dyDescent="0.25">
      <c r="B16">
        <v>1920200</v>
      </c>
      <c r="C16">
        <v>310</v>
      </c>
      <c r="I16">
        <v>167600</v>
      </c>
      <c r="J16">
        <v>27</v>
      </c>
    </row>
    <row r="17" spans="2:12" x14ac:dyDescent="0.25">
      <c r="B17">
        <v>1295600</v>
      </c>
      <c r="C17">
        <v>193</v>
      </c>
      <c r="E17">
        <f t="shared" si="0"/>
        <v>6393.2405566600401</v>
      </c>
      <c r="I17">
        <v>154300</v>
      </c>
      <c r="J17">
        <v>23</v>
      </c>
      <c r="L17">
        <f>(I16+I17)/(J16+J17)</f>
        <v>6438</v>
      </c>
    </row>
    <row r="18" spans="2:12" x14ac:dyDescent="0.25">
      <c r="B18">
        <v>1051200</v>
      </c>
      <c r="C18">
        <v>146</v>
      </c>
      <c r="I18">
        <v>158700</v>
      </c>
      <c r="J18">
        <v>22</v>
      </c>
    </row>
    <row r="19" spans="2:12" x14ac:dyDescent="0.25">
      <c r="B19">
        <v>862900</v>
      </c>
      <c r="C19">
        <v>112</v>
      </c>
      <c r="E19">
        <f t="shared" si="0"/>
        <v>7418.9922480620153</v>
      </c>
      <c r="I19">
        <v>222300</v>
      </c>
      <c r="J19">
        <v>29</v>
      </c>
      <c r="L19">
        <f>(I18+I19)/(J18+J19)</f>
        <v>7470.588235294118</v>
      </c>
    </row>
    <row r="20" spans="2:12" x14ac:dyDescent="0.25">
      <c r="B20">
        <v>754700</v>
      </c>
      <c r="C20">
        <v>92</v>
      </c>
      <c r="I20">
        <v>172900</v>
      </c>
      <c r="J20">
        <v>21</v>
      </c>
    </row>
    <row r="21" spans="2:12" x14ac:dyDescent="0.25">
      <c r="B21">
        <v>703500</v>
      </c>
      <c r="C21">
        <v>81</v>
      </c>
      <c r="E21">
        <f t="shared" si="0"/>
        <v>8428.9017341040471</v>
      </c>
      <c r="I21">
        <v>113600</v>
      </c>
      <c r="J21">
        <v>13</v>
      </c>
      <c r="L21">
        <f>(I20+I21)/(J20+J21)</f>
        <v>8426.4705882352937</v>
      </c>
    </row>
    <row r="22" spans="2:12" x14ac:dyDescent="0.25">
      <c r="B22">
        <v>717500</v>
      </c>
      <c r="C22">
        <v>78</v>
      </c>
      <c r="I22">
        <v>146400</v>
      </c>
      <c r="J22">
        <v>16</v>
      </c>
    </row>
    <row r="23" spans="2:12" x14ac:dyDescent="0.25">
      <c r="B23">
        <v>590300</v>
      </c>
      <c r="C23">
        <v>61</v>
      </c>
      <c r="E23">
        <f t="shared" si="0"/>
        <v>9408.633093525179</v>
      </c>
      <c r="I23">
        <v>115900</v>
      </c>
      <c r="J23">
        <v>12</v>
      </c>
      <c r="L23">
        <f>(I22+I23)/(J22+J23)</f>
        <v>9367.8571428571431</v>
      </c>
    </row>
    <row r="24" spans="2:12" x14ac:dyDescent="0.25">
      <c r="B24">
        <v>499500</v>
      </c>
      <c r="C24">
        <v>49</v>
      </c>
      <c r="I24">
        <v>122000</v>
      </c>
      <c r="J24">
        <v>12</v>
      </c>
    </row>
    <row r="25" spans="2:12" x14ac:dyDescent="0.25">
      <c r="B25">
        <v>449900</v>
      </c>
      <c r="C25">
        <v>42</v>
      </c>
      <c r="E25">
        <f t="shared" si="0"/>
        <v>10432.967032967033</v>
      </c>
      <c r="I25">
        <v>181300</v>
      </c>
      <c r="J25">
        <v>17</v>
      </c>
      <c r="L25">
        <f>(I24+I25)/(J24+J25)</f>
        <v>10458.620689655172</v>
      </c>
    </row>
    <row r="26" spans="2:12" x14ac:dyDescent="0.25">
      <c r="B26">
        <v>392000</v>
      </c>
      <c r="C26">
        <v>35</v>
      </c>
      <c r="I26">
        <v>145300</v>
      </c>
      <c r="J26">
        <v>13</v>
      </c>
    </row>
    <row r="27" spans="2:12" x14ac:dyDescent="0.25">
      <c r="B27">
        <v>257800</v>
      </c>
      <c r="C27">
        <v>22</v>
      </c>
      <c r="E27">
        <f t="shared" si="0"/>
        <v>11400</v>
      </c>
      <c r="I27">
        <v>105200</v>
      </c>
      <c r="J27">
        <v>9</v>
      </c>
      <c r="L27">
        <f>(I26+I27)/(J26+J27)</f>
        <v>11386.363636363636</v>
      </c>
    </row>
    <row r="28" spans="2:12" x14ac:dyDescent="0.25">
      <c r="B28">
        <v>266600</v>
      </c>
      <c r="C28">
        <v>22</v>
      </c>
      <c r="I28">
        <v>61000</v>
      </c>
      <c r="J28">
        <v>5</v>
      </c>
    </row>
    <row r="29" spans="2:12" x14ac:dyDescent="0.25">
      <c r="B29">
        <v>367300</v>
      </c>
      <c r="C29">
        <v>29</v>
      </c>
      <c r="E29">
        <f t="shared" si="0"/>
        <v>12429.411764705883</v>
      </c>
      <c r="I29">
        <v>126600</v>
      </c>
      <c r="J29">
        <v>10</v>
      </c>
      <c r="L29">
        <f>(I28+I29)/(J28+J29)</f>
        <v>12506.666666666666</v>
      </c>
    </row>
    <row r="30" spans="2:12" x14ac:dyDescent="0.25">
      <c r="B30">
        <v>315900</v>
      </c>
      <c r="C30">
        <v>24</v>
      </c>
      <c r="I30">
        <v>66600</v>
      </c>
      <c r="J30">
        <v>5</v>
      </c>
    </row>
    <row r="31" spans="2:12" x14ac:dyDescent="0.25">
      <c r="B31">
        <v>109200</v>
      </c>
      <c r="C31">
        <v>8</v>
      </c>
      <c r="E31">
        <f t="shared" si="0"/>
        <v>13284.375</v>
      </c>
      <c r="I31">
        <v>82100</v>
      </c>
      <c r="J31">
        <v>6</v>
      </c>
      <c r="L31">
        <f>(I30+I31)/(J30+J31)</f>
        <v>13518.181818181818</v>
      </c>
    </row>
    <row r="32" spans="2:12" x14ac:dyDescent="0.25">
      <c r="B32">
        <v>199500</v>
      </c>
      <c r="C32">
        <v>14</v>
      </c>
      <c r="I32">
        <v>42600</v>
      </c>
      <c r="J32">
        <v>3</v>
      </c>
    </row>
    <row r="33" spans="1:12" x14ac:dyDescent="0.25">
      <c r="B33">
        <v>191000</v>
      </c>
      <c r="C33">
        <v>13</v>
      </c>
      <c r="E33">
        <f t="shared" si="0"/>
        <v>14462.962962962964</v>
      </c>
      <c r="I33">
        <v>59000</v>
      </c>
      <c r="J33">
        <v>4</v>
      </c>
      <c r="L33">
        <f>(I32+I33)/(J32+J33)</f>
        <v>14514.285714285714</v>
      </c>
    </row>
    <row r="34" spans="1:12" x14ac:dyDescent="0.25">
      <c r="B34">
        <v>181700</v>
      </c>
      <c r="C34">
        <v>12</v>
      </c>
      <c r="I34">
        <v>60600</v>
      </c>
      <c r="J34">
        <v>4</v>
      </c>
    </row>
    <row r="35" spans="1:12" x14ac:dyDescent="0.25">
      <c r="B35">
        <v>78800</v>
      </c>
      <c r="C35">
        <v>5</v>
      </c>
      <c r="E35">
        <f t="shared" si="0"/>
        <v>15323.529411764706</v>
      </c>
      <c r="I35">
        <v>77500</v>
      </c>
      <c r="J35">
        <v>5</v>
      </c>
      <c r="L35">
        <f>(I34+I35)/(J34+J35)</f>
        <v>15344.444444444445</v>
      </c>
    </row>
    <row r="36" spans="1:12" x14ac:dyDescent="0.25">
      <c r="B36">
        <v>145400</v>
      </c>
      <c r="C36">
        <v>9</v>
      </c>
      <c r="I36">
        <v>177200</v>
      </c>
      <c r="J36">
        <v>11</v>
      </c>
    </row>
    <row r="37" spans="1:12" x14ac:dyDescent="0.25">
      <c r="B37">
        <v>100300</v>
      </c>
      <c r="C37">
        <v>6</v>
      </c>
      <c r="E37">
        <f t="shared" si="0"/>
        <v>16380</v>
      </c>
      <c r="I37">
        <v>83500</v>
      </c>
      <c r="J37">
        <v>5</v>
      </c>
      <c r="L37">
        <f>(I36+I37)/(J36+J37)</f>
        <v>16293.75</v>
      </c>
    </row>
    <row r="38" spans="1:12" x14ac:dyDescent="0.25">
      <c r="B38">
        <v>171600</v>
      </c>
      <c r="C38">
        <v>10</v>
      </c>
      <c r="I38">
        <v>51300</v>
      </c>
      <c r="J38">
        <v>3</v>
      </c>
    </row>
    <row r="39" spans="1:12" x14ac:dyDescent="0.25">
      <c r="B39">
        <v>88400</v>
      </c>
      <c r="C39">
        <v>5</v>
      </c>
      <c r="E39">
        <f t="shared" si="0"/>
        <v>17333.333333333332</v>
      </c>
      <c r="I39">
        <v>105900</v>
      </c>
      <c r="J39">
        <v>6</v>
      </c>
      <c r="L39">
        <f>(I38+I39)/(J38+J39)</f>
        <v>17466.666666666668</v>
      </c>
    </row>
    <row r="40" spans="1:12" x14ac:dyDescent="0.25">
      <c r="B40">
        <v>54100</v>
      </c>
      <c r="C40">
        <v>3</v>
      </c>
      <c r="I40">
        <v>36200</v>
      </c>
      <c r="J40">
        <v>2</v>
      </c>
    </row>
    <row r="41" spans="1:12" x14ac:dyDescent="0.25">
      <c r="B41">
        <v>112000</v>
      </c>
      <c r="C41">
        <v>6</v>
      </c>
      <c r="E41">
        <f t="shared" si="0"/>
        <v>18455.555555555555</v>
      </c>
      <c r="I41">
        <v>93900</v>
      </c>
      <c r="J41">
        <v>5</v>
      </c>
      <c r="L41">
        <f>(I40+I41)/(J40+J41)</f>
        <v>18585.714285714286</v>
      </c>
    </row>
    <row r="42" spans="1:12" x14ac:dyDescent="0.25">
      <c r="B42">
        <v>114700</v>
      </c>
      <c r="C42">
        <v>6</v>
      </c>
      <c r="I42">
        <v>134600</v>
      </c>
      <c r="J42">
        <v>7</v>
      </c>
    </row>
    <row r="43" spans="1:12" x14ac:dyDescent="0.25">
      <c r="A43" s="50"/>
      <c r="B43" s="50">
        <v>39300</v>
      </c>
      <c r="C43" s="50">
        <v>2</v>
      </c>
      <c r="D43" s="50"/>
      <c r="E43" s="50">
        <f t="shared" si="0"/>
        <v>19250</v>
      </c>
      <c r="I43" s="50">
        <v>255900</v>
      </c>
      <c r="J43" s="50">
        <v>13</v>
      </c>
      <c r="K43" s="50"/>
      <c r="L43" s="50">
        <f>(I42+I43)/(J42+J43)</f>
        <v>19525</v>
      </c>
    </row>
    <row r="44" spans="1:12" x14ac:dyDescent="0.25">
      <c r="B44">
        <v>101300</v>
      </c>
      <c r="C44" s="122">
        <v>5</v>
      </c>
      <c r="I44" s="122">
        <v>80500</v>
      </c>
      <c r="J44">
        <v>4</v>
      </c>
    </row>
    <row r="45" spans="1:12" x14ac:dyDescent="0.25">
      <c r="B45">
        <v>124000</v>
      </c>
      <c r="C45" s="122">
        <v>6</v>
      </c>
      <c r="I45" s="122">
        <v>165700</v>
      </c>
      <c r="J45">
        <v>8</v>
      </c>
    </row>
    <row r="46" spans="1:12" x14ac:dyDescent="0.25">
      <c r="B46">
        <v>42100</v>
      </c>
      <c r="C46" s="122">
        <v>2</v>
      </c>
      <c r="I46" s="122">
        <v>105900</v>
      </c>
      <c r="J46">
        <v>5</v>
      </c>
    </row>
    <row r="47" spans="1:12" x14ac:dyDescent="0.25">
      <c r="B47">
        <v>65200</v>
      </c>
      <c r="C47" s="122">
        <v>3</v>
      </c>
      <c r="I47" s="122">
        <v>195600</v>
      </c>
      <c r="J47">
        <v>9</v>
      </c>
    </row>
    <row r="48" spans="1:12" x14ac:dyDescent="0.25">
      <c r="B48">
        <v>155000</v>
      </c>
      <c r="C48" s="122">
        <v>7</v>
      </c>
      <c r="I48" s="122">
        <v>155400</v>
      </c>
      <c r="J48">
        <v>7</v>
      </c>
    </row>
    <row r="49" spans="2:10" x14ac:dyDescent="0.25">
      <c r="B49">
        <v>113700</v>
      </c>
      <c r="C49" s="122">
        <v>5</v>
      </c>
      <c r="I49" s="122">
        <v>136200</v>
      </c>
      <c r="J49">
        <v>6</v>
      </c>
    </row>
    <row r="50" spans="2:10" x14ac:dyDescent="0.25">
      <c r="B50">
        <v>69600</v>
      </c>
      <c r="C50" s="122">
        <v>3</v>
      </c>
      <c r="I50" s="122">
        <v>116000</v>
      </c>
      <c r="J50">
        <v>5</v>
      </c>
    </row>
    <row r="51" spans="2:10" x14ac:dyDescent="0.25">
      <c r="B51">
        <v>71200</v>
      </c>
      <c r="C51" s="122">
        <v>3</v>
      </c>
      <c r="I51" s="122">
        <v>236900</v>
      </c>
      <c r="J51">
        <v>10</v>
      </c>
    </row>
    <row r="52" spans="2:10" x14ac:dyDescent="0.25">
      <c r="B52">
        <v>97000</v>
      </c>
      <c r="C52" s="122">
        <v>4</v>
      </c>
      <c r="I52" s="122">
        <v>72700</v>
      </c>
      <c r="J52">
        <v>3</v>
      </c>
    </row>
    <row r="53" spans="2:10" x14ac:dyDescent="0.25">
      <c r="B53">
        <v>49700</v>
      </c>
      <c r="C53" s="122">
        <v>2</v>
      </c>
      <c r="I53" s="122">
        <v>99200</v>
      </c>
      <c r="J53">
        <v>4</v>
      </c>
    </row>
    <row r="54" spans="2:10" x14ac:dyDescent="0.25">
      <c r="B54">
        <v>75400</v>
      </c>
      <c r="C54" s="122">
        <v>3</v>
      </c>
      <c r="I54" s="122">
        <v>176000</v>
      </c>
      <c r="J54">
        <v>7</v>
      </c>
    </row>
    <row r="55" spans="2:10" x14ac:dyDescent="0.25">
      <c r="B55">
        <v>102800</v>
      </c>
      <c r="C55" s="122">
        <v>4</v>
      </c>
      <c r="I55" s="122">
        <v>205300</v>
      </c>
      <c r="J55">
        <v>8</v>
      </c>
    </row>
    <row r="56" spans="2:10" x14ac:dyDescent="0.25">
      <c r="B56">
        <v>78900</v>
      </c>
      <c r="C56" s="122">
        <v>3</v>
      </c>
      <c r="I56" s="122">
        <v>52100</v>
      </c>
      <c r="J56">
        <v>2</v>
      </c>
    </row>
    <row r="57" spans="2:10" x14ac:dyDescent="0.25">
      <c r="B57">
        <v>79900</v>
      </c>
      <c r="C57" s="122">
        <v>3</v>
      </c>
      <c r="I57" s="122">
        <v>241000</v>
      </c>
      <c r="J57">
        <v>9</v>
      </c>
    </row>
    <row r="58" spans="2:10" x14ac:dyDescent="0.25">
      <c r="B58">
        <v>108800</v>
      </c>
      <c r="C58" s="122">
        <v>4</v>
      </c>
      <c r="I58" s="122">
        <v>81300</v>
      </c>
      <c r="J58">
        <v>3</v>
      </c>
    </row>
    <row r="59" spans="2:10" x14ac:dyDescent="0.25">
      <c r="B59">
        <v>83000</v>
      </c>
      <c r="C59" s="122">
        <v>3</v>
      </c>
      <c r="I59" s="122">
        <v>193700</v>
      </c>
      <c r="J59">
        <v>7</v>
      </c>
    </row>
    <row r="60" spans="2:10" x14ac:dyDescent="0.25">
      <c r="B60">
        <v>56300</v>
      </c>
      <c r="C60" s="122">
        <v>2</v>
      </c>
      <c r="I60" s="122">
        <v>141300</v>
      </c>
      <c r="J60">
        <v>5</v>
      </c>
    </row>
    <row r="61" spans="2:10" x14ac:dyDescent="0.25">
      <c r="B61">
        <v>57600</v>
      </c>
      <c r="C61" s="122">
        <v>2</v>
      </c>
      <c r="I61" s="122">
        <v>115000</v>
      </c>
      <c r="J61">
        <v>4</v>
      </c>
    </row>
    <row r="62" spans="2:10" x14ac:dyDescent="0.25">
      <c r="B62">
        <v>29100</v>
      </c>
      <c r="C62" s="122">
        <v>1</v>
      </c>
      <c r="I62" s="122">
        <v>175400</v>
      </c>
      <c r="J62">
        <v>6</v>
      </c>
    </row>
    <row r="63" spans="2:10" x14ac:dyDescent="0.25">
      <c r="B63">
        <v>118900</v>
      </c>
      <c r="C63" s="122">
        <v>4</v>
      </c>
      <c r="I63" s="122">
        <v>89400</v>
      </c>
      <c r="J63">
        <v>3</v>
      </c>
    </row>
    <row r="64" spans="2:10" x14ac:dyDescent="0.25">
      <c r="B64">
        <v>60500</v>
      </c>
      <c r="C64" s="122">
        <v>2</v>
      </c>
      <c r="I64" s="122">
        <v>181000</v>
      </c>
      <c r="J64">
        <v>6</v>
      </c>
    </row>
    <row r="65" spans="2:10" x14ac:dyDescent="0.25">
      <c r="B65">
        <v>30600</v>
      </c>
      <c r="C65" s="122">
        <v>1</v>
      </c>
      <c r="I65" s="122">
        <v>183900</v>
      </c>
      <c r="J65">
        <v>6</v>
      </c>
    </row>
    <row r="66" spans="2:10" x14ac:dyDescent="0.25">
      <c r="B66">
        <v>93200</v>
      </c>
      <c r="C66" s="122">
        <v>3</v>
      </c>
      <c r="I66" s="122">
        <v>156100</v>
      </c>
      <c r="J66">
        <v>5</v>
      </c>
    </row>
    <row r="67" spans="2:10" x14ac:dyDescent="0.25">
      <c r="B67">
        <v>160800</v>
      </c>
      <c r="C67" s="122">
        <v>5</v>
      </c>
      <c r="I67" s="122">
        <v>161200</v>
      </c>
      <c r="J67">
        <v>5</v>
      </c>
    </row>
    <row r="68" spans="2:10" x14ac:dyDescent="0.25">
      <c r="B68">
        <v>65400</v>
      </c>
      <c r="C68" s="122">
        <v>2</v>
      </c>
      <c r="I68" s="122">
        <v>98100</v>
      </c>
      <c r="J68">
        <v>3</v>
      </c>
    </row>
    <row r="69" spans="2:10" x14ac:dyDescent="0.25">
      <c r="B69">
        <v>66200</v>
      </c>
      <c r="C69" s="122">
        <v>2</v>
      </c>
      <c r="I69" s="122">
        <v>165900</v>
      </c>
      <c r="J69">
        <v>5</v>
      </c>
    </row>
    <row r="70" spans="2:10" x14ac:dyDescent="0.25">
      <c r="B70">
        <v>33500</v>
      </c>
      <c r="C70" s="122">
        <v>1</v>
      </c>
      <c r="I70" s="122">
        <v>101100</v>
      </c>
      <c r="J70">
        <v>3</v>
      </c>
    </row>
    <row r="71" spans="2:10" x14ac:dyDescent="0.25">
      <c r="B71">
        <v>136500</v>
      </c>
      <c r="C71" s="122">
        <v>4</v>
      </c>
      <c r="I71" s="122">
        <v>205300</v>
      </c>
      <c r="J71">
        <v>6</v>
      </c>
    </row>
    <row r="72" spans="2:10" x14ac:dyDescent="0.25">
      <c r="B72">
        <v>34900</v>
      </c>
      <c r="C72" s="122">
        <v>1</v>
      </c>
      <c r="I72" s="122">
        <v>34600</v>
      </c>
      <c r="J72">
        <v>1</v>
      </c>
    </row>
    <row r="73" spans="2:10" x14ac:dyDescent="0.25">
      <c r="B73">
        <v>105400</v>
      </c>
      <c r="C73" s="122">
        <v>3</v>
      </c>
      <c r="I73" s="122">
        <v>35000</v>
      </c>
      <c r="J73">
        <v>1</v>
      </c>
    </row>
    <row r="74" spans="2:10" x14ac:dyDescent="0.25">
      <c r="B74">
        <v>108200</v>
      </c>
      <c r="C74" s="122">
        <v>3</v>
      </c>
      <c r="I74" s="122">
        <v>217000</v>
      </c>
      <c r="J74">
        <v>6</v>
      </c>
    </row>
    <row r="75" spans="2:10" x14ac:dyDescent="0.25">
      <c r="B75">
        <v>73400</v>
      </c>
      <c r="C75" s="122">
        <v>2</v>
      </c>
      <c r="I75" s="122">
        <v>147000</v>
      </c>
      <c r="J75">
        <v>4</v>
      </c>
    </row>
    <row r="76" spans="2:10" x14ac:dyDescent="0.25">
      <c r="B76">
        <v>37200</v>
      </c>
      <c r="C76" s="122">
        <v>1</v>
      </c>
      <c r="I76" s="122">
        <v>74400</v>
      </c>
      <c r="J76">
        <v>2</v>
      </c>
    </row>
    <row r="77" spans="2:10" x14ac:dyDescent="0.25">
      <c r="B77">
        <v>38300</v>
      </c>
      <c r="C77" s="122">
        <v>1</v>
      </c>
      <c r="I77" s="122">
        <v>75600</v>
      </c>
      <c r="J77">
        <v>2</v>
      </c>
    </row>
    <row r="78" spans="2:10" x14ac:dyDescent="0.25">
      <c r="B78">
        <v>117300</v>
      </c>
      <c r="C78" s="122">
        <v>3</v>
      </c>
      <c r="I78" s="122">
        <v>114500</v>
      </c>
      <c r="J78">
        <v>3</v>
      </c>
    </row>
    <row r="79" spans="2:10" x14ac:dyDescent="0.25">
      <c r="B79">
        <v>40300</v>
      </c>
      <c r="C79" s="122">
        <v>1</v>
      </c>
      <c r="I79" s="122">
        <v>192800</v>
      </c>
      <c r="J79">
        <v>5</v>
      </c>
    </row>
    <row r="80" spans="2:10" x14ac:dyDescent="0.25">
      <c r="B80">
        <v>81800</v>
      </c>
      <c r="C80" s="122">
        <v>2</v>
      </c>
      <c r="I80" s="122">
        <v>117700</v>
      </c>
      <c r="J80">
        <v>3</v>
      </c>
    </row>
    <row r="81" spans="2:10" x14ac:dyDescent="0.25">
      <c r="B81">
        <v>82600</v>
      </c>
      <c r="C81" s="122">
        <v>2</v>
      </c>
      <c r="I81" s="122">
        <v>39800</v>
      </c>
      <c r="J81">
        <v>1</v>
      </c>
    </row>
    <row r="82" spans="2:10" x14ac:dyDescent="0.25">
      <c r="B82">
        <v>83700</v>
      </c>
      <c r="C82" s="122">
        <v>2</v>
      </c>
      <c r="I82" s="122">
        <v>120400</v>
      </c>
      <c r="J82">
        <v>3</v>
      </c>
    </row>
    <row r="83" spans="2:10" x14ac:dyDescent="0.25">
      <c r="B83">
        <v>126600</v>
      </c>
      <c r="C83" s="122">
        <v>3</v>
      </c>
      <c r="I83" s="122">
        <v>163000</v>
      </c>
      <c r="J83">
        <v>4</v>
      </c>
    </row>
    <row r="84" spans="2:10" x14ac:dyDescent="0.25">
      <c r="B84">
        <v>42700</v>
      </c>
      <c r="C84" s="122">
        <v>1</v>
      </c>
      <c r="I84" s="122">
        <v>82300</v>
      </c>
      <c r="J84">
        <v>2</v>
      </c>
    </row>
    <row r="85" spans="2:10" x14ac:dyDescent="0.25">
      <c r="B85">
        <v>43800</v>
      </c>
      <c r="C85" s="122">
        <v>1</v>
      </c>
      <c r="I85" s="122">
        <v>83200</v>
      </c>
      <c r="J85">
        <v>2</v>
      </c>
    </row>
    <row r="86" spans="2:10" x14ac:dyDescent="0.25">
      <c r="B86">
        <v>134300</v>
      </c>
      <c r="C86" s="122">
        <v>3</v>
      </c>
      <c r="I86" s="122">
        <v>42300</v>
      </c>
      <c r="J86">
        <v>1</v>
      </c>
    </row>
    <row r="87" spans="2:10" x14ac:dyDescent="0.25">
      <c r="B87">
        <v>135500</v>
      </c>
      <c r="C87" s="122">
        <v>3</v>
      </c>
      <c r="I87" s="122">
        <v>128000</v>
      </c>
      <c r="J87">
        <v>3</v>
      </c>
    </row>
    <row r="88" spans="2:10" x14ac:dyDescent="0.25">
      <c r="B88">
        <v>91500</v>
      </c>
      <c r="C88" s="122">
        <v>2</v>
      </c>
      <c r="I88" s="122">
        <v>43700</v>
      </c>
      <c r="J88">
        <v>1</v>
      </c>
    </row>
    <row r="89" spans="2:10" x14ac:dyDescent="0.25">
      <c r="B89">
        <v>46000</v>
      </c>
      <c r="C89" s="122">
        <v>1</v>
      </c>
      <c r="I89" s="122">
        <v>88200</v>
      </c>
      <c r="J89">
        <v>2</v>
      </c>
    </row>
    <row r="90" spans="2:10" x14ac:dyDescent="0.25">
      <c r="B90">
        <v>46900</v>
      </c>
      <c r="C90" s="122">
        <v>1</v>
      </c>
      <c r="I90" s="122">
        <v>90400</v>
      </c>
      <c r="J90">
        <v>2</v>
      </c>
    </row>
    <row r="91" spans="2:10" x14ac:dyDescent="0.25">
      <c r="B91">
        <v>47500</v>
      </c>
      <c r="C91" s="122">
        <v>1</v>
      </c>
      <c r="I91" s="122">
        <v>45800</v>
      </c>
      <c r="J91">
        <v>1</v>
      </c>
    </row>
    <row r="92" spans="2:10" x14ac:dyDescent="0.25">
      <c r="B92">
        <v>96500</v>
      </c>
      <c r="C92" s="122">
        <v>2</v>
      </c>
      <c r="I92" s="122">
        <v>184200</v>
      </c>
      <c r="J92">
        <v>4</v>
      </c>
    </row>
    <row r="93" spans="2:10" x14ac:dyDescent="0.25">
      <c r="B93">
        <v>48800</v>
      </c>
      <c r="C93" s="122">
        <v>1</v>
      </c>
      <c r="I93" s="122">
        <v>46500</v>
      </c>
      <c r="J93">
        <v>1</v>
      </c>
    </row>
    <row r="94" spans="2:10" x14ac:dyDescent="0.25">
      <c r="B94">
        <v>98200</v>
      </c>
      <c r="C94" s="122">
        <v>2</v>
      </c>
      <c r="I94" s="122">
        <v>94600</v>
      </c>
      <c r="J94">
        <v>2</v>
      </c>
    </row>
    <row r="95" spans="2:10" x14ac:dyDescent="0.25">
      <c r="B95">
        <v>50000</v>
      </c>
      <c r="C95" s="122">
        <v>1</v>
      </c>
      <c r="I95" s="122">
        <v>190400</v>
      </c>
      <c r="J95">
        <v>4</v>
      </c>
    </row>
    <row r="96" spans="2:10" x14ac:dyDescent="0.25">
      <c r="B96">
        <v>52100</v>
      </c>
      <c r="C96" s="122">
        <v>1</v>
      </c>
      <c r="I96" s="122">
        <v>101400</v>
      </c>
      <c r="J96">
        <v>2</v>
      </c>
    </row>
    <row r="97" spans="2:10" x14ac:dyDescent="0.25">
      <c r="B97">
        <v>52800</v>
      </c>
      <c r="C97" s="122">
        <v>1</v>
      </c>
      <c r="I97" s="122">
        <v>51200</v>
      </c>
      <c r="J97">
        <v>1</v>
      </c>
    </row>
    <row r="98" spans="2:10" x14ac:dyDescent="0.25">
      <c r="B98">
        <v>106800</v>
      </c>
      <c r="C98" s="122">
        <v>2</v>
      </c>
      <c r="I98" s="122">
        <v>51900</v>
      </c>
      <c r="J98">
        <v>1</v>
      </c>
    </row>
    <row r="99" spans="2:10" x14ac:dyDescent="0.25">
      <c r="B99">
        <v>53500</v>
      </c>
      <c r="C99" s="122">
        <v>1</v>
      </c>
      <c r="I99" s="122">
        <v>52200</v>
      </c>
      <c r="J99">
        <v>1</v>
      </c>
    </row>
    <row r="100" spans="2:10" x14ac:dyDescent="0.25">
      <c r="B100">
        <v>54300</v>
      </c>
      <c r="C100" s="122">
        <v>1</v>
      </c>
      <c r="I100" s="122">
        <v>210800</v>
      </c>
      <c r="J100">
        <v>4</v>
      </c>
    </row>
    <row r="101" spans="2:10" x14ac:dyDescent="0.25">
      <c r="B101">
        <v>165700</v>
      </c>
      <c r="C101" s="122">
        <v>3</v>
      </c>
      <c r="I101" s="122">
        <v>107500</v>
      </c>
      <c r="J101">
        <v>2</v>
      </c>
    </row>
    <row r="102" spans="2:10" x14ac:dyDescent="0.25">
      <c r="B102">
        <v>111500</v>
      </c>
      <c r="C102" s="122">
        <v>2</v>
      </c>
      <c r="I102" s="122">
        <v>54500</v>
      </c>
      <c r="J102">
        <v>1</v>
      </c>
    </row>
    <row r="103" spans="2:10" x14ac:dyDescent="0.25">
      <c r="B103">
        <v>169700</v>
      </c>
      <c r="C103" s="122">
        <v>3</v>
      </c>
      <c r="I103" s="122">
        <v>110200</v>
      </c>
      <c r="J103">
        <v>2</v>
      </c>
    </row>
    <row r="104" spans="2:10" x14ac:dyDescent="0.25">
      <c r="B104">
        <v>58400</v>
      </c>
      <c r="C104" s="122">
        <v>1</v>
      </c>
      <c r="I104" s="122">
        <v>112300</v>
      </c>
      <c r="J104">
        <v>2</v>
      </c>
    </row>
    <row r="105" spans="2:10" x14ac:dyDescent="0.25">
      <c r="B105">
        <v>117300</v>
      </c>
      <c r="C105" s="122">
        <v>2</v>
      </c>
      <c r="I105" s="122">
        <v>56600</v>
      </c>
      <c r="J105">
        <v>1</v>
      </c>
    </row>
    <row r="106" spans="2:10" x14ac:dyDescent="0.25">
      <c r="B106">
        <v>59700</v>
      </c>
      <c r="C106" s="122">
        <v>1</v>
      </c>
      <c r="I106" s="122">
        <v>115400</v>
      </c>
      <c r="J106">
        <v>2</v>
      </c>
    </row>
    <row r="107" spans="2:10" x14ac:dyDescent="0.25">
      <c r="B107">
        <v>180700</v>
      </c>
      <c r="C107" s="122">
        <v>3</v>
      </c>
      <c r="I107" s="122">
        <v>174700</v>
      </c>
      <c r="J107">
        <v>3</v>
      </c>
    </row>
    <row r="108" spans="2:10" x14ac:dyDescent="0.25">
      <c r="B108">
        <v>121000</v>
      </c>
      <c r="C108" s="122">
        <v>2</v>
      </c>
      <c r="I108" s="122">
        <v>60000</v>
      </c>
      <c r="J108">
        <v>1</v>
      </c>
    </row>
    <row r="109" spans="2:10" x14ac:dyDescent="0.25">
      <c r="B109">
        <v>61300</v>
      </c>
      <c r="C109" s="122">
        <v>1</v>
      </c>
      <c r="I109" s="122">
        <v>60600</v>
      </c>
      <c r="J109">
        <v>1</v>
      </c>
    </row>
    <row r="110" spans="2:10" x14ac:dyDescent="0.25">
      <c r="B110">
        <v>123300</v>
      </c>
      <c r="C110" s="122">
        <v>2</v>
      </c>
      <c r="I110" s="122">
        <v>432100</v>
      </c>
      <c r="J110">
        <v>7</v>
      </c>
    </row>
    <row r="111" spans="2:10" x14ac:dyDescent="0.25">
      <c r="B111">
        <v>62300</v>
      </c>
      <c r="C111" s="122">
        <v>1</v>
      </c>
      <c r="I111" s="122">
        <v>62200</v>
      </c>
      <c r="J111">
        <v>1</v>
      </c>
    </row>
    <row r="112" spans="2:10" x14ac:dyDescent="0.25">
      <c r="B112">
        <v>187900</v>
      </c>
      <c r="C112" s="122">
        <v>3</v>
      </c>
      <c r="I112" s="122">
        <v>62500</v>
      </c>
      <c r="J112">
        <v>1</v>
      </c>
    </row>
    <row r="113" spans="2:10" x14ac:dyDescent="0.25">
      <c r="B113">
        <v>126300</v>
      </c>
      <c r="C113" s="122">
        <v>2</v>
      </c>
      <c r="I113" s="122">
        <v>65200</v>
      </c>
      <c r="J113">
        <v>1</v>
      </c>
    </row>
    <row r="114" spans="2:10" x14ac:dyDescent="0.25">
      <c r="B114">
        <v>127400</v>
      </c>
      <c r="C114" s="122">
        <v>2</v>
      </c>
      <c r="I114" s="122">
        <v>198500</v>
      </c>
      <c r="J114">
        <v>3</v>
      </c>
    </row>
    <row r="115" spans="2:10" x14ac:dyDescent="0.25">
      <c r="B115">
        <v>258900</v>
      </c>
      <c r="C115" s="122">
        <v>4</v>
      </c>
      <c r="I115" s="122">
        <v>135700</v>
      </c>
      <c r="J115">
        <v>2</v>
      </c>
    </row>
    <row r="116" spans="2:10" x14ac:dyDescent="0.25">
      <c r="B116">
        <v>65100</v>
      </c>
      <c r="C116" s="122">
        <v>1</v>
      </c>
      <c r="I116" s="122">
        <v>136200</v>
      </c>
      <c r="J116">
        <v>2</v>
      </c>
    </row>
    <row r="117" spans="2:10" x14ac:dyDescent="0.25">
      <c r="B117">
        <v>65500</v>
      </c>
      <c r="C117" s="122">
        <v>1</v>
      </c>
      <c r="I117" s="122">
        <v>68600</v>
      </c>
      <c r="J117">
        <v>1</v>
      </c>
    </row>
    <row r="118" spans="2:10" x14ac:dyDescent="0.25">
      <c r="B118">
        <v>66100</v>
      </c>
      <c r="C118" s="122">
        <v>1</v>
      </c>
      <c r="I118" s="122">
        <v>69800</v>
      </c>
      <c r="J118">
        <v>1</v>
      </c>
    </row>
    <row r="119" spans="2:10" x14ac:dyDescent="0.25">
      <c r="B119">
        <v>66700</v>
      </c>
      <c r="C119" s="122">
        <v>1</v>
      </c>
      <c r="I119" s="122">
        <v>140400</v>
      </c>
      <c r="J119">
        <v>2</v>
      </c>
    </row>
    <row r="120" spans="2:10" x14ac:dyDescent="0.25">
      <c r="B120">
        <v>201700</v>
      </c>
      <c r="C120" s="122">
        <v>3</v>
      </c>
      <c r="I120" s="122">
        <v>70700</v>
      </c>
      <c r="J120">
        <v>1</v>
      </c>
    </row>
    <row r="121" spans="2:10" x14ac:dyDescent="0.25">
      <c r="B121">
        <v>67800</v>
      </c>
      <c r="C121" s="122">
        <v>1</v>
      </c>
      <c r="I121" s="122">
        <v>142000</v>
      </c>
      <c r="J121">
        <v>2</v>
      </c>
    </row>
    <row r="122" spans="2:10" x14ac:dyDescent="0.25">
      <c r="B122">
        <v>68100</v>
      </c>
      <c r="C122" s="122">
        <v>1</v>
      </c>
      <c r="I122" s="122">
        <v>72400</v>
      </c>
      <c r="J122">
        <v>1</v>
      </c>
    </row>
    <row r="123" spans="2:10" x14ac:dyDescent="0.25">
      <c r="B123">
        <v>69200</v>
      </c>
      <c r="C123" s="122">
        <v>1</v>
      </c>
      <c r="I123" s="122">
        <v>146600</v>
      </c>
      <c r="J123">
        <v>2</v>
      </c>
    </row>
    <row r="124" spans="2:10" x14ac:dyDescent="0.25">
      <c r="B124">
        <v>139600</v>
      </c>
      <c r="C124" s="122">
        <v>2</v>
      </c>
      <c r="I124" s="122">
        <v>148100</v>
      </c>
      <c r="J124">
        <v>2</v>
      </c>
    </row>
    <row r="125" spans="2:10" x14ac:dyDescent="0.25">
      <c r="B125">
        <v>141000</v>
      </c>
      <c r="C125" s="122">
        <v>2</v>
      </c>
      <c r="I125" s="122">
        <v>77100</v>
      </c>
      <c r="J125">
        <v>1</v>
      </c>
    </row>
    <row r="126" spans="2:10" x14ac:dyDescent="0.25">
      <c r="B126">
        <v>143000</v>
      </c>
      <c r="C126" s="122">
        <v>2</v>
      </c>
      <c r="I126" s="122">
        <v>79100</v>
      </c>
      <c r="J126">
        <v>1</v>
      </c>
    </row>
    <row r="127" spans="2:10" x14ac:dyDescent="0.25">
      <c r="B127">
        <v>72300</v>
      </c>
      <c r="C127" s="122">
        <v>1</v>
      </c>
      <c r="I127" s="122">
        <v>79500</v>
      </c>
      <c r="J127">
        <v>1</v>
      </c>
    </row>
    <row r="128" spans="2:10" x14ac:dyDescent="0.25">
      <c r="B128">
        <v>72600</v>
      </c>
      <c r="C128" s="122">
        <v>1</v>
      </c>
      <c r="I128" s="122">
        <v>81900</v>
      </c>
      <c r="J128">
        <v>1</v>
      </c>
    </row>
    <row r="129" spans="2:10" x14ac:dyDescent="0.25">
      <c r="B129">
        <v>73800</v>
      </c>
      <c r="C129" s="122">
        <v>1</v>
      </c>
      <c r="I129" s="122">
        <v>82300</v>
      </c>
      <c r="J129">
        <v>1</v>
      </c>
    </row>
    <row r="130" spans="2:10" x14ac:dyDescent="0.25">
      <c r="B130">
        <v>76900</v>
      </c>
      <c r="C130" s="122">
        <v>1</v>
      </c>
      <c r="I130" s="122">
        <v>165500</v>
      </c>
      <c r="J130">
        <v>2</v>
      </c>
    </row>
    <row r="131" spans="2:10" x14ac:dyDescent="0.25">
      <c r="B131">
        <v>77700</v>
      </c>
      <c r="C131" s="122">
        <v>1</v>
      </c>
      <c r="I131" s="122">
        <v>166400</v>
      </c>
      <c r="J131">
        <v>2</v>
      </c>
    </row>
    <row r="132" spans="2:10" x14ac:dyDescent="0.25">
      <c r="B132">
        <v>80100</v>
      </c>
      <c r="C132" s="122">
        <v>1</v>
      </c>
      <c r="I132" s="122">
        <v>85700</v>
      </c>
      <c r="J132">
        <v>1</v>
      </c>
    </row>
    <row r="133" spans="2:10" x14ac:dyDescent="0.25">
      <c r="B133">
        <v>80800</v>
      </c>
      <c r="C133" s="122">
        <v>1</v>
      </c>
      <c r="I133" s="122">
        <v>172800</v>
      </c>
      <c r="J133">
        <v>2</v>
      </c>
    </row>
    <row r="134" spans="2:10" x14ac:dyDescent="0.25">
      <c r="B134">
        <v>81500</v>
      </c>
      <c r="C134" s="122">
        <v>1</v>
      </c>
      <c r="I134" s="122">
        <v>87700</v>
      </c>
      <c r="J134">
        <v>1</v>
      </c>
    </row>
    <row r="135" spans="2:10" x14ac:dyDescent="0.25">
      <c r="B135">
        <v>167300</v>
      </c>
      <c r="C135" s="122">
        <v>2</v>
      </c>
      <c r="I135" s="122">
        <v>89700</v>
      </c>
      <c r="J135">
        <v>1</v>
      </c>
    </row>
    <row r="136" spans="2:10" x14ac:dyDescent="0.25">
      <c r="B136">
        <v>85300</v>
      </c>
      <c r="C136" s="122">
        <v>1</v>
      </c>
      <c r="I136" s="122">
        <v>181100</v>
      </c>
      <c r="J136">
        <v>2</v>
      </c>
    </row>
    <row r="137" spans="2:10" x14ac:dyDescent="0.25">
      <c r="B137">
        <v>86000</v>
      </c>
      <c r="C137" s="122">
        <v>1</v>
      </c>
      <c r="I137" s="122">
        <v>91100</v>
      </c>
      <c r="J137">
        <v>1</v>
      </c>
    </row>
    <row r="138" spans="2:10" x14ac:dyDescent="0.25">
      <c r="B138">
        <v>173600</v>
      </c>
      <c r="C138" s="122">
        <v>2</v>
      </c>
      <c r="I138" s="122">
        <v>92600</v>
      </c>
      <c r="J138">
        <v>1</v>
      </c>
    </row>
    <row r="139" spans="2:10" x14ac:dyDescent="0.25">
      <c r="B139">
        <v>87800</v>
      </c>
      <c r="C139" s="122">
        <v>1</v>
      </c>
      <c r="I139" s="122">
        <v>94200</v>
      </c>
      <c r="J139">
        <v>1</v>
      </c>
    </row>
    <row r="140" spans="2:10" x14ac:dyDescent="0.25">
      <c r="B140">
        <v>177300</v>
      </c>
      <c r="C140" s="122">
        <v>2</v>
      </c>
      <c r="I140" s="122">
        <v>191500</v>
      </c>
      <c r="J140">
        <v>2</v>
      </c>
    </row>
    <row r="141" spans="2:10" x14ac:dyDescent="0.25">
      <c r="B141">
        <v>91800</v>
      </c>
      <c r="C141" s="122">
        <v>1</v>
      </c>
      <c r="I141" s="122">
        <v>99300</v>
      </c>
      <c r="J141">
        <v>1</v>
      </c>
    </row>
    <row r="142" spans="2:10" x14ac:dyDescent="0.25">
      <c r="B142">
        <v>185300</v>
      </c>
      <c r="C142" s="122">
        <v>2</v>
      </c>
      <c r="I142" s="122">
        <v>3713000</v>
      </c>
      <c r="J142">
        <v>31</v>
      </c>
    </row>
    <row r="143" spans="2:10" x14ac:dyDescent="0.25">
      <c r="B143">
        <v>94300</v>
      </c>
      <c r="C143" s="122">
        <v>1</v>
      </c>
      <c r="I143" s="122">
        <v>2408200</v>
      </c>
      <c r="J143">
        <v>14</v>
      </c>
    </row>
    <row r="144" spans="2:10" x14ac:dyDescent="0.25">
      <c r="B144">
        <v>96900</v>
      </c>
      <c r="C144" s="122">
        <v>1</v>
      </c>
      <c r="I144" s="122">
        <v>939000</v>
      </c>
      <c r="J144">
        <v>4</v>
      </c>
    </row>
    <row r="145" spans="2:12" x14ac:dyDescent="0.25">
      <c r="B145">
        <v>97600</v>
      </c>
      <c r="C145" s="122">
        <v>1</v>
      </c>
      <c r="I145" s="122">
        <v>1312900</v>
      </c>
      <c r="J145">
        <v>5</v>
      </c>
    </row>
    <row r="146" spans="2:12" x14ac:dyDescent="0.25">
      <c r="B146">
        <v>98000</v>
      </c>
      <c r="C146" s="122">
        <v>1</v>
      </c>
      <c r="I146" s="122">
        <v>1607400</v>
      </c>
      <c r="J146">
        <v>5</v>
      </c>
    </row>
    <row r="147" spans="2:12" x14ac:dyDescent="0.25">
      <c r="B147">
        <v>3234400</v>
      </c>
      <c r="C147" s="122">
        <v>26</v>
      </c>
      <c r="I147" s="122">
        <v>724200</v>
      </c>
      <c r="J147">
        <v>2</v>
      </c>
    </row>
    <row r="148" spans="2:12" x14ac:dyDescent="0.25">
      <c r="B148">
        <v>689300</v>
      </c>
      <c r="C148" s="122">
        <v>4</v>
      </c>
      <c r="I148" s="122">
        <v>941600</v>
      </c>
      <c r="J148">
        <v>2</v>
      </c>
    </row>
    <row r="149" spans="2:12" x14ac:dyDescent="0.25">
      <c r="B149">
        <v>1133500</v>
      </c>
      <c r="C149" s="122">
        <v>5</v>
      </c>
      <c r="I149" s="122"/>
      <c r="L149">
        <f>SUM(J44:J150)</f>
        <v>352</v>
      </c>
    </row>
    <row r="150" spans="2:12" x14ac:dyDescent="0.25">
      <c r="B150">
        <v>1663400</v>
      </c>
      <c r="C150" s="122">
        <v>6</v>
      </c>
      <c r="I150" s="122"/>
      <c r="L150">
        <f>SUM(I44:I150)/SUM(J44:J150)</f>
        <v>66399.715909090912</v>
      </c>
    </row>
    <row r="151" spans="2:12" x14ac:dyDescent="0.25">
      <c r="B151">
        <v>341300</v>
      </c>
      <c r="C151" s="122">
        <v>1</v>
      </c>
    </row>
    <row r="152" spans="2:12" x14ac:dyDescent="0.25">
      <c r="B152">
        <v>410100</v>
      </c>
      <c r="C152" s="122">
        <v>1</v>
      </c>
      <c r="I152">
        <f>SUM(I4:I151)</f>
        <v>29292800</v>
      </c>
      <c r="J152">
        <f>SUM(J4:J151)</f>
        <v>2436</v>
      </c>
    </row>
    <row r="153" spans="2:12" x14ac:dyDescent="0.25">
      <c r="B153">
        <v>557900</v>
      </c>
      <c r="C153" s="122">
        <v>1</v>
      </c>
      <c r="E153">
        <f>SUM(C44:C153)</f>
        <v>254</v>
      </c>
      <c r="I153" s="122"/>
    </row>
    <row r="154" spans="2:12" x14ac:dyDescent="0.25">
      <c r="I154" s="122"/>
    </row>
    <row r="155" spans="2:12" x14ac:dyDescent="0.25">
      <c r="B155">
        <f>SUM(B4:B154)</f>
        <v>56487800</v>
      </c>
      <c r="C155">
        <f>SUM(C4:C154)</f>
        <v>13030</v>
      </c>
      <c r="E155">
        <f>SUM(B44:B153)</f>
        <v>17569100</v>
      </c>
      <c r="I155" s="122"/>
    </row>
    <row r="156" spans="2:12" x14ac:dyDescent="0.25">
      <c r="I156" s="122"/>
    </row>
    <row r="157" spans="2:12" x14ac:dyDescent="0.25">
      <c r="E157">
        <f>E155/E153</f>
        <v>69169.685039370073</v>
      </c>
      <c r="I157" s="122"/>
    </row>
    <row r="158" spans="2:12" x14ac:dyDescent="0.25">
      <c r="I158" s="122"/>
    </row>
    <row r="159" spans="2:12" x14ac:dyDescent="0.25">
      <c r="I159" s="122"/>
    </row>
    <row r="160" spans="2:12" x14ac:dyDescent="0.25">
      <c r="I160" s="122"/>
    </row>
    <row r="161" spans="2:9" x14ac:dyDescent="0.25">
      <c r="I161" s="122"/>
    </row>
    <row r="162" spans="2:9" x14ac:dyDescent="0.25">
      <c r="I162" s="122"/>
    </row>
    <row r="163" spans="2:9" x14ac:dyDescent="0.25">
      <c r="I163" s="122"/>
    </row>
    <row r="164" spans="2:9" x14ac:dyDescent="0.25">
      <c r="I164" s="122"/>
    </row>
    <row r="165" spans="2:9" x14ac:dyDescent="0.25">
      <c r="I165" s="122"/>
    </row>
    <row r="166" spans="2:9" x14ac:dyDescent="0.25">
      <c r="I166" s="122"/>
    </row>
    <row r="167" spans="2:9" x14ac:dyDescent="0.25">
      <c r="B167" s="202"/>
      <c r="I167" s="122"/>
    </row>
    <row r="168" spans="2:9" x14ac:dyDescent="0.25">
      <c r="I168" s="122"/>
    </row>
    <row r="169" spans="2:9" x14ac:dyDescent="0.25">
      <c r="I169" s="122"/>
    </row>
    <row r="170" spans="2:9" x14ac:dyDescent="0.25">
      <c r="I170" s="122"/>
    </row>
    <row r="171" spans="2:9" x14ac:dyDescent="0.25">
      <c r="I171" s="122"/>
    </row>
    <row r="172" spans="2:9" x14ac:dyDescent="0.25">
      <c r="I172" s="122"/>
    </row>
    <row r="173" spans="2:9" x14ac:dyDescent="0.25">
      <c r="I173" s="122"/>
    </row>
    <row r="174" spans="2:9" x14ac:dyDescent="0.25">
      <c r="I174" s="122"/>
    </row>
    <row r="175" spans="2:9" x14ac:dyDescent="0.25">
      <c r="I175" s="1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7"/>
  <sheetViews>
    <sheetView topLeftCell="A82" workbookViewId="0">
      <selection activeCell="L99" activeCellId="1" sqref="I99:J99 L99"/>
    </sheetView>
  </sheetViews>
  <sheetFormatPr defaultRowHeight="15" x14ac:dyDescent="0.25"/>
  <cols>
    <col min="3" max="4" width="11.140625" bestFit="1" customWidth="1"/>
    <col min="5" max="6" width="10.5703125" bestFit="1" customWidth="1"/>
    <col min="7" max="7" width="10" bestFit="1" customWidth="1"/>
    <col min="8" max="8" width="13.28515625" bestFit="1" customWidth="1"/>
    <col min="9" max="9" width="13.140625" bestFit="1" customWidth="1"/>
    <col min="10" max="10" width="9.28515625" bestFit="1" customWidth="1"/>
    <col min="11" max="11" width="13.28515625" bestFit="1" customWidth="1"/>
    <col min="12" max="12" width="11.5703125" bestFit="1" customWidth="1"/>
    <col min="13" max="13" width="11.28515625" customWidth="1"/>
    <col min="16" max="23" width="9.28515625" bestFit="1" customWidth="1"/>
  </cols>
  <sheetData>
    <row r="1" spans="1:24" x14ac:dyDescent="0.25">
      <c r="A1" s="212" t="s">
        <v>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212" t="s">
        <v>20</v>
      </c>
      <c r="O1" s="149"/>
      <c r="P1" s="149"/>
      <c r="Q1" s="149"/>
      <c r="R1" s="149"/>
      <c r="S1" s="149"/>
      <c r="T1" s="149"/>
      <c r="U1" s="149"/>
      <c r="V1" s="149"/>
      <c r="W1" s="149"/>
      <c r="X1" s="147"/>
    </row>
    <row r="2" spans="1:24" x14ac:dyDescent="0.25">
      <c r="A2" s="174"/>
      <c r="B2" s="149"/>
      <c r="C2" s="149"/>
      <c r="D2" s="149"/>
      <c r="E2" s="149"/>
      <c r="F2" s="149"/>
      <c r="G2" s="149"/>
      <c r="H2" s="149"/>
      <c r="I2" s="236"/>
      <c r="J2" s="149"/>
      <c r="K2" s="149"/>
      <c r="L2" s="149"/>
      <c r="M2" s="149"/>
      <c r="N2" s="237"/>
      <c r="O2" s="238"/>
      <c r="P2" s="238"/>
      <c r="Q2" s="238"/>
      <c r="R2" s="238"/>
      <c r="S2" s="238"/>
      <c r="T2" s="239"/>
      <c r="U2" s="238"/>
      <c r="V2" s="238"/>
      <c r="W2" s="238"/>
      <c r="X2" s="147"/>
    </row>
    <row r="3" spans="1:24" x14ac:dyDescent="0.25">
      <c r="A3" s="149"/>
      <c r="B3" s="149"/>
      <c r="C3" s="149"/>
      <c r="D3" s="149"/>
      <c r="E3" s="147"/>
      <c r="F3" s="147"/>
      <c r="G3" s="149"/>
      <c r="H3" s="149"/>
      <c r="I3" s="149"/>
      <c r="J3" s="149"/>
      <c r="K3" s="149"/>
      <c r="L3" s="149"/>
      <c r="M3" s="149"/>
      <c r="N3" s="240"/>
      <c r="O3" s="149"/>
      <c r="P3" s="149"/>
      <c r="Q3" s="147"/>
      <c r="R3" s="149"/>
      <c r="S3" s="149"/>
      <c r="T3" s="149"/>
      <c r="U3" s="149"/>
      <c r="V3" s="149"/>
      <c r="W3" s="149"/>
      <c r="X3" s="147"/>
    </row>
    <row r="4" spans="1:24" x14ac:dyDescent="0.25">
      <c r="A4" s="147"/>
      <c r="B4" s="175"/>
      <c r="C4" s="176"/>
      <c r="D4" s="176"/>
      <c r="E4" s="241"/>
      <c r="F4" s="241"/>
      <c r="G4" s="295"/>
      <c r="H4" s="296" t="s">
        <v>0</v>
      </c>
      <c r="I4" s="297"/>
      <c r="J4" s="244"/>
      <c r="K4" s="243" t="s">
        <v>1</v>
      </c>
      <c r="L4" s="244"/>
      <c r="M4" s="157"/>
      <c r="N4" s="147"/>
      <c r="O4" s="175"/>
      <c r="P4" s="176"/>
      <c r="Q4" s="241">
        <v>4.9000000000000004</v>
      </c>
      <c r="R4" s="242"/>
      <c r="S4" s="243" t="s">
        <v>0</v>
      </c>
      <c r="T4" s="244"/>
      <c r="U4" s="244"/>
      <c r="V4" s="243" t="s">
        <v>1</v>
      </c>
      <c r="W4" s="244"/>
      <c r="X4" s="147"/>
    </row>
    <row r="5" spans="1:24" x14ac:dyDescent="0.25">
      <c r="A5" s="176" t="s">
        <v>15</v>
      </c>
      <c r="B5" s="149"/>
      <c r="C5" s="147"/>
      <c r="D5" s="147"/>
      <c r="E5" s="284" t="s">
        <v>5</v>
      </c>
      <c r="F5" s="153" t="s">
        <v>5</v>
      </c>
      <c r="G5" s="298" t="s">
        <v>3</v>
      </c>
      <c r="H5" s="299" t="s">
        <v>4</v>
      </c>
      <c r="I5" s="299" t="s">
        <v>16</v>
      </c>
      <c r="J5" s="181" t="s">
        <v>3</v>
      </c>
      <c r="K5" s="180" t="s">
        <v>4</v>
      </c>
      <c r="L5" s="246" t="s">
        <v>16</v>
      </c>
      <c r="M5" s="148"/>
      <c r="N5" s="176" t="s">
        <v>15</v>
      </c>
      <c r="O5" s="149"/>
      <c r="P5" s="147"/>
      <c r="Q5" s="153" t="s">
        <v>5</v>
      </c>
      <c r="R5" s="245" t="s">
        <v>3</v>
      </c>
      <c r="S5" s="180" t="s">
        <v>4</v>
      </c>
      <c r="T5" s="180" t="s">
        <v>16</v>
      </c>
      <c r="U5" s="181" t="s">
        <v>3</v>
      </c>
      <c r="V5" s="180" t="s">
        <v>4</v>
      </c>
      <c r="W5" s="246" t="s">
        <v>16</v>
      </c>
      <c r="X5" s="147"/>
    </row>
    <row r="6" spans="1:24" x14ac:dyDescent="0.25">
      <c r="A6" s="219" t="s">
        <v>305</v>
      </c>
      <c r="B6" s="183"/>
      <c r="C6" s="278" t="s">
        <v>267</v>
      </c>
      <c r="D6" s="184" t="s">
        <v>268</v>
      </c>
      <c r="E6" s="285" t="s">
        <v>306</v>
      </c>
      <c r="F6" s="247" t="s">
        <v>307</v>
      </c>
      <c r="G6" s="300" t="s">
        <v>6</v>
      </c>
      <c r="H6" s="301"/>
      <c r="I6" s="302"/>
      <c r="J6" s="187" t="s">
        <v>6</v>
      </c>
      <c r="K6" s="186"/>
      <c r="L6" s="250"/>
      <c r="M6" s="183"/>
      <c r="N6" s="218"/>
      <c r="O6" s="183"/>
      <c r="P6" s="218" t="s">
        <v>5</v>
      </c>
      <c r="Q6" s="251" t="s">
        <v>17</v>
      </c>
      <c r="R6" s="248" t="s">
        <v>6</v>
      </c>
      <c r="S6" s="186" t="s">
        <v>7</v>
      </c>
      <c r="T6" s="249"/>
      <c r="U6" s="187" t="s">
        <v>6</v>
      </c>
      <c r="V6" s="186" t="s">
        <v>7</v>
      </c>
      <c r="W6" s="250"/>
      <c r="X6" s="147"/>
    </row>
    <row r="7" spans="1:24" x14ac:dyDescent="0.25">
      <c r="A7" s="147"/>
      <c r="B7" s="149"/>
      <c r="C7" s="279"/>
      <c r="D7" s="149"/>
      <c r="E7" s="283"/>
      <c r="F7" s="147"/>
      <c r="G7" s="293"/>
      <c r="H7" s="279"/>
      <c r="I7" s="303"/>
      <c r="J7" s="149"/>
      <c r="K7" s="149"/>
      <c r="L7" s="149"/>
      <c r="M7" s="149"/>
      <c r="N7" s="192" t="s">
        <v>8</v>
      </c>
      <c r="O7" s="149"/>
      <c r="P7" s="149"/>
      <c r="Q7" s="252"/>
      <c r="R7" s="149"/>
      <c r="S7" s="149"/>
      <c r="T7" s="149"/>
      <c r="U7" s="149"/>
      <c r="V7" s="149"/>
      <c r="W7" s="149"/>
      <c r="X7" s="147"/>
    </row>
    <row r="8" spans="1:24" x14ac:dyDescent="0.25">
      <c r="A8" s="190" t="s">
        <v>63</v>
      </c>
      <c r="B8" s="149"/>
      <c r="C8" s="280">
        <f>'Water Users'!C7</f>
        <v>290.08004574042309</v>
      </c>
      <c r="D8" s="224">
        <f>'Water Users'!D7</f>
        <v>327.82894736842104</v>
      </c>
      <c r="E8" s="286">
        <f>Rates!D4</f>
        <v>19.899999999999999</v>
      </c>
      <c r="F8" s="253">
        <f>Rates!D4</f>
        <v>19.899999999999999</v>
      </c>
      <c r="G8" s="304">
        <f>'Water Users'!E7</f>
        <v>1554.6666666666667</v>
      </c>
      <c r="H8" s="305">
        <f>G8*C8</f>
        <v>450977.77777777781</v>
      </c>
      <c r="I8" s="303">
        <f>G8*E8</f>
        <v>30937.866666666665</v>
      </c>
      <c r="J8" s="203">
        <f>'Water Users'!G7</f>
        <v>168.88888888888889</v>
      </c>
      <c r="K8" s="203">
        <f>J8*D8</f>
        <v>55366.666666666664</v>
      </c>
      <c r="L8" s="253">
        <f>J8*F8</f>
        <v>3360.8888888888887</v>
      </c>
      <c r="M8" s="253"/>
      <c r="N8" s="190" t="s">
        <v>63</v>
      </c>
      <c r="O8" s="149"/>
      <c r="P8" s="151"/>
      <c r="Q8" s="200">
        <f t="shared" ref="Q8:Q23" si="0">+E8</f>
        <v>19.899999999999999</v>
      </c>
      <c r="R8" s="152"/>
      <c r="S8" s="151"/>
      <c r="T8" s="254"/>
      <c r="U8" s="152"/>
      <c r="V8" s="151"/>
      <c r="W8" s="254"/>
      <c r="X8" s="147"/>
    </row>
    <row r="9" spans="1:24" x14ac:dyDescent="0.25">
      <c r="A9" s="190" t="s">
        <v>64</v>
      </c>
      <c r="B9" s="149"/>
      <c r="C9" s="281">
        <f>'W Usage'!J4</f>
        <v>1474.7889325420044</v>
      </c>
      <c r="D9" s="194">
        <f>'W Usage'!U4</f>
        <v>1373.2503888024883</v>
      </c>
      <c r="E9" s="286">
        <f>Rates!D$4+(((' Forecast - W'!C9-1000)/1000)*Rates!D$5)</f>
        <v>23.223522527794032</v>
      </c>
      <c r="F9" s="253">
        <f>Rates!D4+(((' Forecast - W'!D9-1000)/1000)*Rates!D5)</f>
        <v>22.512752721617417</v>
      </c>
      <c r="G9" s="304">
        <f>'Water Users'!E8</f>
        <v>1329.2222222222222</v>
      </c>
      <c r="H9" s="305">
        <f t="shared" ref="H9:H28" si="1">G9*C9</f>
        <v>1960322.222222222</v>
      </c>
      <c r="I9" s="303">
        <f t="shared" ref="I9:I28" si="2">G9*E9</f>
        <v>30869.222222222223</v>
      </c>
      <c r="J9" s="203">
        <f>'Water Users'!G8</f>
        <v>71.444444444444443</v>
      </c>
      <c r="K9" s="203">
        <f t="shared" ref="K9:K28" si="3">J9*D9</f>
        <v>98111.111111111109</v>
      </c>
      <c r="L9" s="253">
        <f t="shared" ref="L9:L28" si="4">J9*F9</f>
        <v>1608.411111111111</v>
      </c>
      <c r="M9" s="253"/>
      <c r="N9" s="190" t="s">
        <v>64</v>
      </c>
      <c r="O9" s="149"/>
      <c r="P9" s="151">
        <v>1500</v>
      </c>
      <c r="Q9" s="200">
        <f t="shared" si="0"/>
        <v>23.223522527794032</v>
      </c>
      <c r="R9" s="152">
        <v>3</v>
      </c>
      <c r="S9" s="151">
        <f t="shared" ref="S9:S23" si="5">(R9*P9)/1000</f>
        <v>4.5</v>
      </c>
      <c r="T9" s="254">
        <f>Q9*R9</f>
        <v>69.670567583382095</v>
      </c>
      <c r="U9" s="152"/>
      <c r="V9" s="151">
        <f t="shared" ref="V9:V23" si="6">(U9*P9)/1000</f>
        <v>0</v>
      </c>
      <c r="W9" s="254">
        <f>Q9*U9</f>
        <v>0</v>
      </c>
      <c r="X9" s="147"/>
    </row>
    <row r="10" spans="1:24" x14ac:dyDescent="0.25">
      <c r="A10" s="190" t="s">
        <v>65</v>
      </c>
      <c r="B10" s="149"/>
      <c r="C10" s="281">
        <f>'W Usage'!J5</f>
        <v>2442.3936613844871</v>
      </c>
      <c r="D10" s="194">
        <f>'W Usage'!U5</f>
        <v>2437.5375375375374</v>
      </c>
      <c r="E10" s="286">
        <f>Rates!D$4+(((' Forecast - W'!C10-1000)/1000)*Rates!D$5)</f>
        <v>29.996755629691407</v>
      </c>
      <c r="F10" s="253">
        <f>Rates!D$4+(((' Forecast - W'!D10-1000)/1000)*Rates!D$5)</f>
        <v>29.962762762762761</v>
      </c>
      <c r="G10" s="304">
        <f>'Water Users'!E9</f>
        <v>1332.2222222222222</v>
      </c>
      <c r="H10" s="305">
        <f t="shared" si="1"/>
        <v>3253811.111111111</v>
      </c>
      <c r="I10" s="303">
        <f t="shared" si="2"/>
        <v>39962.344444444439</v>
      </c>
      <c r="J10" s="203">
        <f>'Water Users'!G9</f>
        <v>37</v>
      </c>
      <c r="K10" s="203">
        <f t="shared" si="3"/>
        <v>90188.888888888891</v>
      </c>
      <c r="L10" s="253">
        <f t="shared" si="4"/>
        <v>1108.6222222222223</v>
      </c>
      <c r="M10" s="253"/>
      <c r="N10" s="190" t="s">
        <v>65</v>
      </c>
      <c r="O10" s="149"/>
      <c r="P10" s="151">
        <v>2500</v>
      </c>
      <c r="Q10" s="200">
        <f t="shared" si="0"/>
        <v>29.996755629691407</v>
      </c>
      <c r="R10" s="152">
        <v>3</v>
      </c>
      <c r="S10" s="151">
        <f t="shared" si="5"/>
        <v>7.5</v>
      </c>
      <c r="T10" s="254">
        <f t="shared" ref="T10:T25" si="7">Q9*R10</f>
        <v>69.670567583382095</v>
      </c>
      <c r="U10" s="152"/>
      <c r="V10" s="151">
        <f t="shared" si="6"/>
        <v>0</v>
      </c>
      <c r="W10" s="254">
        <f t="shared" ref="W10:W25" si="8">Q9*U10</f>
        <v>0</v>
      </c>
      <c r="X10" s="147"/>
    </row>
    <row r="11" spans="1:24" x14ac:dyDescent="0.25">
      <c r="A11" s="190" t="s">
        <v>66</v>
      </c>
      <c r="B11" s="149"/>
      <c r="C11" s="281">
        <f>'W Usage'!J6</f>
        <v>3419.2303648407105</v>
      </c>
      <c r="D11" s="194">
        <f>'W Usage'!U6</f>
        <v>3443.1279620853079</v>
      </c>
      <c r="E11" s="286">
        <f>Rates!D$4+(((' Forecast - W'!C11-1000)/1000)*Rates!D$5)</f>
        <v>36.834612553884973</v>
      </c>
      <c r="F11" s="253">
        <f>Rates!D$4+(((' Forecast - W'!D11-1000)/1000)*Rates!D$5)</f>
        <v>37.001895734597156</v>
      </c>
      <c r="G11" s="304">
        <f>'Water Users'!E10</f>
        <v>1056.7777777777778</v>
      </c>
      <c r="H11" s="305">
        <f t="shared" si="1"/>
        <v>3613366.6666666665</v>
      </c>
      <c r="I11" s="303">
        <f t="shared" si="2"/>
        <v>38926</v>
      </c>
      <c r="J11" s="203">
        <f>'Water Users'!G10</f>
        <v>23.444444444444443</v>
      </c>
      <c r="K11" s="203">
        <f t="shared" si="3"/>
        <v>80722.222222222219</v>
      </c>
      <c r="L11" s="253">
        <f t="shared" si="4"/>
        <v>867.48888888888882</v>
      </c>
      <c r="M11" s="253"/>
      <c r="N11" s="190" t="s">
        <v>66</v>
      </c>
      <c r="O11" s="149"/>
      <c r="P11" s="151">
        <v>3500</v>
      </c>
      <c r="Q11" s="200">
        <f t="shared" si="0"/>
        <v>36.834612553884973</v>
      </c>
      <c r="R11" s="152">
        <v>3</v>
      </c>
      <c r="S11" s="151">
        <f t="shared" si="5"/>
        <v>10.5</v>
      </c>
      <c r="T11" s="254">
        <f t="shared" si="7"/>
        <v>89.990266889074221</v>
      </c>
      <c r="U11" s="152"/>
      <c r="V11" s="151">
        <f t="shared" si="6"/>
        <v>0</v>
      </c>
      <c r="W11" s="254">
        <f t="shared" si="8"/>
        <v>0</v>
      </c>
      <c r="X11" s="147"/>
    </row>
    <row r="12" spans="1:24" x14ac:dyDescent="0.25">
      <c r="A12" s="190" t="s">
        <v>67</v>
      </c>
      <c r="B12" s="149"/>
      <c r="C12" s="281">
        <f>'W Usage'!J7</f>
        <v>4418.3109584764279</v>
      </c>
      <c r="D12" s="194">
        <f>'W Usage'!U7</f>
        <v>4408.333333333333</v>
      </c>
      <c r="E12" s="286">
        <f>Rates!D$4+(((' Forecast - W'!C12-1000)/1000)*Rates!D$5)</f>
        <v>43.828176709334997</v>
      </c>
      <c r="F12" s="253">
        <f>Rates!D$4+(((' Forecast - W'!D12-1000)/1000)*Rates!D$5)</f>
        <v>43.758333333333333</v>
      </c>
      <c r="G12" s="304">
        <f>'Water Users'!E11</f>
        <v>711.77777777777783</v>
      </c>
      <c r="H12" s="305">
        <f t="shared" si="1"/>
        <v>3144855.5555555555</v>
      </c>
      <c r="I12" s="303">
        <f t="shared" si="2"/>
        <v>31195.922222222223</v>
      </c>
      <c r="J12" s="203">
        <f>'Water Users'!G11</f>
        <v>20</v>
      </c>
      <c r="K12" s="203">
        <f t="shared" si="3"/>
        <v>88166.666666666657</v>
      </c>
      <c r="L12" s="253">
        <f t="shared" si="4"/>
        <v>875.16666666666663</v>
      </c>
      <c r="M12" s="253"/>
      <c r="N12" s="190" t="s">
        <v>67</v>
      </c>
      <c r="O12" s="149"/>
      <c r="P12" s="151">
        <v>4500</v>
      </c>
      <c r="Q12" s="200">
        <f t="shared" si="0"/>
        <v>43.828176709334997</v>
      </c>
      <c r="R12" s="152">
        <v>1</v>
      </c>
      <c r="S12" s="151">
        <f t="shared" si="5"/>
        <v>4.5</v>
      </c>
      <c r="T12" s="254">
        <f t="shared" si="7"/>
        <v>36.834612553884973</v>
      </c>
      <c r="U12" s="152"/>
      <c r="V12" s="151">
        <f t="shared" si="6"/>
        <v>0</v>
      </c>
      <c r="W12" s="254">
        <f t="shared" si="8"/>
        <v>0</v>
      </c>
      <c r="X12" s="147"/>
    </row>
    <row r="13" spans="1:24" x14ac:dyDescent="0.25">
      <c r="A13" s="190" t="s">
        <v>68</v>
      </c>
      <c r="B13" s="149"/>
      <c r="C13" s="281">
        <f>'W Usage'!J8</f>
        <v>5409.1162319574578</v>
      </c>
      <c r="D13" s="194">
        <f>'W Usage'!U8</f>
        <v>5381.294964028777</v>
      </c>
      <c r="E13" s="286">
        <f>Rates!D$4+(4*Rates!D$5)+(((' Forecast - W'!C13-5000)/1000)*Rates!D$6)</f>
        <v>50.456976449734107</v>
      </c>
      <c r="F13" s="253">
        <f>Rates!D$4+(4*Rates!D$5)+(((' Forecast - W'!D13-5000)/1000)*Rates!D$6)</f>
        <v>50.283093525179858</v>
      </c>
      <c r="G13" s="304">
        <f>'Water Users'!E12</f>
        <v>438.77777777777777</v>
      </c>
      <c r="H13" s="305">
        <f t="shared" si="1"/>
        <v>2373400</v>
      </c>
      <c r="I13" s="303">
        <f t="shared" si="2"/>
        <v>22139.399999999998</v>
      </c>
      <c r="J13" s="203">
        <f>'Water Users'!G12</f>
        <v>15.444444444444445</v>
      </c>
      <c r="K13" s="203">
        <f t="shared" si="3"/>
        <v>83111.111111111109</v>
      </c>
      <c r="L13" s="253">
        <f t="shared" si="4"/>
        <v>776.59444444444443</v>
      </c>
      <c r="M13" s="253"/>
      <c r="N13" s="190" t="s">
        <v>68</v>
      </c>
      <c r="O13" s="149"/>
      <c r="P13" s="151">
        <v>5500</v>
      </c>
      <c r="Q13" s="200">
        <f t="shared" si="0"/>
        <v>50.456976449734107</v>
      </c>
      <c r="R13" s="152">
        <v>1</v>
      </c>
      <c r="S13" s="151">
        <f t="shared" si="5"/>
        <v>5.5</v>
      </c>
      <c r="T13" s="254">
        <f t="shared" si="7"/>
        <v>43.828176709334997</v>
      </c>
      <c r="U13" s="152"/>
      <c r="V13" s="151">
        <f t="shared" si="6"/>
        <v>0</v>
      </c>
      <c r="W13" s="254">
        <f t="shared" si="8"/>
        <v>0</v>
      </c>
      <c r="X13" s="147"/>
    </row>
    <row r="14" spans="1:24" x14ac:dyDescent="0.25">
      <c r="A14" s="190" t="s">
        <v>69</v>
      </c>
      <c r="B14" s="149"/>
      <c r="C14" s="281">
        <f>'W Usage'!J9</f>
        <v>6418.0886122299526</v>
      </c>
      <c r="D14" s="194">
        <f>'W Usage'!U9</f>
        <v>6416.521739130435</v>
      </c>
      <c r="E14" s="286">
        <f>Rates!D$4+(4*Rates!D$5)+(((' Forecast - W'!C14-5000)/1000)*Rates!D$6)</f>
        <v>56.763053826437201</v>
      </c>
      <c r="F14" s="253">
        <f>Rates!D$4+(4*Rates!D$5)+(((' Forecast - W'!D14-5000)/1000)*Rates!D$6)</f>
        <v>56.753260869565217</v>
      </c>
      <c r="G14" s="304">
        <f>'Water Users'!E13</f>
        <v>303.44444444444446</v>
      </c>
      <c r="H14" s="305">
        <f t="shared" si="1"/>
        <v>1947533.3333333335</v>
      </c>
      <c r="I14" s="303">
        <f t="shared" si="2"/>
        <v>17224.433333333334</v>
      </c>
      <c r="J14" s="203">
        <f>'Water Users'!G13</f>
        <v>12.777777777777779</v>
      </c>
      <c r="K14" s="203">
        <f t="shared" si="3"/>
        <v>81988.888888888891</v>
      </c>
      <c r="L14" s="253">
        <f t="shared" si="4"/>
        <v>725.18055555555554</v>
      </c>
      <c r="M14" s="253"/>
      <c r="N14" s="190" t="s">
        <v>69</v>
      </c>
      <c r="O14" s="149"/>
      <c r="P14" s="151">
        <v>6500</v>
      </c>
      <c r="Q14" s="200">
        <f t="shared" si="0"/>
        <v>56.763053826437201</v>
      </c>
      <c r="R14" s="152">
        <v>1</v>
      </c>
      <c r="S14" s="151">
        <f t="shared" si="5"/>
        <v>6.5</v>
      </c>
      <c r="T14" s="254">
        <f t="shared" si="7"/>
        <v>50.456976449734107</v>
      </c>
      <c r="U14" s="152"/>
      <c r="V14" s="151">
        <f t="shared" si="6"/>
        <v>0</v>
      </c>
      <c r="W14" s="254">
        <f t="shared" si="8"/>
        <v>0</v>
      </c>
      <c r="X14" s="147"/>
    </row>
    <row r="15" spans="1:24" x14ac:dyDescent="0.25">
      <c r="A15" s="190" t="s">
        <v>70</v>
      </c>
      <c r="B15" s="149"/>
      <c r="C15" s="281">
        <f>'W Usage'!J10</f>
        <v>7421.6360403082399</v>
      </c>
      <c r="D15" s="194">
        <f>'W Usage'!U10</f>
        <v>7438.0952380952385</v>
      </c>
      <c r="E15" s="286">
        <f>Rates!D$4+(4*Rates!D$5)+(((' Forecast - W'!C15-5000)/1000)*Rates!D$6)</f>
        <v>63.035225251926498</v>
      </c>
      <c r="F15" s="253">
        <f>Rates!D$4+(4*Rates!D$5)+(((' Forecast - W'!D15-5000)/1000)*Rates!D$6)</f>
        <v>63.138095238095239</v>
      </c>
      <c r="G15" s="304">
        <f>'Water Users'!E14</f>
        <v>187.44444444444446</v>
      </c>
      <c r="H15" s="305">
        <f t="shared" si="1"/>
        <v>1391144.4444444447</v>
      </c>
      <c r="I15" s="303">
        <f t="shared" si="2"/>
        <v>11815.602777777778</v>
      </c>
      <c r="J15" s="203">
        <f>'Water Users'!G14</f>
        <v>9.3333333333333339</v>
      </c>
      <c r="K15" s="203">
        <f t="shared" si="3"/>
        <v>69422.222222222234</v>
      </c>
      <c r="L15" s="253">
        <f t="shared" si="4"/>
        <v>589.28888888888889</v>
      </c>
      <c r="M15" s="253"/>
      <c r="N15" s="190" t="s">
        <v>70</v>
      </c>
      <c r="O15" s="149"/>
      <c r="P15" s="151">
        <v>7500</v>
      </c>
      <c r="Q15" s="200">
        <f t="shared" si="0"/>
        <v>63.035225251926498</v>
      </c>
      <c r="R15" s="152">
        <v>1</v>
      </c>
      <c r="S15" s="151">
        <f t="shared" si="5"/>
        <v>7.5</v>
      </c>
      <c r="T15" s="254">
        <f t="shared" si="7"/>
        <v>56.763053826437201</v>
      </c>
      <c r="U15" s="152"/>
      <c r="V15" s="151">
        <f t="shared" si="6"/>
        <v>0</v>
      </c>
      <c r="W15" s="254">
        <f t="shared" si="8"/>
        <v>0</v>
      </c>
      <c r="X15" s="147"/>
    </row>
    <row r="16" spans="1:24" x14ac:dyDescent="0.25">
      <c r="A16" s="190" t="s">
        <v>71</v>
      </c>
      <c r="B16" s="149"/>
      <c r="C16" s="281">
        <f>'W Usage'!J11</f>
        <v>8422.2996515679442</v>
      </c>
      <c r="D16" s="194">
        <f>'W Usage'!U11</f>
        <v>8433.3333333333339</v>
      </c>
      <c r="E16" s="286">
        <f>Rates!D$4+(4*Rates!D$5)+(((' Forecast - W'!C16-5000)/1000)*Rates!D$6)</f>
        <v>69.289372822299654</v>
      </c>
      <c r="F16" s="253">
        <f>Rates!D$4+(4*Rates!D$5)+(((' Forecast - W'!D16-5000)/1000)*Rates!D$6)</f>
        <v>69.358333333333334</v>
      </c>
      <c r="G16" s="304">
        <f>'Water Users'!E15</f>
        <v>127.55555555555556</v>
      </c>
      <c r="H16" s="305">
        <f t="shared" si="1"/>
        <v>1074311.111111111</v>
      </c>
      <c r="I16" s="303">
        <f t="shared" si="2"/>
        <v>8838.2444444444445</v>
      </c>
      <c r="J16" s="203">
        <f>'Water Users'!G15</f>
        <v>6.666666666666667</v>
      </c>
      <c r="K16" s="203">
        <f t="shared" si="3"/>
        <v>56222.222222222226</v>
      </c>
      <c r="L16" s="253">
        <f t="shared" si="4"/>
        <v>462.38888888888891</v>
      </c>
      <c r="M16" s="253"/>
      <c r="N16" s="190" t="s">
        <v>71</v>
      </c>
      <c r="O16" s="149"/>
      <c r="P16" s="151">
        <v>8500</v>
      </c>
      <c r="Q16" s="200">
        <f t="shared" si="0"/>
        <v>69.289372822299654</v>
      </c>
      <c r="R16" s="152">
        <v>1</v>
      </c>
      <c r="S16" s="151">
        <f t="shared" si="5"/>
        <v>8.5</v>
      </c>
      <c r="T16" s="254">
        <f t="shared" si="7"/>
        <v>63.035225251926498</v>
      </c>
      <c r="U16" s="152"/>
      <c r="V16" s="151">
        <f t="shared" si="6"/>
        <v>0</v>
      </c>
      <c r="W16" s="254">
        <f t="shared" si="8"/>
        <v>0</v>
      </c>
      <c r="X16" s="147"/>
    </row>
    <row r="17" spans="1:24" x14ac:dyDescent="0.25">
      <c r="A17" s="190" t="s">
        <v>72</v>
      </c>
      <c r="B17" s="149"/>
      <c r="C17" s="281">
        <f>'W Usage'!J12</f>
        <v>9442.9463171036205</v>
      </c>
      <c r="D17" s="194">
        <f>'W Usage'!U12</f>
        <v>9340</v>
      </c>
      <c r="E17" s="286">
        <f>Rates!D$4+(4*Rates!D$5)+(((' Forecast - W'!C17-5000)/1000)*Rates!D$6)</f>
        <v>75.668414481897628</v>
      </c>
      <c r="F17" s="253">
        <f>Rates!D$4+(4*Rates!D$5)+(((' Forecast - W'!D17-5000)/1000)*Rates!D$6)</f>
        <v>75.025000000000006</v>
      </c>
      <c r="G17" s="304">
        <f>'Water Users'!E16</f>
        <v>89</v>
      </c>
      <c r="H17" s="305">
        <f t="shared" si="1"/>
        <v>840422.22222222225</v>
      </c>
      <c r="I17" s="303">
        <f t="shared" si="2"/>
        <v>6734.4888888888891</v>
      </c>
      <c r="J17" s="203">
        <f>'Water Users'!G16</f>
        <v>5.5555555555555554</v>
      </c>
      <c r="K17" s="203">
        <f t="shared" si="3"/>
        <v>51888.888888888891</v>
      </c>
      <c r="L17" s="253">
        <f t="shared" si="4"/>
        <v>416.8055555555556</v>
      </c>
      <c r="M17" s="253"/>
      <c r="N17" s="190" t="s">
        <v>72</v>
      </c>
      <c r="O17" s="149"/>
      <c r="P17" s="151">
        <v>9500</v>
      </c>
      <c r="Q17" s="200">
        <f t="shared" si="0"/>
        <v>75.668414481897628</v>
      </c>
      <c r="R17" s="152">
        <v>1</v>
      </c>
      <c r="S17" s="151">
        <f t="shared" si="5"/>
        <v>9.5</v>
      </c>
      <c r="T17" s="254">
        <f t="shared" si="7"/>
        <v>69.289372822299654</v>
      </c>
      <c r="U17" s="152"/>
      <c r="V17" s="151">
        <f t="shared" si="6"/>
        <v>0</v>
      </c>
      <c r="W17" s="254">
        <f t="shared" si="8"/>
        <v>0</v>
      </c>
      <c r="X17" s="147"/>
    </row>
    <row r="18" spans="1:24" x14ac:dyDescent="0.25">
      <c r="A18" s="190" t="s">
        <v>73</v>
      </c>
      <c r="B18" s="149"/>
      <c r="C18" s="281">
        <f>'W Usage'!J13</f>
        <v>10426.460481099657</v>
      </c>
      <c r="D18" s="194">
        <f>'W Usage'!U13</f>
        <v>10456.756756756757</v>
      </c>
      <c r="E18" s="286">
        <f>Rates!D$4+(4*Rates!D$5)+(5*Rates!D$6)+(((' Forecast - W'!C18-10000)/1000)*Rates!D$7)</f>
        <v>81.367594501718216</v>
      </c>
      <c r="F18" s="253">
        <f>Rates!D$4+(4*Rates!D$5)+(5*Rates!D$6)+(((' Forecast - W'!D18-10000)/1000)*Rates!D$7)</f>
        <v>81.525135135135145</v>
      </c>
      <c r="G18" s="304">
        <f>'Water Users'!E17</f>
        <v>64.666666666666671</v>
      </c>
      <c r="H18" s="305">
        <f t="shared" si="1"/>
        <v>674244.4444444445</v>
      </c>
      <c r="I18" s="303">
        <f t="shared" si="2"/>
        <v>5261.7711111111121</v>
      </c>
      <c r="J18" s="203">
        <f>'Water Users'!G17</f>
        <v>4.1111111111111107</v>
      </c>
      <c r="K18" s="203">
        <f t="shared" si="3"/>
        <v>42988.888888888883</v>
      </c>
      <c r="L18" s="253">
        <f t="shared" si="4"/>
        <v>335.1588888888889</v>
      </c>
      <c r="M18" s="253"/>
      <c r="N18" s="190" t="s">
        <v>73</v>
      </c>
      <c r="O18" s="149"/>
      <c r="P18" s="151">
        <v>10500</v>
      </c>
      <c r="Q18" s="200">
        <f t="shared" si="0"/>
        <v>81.367594501718216</v>
      </c>
      <c r="R18" s="152"/>
      <c r="S18" s="151">
        <f t="shared" si="5"/>
        <v>0</v>
      </c>
      <c r="T18" s="254">
        <f t="shared" si="7"/>
        <v>0</v>
      </c>
      <c r="U18" s="152"/>
      <c r="V18" s="151">
        <f t="shared" si="6"/>
        <v>0</v>
      </c>
      <c r="W18" s="254">
        <f t="shared" si="8"/>
        <v>0</v>
      </c>
      <c r="X18" s="147"/>
    </row>
    <row r="19" spans="1:24" x14ac:dyDescent="0.25">
      <c r="A19" s="190" t="s">
        <v>74</v>
      </c>
      <c r="B19" s="149"/>
      <c r="C19" s="281">
        <f>'W Usage'!J14</f>
        <v>11446.376811594202</v>
      </c>
      <c r="D19" s="194">
        <f>'W Usage'!U14</f>
        <v>11363.333333333334</v>
      </c>
      <c r="E19" s="286">
        <f>Rates!D$4+(4*Rates!D$5)+(5*Rates!D$6)+(((' Forecast - W'!C19-10000)/1000)*Rates!D$7)</f>
        <v>86.671159420289854</v>
      </c>
      <c r="F19" s="253">
        <f>Rates!D$4+(4*Rates!D$5)+(5*Rates!D$6)+(((' Forecast - W'!D19-10000)/1000)*Rates!D$7)</f>
        <v>86.239333333333349</v>
      </c>
      <c r="G19" s="304">
        <f>'Water Users'!E18</f>
        <v>46</v>
      </c>
      <c r="H19" s="305">
        <f t="shared" si="1"/>
        <v>526533.33333333326</v>
      </c>
      <c r="I19" s="303">
        <f t="shared" si="2"/>
        <v>3986.8733333333334</v>
      </c>
      <c r="J19" s="203">
        <f>'Water Users'!G18</f>
        <v>3.3333333333333335</v>
      </c>
      <c r="K19" s="203">
        <f t="shared" si="3"/>
        <v>37877.777777777781</v>
      </c>
      <c r="L19" s="253">
        <f t="shared" si="4"/>
        <v>287.4644444444445</v>
      </c>
      <c r="M19" s="253"/>
      <c r="N19" s="190" t="s">
        <v>74</v>
      </c>
      <c r="O19" s="149"/>
      <c r="P19" s="151">
        <v>11500</v>
      </c>
      <c r="Q19" s="200">
        <f t="shared" si="0"/>
        <v>86.671159420289854</v>
      </c>
      <c r="R19" s="152"/>
      <c r="S19" s="151">
        <f t="shared" si="5"/>
        <v>0</v>
      </c>
      <c r="T19" s="254">
        <f t="shared" si="7"/>
        <v>0</v>
      </c>
      <c r="U19" s="152"/>
      <c r="V19" s="151">
        <f t="shared" si="6"/>
        <v>0</v>
      </c>
      <c r="W19" s="254">
        <f t="shared" si="8"/>
        <v>0</v>
      </c>
      <c r="X19" s="147"/>
    </row>
    <row r="20" spans="1:24" x14ac:dyDescent="0.25">
      <c r="A20" s="190" t="s">
        <v>75</v>
      </c>
      <c r="B20" s="149"/>
      <c r="C20" s="281">
        <f>'W Usage'!J15</f>
        <v>12410.227272727272</v>
      </c>
      <c r="D20" s="194">
        <f>'W Usage'!U15</f>
        <v>12520</v>
      </c>
      <c r="E20" s="286">
        <f>Rates!D$4+(4*Rates!D$5)+(5*Rates!D$6)+(((' Forecast - W'!C20-10000)/1000)*Rates!D$7)</f>
        <v>91.683181818181822</v>
      </c>
      <c r="F20" s="253">
        <f>Rates!D$4+(4*Rates!D$5)+(5*Rates!D$6)+(((' Forecast - W'!D20-10000)/1000)*Rates!D$7)</f>
        <v>92.254000000000005</v>
      </c>
      <c r="G20" s="304">
        <f>'Water Users'!E19</f>
        <v>39.111111111111114</v>
      </c>
      <c r="H20" s="305">
        <f t="shared" si="1"/>
        <v>485377.77777777781</v>
      </c>
      <c r="I20" s="303">
        <f t="shared" si="2"/>
        <v>3585.8311111111116</v>
      </c>
      <c r="J20" s="203">
        <f>'Water Users'!G19</f>
        <v>2.2222222222222223</v>
      </c>
      <c r="K20" s="203">
        <f t="shared" si="3"/>
        <v>27822.222222222223</v>
      </c>
      <c r="L20" s="253">
        <f t="shared" si="4"/>
        <v>205.00888888888892</v>
      </c>
      <c r="M20" s="253"/>
      <c r="N20" s="190" t="s">
        <v>75</v>
      </c>
      <c r="O20" s="149"/>
      <c r="P20" s="151">
        <v>12500</v>
      </c>
      <c r="Q20" s="200">
        <f t="shared" si="0"/>
        <v>91.683181818181822</v>
      </c>
      <c r="R20" s="152"/>
      <c r="S20" s="151">
        <f t="shared" si="5"/>
        <v>0</v>
      </c>
      <c r="T20" s="254">
        <f t="shared" si="7"/>
        <v>0</v>
      </c>
      <c r="U20" s="152"/>
      <c r="V20" s="151">
        <f t="shared" si="6"/>
        <v>0</v>
      </c>
      <c r="W20" s="254">
        <f t="shared" si="8"/>
        <v>0</v>
      </c>
      <c r="X20" s="147"/>
    </row>
    <row r="21" spans="1:24" x14ac:dyDescent="0.25">
      <c r="A21" s="190" t="s">
        <v>76</v>
      </c>
      <c r="B21" s="149"/>
      <c r="C21" s="281">
        <f>'W Usage'!J16</f>
        <v>13432.931726907631</v>
      </c>
      <c r="D21" s="194">
        <f>'W Usage'!U16</f>
        <v>13518.75</v>
      </c>
      <c r="E21" s="286">
        <f>Rates!D$4+(4*Rates!D$5)+(5*Rates!D$6)+(((' Forecast - W'!C21-10000)/1000)*Rates!D$7)</f>
        <v>97.00124497991969</v>
      </c>
      <c r="F21" s="253">
        <f>Rates!D$4+(4*Rates!D$5)+(5*Rates!D$6)+(((' Forecast - W'!D21-10000)/1000)*Rates!D$7)</f>
        <v>97.447500000000005</v>
      </c>
      <c r="G21" s="304">
        <f>'Water Users'!E20</f>
        <v>27.666666666666668</v>
      </c>
      <c r="H21" s="305">
        <f t="shared" si="1"/>
        <v>371644.4444444445</v>
      </c>
      <c r="I21" s="303">
        <f t="shared" si="2"/>
        <v>2683.7011111111115</v>
      </c>
      <c r="J21" s="203">
        <f>'Water Users'!G20</f>
        <v>1.7777777777777777</v>
      </c>
      <c r="K21" s="203">
        <f t="shared" si="3"/>
        <v>24033.333333333332</v>
      </c>
      <c r="L21" s="253">
        <f t="shared" si="4"/>
        <v>173.24</v>
      </c>
      <c r="M21" s="253"/>
      <c r="N21" s="190" t="s">
        <v>76</v>
      </c>
      <c r="O21" s="149"/>
      <c r="P21" s="151">
        <v>13500</v>
      </c>
      <c r="Q21" s="200">
        <f t="shared" si="0"/>
        <v>97.00124497991969</v>
      </c>
      <c r="R21" s="152"/>
      <c r="S21" s="151">
        <f t="shared" si="5"/>
        <v>0</v>
      </c>
      <c r="T21" s="254">
        <f t="shared" si="7"/>
        <v>0</v>
      </c>
      <c r="U21" s="152"/>
      <c r="V21" s="151">
        <f t="shared" si="6"/>
        <v>0</v>
      </c>
      <c r="W21" s="254">
        <f t="shared" si="8"/>
        <v>0</v>
      </c>
      <c r="X21" s="147"/>
    </row>
    <row r="22" spans="1:24" x14ac:dyDescent="0.25">
      <c r="A22" s="190" t="s">
        <v>77</v>
      </c>
      <c r="B22" s="149"/>
      <c r="C22" s="281">
        <f>'W Usage'!J17</f>
        <v>14418.918918918918</v>
      </c>
      <c r="D22" s="194">
        <f>'W Usage'!U17</f>
        <v>14585.714285714286</v>
      </c>
      <c r="E22" s="286">
        <f>Rates!D$4+(4*Rates!D$5)+(5*Rates!D$6)+(((' Forecast - W'!C22-10000)/1000)*Rates!D$7)</f>
        <v>102.12837837837839</v>
      </c>
      <c r="F22" s="253">
        <f>Rates!D$4+(4*Rates!D$5)+(5*Rates!D$6)+(((' Forecast - W'!D22-10000)/1000)*Rates!D$7)</f>
        <v>102.9957142857143</v>
      </c>
      <c r="G22" s="304">
        <f>'Water Users'!E21</f>
        <v>24.666666666666668</v>
      </c>
      <c r="H22" s="305">
        <f t="shared" si="1"/>
        <v>355666.66666666669</v>
      </c>
      <c r="I22" s="303">
        <f t="shared" si="2"/>
        <v>2519.166666666667</v>
      </c>
      <c r="J22" s="203">
        <f>'Water Users'!G21</f>
        <v>0.77777777777777779</v>
      </c>
      <c r="K22" s="203">
        <f t="shared" si="3"/>
        <v>11344.444444444445</v>
      </c>
      <c r="L22" s="253">
        <f t="shared" si="4"/>
        <v>80.107777777777784</v>
      </c>
      <c r="M22" s="253"/>
      <c r="N22" s="190" t="s">
        <v>77</v>
      </c>
      <c r="O22" s="149"/>
      <c r="P22" s="151">
        <v>14500</v>
      </c>
      <c r="Q22" s="200">
        <f t="shared" si="0"/>
        <v>102.12837837837839</v>
      </c>
      <c r="R22" s="152"/>
      <c r="S22" s="151">
        <f t="shared" si="5"/>
        <v>0</v>
      </c>
      <c r="T22" s="254">
        <f t="shared" si="7"/>
        <v>0</v>
      </c>
      <c r="U22" s="152"/>
      <c r="V22" s="151">
        <f t="shared" si="6"/>
        <v>0</v>
      </c>
      <c r="W22" s="254">
        <f t="shared" si="8"/>
        <v>0</v>
      </c>
      <c r="X22" s="147"/>
    </row>
    <row r="23" spans="1:24" x14ac:dyDescent="0.25">
      <c r="A23" s="190" t="s">
        <v>78</v>
      </c>
      <c r="B23" s="149"/>
      <c r="C23" s="281">
        <f>'W Usage'!J18</f>
        <v>15431.012658227848</v>
      </c>
      <c r="D23" s="194">
        <f>'W Usage'!U18</f>
        <v>15422.222222222223</v>
      </c>
      <c r="E23" s="286">
        <f>Rates!D$4+(4*Rates!D$5)+(5*Rates!D$6)+(((' Forecast - W'!C23-10000)/1000)*Rates!D$7)</f>
        <v>107.39126582278482</v>
      </c>
      <c r="F23" s="253">
        <f>Rates!D$4+(4*Rates!D$5)+(5*Rates!D$6)+(((' Forecast - W'!D23-10000)/1000)*Rates!D$7)</f>
        <v>107.34555555555556</v>
      </c>
      <c r="G23" s="304">
        <f>'Water Users'!E22</f>
        <v>17.555555555555557</v>
      </c>
      <c r="H23" s="305">
        <f t="shared" si="1"/>
        <v>270900</v>
      </c>
      <c r="I23" s="303">
        <f t="shared" si="2"/>
        <v>1885.3133333333337</v>
      </c>
      <c r="J23" s="203">
        <f>'Water Users'!G22</f>
        <v>1</v>
      </c>
      <c r="K23" s="203">
        <f t="shared" si="3"/>
        <v>15422.222222222223</v>
      </c>
      <c r="L23" s="253">
        <f t="shared" si="4"/>
        <v>107.34555555555556</v>
      </c>
      <c r="M23" s="253"/>
      <c r="N23" s="190" t="s">
        <v>78</v>
      </c>
      <c r="O23" s="149"/>
      <c r="P23" s="151">
        <v>15500</v>
      </c>
      <c r="Q23" s="200">
        <f t="shared" si="0"/>
        <v>107.39126582278482</v>
      </c>
      <c r="R23" s="152"/>
      <c r="S23" s="151">
        <f t="shared" si="5"/>
        <v>0</v>
      </c>
      <c r="T23" s="254">
        <f t="shared" si="7"/>
        <v>0</v>
      </c>
      <c r="U23" s="152"/>
      <c r="V23" s="151">
        <f t="shared" si="6"/>
        <v>0</v>
      </c>
      <c r="W23" s="254">
        <f t="shared" si="8"/>
        <v>0</v>
      </c>
      <c r="X23" s="147"/>
    </row>
    <row r="24" spans="1:24" x14ac:dyDescent="0.25">
      <c r="A24" s="190" t="s">
        <v>79</v>
      </c>
      <c r="B24" s="149"/>
      <c r="C24" s="281">
        <f>'W Usage'!J19</f>
        <v>16455.797101449276</v>
      </c>
      <c r="D24" s="194">
        <f>'W Usage'!U19</f>
        <v>16391.666666666668</v>
      </c>
      <c r="E24" s="286">
        <f>Rates!D$4+(4*Rates!D$5)+(5*Rates!D$6)+(((' Forecast - W'!C24-10000)/1000)*Rates!D$7)</f>
        <v>112.72014492753624</v>
      </c>
      <c r="F24" s="253">
        <f>Rates!D$4+(4*Rates!D$5)+(5*Rates!D$6)+(((' Forecast - W'!D24-10000)/1000)*Rates!D$7)</f>
        <v>112.38666666666668</v>
      </c>
      <c r="G24" s="304">
        <f>'Water Users'!E23</f>
        <v>15.333333333333334</v>
      </c>
      <c r="H24" s="305">
        <f t="shared" si="1"/>
        <v>252322.22222222225</v>
      </c>
      <c r="I24" s="303">
        <f t="shared" si="2"/>
        <v>1728.3755555555558</v>
      </c>
      <c r="J24" s="203">
        <f>'Water Users'!G23</f>
        <v>1.3333333333333333</v>
      </c>
      <c r="K24" s="203">
        <f t="shared" si="3"/>
        <v>21855.555555555555</v>
      </c>
      <c r="L24" s="253">
        <f t="shared" si="4"/>
        <v>149.84888888888889</v>
      </c>
      <c r="M24" s="253"/>
      <c r="N24" s="190" t="s">
        <v>79</v>
      </c>
      <c r="O24" s="149"/>
      <c r="P24" s="151">
        <v>16500</v>
      </c>
      <c r="Q24" s="200">
        <f>+E24</f>
        <v>112.72014492753624</v>
      </c>
      <c r="R24" s="152"/>
      <c r="S24" s="151">
        <f>(R24*P24)/1000</f>
        <v>0</v>
      </c>
      <c r="T24" s="254">
        <f t="shared" si="7"/>
        <v>0</v>
      </c>
      <c r="U24" s="152"/>
      <c r="V24" s="151">
        <f>(U24*P24)/1000</f>
        <v>0</v>
      </c>
      <c r="W24" s="254">
        <f t="shared" si="8"/>
        <v>0</v>
      </c>
      <c r="X24" s="147"/>
    </row>
    <row r="25" spans="1:24" x14ac:dyDescent="0.25">
      <c r="A25" s="190" t="s">
        <v>80</v>
      </c>
      <c r="B25" s="149"/>
      <c r="C25" s="281">
        <f>'W Usage'!J20</f>
        <v>17453.333333333332</v>
      </c>
      <c r="D25" s="194">
        <f>'W Usage'!U20</f>
        <v>17433.333333333332</v>
      </c>
      <c r="E25" s="286">
        <f>Rates!D$4+(4*Rates!D$5)+(5*Rates!D$6)+(((' Forecast - W'!C25-10000)/1000)*Rates!D$7)</f>
        <v>117.90733333333333</v>
      </c>
      <c r="F25" s="253">
        <f>Rates!D$4+(4*Rates!D$5)+(5*Rates!D$6)+(((' Forecast - W'!D25-10000)/1000)*Rates!D$7)</f>
        <v>117.80333333333334</v>
      </c>
      <c r="G25" s="304">
        <f>'Water Users'!E24</f>
        <v>11.666666666666666</v>
      </c>
      <c r="H25" s="305">
        <f t="shared" si="1"/>
        <v>203622.22222222219</v>
      </c>
      <c r="I25" s="303">
        <f t="shared" si="2"/>
        <v>1375.5855555555554</v>
      </c>
      <c r="J25" s="203">
        <f>'Water Users'!G24</f>
        <v>0.66666666666666663</v>
      </c>
      <c r="K25" s="203">
        <f t="shared" si="3"/>
        <v>11622.222222222221</v>
      </c>
      <c r="L25" s="253">
        <f t="shared" si="4"/>
        <v>78.535555555555561</v>
      </c>
      <c r="M25" s="253"/>
      <c r="N25" s="190" t="s">
        <v>80</v>
      </c>
      <c r="O25" s="149"/>
      <c r="P25" s="151">
        <v>17500</v>
      </c>
      <c r="Q25" s="200">
        <f>+E25</f>
        <v>117.90733333333333</v>
      </c>
      <c r="R25" s="152"/>
      <c r="S25" s="151">
        <f>(R25*P25)/1000</f>
        <v>0</v>
      </c>
      <c r="T25" s="254">
        <f t="shared" si="7"/>
        <v>0</v>
      </c>
      <c r="U25" s="152"/>
      <c r="V25" s="151">
        <f>(U25*P25)/1000</f>
        <v>0</v>
      </c>
      <c r="W25" s="254">
        <f t="shared" si="8"/>
        <v>0</v>
      </c>
      <c r="X25" s="147"/>
    </row>
    <row r="26" spans="1:24" x14ac:dyDescent="0.25">
      <c r="A26" s="190" t="s">
        <v>81</v>
      </c>
      <c r="B26" s="149"/>
      <c r="C26" s="281">
        <f>'W Usage'!J21</f>
        <v>18402.127659574468</v>
      </c>
      <c r="D26" s="194">
        <f>'W Usage'!U21</f>
        <v>18520</v>
      </c>
      <c r="E26" s="286">
        <f>Rates!D$4+(4*Rates!D$5)+(5*Rates!D$6)+(((' Forecast - W'!C26-10000)/1000)*Rates!D$7)</f>
        <v>122.84106382978723</v>
      </c>
      <c r="F26" s="253">
        <f>Rates!D$4+(4*Rates!D$5)+(5*Rates!D$6)+(((' Forecast - W'!D26-10000)/1000)*Rates!D$7)</f>
        <v>123.45400000000001</v>
      </c>
      <c r="G26" s="304">
        <f>'Water Users'!E25</f>
        <v>10.444444444444445</v>
      </c>
      <c r="H26" s="305">
        <f t="shared" si="1"/>
        <v>192200</v>
      </c>
      <c r="I26" s="303">
        <f t="shared" si="2"/>
        <v>1283.0066666666667</v>
      </c>
      <c r="J26" s="203">
        <f>'Water Users'!G25</f>
        <v>0.55555555555555558</v>
      </c>
      <c r="K26" s="203">
        <f t="shared" si="3"/>
        <v>10288.888888888889</v>
      </c>
      <c r="L26" s="253">
        <f t="shared" si="4"/>
        <v>68.585555555555558</v>
      </c>
      <c r="M26" s="253"/>
      <c r="N26" s="190" t="s">
        <v>81</v>
      </c>
      <c r="O26" s="149"/>
      <c r="P26" s="151">
        <v>18500</v>
      </c>
      <c r="Q26" s="200">
        <f>+E26</f>
        <v>122.84106382978723</v>
      </c>
      <c r="R26" s="152"/>
      <c r="S26" s="151">
        <f>(R26*P26)/1000</f>
        <v>0</v>
      </c>
      <c r="T26" s="254">
        <f>Q25*R26</f>
        <v>0</v>
      </c>
      <c r="U26" s="152"/>
      <c r="V26" s="151">
        <f>(U26*P26)/1000</f>
        <v>0</v>
      </c>
      <c r="W26" s="254">
        <f>Q25*U26</f>
        <v>0</v>
      </c>
      <c r="X26" s="147"/>
    </row>
    <row r="27" spans="1:24" x14ac:dyDescent="0.25">
      <c r="A27" s="190" t="s">
        <v>82</v>
      </c>
      <c r="B27" s="149"/>
      <c r="C27" s="281">
        <f>'W Usage'!J22</f>
        <v>19451.807228915663</v>
      </c>
      <c r="D27" s="194">
        <f>'W Usage'!U22</f>
        <v>19600</v>
      </c>
      <c r="E27" s="286">
        <f>Rates!D$4+(4*Rates!D$5)+(5*Rates!D$6)+(((' Forecast - W'!C27-10000)/1000)*Rates!D$7)</f>
        <v>128.29939759036145</v>
      </c>
      <c r="F27" s="253">
        <f>Rates!D$4+(4*Rates!D$5)+(5*Rates!D$6)+(((' Forecast - W'!D27-10000)/1000)*Rates!D$7)</f>
        <v>129.07</v>
      </c>
      <c r="G27" s="304">
        <f>'Water Users'!E26</f>
        <v>9.2222222222222214</v>
      </c>
      <c r="H27" s="305">
        <f t="shared" si="1"/>
        <v>179388.88888888888</v>
      </c>
      <c r="I27" s="303">
        <f t="shared" si="2"/>
        <v>1183.2055555555555</v>
      </c>
      <c r="J27" s="203">
        <f>'Water Users'!G26</f>
        <v>1.3333333333333333</v>
      </c>
      <c r="K27" s="203">
        <f t="shared" si="3"/>
        <v>26133.333333333332</v>
      </c>
      <c r="L27" s="253">
        <f t="shared" si="4"/>
        <v>172.09333333333331</v>
      </c>
      <c r="M27" s="253"/>
      <c r="N27" s="190" t="s">
        <v>82</v>
      </c>
      <c r="O27" s="149"/>
      <c r="P27" s="151">
        <v>19500</v>
      </c>
      <c r="Q27" s="200">
        <f>+E28</f>
        <v>251.12341825902337</v>
      </c>
      <c r="R27" s="152"/>
      <c r="S27" s="151">
        <f>(R27*P27)/1000</f>
        <v>0</v>
      </c>
      <c r="T27" s="254">
        <f>Q26*R27</f>
        <v>0</v>
      </c>
      <c r="U27" s="152"/>
      <c r="V27" s="151">
        <f>(U27*P27)/1000</f>
        <v>0</v>
      </c>
      <c r="W27" s="254">
        <f>Q26*U27</f>
        <v>0</v>
      </c>
      <c r="X27" s="147"/>
    </row>
    <row r="28" spans="1:24" x14ac:dyDescent="0.25">
      <c r="A28" s="190" t="s">
        <v>83</v>
      </c>
      <c r="B28" s="149"/>
      <c r="C28" s="281">
        <f>'Water Users'!C27</f>
        <v>46117.622080679408</v>
      </c>
      <c r="D28" s="203">
        <f>'Water Users'!D27</f>
        <v>49666.875</v>
      </c>
      <c r="E28" s="286">
        <f>Rates!D$4+(4*Rates!D$5)+(5*Rates!D$6)+(15*Rates!D7)+(((' Forecast - W'!C28-25000)/1000)*Rates!D$8)</f>
        <v>251.12341825902337</v>
      </c>
      <c r="F28" s="253">
        <f>Rates!D$4+(4*Rates!D$5)+(5*Rates!D$6)+(15*Rates!D7)+(((' Forecast - W'!D28-25000)/1000)*Rates!D$8)</f>
        <v>266.91759375000004</v>
      </c>
      <c r="G28" s="304">
        <f>'Water Users'!E27</f>
        <v>104.66666666666667</v>
      </c>
      <c r="H28" s="305">
        <f t="shared" si="1"/>
        <v>4826977.777777778</v>
      </c>
      <c r="I28" s="303">
        <f t="shared" si="2"/>
        <v>26284.251111111113</v>
      </c>
      <c r="J28" s="203">
        <f>'Water Users'!G27</f>
        <v>17.777777777777779</v>
      </c>
      <c r="K28" s="203">
        <f t="shared" si="3"/>
        <v>882966.66666666674</v>
      </c>
      <c r="L28" s="253">
        <f t="shared" si="4"/>
        <v>4745.2016666666677</v>
      </c>
      <c r="M28" s="253"/>
      <c r="N28" s="190" t="s">
        <v>83</v>
      </c>
      <c r="O28" s="149"/>
      <c r="P28" s="151">
        <v>22150</v>
      </c>
      <c r="Q28" s="200" t="str">
        <f>+F30</f>
        <v>Subtotal</v>
      </c>
      <c r="R28" s="152"/>
      <c r="S28" s="151">
        <f>(R28*P28)/1000</f>
        <v>0</v>
      </c>
      <c r="T28" s="254"/>
      <c r="U28" s="152"/>
      <c r="V28" s="151">
        <f>(U28*P28)/1000</f>
        <v>0</v>
      </c>
      <c r="W28" s="254"/>
      <c r="X28" s="147"/>
    </row>
    <row r="29" spans="1:24" x14ac:dyDescent="0.25">
      <c r="A29" s="190"/>
      <c r="B29" s="149"/>
      <c r="C29" s="281"/>
      <c r="D29" s="203"/>
      <c r="E29" s="286"/>
      <c r="F29" s="253"/>
      <c r="G29" s="304"/>
      <c r="H29" s="305"/>
      <c r="I29" s="303"/>
      <c r="J29" s="203"/>
      <c r="K29" s="203"/>
      <c r="L29" s="253"/>
      <c r="M29" s="253"/>
      <c r="N29" s="190"/>
      <c r="O29" s="149"/>
      <c r="P29" s="151"/>
      <c r="Q29" s="200"/>
      <c r="R29" s="152"/>
      <c r="S29" s="151"/>
      <c r="T29" s="254"/>
      <c r="U29" s="152"/>
      <c r="V29" s="151"/>
      <c r="W29" s="254"/>
      <c r="X29" s="147"/>
    </row>
    <row r="30" spans="1:24" x14ac:dyDescent="0.25">
      <c r="A30" s="147"/>
      <c r="B30" s="149"/>
      <c r="C30" s="282"/>
      <c r="D30" s="255"/>
      <c r="E30" s="323"/>
      <c r="F30" s="324" t="s">
        <v>9</v>
      </c>
      <c r="G30" s="343">
        <f>SUM(G7:G28)</f>
        <v>7501.8888888888896</v>
      </c>
      <c r="H30" s="344">
        <f>SUM(H8:H28)</f>
        <v>28389022.222222224</v>
      </c>
      <c r="I30" s="345">
        <f>SUM(I8:I28)</f>
        <v>290420.60611111106</v>
      </c>
      <c r="J30" s="346">
        <f>SUM(J8:J28)</f>
        <v>405.44444444444434</v>
      </c>
      <c r="K30" s="347">
        <f>SUM(K8:K28)</f>
        <v>1867544.4444444445</v>
      </c>
      <c r="L30" s="348">
        <f>SUM(L8:L28)</f>
        <v>17193.426666666666</v>
      </c>
      <c r="M30" s="256"/>
      <c r="N30" s="147"/>
      <c r="O30" s="149"/>
      <c r="P30" s="147"/>
      <c r="Q30" s="193" t="s">
        <v>9</v>
      </c>
      <c r="R30" s="155">
        <f t="shared" ref="R30:W30" si="9">SUM(R8:R28)</f>
        <v>15</v>
      </c>
      <c r="S30" s="156">
        <f t="shared" si="9"/>
        <v>64.5</v>
      </c>
      <c r="T30" s="257">
        <f t="shared" si="9"/>
        <v>549.53881966945585</v>
      </c>
      <c r="U30" s="155">
        <f t="shared" si="9"/>
        <v>0</v>
      </c>
      <c r="V30" s="156">
        <f t="shared" si="9"/>
        <v>0</v>
      </c>
      <c r="W30" s="257">
        <f t="shared" si="9"/>
        <v>0</v>
      </c>
      <c r="X30" s="147"/>
    </row>
    <row r="31" spans="1:24" x14ac:dyDescent="0.25">
      <c r="A31" s="190" t="s">
        <v>18</v>
      </c>
      <c r="B31" s="149"/>
      <c r="C31" s="279"/>
      <c r="D31" s="149"/>
      <c r="E31" s="286">
        <f>Rates!D4+(((' Forecast - W'!H32-1000)/1000)*Rates!D5)</f>
        <v>39.389749248337452</v>
      </c>
      <c r="F31" s="253">
        <f>Rates!D4+(((' Forecast - W'!K32-1000)/1000)*Rates!D5)</f>
        <v>45.143162510276795</v>
      </c>
      <c r="G31" s="279"/>
      <c r="H31" s="279"/>
      <c r="I31" s="306"/>
      <c r="J31" s="149"/>
      <c r="K31" s="149"/>
      <c r="L31" s="259"/>
      <c r="M31" s="259"/>
      <c r="N31" s="190" t="s">
        <v>18</v>
      </c>
      <c r="O31" s="149"/>
      <c r="P31" s="149"/>
      <c r="Q31" s="260"/>
      <c r="R31" s="149"/>
      <c r="S31" s="149"/>
      <c r="T31" s="260"/>
      <c r="U31" s="149"/>
      <c r="V31" s="149"/>
      <c r="W31" s="149"/>
      <c r="X31" s="147"/>
    </row>
    <row r="32" spans="1:24" ht="15.75" thickBot="1" x14ac:dyDescent="0.3">
      <c r="A32" s="190" t="s">
        <v>10</v>
      </c>
      <c r="B32" s="149"/>
      <c r="C32" s="279"/>
      <c r="D32" s="149"/>
      <c r="E32" s="288"/>
      <c r="F32" s="158"/>
      <c r="G32" s="288"/>
      <c r="H32" s="307">
        <f>H30/G30</f>
        <v>3784.2498926196363</v>
      </c>
      <c r="I32" s="308"/>
      <c r="J32" s="158"/>
      <c r="K32" s="159">
        <f>K30/J30</f>
        <v>4606.1660728966854</v>
      </c>
      <c r="L32" s="261"/>
      <c r="M32" s="262"/>
      <c r="N32" s="190" t="s">
        <v>10</v>
      </c>
      <c r="O32" s="149"/>
      <c r="P32" s="149"/>
      <c r="Q32" s="158"/>
      <c r="R32" s="158"/>
      <c r="S32" s="159"/>
      <c r="T32" s="158"/>
      <c r="U32" s="158"/>
      <c r="V32" s="159"/>
      <c r="W32" s="158"/>
      <c r="X32" s="147"/>
    </row>
    <row r="33" spans="1:24" ht="15.75" thickTop="1" x14ac:dyDescent="0.25">
      <c r="A33" s="190"/>
      <c r="B33" s="149"/>
      <c r="C33" s="279"/>
      <c r="D33" s="149"/>
      <c r="E33" s="289"/>
      <c r="F33" s="157"/>
      <c r="G33" s="289"/>
      <c r="H33" s="309"/>
      <c r="I33" s="310"/>
      <c r="J33" s="157"/>
      <c r="K33" s="161"/>
      <c r="L33" s="262"/>
      <c r="M33" s="262"/>
      <c r="N33" s="190"/>
      <c r="O33" s="149"/>
      <c r="P33" s="149"/>
      <c r="Q33" s="157"/>
      <c r="R33" s="157"/>
      <c r="S33" s="161"/>
      <c r="T33" s="157"/>
      <c r="U33" s="157"/>
      <c r="V33" s="161"/>
      <c r="W33" s="157"/>
      <c r="X33" s="147"/>
    </row>
    <row r="34" spans="1:24" x14ac:dyDescent="0.25">
      <c r="A34" s="174" t="s">
        <v>278</v>
      </c>
      <c r="B34" s="149"/>
      <c r="C34" s="281"/>
      <c r="D34" s="151"/>
      <c r="E34" s="289"/>
      <c r="F34" s="157"/>
      <c r="G34" s="289"/>
      <c r="H34" s="309"/>
      <c r="I34" s="310"/>
      <c r="J34" s="157"/>
      <c r="K34" s="161"/>
      <c r="L34" s="262"/>
      <c r="M34" s="262"/>
      <c r="N34" s="190"/>
      <c r="O34" s="149"/>
      <c r="P34" s="149"/>
      <c r="Q34" s="157"/>
      <c r="R34" s="157"/>
      <c r="S34" s="161"/>
      <c r="T34" s="157"/>
      <c r="U34" s="157"/>
      <c r="V34" s="161"/>
      <c r="W34" s="157"/>
      <c r="X34" s="147"/>
    </row>
    <row r="35" spans="1:24" ht="15.75" thickBot="1" x14ac:dyDescent="0.3">
      <c r="A35" s="190" t="s">
        <v>63</v>
      </c>
      <c r="B35" s="149"/>
      <c r="C35" s="281">
        <f>'W Usage'!J110</f>
        <v>378.57142857142856</v>
      </c>
      <c r="D35" s="151">
        <f>'W Usage'!U110</f>
        <v>329.33333333333331</v>
      </c>
      <c r="E35" s="290">
        <f>Rates!$D11</f>
        <v>47.9</v>
      </c>
      <c r="F35" s="233">
        <f>Rates!$D$11</f>
        <v>47.9</v>
      </c>
      <c r="G35" s="289">
        <f>'Water Users'!E34</f>
        <v>1</v>
      </c>
      <c r="H35" s="309">
        <f>G35*C35</f>
        <v>378.57142857142856</v>
      </c>
      <c r="I35" s="290">
        <f>G35*E35</f>
        <v>47.9</v>
      </c>
      <c r="J35" s="157">
        <f>'Water Users'!G34</f>
        <v>6</v>
      </c>
      <c r="K35" s="161">
        <f>J35*D35</f>
        <v>1976</v>
      </c>
      <c r="L35" s="233">
        <f>J35*F35</f>
        <v>287.39999999999998</v>
      </c>
      <c r="M35" s="262"/>
      <c r="N35" s="192"/>
      <c r="O35" s="149"/>
      <c r="P35" s="149"/>
      <c r="Q35" s="198" t="s">
        <v>13</v>
      </c>
      <c r="R35" s="198">
        <f>+R30+R80+R87</f>
        <v>15</v>
      </c>
      <c r="S35" s="199">
        <f>+S30+S80+S87</f>
        <v>64.5</v>
      </c>
      <c r="T35" s="273">
        <f>+T30+T80+T87</f>
        <v>549.53881966945585</v>
      </c>
      <c r="U35" s="198">
        <f>+U30+U80+U87</f>
        <v>0</v>
      </c>
      <c r="V35" s="199">
        <f>+W30+V80+V87</f>
        <v>0</v>
      </c>
      <c r="W35" s="273">
        <f>W30+W80+W87</f>
        <v>0</v>
      </c>
      <c r="X35" s="147"/>
    </row>
    <row r="36" spans="1:24" ht="15.75" thickTop="1" x14ac:dyDescent="0.25">
      <c r="A36" s="190" t="s">
        <v>64</v>
      </c>
      <c r="B36" s="149"/>
      <c r="C36" s="281">
        <f>'W Usage'!J111</f>
        <v>1466.6666666666667</v>
      </c>
      <c r="D36" s="151">
        <f>'W Usage'!U111</f>
        <v>1492.1052631578948</v>
      </c>
      <c r="E36" s="290">
        <f>Rates!D11</f>
        <v>47.9</v>
      </c>
      <c r="F36" s="233">
        <f>Rates!$D$11</f>
        <v>47.9</v>
      </c>
      <c r="G36" s="289">
        <f>'Water Users'!E35</f>
        <v>3</v>
      </c>
      <c r="H36" s="309">
        <f t="shared" ref="H36:H42" si="10">G36*C36</f>
        <v>4400</v>
      </c>
      <c r="I36" s="290">
        <f t="shared" ref="I36:I42" si="11">G36*E36</f>
        <v>143.69999999999999</v>
      </c>
      <c r="J36" s="157">
        <f>'Water Users'!G35</f>
        <v>3</v>
      </c>
      <c r="K36" s="161">
        <f t="shared" ref="K36:K43" si="12">J36*D36</f>
        <v>4476.3157894736842</v>
      </c>
      <c r="L36" s="233">
        <f t="shared" ref="L36:L43" si="13">J36*F36</f>
        <v>143.69999999999999</v>
      </c>
      <c r="M36" s="262"/>
      <c r="N36" s="275"/>
      <c r="O36" s="147"/>
      <c r="P36" s="147"/>
      <c r="Q36" s="147"/>
      <c r="R36" s="147"/>
      <c r="S36" s="147"/>
      <c r="T36" s="150"/>
      <c r="U36" s="147"/>
      <c r="V36" s="147"/>
      <c r="W36" s="150"/>
      <c r="X36" s="147"/>
    </row>
    <row r="37" spans="1:24" x14ac:dyDescent="0.25">
      <c r="A37" s="190" t="s">
        <v>65</v>
      </c>
      <c r="B37" s="149"/>
      <c r="C37" s="281">
        <f>'W Usage'!J112</f>
        <v>2389.795918367347</v>
      </c>
      <c r="D37" s="151">
        <f>'W Usage'!U112</f>
        <v>2416</v>
      </c>
      <c r="E37" s="290">
        <f>Rates!D11</f>
        <v>47.9</v>
      </c>
      <c r="F37" s="233">
        <f>Rates!$D$11</f>
        <v>47.9</v>
      </c>
      <c r="G37" s="289">
        <f>'Water Users'!E36</f>
        <v>4</v>
      </c>
      <c r="H37" s="309">
        <f t="shared" si="10"/>
        <v>9559.1836734693879</v>
      </c>
      <c r="I37" s="290">
        <f t="shared" si="11"/>
        <v>191.6</v>
      </c>
      <c r="J37" s="157">
        <f>'Water Users'!G36</f>
        <v>2</v>
      </c>
      <c r="K37" s="161">
        <f t="shared" si="12"/>
        <v>4832</v>
      </c>
      <c r="L37" s="233">
        <f t="shared" si="13"/>
        <v>95.8</v>
      </c>
      <c r="M37" s="262"/>
      <c r="N37" s="174" t="s">
        <v>19</v>
      </c>
      <c r="O37" s="149"/>
      <c r="P37" s="149"/>
      <c r="Q37" s="149"/>
      <c r="R37" s="149"/>
      <c r="S37" s="149"/>
      <c r="T37" s="276">
        <f>T35*12</f>
        <v>6594.4658360334706</v>
      </c>
      <c r="U37" s="149"/>
      <c r="V37" s="149"/>
      <c r="W37" s="276">
        <f>W35*12</f>
        <v>0</v>
      </c>
      <c r="X37" s="147"/>
    </row>
    <row r="38" spans="1:24" x14ac:dyDescent="0.25">
      <c r="A38" s="190" t="s">
        <v>66</v>
      </c>
      <c r="B38" s="149"/>
      <c r="C38" s="281">
        <f>'W Usage'!J113</f>
        <v>3402.439024390244</v>
      </c>
      <c r="D38" s="151">
        <f>'W Usage'!U113</f>
        <v>3432.2580645161293</v>
      </c>
      <c r="E38" s="290">
        <f>Rates!D11</f>
        <v>47.9</v>
      </c>
      <c r="F38" s="233">
        <f>Rates!$D$11</f>
        <v>47.9</v>
      </c>
      <c r="G38" s="289">
        <f>'Water Users'!E37</f>
        <v>3</v>
      </c>
      <c r="H38" s="309">
        <f t="shared" si="10"/>
        <v>10207.317073170732</v>
      </c>
      <c r="I38" s="290">
        <f t="shared" si="11"/>
        <v>143.69999999999999</v>
      </c>
      <c r="J38" s="157">
        <f>'Water Users'!G37</f>
        <v>3</v>
      </c>
      <c r="K38" s="161">
        <f t="shared" si="12"/>
        <v>10296.774193548388</v>
      </c>
      <c r="L38" s="233">
        <f t="shared" si="13"/>
        <v>143.69999999999999</v>
      </c>
      <c r="M38" s="262"/>
      <c r="N38" s="190"/>
      <c r="O38" s="149"/>
      <c r="P38" s="149"/>
      <c r="Q38" s="157"/>
      <c r="R38" s="157"/>
      <c r="S38" s="161"/>
      <c r="T38" s="157"/>
      <c r="U38" s="157"/>
      <c r="V38" s="161"/>
      <c r="W38" s="157"/>
      <c r="X38" s="147"/>
    </row>
    <row r="39" spans="1:24" x14ac:dyDescent="0.25">
      <c r="A39" s="190" t="s">
        <v>67</v>
      </c>
      <c r="B39" s="149"/>
      <c r="C39" s="281">
        <f>'W Usage'!J114</f>
        <v>4522.2222222222226</v>
      </c>
      <c r="D39" s="151">
        <f>'W Usage'!U114</f>
        <v>4376.4705882352937</v>
      </c>
      <c r="E39" s="290">
        <f>Rates!D11</f>
        <v>47.9</v>
      </c>
      <c r="F39" s="233">
        <f>Rates!$D$11</f>
        <v>47.9</v>
      </c>
      <c r="G39" s="289">
        <f>'Water Users'!E38</f>
        <v>2</v>
      </c>
      <c r="H39" s="309">
        <f t="shared" si="10"/>
        <v>9044.4444444444453</v>
      </c>
      <c r="I39" s="290">
        <f t="shared" si="11"/>
        <v>95.8</v>
      </c>
      <c r="J39" s="157">
        <f>'Water Users'!G38</f>
        <v>3</v>
      </c>
      <c r="K39" s="161">
        <f t="shared" si="12"/>
        <v>13129.411764705881</v>
      </c>
      <c r="L39" s="233">
        <f t="shared" si="13"/>
        <v>143.69999999999999</v>
      </c>
      <c r="M39" s="262"/>
      <c r="N39" s="190"/>
      <c r="O39" s="149"/>
      <c r="P39" s="149"/>
      <c r="Q39" s="157"/>
      <c r="R39" s="157"/>
      <c r="S39" s="161"/>
      <c r="T39" s="157"/>
      <c r="U39" s="157"/>
      <c r="V39" s="161"/>
      <c r="W39" s="157"/>
      <c r="X39" s="147"/>
    </row>
    <row r="40" spans="1:24" x14ac:dyDescent="0.25">
      <c r="A40" s="190" t="s">
        <v>68</v>
      </c>
      <c r="B40" s="149"/>
      <c r="C40" s="281">
        <f>'W Usage'!J115</f>
        <v>5337.5</v>
      </c>
      <c r="D40" s="151">
        <f>'W Usage'!U115</f>
        <v>5550</v>
      </c>
      <c r="E40" s="290">
        <f>Rates!$D$11+(((' Forecast - W'!C40-5000)/1000)*Rates!$D$12)</f>
        <v>50.009374999999999</v>
      </c>
      <c r="F40" s="233">
        <f>Rates!D$11+(((' Forecast - W'!D40-5000)/1000)*Rates!D$12)</f>
        <v>51.337499999999999</v>
      </c>
      <c r="G40" s="289">
        <f>'Water Users'!E39</f>
        <v>1</v>
      </c>
      <c r="H40" s="309">
        <f t="shared" si="10"/>
        <v>5337.5</v>
      </c>
      <c r="I40" s="290">
        <f t="shared" si="11"/>
        <v>50.009374999999999</v>
      </c>
      <c r="J40" s="157">
        <f>'Water Users'!G39</f>
        <v>1</v>
      </c>
      <c r="K40" s="161">
        <f t="shared" si="12"/>
        <v>5550</v>
      </c>
      <c r="L40" s="233">
        <f t="shared" si="13"/>
        <v>51.337499999999999</v>
      </c>
      <c r="M40" s="262"/>
      <c r="N40" s="190"/>
      <c r="O40" s="149"/>
      <c r="P40" s="149"/>
      <c r="Q40" s="157"/>
      <c r="R40" s="157"/>
      <c r="S40" s="161"/>
      <c r="T40" s="157"/>
      <c r="U40" s="157"/>
      <c r="V40" s="161"/>
      <c r="W40" s="157"/>
      <c r="X40" s="147"/>
    </row>
    <row r="41" spans="1:24" x14ac:dyDescent="0.25">
      <c r="A41" s="190" t="s">
        <v>69</v>
      </c>
      <c r="B41" s="149"/>
      <c r="C41" s="281">
        <f>'W Usage'!J116</f>
        <v>6446.1538461538457</v>
      </c>
      <c r="D41" s="151">
        <f>'W Usage'!U116</f>
        <v>6535.2941176470586</v>
      </c>
      <c r="E41" s="290">
        <f>Rates!$D$11+(((' Forecast - W'!C41-5000)/1000)*Rates!$D$12)</f>
        <v>56.938461538461532</v>
      </c>
      <c r="F41" s="233">
        <f>Rates!D$11+(((' Forecast - W'!D41-5000)/1000)*Rates!D$12)</f>
        <v>57.495588235294115</v>
      </c>
      <c r="G41" s="289">
        <f>'Water Users'!E40</f>
        <v>1</v>
      </c>
      <c r="H41" s="309">
        <f t="shared" si="10"/>
        <v>6446.1538461538457</v>
      </c>
      <c r="I41" s="290">
        <f t="shared" si="11"/>
        <v>56.938461538461532</v>
      </c>
      <c r="J41" s="157">
        <f>'Water Users'!G40</f>
        <v>1</v>
      </c>
      <c r="K41" s="161">
        <f t="shared" si="12"/>
        <v>6535.2941176470586</v>
      </c>
      <c r="L41" s="233">
        <f t="shared" si="13"/>
        <v>57.495588235294115</v>
      </c>
      <c r="M41" s="262"/>
      <c r="N41" s="190"/>
      <c r="O41" s="149"/>
      <c r="P41" s="149"/>
      <c r="Q41" s="157"/>
      <c r="R41" s="157"/>
      <c r="S41" s="161"/>
      <c r="T41" s="157"/>
      <c r="U41" s="157"/>
      <c r="V41" s="161"/>
      <c r="W41" s="157"/>
      <c r="X41" s="147"/>
    </row>
    <row r="42" spans="1:24" x14ac:dyDescent="0.25">
      <c r="A42" s="190" t="s">
        <v>70</v>
      </c>
      <c r="B42" s="149"/>
      <c r="C42" s="281">
        <f>'W Usage'!J117</f>
        <v>7400</v>
      </c>
      <c r="D42" s="151">
        <f>'W Usage'!U117</f>
        <v>7453.8461538461543</v>
      </c>
      <c r="E42" s="290">
        <f>Rates!$D$11+(((' Forecast - W'!C42-5000)/1000)*Rates!$D$12)</f>
        <v>62.9</v>
      </c>
      <c r="F42" s="233">
        <f>Rates!D$11+(((' Forecast - W'!D42-5000)/1000)*Rates!D$12)</f>
        <v>63.236538461538466</v>
      </c>
      <c r="G42" s="289">
        <f>'Water Users'!E41</f>
        <v>1</v>
      </c>
      <c r="H42" s="309">
        <f t="shared" si="10"/>
        <v>7400</v>
      </c>
      <c r="I42" s="290">
        <f t="shared" si="11"/>
        <v>62.9</v>
      </c>
      <c r="J42" s="157">
        <f>'Water Users'!G41</f>
        <v>1</v>
      </c>
      <c r="K42" s="161">
        <f t="shared" si="12"/>
        <v>7453.8461538461543</v>
      </c>
      <c r="L42" s="233">
        <f t="shared" si="13"/>
        <v>63.236538461538466</v>
      </c>
      <c r="M42" s="262"/>
      <c r="N42" s="190"/>
      <c r="O42" s="149"/>
      <c r="P42" s="149"/>
      <c r="Q42" s="157"/>
      <c r="R42" s="157"/>
      <c r="S42" s="161"/>
      <c r="T42" s="157"/>
      <c r="U42" s="157"/>
      <c r="V42" s="161"/>
      <c r="W42" s="157"/>
      <c r="X42" s="147"/>
    </row>
    <row r="43" spans="1:24" x14ac:dyDescent="0.25">
      <c r="A43" s="190" t="s">
        <v>71</v>
      </c>
      <c r="B43" s="149"/>
      <c r="C43" s="281">
        <f>'W Usage'!J118</f>
        <v>8600</v>
      </c>
      <c r="D43" s="151">
        <f>'W Usage'!U118</f>
        <v>8475</v>
      </c>
      <c r="E43" s="290">
        <f>Rates!$D$11+(((' Forecast - W'!C43-5000)/1000)*Rates!$D$12)</f>
        <v>70.400000000000006</v>
      </c>
      <c r="F43" s="233">
        <f>Rates!D$11+(((' Forecast - W'!D43-5000)/1000)*Rates!D$12)</f>
        <v>69.618750000000006</v>
      </c>
      <c r="G43" s="289"/>
      <c r="H43" s="309"/>
      <c r="I43" s="290"/>
      <c r="J43" s="157">
        <f>'Water Users'!G42</f>
        <v>1</v>
      </c>
      <c r="K43" s="161">
        <f t="shared" si="12"/>
        <v>8475</v>
      </c>
      <c r="L43" s="233">
        <f t="shared" si="13"/>
        <v>69.618750000000006</v>
      </c>
      <c r="M43" s="262"/>
      <c r="N43" s="190"/>
      <c r="O43" s="149"/>
      <c r="P43" s="149"/>
      <c r="Q43" s="157"/>
      <c r="R43" s="157"/>
      <c r="S43" s="161"/>
      <c r="T43" s="157"/>
      <c r="U43" s="157"/>
      <c r="V43" s="161"/>
      <c r="W43" s="157"/>
      <c r="X43" s="147"/>
    </row>
    <row r="44" spans="1:24" x14ac:dyDescent="0.25">
      <c r="A44" s="190" t="s">
        <v>72</v>
      </c>
      <c r="B44" s="149"/>
      <c r="C44" s="281">
        <f>'W Usage'!J119</f>
        <v>9471.4285714285706</v>
      </c>
      <c r="D44" s="151">
        <f>'W Usage'!U119</f>
        <v>9225</v>
      </c>
      <c r="E44" s="290">
        <f>Rates!$D$11+(((' Forecast - W'!C44-5000)/1000)*Rates!$D$12)</f>
        <v>75.846428571428561</v>
      </c>
      <c r="F44" s="233">
        <f>Rates!D$11+(((' Forecast - W'!D44-5000)/1000)*Rates!D$12)</f>
        <v>74.306249999999991</v>
      </c>
      <c r="G44" s="289">
        <f>'Water Users'!E43</f>
        <v>1</v>
      </c>
      <c r="H44" s="309">
        <f t="shared" ref="H44:H46" si="14">G44*C44</f>
        <v>9471.4285714285706</v>
      </c>
      <c r="I44" s="290">
        <f t="shared" ref="I44:I46" si="15">G44*E44</f>
        <v>75.846428571428561</v>
      </c>
      <c r="J44" s="157"/>
      <c r="K44" s="161"/>
      <c r="L44" s="262"/>
      <c r="M44" s="262"/>
      <c r="N44" s="190"/>
      <c r="O44" s="149"/>
      <c r="P44" s="149"/>
      <c r="Q44" s="157"/>
      <c r="R44" s="157"/>
      <c r="S44" s="161"/>
      <c r="T44" s="157"/>
      <c r="U44" s="157"/>
      <c r="V44" s="161"/>
      <c r="W44" s="157"/>
      <c r="X44" s="147"/>
    </row>
    <row r="45" spans="1:24" x14ac:dyDescent="0.25">
      <c r="A45" s="190" t="s">
        <v>73</v>
      </c>
      <c r="B45" s="149"/>
      <c r="C45" s="281">
        <f>'W Usage'!J120</f>
        <v>10550</v>
      </c>
      <c r="D45" s="151">
        <f>'W Usage'!U120</f>
        <v>10357.142857142857</v>
      </c>
      <c r="E45" s="290">
        <f>Rates!D$11+(5*Rates!D$12)+(((' Forecast - W'!C45-10000)/1000)*Rates!D$13)</f>
        <v>82.01</v>
      </c>
      <c r="F45" s="233">
        <f>Rates!D$11+(5*Rates!D$12)+(((' Forecast - W'!D45-10000)/1000)*Rates!D$13)</f>
        <v>81.007142857142867</v>
      </c>
      <c r="G45" s="289">
        <f>'Water Users'!E44</f>
        <v>1</v>
      </c>
      <c r="H45" s="309">
        <f t="shared" si="14"/>
        <v>10550</v>
      </c>
      <c r="I45" s="290">
        <f t="shared" si="15"/>
        <v>82.01</v>
      </c>
      <c r="J45" s="157">
        <f>'Water Users'!G44</f>
        <v>1</v>
      </c>
      <c r="K45" s="161">
        <f>J45*D45</f>
        <v>10357.142857142857</v>
      </c>
      <c r="L45" s="233">
        <f>J45*F45</f>
        <v>81.007142857142867</v>
      </c>
      <c r="M45" s="262"/>
      <c r="N45" s="190"/>
      <c r="O45" s="149"/>
      <c r="P45" s="149"/>
      <c r="Q45" s="157"/>
      <c r="R45" s="157"/>
      <c r="S45" s="161"/>
      <c r="T45" s="157"/>
      <c r="U45" s="157"/>
      <c r="V45" s="161"/>
      <c r="W45" s="157"/>
      <c r="X45" s="147"/>
    </row>
    <row r="46" spans="1:24" x14ac:dyDescent="0.25">
      <c r="A46" s="190" t="s">
        <v>74</v>
      </c>
      <c r="B46" s="150"/>
      <c r="C46" s="281">
        <f>'W Usage'!J121</f>
        <v>11490.90909090909</v>
      </c>
      <c r="D46" s="151">
        <f>'W Usage'!U121</f>
        <v>11650</v>
      </c>
      <c r="E46" s="290">
        <f>Rates!D$11+(5*Rates!D$12)+(((' Forecast - W'!C46-10000)/1000)*Rates!D$13)</f>
        <v>86.902727272727276</v>
      </c>
      <c r="F46" s="233">
        <f>Rates!D$11+(5*Rates!D$12)+(((' Forecast - W'!D46-10000)/1000)*Rates!D$13)</f>
        <v>87.73</v>
      </c>
      <c r="G46" s="289">
        <f>'Water Users'!E45</f>
        <v>1</v>
      </c>
      <c r="H46" s="309">
        <f t="shared" si="14"/>
        <v>11490.90909090909</v>
      </c>
      <c r="I46" s="290">
        <f t="shared" si="15"/>
        <v>86.902727272727276</v>
      </c>
      <c r="J46" s="157"/>
      <c r="K46" s="161"/>
      <c r="L46" s="262"/>
      <c r="M46" s="262"/>
      <c r="N46" s="190"/>
      <c r="O46" s="149"/>
      <c r="P46" s="149"/>
      <c r="Q46" s="157"/>
      <c r="R46" s="157"/>
      <c r="S46" s="161"/>
      <c r="T46" s="157"/>
      <c r="U46" s="157"/>
      <c r="V46" s="161"/>
      <c r="W46" s="157"/>
      <c r="X46" s="147"/>
    </row>
    <row r="47" spans="1:24" x14ac:dyDescent="0.25">
      <c r="A47" s="190" t="s">
        <v>75</v>
      </c>
      <c r="B47" s="147"/>
      <c r="C47" s="281">
        <f>'W Usage'!J122</f>
        <v>12550</v>
      </c>
      <c r="D47" s="151">
        <f>'W Usage'!U122</f>
        <v>12450</v>
      </c>
      <c r="E47" s="290">
        <f>Rates!D$11+(5*Rates!D$12)+(((' Forecast - W'!C47-10000)/1000)*Rates!D$13)</f>
        <v>92.410000000000011</v>
      </c>
      <c r="F47" s="233">
        <f>Rates!D$11+(5*Rates!D$12)+(((' Forecast - W'!D47-10000)/1000)*Rates!D$13)</f>
        <v>91.890000000000015</v>
      </c>
      <c r="G47" s="289"/>
      <c r="H47" s="309"/>
      <c r="I47" s="290"/>
      <c r="J47" s="157"/>
      <c r="K47" s="161"/>
      <c r="L47" s="262"/>
      <c r="M47" s="262"/>
      <c r="N47" s="190"/>
      <c r="O47" s="149"/>
      <c r="P47" s="149"/>
      <c r="Q47" s="157"/>
      <c r="R47" s="157"/>
      <c r="S47" s="161"/>
      <c r="T47" s="157"/>
      <c r="U47" s="157"/>
      <c r="V47" s="161"/>
      <c r="W47" s="157"/>
      <c r="X47" s="147"/>
    </row>
    <row r="48" spans="1:24" x14ac:dyDescent="0.25">
      <c r="A48" s="190" t="s">
        <v>76</v>
      </c>
      <c r="B48" s="147"/>
      <c r="C48" s="281"/>
      <c r="D48" s="224">
        <v>13633</v>
      </c>
      <c r="E48" s="290"/>
      <c r="F48" s="233">
        <f>Rates!D$11+(5*Rates!D$12)+(((' Forecast - W'!D48-10000)/1000)*Rates!D$13)</f>
        <v>98.041600000000003</v>
      </c>
      <c r="G48" s="289"/>
      <c r="H48" s="309"/>
      <c r="I48" s="290"/>
      <c r="J48" s="157">
        <f>'Water Users'!G47</f>
        <v>1</v>
      </c>
      <c r="K48" s="161">
        <f t="shared" ref="K48:K51" si="16">J48*D48</f>
        <v>13633</v>
      </c>
      <c r="L48" s="233">
        <f t="shared" ref="L48:L51" si="17">J48*F48</f>
        <v>98.041600000000003</v>
      </c>
      <c r="M48" s="262"/>
      <c r="N48" s="190"/>
      <c r="O48" s="149"/>
      <c r="P48" s="149"/>
      <c r="Q48" s="157"/>
      <c r="R48" s="157"/>
      <c r="S48" s="161"/>
      <c r="T48" s="157"/>
      <c r="U48" s="157"/>
      <c r="V48" s="161"/>
      <c r="W48" s="157"/>
      <c r="X48" s="147"/>
    </row>
    <row r="49" spans="1:24" x14ac:dyDescent="0.25">
      <c r="A49" s="190" t="s">
        <v>78</v>
      </c>
      <c r="B49" s="147"/>
      <c r="C49" s="281"/>
      <c r="D49" s="224">
        <v>15550</v>
      </c>
      <c r="E49" s="290"/>
      <c r="F49" s="233">
        <f>Rates!D$11+(5*Rates!D$12)+(((' Forecast - W'!D49-10000)/1000)*Rates!D$13)</f>
        <v>108.01</v>
      </c>
      <c r="G49" s="289"/>
      <c r="H49" s="309"/>
      <c r="I49" s="290"/>
      <c r="J49" s="157">
        <f>'Water Users'!G48</f>
        <v>1</v>
      </c>
      <c r="K49" s="161">
        <f t="shared" si="16"/>
        <v>15550</v>
      </c>
      <c r="L49" s="233">
        <f t="shared" si="17"/>
        <v>108.01</v>
      </c>
      <c r="M49" s="262"/>
      <c r="N49" s="190"/>
      <c r="O49" s="149"/>
      <c r="P49" s="149"/>
      <c r="Q49" s="157"/>
      <c r="R49" s="157"/>
      <c r="S49" s="161"/>
      <c r="T49" s="157"/>
      <c r="U49" s="157"/>
      <c r="V49" s="161"/>
      <c r="W49" s="157"/>
      <c r="X49" s="147"/>
    </row>
    <row r="50" spans="1:24" x14ac:dyDescent="0.25">
      <c r="A50" s="190" t="s">
        <v>80</v>
      </c>
      <c r="B50" s="147"/>
      <c r="C50" s="281"/>
      <c r="D50" s="224">
        <v>17357</v>
      </c>
      <c r="E50" s="290"/>
      <c r="F50" s="233">
        <f>Rates!D$11+(5*Rates!D$12)+(((' Forecast - W'!D50-10000)/1000)*Rates!D$13)</f>
        <v>117.4064</v>
      </c>
      <c r="G50" s="289"/>
      <c r="H50" s="309"/>
      <c r="I50" s="290"/>
      <c r="J50" s="157">
        <f>'Water Users'!G49</f>
        <v>2</v>
      </c>
      <c r="K50" s="161">
        <f t="shared" si="16"/>
        <v>34714</v>
      </c>
      <c r="L50" s="233">
        <f t="shared" si="17"/>
        <v>234.81280000000001</v>
      </c>
      <c r="M50" s="262"/>
      <c r="N50" s="190"/>
      <c r="O50" s="149"/>
      <c r="P50" s="149"/>
      <c r="Q50" s="157"/>
      <c r="R50" s="157"/>
      <c r="S50" s="161"/>
      <c r="T50" s="157"/>
      <c r="U50" s="157"/>
      <c r="V50" s="161"/>
      <c r="W50" s="157"/>
      <c r="X50" s="147"/>
    </row>
    <row r="51" spans="1:24" x14ac:dyDescent="0.25">
      <c r="A51" s="190" t="s">
        <v>83</v>
      </c>
      <c r="B51" s="147"/>
      <c r="C51" s="281">
        <v>94520</v>
      </c>
      <c r="D51" s="224">
        <v>36470</v>
      </c>
      <c r="E51" s="290">
        <f>Rates!D11+(5*Rates!D12)+(15*Rates!D13)+(((' Forecast - W'!C51-25000)/1000)*Rates!D14)</f>
        <v>466.51400000000001</v>
      </c>
      <c r="F51" s="233">
        <f>Rates!D11+(5*Rates!D12)+(15*Rates!D13)+(((' Forecast - W'!D51-25000)/1000)*Rates!D14)</f>
        <v>208.19150000000002</v>
      </c>
      <c r="G51" s="289">
        <f>'Water Users'!E50</f>
        <v>4</v>
      </c>
      <c r="H51" s="309">
        <f t="shared" ref="H51" si="18">G51*C51</f>
        <v>378080</v>
      </c>
      <c r="I51" s="290">
        <f>G51*E51</f>
        <v>1866.056</v>
      </c>
      <c r="J51" s="157">
        <f>'Water Users'!G50</f>
        <v>5</v>
      </c>
      <c r="K51" s="161">
        <f t="shared" si="16"/>
        <v>182350</v>
      </c>
      <c r="L51" s="233">
        <f t="shared" si="17"/>
        <v>1040.9575</v>
      </c>
      <c r="M51" s="262"/>
      <c r="N51" s="190"/>
      <c r="O51" s="149"/>
      <c r="P51" s="149"/>
      <c r="Q51" s="157"/>
      <c r="R51" s="157"/>
      <c r="S51" s="161"/>
      <c r="T51" s="157"/>
      <c r="U51" s="157"/>
      <c r="V51" s="161"/>
      <c r="W51" s="157"/>
      <c r="X51" s="147"/>
    </row>
    <row r="52" spans="1:24" x14ac:dyDescent="0.25">
      <c r="A52" s="190"/>
      <c r="B52" s="147"/>
      <c r="C52" s="281"/>
      <c r="D52" s="147"/>
      <c r="E52" s="289"/>
      <c r="F52" s="157"/>
      <c r="G52" s="289"/>
      <c r="H52" s="309"/>
      <c r="I52" s="310"/>
      <c r="J52" s="157"/>
      <c r="K52" s="161"/>
      <c r="L52" s="262"/>
      <c r="M52" s="262"/>
      <c r="N52" s="190"/>
      <c r="O52" s="149"/>
      <c r="P52" s="149"/>
      <c r="Q52" s="157"/>
      <c r="R52" s="157"/>
      <c r="S52" s="161"/>
      <c r="T52" s="157"/>
      <c r="U52" s="157"/>
      <c r="V52" s="161"/>
      <c r="W52" s="157"/>
      <c r="X52" s="147"/>
    </row>
    <row r="53" spans="1:24" x14ac:dyDescent="0.25">
      <c r="A53" s="190"/>
      <c r="B53" s="147"/>
      <c r="C53" s="281"/>
      <c r="D53" s="147"/>
      <c r="E53" s="289"/>
      <c r="F53" s="287" t="s">
        <v>9</v>
      </c>
      <c r="G53" s="325">
        <f>SUM(G35:G51)</f>
        <v>23</v>
      </c>
      <c r="H53" s="326">
        <f t="shared" ref="H53:L53" si="19">SUM(H35:H51)</f>
        <v>462365.50812814751</v>
      </c>
      <c r="I53" s="327">
        <f t="shared" si="19"/>
        <v>2903.3629923826174</v>
      </c>
      <c r="J53" s="329">
        <f t="shared" si="19"/>
        <v>31</v>
      </c>
      <c r="K53" s="329">
        <f t="shared" si="19"/>
        <v>319328.78487636405</v>
      </c>
      <c r="L53" s="330">
        <f t="shared" si="19"/>
        <v>2618.8174195539755</v>
      </c>
      <c r="M53" s="262"/>
      <c r="N53" s="190"/>
      <c r="O53" s="149"/>
      <c r="P53" s="149"/>
      <c r="Q53" s="157"/>
      <c r="R53" s="157"/>
      <c r="S53" s="161"/>
      <c r="T53" s="157"/>
      <c r="U53" s="157"/>
      <c r="V53" s="161"/>
      <c r="W53" s="157"/>
      <c r="X53" s="147"/>
    </row>
    <row r="54" spans="1:24" x14ac:dyDescent="0.25">
      <c r="A54" s="190"/>
      <c r="B54" s="147"/>
      <c r="C54" s="281"/>
      <c r="D54" s="147"/>
      <c r="E54" s="289"/>
      <c r="F54" s="157"/>
      <c r="G54" s="289"/>
      <c r="H54" s="309"/>
      <c r="I54" s="310"/>
      <c r="J54" s="157"/>
      <c r="K54" s="161"/>
      <c r="L54" s="262"/>
      <c r="M54" s="262"/>
      <c r="N54" s="190"/>
      <c r="O54" s="149"/>
      <c r="P54" s="149"/>
      <c r="Q54" s="157"/>
      <c r="R54" s="157"/>
      <c r="S54" s="161"/>
      <c r="T54" s="157"/>
      <c r="U54" s="157"/>
      <c r="V54" s="161"/>
      <c r="W54" s="157"/>
      <c r="X54" s="147"/>
    </row>
    <row r="55" spans="1:24" x14ac:dyDescent="0.25">
      <c r="A55" s="212" t="s">
        <v>281</v>
      </c>
      <c r="B55" s="147"/>
      <c r="C55" s="281"/>
      <c r="D55" s="147"/>
      <c r="E55" s="289"/>
      <c r="F55" s="157"/>
      <c r="G55" s="289"/>
      <c r="H55" s="309"/>
      <c r="I55" s="310"/>
      <c r="J55" s="157"/>
      <c r="K55" s="161"/>
      <c r="L55" s="262"/>
      <c r="M55" s="262"/>
      <c r="N55" s="190"/>
      <c r="O55" s="149"/>
      <c r="P55" s="149"/>
      <c r="Q55" s="157"/>
      <c r="R55" s="157"/>
      <c r="S55" s="161"/>
      <c r="T55" s="157"/>
      <c r="U55" s="157"/>
      <c r="V55" s="161"/>
      <c r="W55" s="157"/>
      <c r="X55" s="147"/>
    </row>
    <row r="56" spans="1:24" x14ac:dyDescent="0.25">
      <c r="A56" s="190" t="s">
        <v>63</v>
      </c>
      <c r="B56" s="147"/>
      <c r="C56" s="281">
        <f>'W Usage'!J160</f>
        <v>138.46153846153845</v>
      </c>
      <c r="D56" s="224">
        <f>'W Usage'!U160</f>
        <v>250</v>
      </c>
      <c r="E56" s="290">
        <f>Rates!$D$17</f>
        <v>79.150000000000006</v>
      </c>
      <c r="F56" s="290">
        <f>Rates!$D$17</f>
        <v>79.150000000000006</v>
      </c>
      <c r="G56" s="289">
        <f>'Water Users'!E55</f>
        <v>1</v>
      </c>
      <c r="H56" s="309">
        <f>G56*C56</f>
        <v>138.46153846153845</v>
      </c>
      <c r="I56" s="290">
        <f>G56*E56</f>
        <v>79.150000000000006</v>
      </c>
      <c r="J56" s="157">
        <f>'Water Users'!G55</f>
        <v>1</v>
      </c>
      <c r="K56" s="161">
        <f t="shared" ref="K56:K57" si="20">J56*D56</f>
        <v>250</v>
      </c>
      <c r="L56" s="233">
        <f>J56*F56</f>
        <v>79.150000000000006</v>
      </c>
      <c r="M56" s="262"/>
      <c r="N56" s="190"/>
      <c r="O56" s="149"/>
      <c r="P56" s="149"/>
      <c r="Q56" s="157"/>
      <c r="R56" s="157"/>
      <c r="S56" s="161"/>
      <c r="T56" s="157"/>
      <c r="U56" s="157"/>
      <c r="V56" s="161"/>
      <c r="W56" s="157"/>
      <c r="X56" s="147"/>
    </row>
    <row r="57" spans="1:24" x14ac:dyDescent="0.25">
      <c r="A57" s="190" t="s">
        <v>64</v>
      </c>
      <c r="B57" s="147"/>
      <c r="C57" s="281">
        <f>'W Usage'!J161</f>
        <v>1485.7142857142858</v>
      </c>
      <c r="D57" s="224">
        <f>'W Usage'!U161</f>
        <v>1216.6666666666667</v>
      </c>
      <c r="E57" s="290">
        <f>Rates!$D$17</f>
        <v>79.150000000000006</v>
      </c>
      <c r="F57" s="290">
        <f>Rates!$D$17</f>
        <v>79.150000000000006</v>
      </c>
      <c r="G57" s="289">
        <f>'Water Users'!E56</f>
        <v>1</v>
      </c>
      <c r="H57" s="309">
        <f t="shared" ref="H57:H60" si="21">G57*C57</f>
        <v>1485.7142857142858</v>
      </c>
      <c r="I57" s="290">
        <f t="shared" ref="I57:I60" si="22">G57*E57</f>
        <v>79.150000000000006</v>
      </c>
      <c r="J57" s="157">
        <f>'Water Users'!G56</f>
        <v>1</v>
      </c>
      <c r="K57" s="161">
        <f t="shared" si="20"/>
        <v>1216.6666666666667</v>
      </c>
      <c r="L57" s="233">
        <f>J57*F57</f>
        <v>79.150000000000006</v>
      </c>
      <c r="M57" s="262"/>
      <c r="N57" s="190"/>
      <c r="O57" s="149"/>
      <c r="P57" s="149"/>
      <c r="Q57" s="157"/>
      <c r="R57" s="157"/>
      <c r="S57" s="161"/>
      <c r="T57" s="157"/>
      <c r="U57" s="157"/>
      <c r="V57" s="161"/>
      <c r="W57" s="157"/>
      <c r="X57" s="147"/>
    </row>
    <row r="58" spans="1:24" x14ac:dyDescent="0.25">
      <c r="A58" s="190" t="s">
        <v>67</v>
      </c>
      <c r="B58" s="147"/>
      <c r="C58" s="281">
        <f>'W Usage'!J164</f>
        <v>4425</v>
      </c>
      <c r="D58" s="224"/>
      <c r="E58" s="290">
        <f>Rates!$D$17</f>
        <v>79.150000000000006</v>
      </c>
      <c r="F58" s="157"/>
      <c r="G58" s="289">
        <f>'Water Users'!E57</f>
        <v>1</v>
      </c>
      <c r="H58" s="309">
        <f t="shared" si="21"/>
        <v>4425</v>
      </c>
      <c r="I58" s="290">
        <f t="shared" si="22"/>
        <v>79.150000000000006</v>
      </c>
      <c r="J58" s="157"/>
      <c r="K58" s="161"/>
      <c r="L58" s="157"/>
      <c r="M58" s="262"/>
      <c r="N58" s="190"/>
      <c r="O58" s="149"/>
      <c r="P58" s="149"/>
      <c r="Q58" s="157"/>
      <c r="R58" s="157"/>
      <c r="S58" s="161"/>
      <c r="T58" s="157"/>
      <c r="U58" s="157"/>
      <c r="V58" s="161"/>
      <c r="W58" s="157"/>
      <c r="X58" s="147"/>
    </row>
    <row r="59" spans="1:24" x14ac:dyDescent="0.25">
      <c r="A59" s="190" t="s">
        <v>69</v>
      </c>
      <c r="B59" s="147"/>
      <c r="C59" s="281">
        <f>'W Usage'!J166</f>
        <v>6300</v>
      </c>
      <c r="D59" s="224"/>
      <c r="E59" s="290">
        <f>Rates!$D$17</f>
        <v>79.150000000000006</v>
      </c>
      <c r="F59" s="157"/>
      <c r="G59" s="289">
        <f>'Water Users'!E58</f>
        <v>1</v>
      </c>
      <c r="H59" s="309">
        <f t="shared" si="21"/>
        <v>6300</v>
      </c>
      <c r="I59" s="290">
        <f t="shared" si="22"/>
        <v>79.150000000000006</v>
      </c>
      <c r="J59" s="157"/>
      <c r="K59" s="161"/>
      <c r="L59" s="157"/>
      <c r="M59" s="262"/>
      <c r="N59" s="190"/>
      <c r="O59" s="149"/>
      <c r="P59" s="149"/>
      <c r="Q59" s="157"/>
      <c r="R59" s="157"/>
      <c r="S59" s="161"/>
      <c r="T59" s="157"/>
      <c r="U59" s="157"/>
      <c r="V59" s="161"/>
      <c r="W59" s="157"/>
      <c r="X59" s="147"/>
    </row>
    <row r="60" spans="1:24" x14ac:dyDescent="0.25">
      <c r="A60" s="190" t="s">
        <v>71</v>
      </c>
      <c r="B60" s="147"/>
      <c r="C60" s="281">
        <f>'W Usage'!J168</f>
        <v>8320</v>
      </c>
      <c r="D60" s="224"/>
      <c r="E60" s="290">
        <f>Rates!$D$17</f>
        <v>79.150000000000006</v>
      </c>
      <c r="F60" s="157"/>
      <c r="G60" s="289">
        <f>'Water Users'!E59</f>
        <v>1</v>
      </c>
      <c r="H60" s="309">
        <f t="shared" si="21"/>
        <v>8320</v>
      </c>
      <c r="I60" s="290">
        <f t="shared" si="22"/>
        <v>79.150000000000006</v>
      </c>
      <c r="J60" s="157"/>
      <c r="K60" s="161"/>
      <c r="L60" s="157"/>
      <c r="M60" s="262"/>
      <c r="N60" s="190"/>
      <c r="O60" s="149"/>
      <c r="P60" s="149"/>
      <c r="Q60" s="157"/>
      <c r="R60" s="157"/>
      <c r="S60" s="161"/>
      <c r="T60" s="157"/>
      <c r="U60" s="157"/>
      <c r="V60" s="161"/>
      <c r="W60" s="157"/>
      <c r="X60" s="147"/>
    </row>
    <row r="61" spans="1:24" x14ac:dyDescent="0.25">
      <c r="A61" s="190" t="s">
        <v>72</v>
      </c>
      <c r="B61" s="147"/>
      <c r="C61" s="281"/>
      <c r="D61" s="224">
        <f>'W Usage'!U169</f>
        <v>9100</v>
      </c>
      <c r="E61" s="290">
        <f>Rates!$D$17</f>
        <v>79.150000000000006</v>
      </c>
      <c r="F61" s="290">
        <f>Rates!$D$17</f>
        <v>79.150000000000006</v>
      </c>
      <c r="G61" s="289"/>
      <c r="H61" s="309"/>
      <c r="I61" s="289"/>
      <c r="J61" s="157">
        <f>'Water Users'!G60</f>
        <v>1</v>
      </c>
      <c r="K61" s="161">
        <f t="shared" ref="K61:K62" si="23">J61*D61</f>
        <v>9100</v>
      </c>
      <c r="L61" s="233">
        <f t="shared" ref="L61:L62" si="24">J61*F61</f>
        <v>79.150000000000006</v>
      </c>
      <c r="M61" s="262"/>
      <c r="N61" s="190"/>
      <c r="O61" s="149"/>
      <c r="P61" s="149"/>
      <c r="Q61" s="157"/>
      <c r="R61" s="157"/>
      <c r="S61" s="161"/>
      <c r="T61" s="157"/>
      <c r="U61" s="157"/>
      <c r="V61" s="161"/>
      <c r="W61" s="157"/>
      <c r="X61" s="147"/>
    </row>
    <row r="62" spans="1:24" x14ac:dyDescent="0.25">
      <c r="A62" s="190" t="s">
        <v>83</v>
      </c>
      <c r="B62" s="147"/>
      <c r="C62" s="281">
        <f>216816</f>
        <v>216816</v>
      </c>
      <c r="D62" s="224">
        <v>160100</v>
      </c>
      <c r="E62" s="290">
        <f>Rates!D17+(15*Rates!D18)+(((' Forecast - W'!C62-25000)/1000)*Rates!D19)</f>
        <v>1010.7312000000001</v>
      </c>
      <c r="F62" s="290">
        <f>Rates!D17+(15*Rates!D18)+(((' Forecast - W'!D62-25000)/1000)*Rates!D19)</f>
        <v>758.34500000000003</v>
      </c>
      <c r="G62" s="289">
        <f>'Water Users'!E61</f>
        <v>3</v>
      </c>
      <c r="H62" s="309">
        <f>G62*C62</f>
        <v>650448</v>
      </c>
      <c r="I62" s="290">
        <f>G62*E62</f>
        <v>3032.1936000000001</v>
      </c>
      <c r="J62" s="157">
        <f>'Water Users'!G61</f>
        <v>3</v>
      </c>
      <c r="K62" s="161">
        <f t="shared" si="23"/>
        <v>480300</v>
      </c>
      <c r="L62" s="233">
        <f t="shared" si="24"/>
        <v>2275.0349999999999</v>
      </c>
      <c r="M62" s="262"/>
      <c r="N62" s="190"/>
      <c r="O62" s="149"/>
      <c r="P62" s="149"/>
      <c r="Q62" s="157"/>
      <c r="R62" s="157"/>
      <c r="S62" s="161"/>
      <c r="T62" s="157"/>
      <c r="U62" s="157"/>
      <c r="V62" s="161"/>
      <c r="W62" s="157"/>
      <c r="X62" s="147"/>
    </row>
    <row r="63" spans="1:24" x14ac:dyDescent="0.25">
      <c r="A63" s="190"/>
      <c r="B63" s="147"/>
      <c r="C63" s="281"/>
      <c r="D63" s="147"/>
      <c r="E63" s="289"/>
      <c r="F63" s="157"/>
      <c r="G63" s="289"/>
      <c r="H63" s="309"/>
      <c r="I63" s="310"/>
      <c r="J63" s="157"/>
      <c r="K63" s="161"/>
      <c r="L63" s="262"/>
      <c r="M63" s="262"/>
      <c r="N63" s="190"/>
      <c r="O63" s="149"/>
      <c r="P63" s="149"/>
      <c r="Q63" s="157"/>
      <c r="R63" s="157"/>
      <c r="S63" s="161"/>
      <c r="T63" s="157"/>
      <c r="U63" s="157"/>
      <c r="V63" s="161"/>
      <c r="W63" s="157"/>
      <c r="X63" s="147"/>
    </row>
    <row r="64" spans="1:24" x14ac:dyDescent="0.25">
      <c r="A64" s="190"/>
      <c r="B64" s="147"/>
      <c r="C64" s="281"/>
      <c r="D64" s="147"/>
      <c r="E64" s="289"/>
      <c r="F64" s="287" t="s">
        <v>9</v>
      </c>
      <c r="G64" s="325">
        <f>SUM(G56:G62)</f>
        <v>8</v>
      </c>
      <c r="H64" s="326">
        <f t="shared" ref="H64:L64" si="25">SUM(H56:H62)</f>
        <v>671117.17582417582</v>
      </c>
      <c r="I64" s="327">
        <f t="shared" si="25"/>
        <v>3427.9436000000001</v>
      </c>
      <c r="J64" s="328">
        <f t="shared" si="25"/>
        <v>6</v>
      </c>
      <c r="K64" s="329">
        <f t="shared" si="25"/>
        <v>490866.66666666669</v>
      </c>
      <c r="L64" s="330">
        <f t="shared" si="25"/>
        <v>2512.4849999999997</v>
      </c>
      <c r="M64" s="262"/>
      <c r="N64" s="190"/>
      <c r="O64" s="149"/>
      <c r="P64" s="149"/>
      <c r="Q64" s="157"/>
      <c r="R64" s="157"/>
      <c r="S64" s="161"/>
      <c r="T64" s="157"/>
      <c r="U64" s="157"/>
      <c r="V64" s="161"/>
      <c r="W64" s="157"/>
      <c r="X64" s="147"/>
    </row>
    <row r="65" spans="1:24" x14ac:dyDescent="0.25">
      <c r="A65" s="190"/>
      <c r="B65" s="147"/>
      <c r="C65" s="281"/>
      <c r="D65" s="147"/>
      <c r="E65" s="289"/>
      <c r="F65" s="157"/>
      <c r="G65" s="289"/>
      <c r="H65" s="309"/>
      <c r="I65" s="310"/>
      <c r="J65" s="157"/>
      <c r="K65" s="161"/>
      <c r="L65" s="262"/>
      <c r="M65" s="262"/>
      <c r="N65" s="190"/>
      <c r="O65" s="149"/>
      <c r="P65" s="149"/>
      <c r="Q65" s="157"/>
      <c r="R65" s="157"/>
      <c r="S65" s="161"/>
      <c r="T65" s="157"/>
      <c r="U65" s="157"/>
      <c r="V65" s="161"/>
      <c r="W65" s="157"/>
      <c r="X65" s="147"/>
    </row>
    <row r="66" spans="1:24" x14ac:dyDescent="0.25">
      <c r="A66" s="212" t="s">
        <v>283</v>
      </c>
      <c r="B66" s="147"/>
      <c r="C66" s="281"/>
      <c r="D66" s="147"/>
      <c r="E66" s="289"/>
      <c r="F66" s="157"/>
      <c r="G66" s="289"/>
      <c r="H66" s="309"/>
      <c r="I66" s="310"/>
      <c r="J66" s="157"/>
      <c r="K66" s="161"/>
      <c r="L66" s="262"/>
      <c r="M66" s="262"/>
      <c r="N66" s="190"/>
      <c r="O66" s="149"/>
      <c r="P66" s="149"/>
      <c r="Q66" s="157"/>
      <c r="R66" s="157"/>
      <c r="S66" s="161"/>
      <c r="T66" s="157"/>
      <c r="U66" s="157"/>
      <c r="V66" s="161"/>
      <c r="W66" s="157"/>
      <c r="X66" s="147"/>
    </row>
    <row r="67" spans="1:24" x14ac:dyDescent="0.25">
      <c r="A67" s="190" t="s">
        <v>63</v>
      </c>
      <c r="B67" s="147"/>
      <c r="C67" s="281">
        <f>'W Usage'!J207</f>
        <v>62.790697674418603</v>
      </c>
      <c r="D67" s="224">
        <f>'W Usage'!U207</f>
        <v>196.22641509433961</v>
      </c>
      <c r="E67" s="290">
        <f>Rates!D$22</f>
        <v>110.35000000000001</v>
      </c>
      <c r="F67" s="233">
        <f>Rates!D$22</f>
        <v>110.35000000000001</v>
      </c>
      <c r="G67" s="289">
        <f>'Water Users'!E66</f>
        <v>4</v>
      </c>
      <c r="H67" s="309">
        <f>G67*C67</f>
        <v>251.16279069767441</v>
      </c>
      <c r="I67" s="313">
        <f>G67*E67</f>
        <v>441.40000000000003</v>
      </c>
      <c r="J67" s="157">
        <f>'Water Users'!G66</f>
        <v>5</v>
      </c>
      <c r="K67" s="161">
        <f t="shared" ref="K67:K68" si="26">J67*D67</f>
        <v>981.13207547169804</v>
      </c>
      <c r="L67" s="233">
        <f>J67*F67</f>
        <v>551.75</v>
      </c>
      <c r="M67" s="262"/>
      <c r="N67" s="190"/>
      <c r="O67" s="149"/>
      <c r="P67" s="149"/>
      <c r="Q67" s="157"/>
      <c r="R67" s="157"/>
      <c r="S67" s="161"/>
      <c r="T67" s="157"/>
      <c r="U67" s="157"/>
      <c r="V67" s="161"/>
      <c r="W67" s="157"/>
      <c r="X67" s="147"/>
    </row>
    <row r="68" spans="1:24" x14ac:dyDescent="0.25">
      <c r="A68" s="190" t="s">
        <v>64</v>
      </c>
      <c r="B68" s="147"/>
      <c r="C68" s="281">
        <f>'W Usage'!J208</f>
        <v>1384.6153846153845</v>
      </c>
      <c r="D68" s="224">
        <f>'W Usage'!U208</f>
        <v>1383.3333333333333</v>
      </c>
      <c r="E68" s="290">
        <f>Rates!D$22</f>
        <v>110.35000000000001</v>
      </c>
      <c r="F68" s="233">
        <f>Rates!D$22</f>
        <v>110.35000000000001</v>
      </c>
      <c r="G68" s="289">
        <f>'Water Users'!E67</f>
        <v>1</v>
      </c>
      <c r="H68" s="309">
        <f t="shared" ref="H68:H78" si="27">G68*C68</f>
        <v>1384.6153846153845</v>
      </c>
      <c r="I68" s="290">
        <f t="shared" ref="I68:I78" si="28">G68*E68</f>
        <v>110.35000000000001</v>
      </c>
      <c r="J68" s="157">
        <f>'Water Users'!G67</f>
        <v>1</v>
      </c>
      <c r="K68" s="161">
        <f t="shared" si="26"/>
        <v>1383.3333333333333</v>
      </c>
      <c r="L68" s="233">
        <f>J68*F68</f>
        <v>110.35000000000001</v>
      </c>
      <c r="M68" s="262"/>
      <c r="N68" s="190"/>
      <c r="O68" s="149"/>
      <c r="P68" s="149"/>
      <c r="Q68" s="157"/>
      <c r="R68" s="157"/>
      <c r="S68" s="161"/>
      <c r="T68" s="157"/>
      <c r="U68" s="157"/>
      <c r="V68" s="161"/>
      <c r="W68" s="157"/>
      <c r="X68" s="147"/>
    </row>
    <row r="69" spans="1:24" x14ac:dyDescent="0.25">
      <c r="A69" s="190" t="s">
        <v>65</v>
      </c>
      <c r="B69" s="147"/>
      <c r="C69" s="281">
        <f>'W Usage'!J209</f>
        <v>2420</v>
      </c>
      <c r="D69" s="224">
        <f>'W Usage'!U209</f>
        <v>2466.6666666666665</v>
      </c>
      <c r="E69" s="290">
        <f>Rates!D$22</f>
        <v>110.35000000000001</v>
      </c>
      <c r="F69" s="233">
        <f>Rates!D$22</f>
        <v>110.35000000000001</v>
      </c>
      <c r="G69" s="289">
        <f>'Water Users'!E68</f>
        <v>2</v>
      </c>
      <c r="H69" s="309">
        <f t="shared" si="27"/>
        <v>4840</v>
      </c>
      <c r="I69" s="290">
        <f t="shared" si="28"/>
        <v>220.70000000000002</v>
      </c>
      <c r="J69" s="157"/>
      <c r="K69" s="161"/>
      <c r="L69" s="262"/>
      <c r="M69" s="262"/>
      <c r="N69" s="190"/>
      <c r="O69" s="149"/>
      <c r="P69" s="149"/>
      <c r="Q69" s="157"/>
      <c r="R69" s="157"/>
      <c r="S69" s="161"/>
      <c r="T69" s="157"/>
      <c r="U69" s="157"/>
      <c r="V69" s="161"/>
      <c r="W69" s="157"/>
      <c r="X69" s="147"/>
    </row>
    <row r="70" spans="1:24" x14ac:dyDescent="0.25">
      <c r="A70" s="190" t="s">
        <v>66</v>
      </c>
      <c r="B70" s="147"/>
      <c r="C70" s="281">
        <f>'W Usage'!J210</f>
        <v>3441.6666666666665</v>
      </c>
      <c r="D70" s="224">
        <f>'W Usage'!U210</f>
        <v>3500</v>
      </c>
      <c r="E70" s="290">
        <f>Rates!D$22</f>
        <v>110.35000000000001</v>
      </c>
      <c r="F70" s="233">
        <f>Rates!D$22</f>
        <v>110.35000000000001</v>
      </c>
      <c r="G70" s="289">
        <f>'Water Users'!E69</f>
        <v>2</v>
      </c>
      <c r="H70" s="309">
        <f t="shared" si="27"/>
        <v>6883.333333333333</v>
      </c>
      <c r="I70" s="290">
        <f t="shared" si="28"/>
        <v>220.70000000000002</v>
      </c>
      <c r="J70" s="157">
        <f>'Water Users'!G69</f>
        <v>1</v>
      </c>
      <c r="K70" s="161">
        <f t="shared" ref="K70:K72" si="29">J70*D70</f>
        <v>3500</v>
      </c>
      <c r="L70" s="233">
        <f t="shared" ref="L70:L72" si="30">J70*F70</f>
        <v>110.35000000000001</v>
      </c>
      <c r="M70" s="262"/>
      <c r="N70" s="190"/>
      <c r="O70" s="149"/>
      <c r="P70" s="149"/>
      <c r="Q70" s="157"/>
      <c r="R70" s="157"/>
      <c r="S70" s="161"/>
      <c r="T70" s="157"/>
      <c r="U70" s="157"/>
      <c r="V70" s="161"/>
      <c r="W70" s="157"/>
      <c r="X70" s="147"/>
    </row>
    <row r="71" spans="1:24" x14ac:dyDescent="0.25">
      <c r="A71" s="190" t="s">
        <v>67</v>
      </c>
      <c r="B71" s="147"/>
      <c r="C71" s="281">
        <f>'W Usage'!J211</f>
        <v>4323.478260869565</v>
      </c>
      <c r="D71" s="224">
        <f>'W Usage'!U211</f>
        <v>4360</v>
      </c>
      <c r="E71" s="290">
        <f>Rates!D$22</f>
        <v>110.35000000000001</v>
      </c>
      <c r="F71" s="233">
        <f>Rates!D$22</f>
        <v>110.35000000000001</v>
      </c>
      <c r="G71" s="289">
        <f>'Water Users'!E70</f>
        <v>2</v>
      </c>
      <c r="H71" s="309">
        <f t="shared" si="27"/>
        <v>8646.95652173913</v>
      </c>
      <c r="I71" s="290">
        <f t="shared" si="28"/>
        <v>220.70000000000002</v>
      </c>
      <c r="J71" s="157">
        <f>'Water Users'!G70</f>
        <v>1</v>
      </c>
      <c r="K71" s="161">
        <f t="shared" si="29"/>
        <v>4360</v>
      </c>
      <c r="L71" s="233">
        <f t="shared" si="30"/>
        <v>110.35000000000001</v>
      </c>
      <c r="M71" s="262"/>
      <c r="N71" s="190"/>
      <c r="O71" s="149"/>
      <c r="P71" s="149"/>
      <c r="Q71" s="157"/>
      <c r="R71" s="157"/>
      <c r="S71" s="161"/>
      <c r="T71" s="157"/>
      <c r="U71" s="157"/>
      <c r="V71" s="161"/>
      <c r="W71" s="157"/>
      <c r="X71" s="147"/>
    </row>
    <row r="72" spans="1:24" x14ac:dyDescent="0.25">
      <c r="A72" s="190" t="s">
        <v>68</v>
      </c>
      <c r="B72" s="147"/>
      <c r="C72" s="281">
        <f>'W Usage'!J212</f>
        <v>5418.181818181818</v>
      </c>
      <c r="D72" s="224">
        <f>'W Usage'!U212</f>
        <v>5310</v>
      </c>
      <c r="E72" s="290">
        <f>Rates!D$22</f>
        <v>110.35000000000001</v>
      </c>
      <c r="F72" s="233">
        <f>Rates!D$22</f>
        <v>110.35000000000001</v>
      </c>
      <c r="G72" s="289">
        <f>'Water Users'!E71</f>
        <v>2</v>
      </c>
      <c r="H72" s="309">
        <f t="shared" si="27"/>
        <v>10836.363636363636</v>
      </c>
      <c r="I72" s="290">
        <f t="shared" si="28"/>
        <v>220.70000000000002</v>
      </c>
      <c r="J72" s="157">
        <f>'Water Users'!G71</f>
        <v>1</v>
      </c>
      <c r="K72" s="161">
        <f t="shared" si="29"/>
        <v>5310</v>
      </c>
      <c r="L72" s="233">
        <f t="shared" si="30"/>
        <v>110.35000000000001</v>
      </c>
      <c r="M72" s="262"/>
      <c r="N72" s="190"/>
      <c r="O72" s="149"/>
      <c r="P72" s="149"/>
      <c r="Q72" s="157"/>
      <c r="R72" s="157"/>
      <c r="S72" s="161"/>
      <c r="T72" s="157"/>
      <c r="U72" s="157"/>
      <c r="V72" s="161"/>
      <c r="W72" s="157"/>
      <c r="X72" s="147"/>
    </row>
    <row r="73" spans="1:24" x14ac:dyDescent="0.25">
      <c r="A73" s="190" t="s">
        <v>69</v>
      </c>
      <c r="B73" s="147"/>
      <c r="C73" s="281">
        <f>'W Usage'!J213</f>
        <v>6396.2962962962965</v>
      </c>
      <c r="D73" s="224">
        <f>'W Usage'!U213</f>
        <v>6400</v>
      </c>
      <c r="E73" s="290">
        <f>Rates!D$22</f>
        <v>110.35000000000001</v>
      </c>
      <c r="F73" s="233">
        <f>Rates!D$22</f>
        <v>110.35000000000001</v>
      </c>
      <c r="G73" s="289">
        <f>'Water Users'!E72</f>
        <v>2</v>
      </c>
      <c r="H73" s="309">
        <f t="shared" si="27"/>
        <v>12792.592592592593</v>
      </c>
      <c r="I73" s="290">
        <f t="shared" si="28"/>
        <v>220.70000000000002</v>
      </c>
      <c r="J73" s="157"/>
      <c r="K73" s="161"/>
      <c r="L73" s="262"/>
      <c r="M73" s="262"/>
      <c r="N73" s="190"/>
      <c r="O73" s="149"/>
      <c r="P73" s="149"/>
      <c r="Q73" s="157"/>
      <c r="R73" s="157"/>
      <c r="S73" s="161"/>
      <c r="T73" s="157"/>
      <c r="U73" s="157"/>
      <c r="V73" s="161"/>
      <c r="W73" s="157"/>
      <c r="X73" s="147"/>
    </row>
    <row r="74" spans="1:24" x14ac:dyDescent="0.25">
      <c r="A74" s="190" t="s">
        <v>70</v>
      </c>
      <c r="B74" s="147"/>
      <c r="C74" s="281">
        <f>'W Usage'!J214</f>
        <v>7332.3529411764703</v>
      </c>
      <c r="D74" s="224">
        <f>'W Usage'!U214</f>
        <v>7444.4444444444443</v>
      </c>
      <c r="E74" s="290">
        <f>Rates!D$22</f>
        <v>110.35000000000001</v>
      </c>
      <c r="F74" s="233">
        <f>Rates!D$22</f>
        <v>110.35000000000001</v>
      </c>
      <c r="G74" s="289">
        <f>'Water Users'!E73</f>
        <v>1</v>
      </c>
      <c r="H74" s="309">
        <f t="shared" si="27"/>
        <v>7332.3529411764703</v>
      </c>
      <c r="I74" s="290">
        <f t="shared" si="28"/>
        <v>110.35000000000001</v>
      </c>
      <c r="J74" s="157">
        <f>'Water Users'!G73</f>
        <v>1</v>
      </c>
      <c r="K74" s="161">
        <f t="shared" ref="K74" si="31">J74*D74</f>
        <v>7444.4444444444443</v>
      </c>
      <c r="L74" s="233">
        <f>J74*F74</f>
        <v>110.35000000000001</v>
      </c>
      <c r="M74" s="262"/>
      <c r="N74" s="190"/>
      <c r="O74" s="149"/>
      <c r="P74" s="149"/>
      <c r="Q74" s="157"/>
      <c r="R74" s="157"/>
      <c r="S74" s="161"/>
      <c r="T74" s="157"/>
      <c r="U74" s="157"/>
      <c r="V74" s="161"/>
      <c r="W74" s="157"/>
      <c r="X74" s="147"/>
    </row>
    <row r="75" spans="1:24" x14ac:dyDescent="0.25">
      <c r="A75" s="190" t="s">
        <v>71</v>
      </c>
      <c r="B75" s="147"/>
      <c r="C75" s="281">
        <f>'W Usage'!J215</f>
        <v>8380</v>
      </c>
      <c r="D75" s="224">
        <f>'W Usage'!U215</f>
        <v>8514.2857142857138</v>
      </c>
      <c r="E75" s="290">
        <f>Rates!D$22</f>
        <v>110.35000000000001</v>
      </c>
      <c r="F75" s="233">
        <f>Rates!D$22</f>
        <v>110.35000000000001</v>
      </c>
      <c r="G75" s="289">
        <f>'Water Users'!E74</f>
        <v>1</v>
      </c>
      <c r="H75" s="309">
        <f t="shared" si="27"/>
        <v>8380</v>
      </c>
      <c r="I75" s="290">
        <f t="shared" si="28"/>
        <v>110.35000000000001</v>
      </c>
      <c r="J75" s="157"/>
      <c r="K75" s="147"/>
      <c r="L75" s="263"/>
      <c r="M75" s="263"/>
      <c r="N75" s="147"/>
      <c r="O75" s="147"/>
      <c r="P75" s="147"/>
      <c r="Q75" s="147"/>
      <c r="R75" s="147"/>
      <c r="S75" s="147"/>
      <c r="T75" s="150"/>
      <c r="U75" s="147"/>
      <c r="V75" s="147"/>
      <c r="W75" s="150"/>
      <c r="X75" s="147"/>
    </row>
    <row r="76" spans="1:24" x14ac:dyDescent="0.25">
      <c r="A76" s="190" t="s">
        <v>72</v>
      </c>
      <c r="B76" s="147"/>
      <c r="C76" s="281">
        <f>'W Usage'!J216</f>
        <v>9430.7692307692305</v>
      </c>
      <c r="D76" s="224">
        <f>'W Usage'!U216</f>
        <v>9535.7142857142862</v>
      </c>
      <c r="E76" s="290">
        <f>Rates!D$22</f>
        <v>110.35000000000001</v>
      </c>
      <c r="F76" s="233">
        <f>Rates!D$22</f>
        <v>110.35000000000001</v>
      </c>
      <c r="G76" s="289">
        <f>'Water Users'!E75</f>
        <v>1</v>
      </c>
      <c r="H76" s="309">
        <f t="shared" si="27"/>
        <v>9430.7692307692305</v>
      </c>
      <c r="I76" s="290">
        <f t="shared" si="28"/>
        <v>110.35000000000001</v>
      </c>
      <c r="J76" s="157">
        <f>'Water Users'!G75</f>
        <v>1</v>
      </c>
      <c r="K76" s="161">
        <f t="shared" ref="K76:K77" si="32">J76*D76</f>
        <v>9535.7142857142862</v>
      </c>
      <c r="L76" s="233">
        <f t="shared" ref="L76:L77" si="33">J76*F76</f>
        <v>110.35000000000001</v>
      </c>
      <c r="M76" s="264"/>
      <c r="N76" s="221"/>
      <c r="O76" s="157"/>
      <c r="P76" s="157"/>
      <c r="Q76" s="161"/>
      <c r="R76" s="157"/>
      <c r="S76" s="157"/>
      <c r="T76" s="233"/>
      <c r="U76" s="157"/>
      <c r="V76" s="157"/>
      <c r="W76" s="233"/>
      <c r="X76" s="229"/>
    </row>
    <row r="77" spans="1:24" x14ac:dyDescent="0.25">
      <c r="A77" s="190" t="s">
        <v>73</v>
      </c>
      <c r="B77" s="147"/>
      <c r="C77" s="281">
        <f>'W Usage'!J217</f>
        <v>10421.052631578947</v>
      </c>
      <c r="D77" s="224">
        <f>'W Usage'!U217</f>
        <v>10400</v>
      </c>
      <c r="E77" s="290">
        <f>Rates!D$22</f>
        <v>110.35000000000001</v>
      </c>
      <c r="F77" s="233">
        <f>Rates!D$22</f>
        <v>110.35000000000001</v>
      </c>
      <c r="G77" s="289">
        <f>'Water Users'!E76</f>
        <v>2</v>
      </c>
      <c r="H77" s="309">
        <f t="shared" si="27"/>
        <v>20842.105263157893</v>
      </c>
      <c r="I77" s="290">
        <f t="shared" si="28"/>
        <v>220.70000000000002</v>
      </c>
      <c r="J77" s="157">
        <f>'Water Users'!G76</f>
        <v>1</v>
      </c>
      <c r="K77" s="161">
        <f t="shared" si="32"/>
        <v>10400</v>
      </c>
      <c r="L77" s="233">
        <f t="shared" si="33"/>
        <v>110.35000000000001</v>
      </c>
      <c r="M77" s="265"/>
      <c r="N77" s="188"/>
      <c r="O77" s="157"/>
      <c r="P77" s="161"/>
      <c r="Q77" s="266"/>
      <c r="R77" s="160"/>
      <c r="S77" s="161"/>
      <c r="T77" s="267"/>
      <c r="U77" s="160"/>
      <c r="V77" s="161"/>
      <c r="W77" s="267"/>
      <c r="X77" s="229"/>
    </row>
    <row r="78" spans="1:24" x14ac:dyDescent="0.25">
      <c r="A78" s="190" t="s">
        <v>74</v>
      </c>
      <c r="B78" s="147"/>
      <c r="C78" s="281">
        <f>'W Usage'!J218</f>
        <v>11451.25</v>
      </c>
      <c r="D78" s="224">
        <f>'W Usage'!U218</f>
        <v>11550</v>
      </c>
      <c r="E78" s="290">
        <f>Rates!D$22</f>
        <v>110.35000000000001</v>
      </c>
      <c r="F78" s="233">
        <f>Rates!D$22</f>
        <v>110.35000000000001</v>
      </c>
      <c r="G78" s="289">
        <f>'Water Users'!E77</f>
        <v>1</v>
      </c>
      <c r="H78" s="309">
        <f t="shared" si="27"/>
        <v>11451.25</v>
      </c>
      <c r="I78" s="290">
        <f t="shared" si="28"/>
        <v>110.35000000000001</v>
      </c>
      <c r="J78" s="157"/>
      <c r="K78" s="151"/>
      <c r="L78" s="265"/>
      <c r="M78" s="265"/>
      <c r="N78" s="188"/>
      <c r="O78" s="157"/>
      <c r="P78" s="161"/>
      <c r="Q78" s="266"/>
      <c r="R78" s="160"/>
      <c r="S78" s="161"/>
      <c r="T78" s="267"/>
      <c r="U78" s="160"/>
      <c r="V78" s="161"/>
      <c r="W78" s="267"/>
      <c r="X78" s="229"/>
    </row>
    <row r="79" spans="1:24" x14ac:dyDescent="0.25">
      <c r="A79" s="190" t="s">
        <v>75</v>
      </c>
      <c r="B79" s="147"/>
      <c r="C79" s="281">
        <f>'W Usage'!J219</f>
        <v>12334.444444444445</v>
      </c>
      <c r="D79" s="224">
        <f>'W Usage'!U219</f>
        <v>12350</v>
      </c>
      <c r="E79" s="290">
        <f>Rates!D$22</f>
        <v>110.35000000000001</v>
      </c>
      <c r="F79" s="233">
        <f>Rates!D$22</f>
        <v>110.35000000000001</v>
      </c>
      <c r="G79" s="289"/>
      <c r="H79" s="291"/>
      <c r="I79" s="312"/>
      <c r="J79" s="157">
        <f>'Water Users'!G78</f>
        <v>1</v>
      </c>
      <c r="K79" s="161">
        <f t="shared" ref="K79" si="34">J79*D79</f>
        <v>12350</v>
      </c>
      <c r="L79" s="233">
        <f>J79*F79</f>
        <v>110.35000000000001</v>
      </c>
      <c r="M79" s="265"/>
      <c r="N79" s="188"/>
      <c r="O79" s="157"/>
      <c r="P79" s="161"/>
      <c r="Q79" s="266"/>
      <c r="R79" s="160"/>
      <c r="S79" s="161"/>
      <c r="T79" s="267"/>
      <c r="U79" s="160"/>
      <c r="V79" s="161"/>
      <c r="W79" s="267"/>
      <c r="X79" s="229"/>
    </row>
    <row r="80" spans="1:24" x14ac:dyDescent="0.25">
      <c r="A80" s="190" t="s">
        <v>76</v>
      </c>
      <c r="B80" s="147"/>
      <c r="C80" s="281">
        <f>'W Usage'!J220</f>
        <v>13509.09090909091</v>
      </c>
      <c r="D80" s="224">
        <f>'W Usage'!U220</f>
        <v>13366.666666666666</v>
      </c>
      <c r="E80" s="290">
        <f>Rates!D$22</f>
        <v>110.35000000000001</v>
      </c>
      <c r="F80" s="233">
        <f>Rates!D$22</f>
        <v>110.35000000000001</v>
      </c>
      <c r="G80" s="289">
        <f>'Water Users'!E79</f>
        <v>1</v>
      </c>
      <c r="H80" s="309">
        <f t="shared" ref="H80:H81" si="35">G80*C80</f>
        <v>13509.09090909091</v>
      </c>
      <c r="I80" s="290">
        <f t="shared" ref="I80:I81" si="36">G80*E80</f>
        <v>110.35000000000001</v>
      </c>
      <c r="J80" s="157"/>
      <c r="K80" s="268"/>
      <c r="L80" s="232"/>
      <c r="M80" s="232"/>
      <c r="N80" s="269"/>
      <c r="O80" s="269"/>
      <c r="P80" s="269"/>
      <c r="Q80" s="193"/>
      <c r="R80" s="217"/>
      <c r="S80" s="268"/>
      <c r="T80" s="270"/>
      <c r="U80" s="217"/>
      <c r="V80" s="268"/>
      <c r="W80" s="233"/>
      <c r="X80" s="229"/>
    </row>
    <row r="81" spans="1:24" x14ac:dyDescent="0.25">
      <c r="A81" s="190" t="s">
        <v>77</v>
      </c>
      <c r="B81" s="147"/>
      <c r="C81" s="281">
        <f>'W Usage'!J221</f>
        <v>14501.666666666666</v>
      </c>
      <c r="D81" s="224">
        <f>'W Usage'!U221</f>
        <v>14375</v>
      </c>
      <c r="E81" s="290">
        <f>Rates!D$22</f>
        <v>110.35000000000001</v>
      </c>
      <c r="F81" s="233">
        <f>Rates!D$22</f>
        <v>110.35000000000001</v>
      </c>
      <c r="G81" s="289">
        <f>'Water Users'!E80</f>
        <v>1</v>
      </c>
      <c r="H81" s="309">
        <f t="shared" si="35"/>
        <v>14501.666666666666</v>
      </c>
      <c r="I81" s="290">
        <f t="shared" si="36"/>
        <v>110.35000000000001</v>
      </c>
      <c r="J81" s="157"/>
      <c r="K81" s="272"/>
      <c r="L81" s="234"/>
      <c r="M81" s="234"/>
      <c r="N81" s="269"/>
      <c r="O81" s="157"/>
      <c r="P81" s="157"/>
      <c r="Q81" s="157"/>
      <c r="R81" s="221"/>
      <c r="S81" s="221"/>
      <c r="T81" s="270"/>
      <c r="U81" s="221"/>
      <c r="V81" s="195"/>
      <c r="W81" s="233"/>
      <c r="X81" s="229"/>
    </row>
    <row r="82" spans="1:24" x14ac:dyDescent="0.25">
      <c r="A82" s="190" t="s">
        <v>78</v>
      </c>
      <c r="B82" s="147"/>
      <c r="C82" s="281">
        <f>'W Usage'!J222</f>
        <v>15333.333333333334</v>
      </c>
      <c r="D82" s="224">
        <f>'W Usage'!U222</f>
        <v>15400</v>
      </c>
      <c r="E82" s="290">
        <f>Rates!D$22</f>
        <v>110.35000000000001</v>
      </c>
      <c r="F82" s="233">
        <f>Rates!D$22</f>
        <v>110.35000000000001</v>
      </c>
      <c r="G82" s="289"/>
      <c r="H82" s="279"/>
      <c r="I82" s="311"/>
      <c r="J82" s="157"/>
      <c r="K82" s="149"/>
      <c r="L82" s="234"/>
      <c r="M82" s="234"/>
      <c r="N82" s="221"/>
      <c r="O82" s="157"/>
      <c r="P82" s="157"/>
      <c r="Q82" s="157"/>
      <c r="R82" s="157"/>
      <c r="S82" s="157"/>
      <c r="T82" s="233"/>
      <c r="U82" s="157"/>
      <c r="V82" s="157"/>
      <c r="W82" s="233"/>
      <c r="X82" s="229"/>
    </row>
    <row r="83" spans="1:24" x14ac:dyDescent="0.25">
      <c r="A83" s="190" t="s">
        <v>79</v>
      </c>
      <c r="B83" s="147"/>
      <c r="C83" s="281">
        <f>'W Usage'!J223</f>
        <v>16496</v>
      </c>
      <c r="D83" s="224">
        <f>'W Usage'!U223</f>
        <v>16400</v>
      </c>
      <c r="E83" s="286">
        <f>Rates!D$22+(((' Forecast - W'!C83-16000)/1000)*Rates!D$23)</f>
        <v>112.92920000000001</v>
      </c>
      <c r="F83" s="253">
        <f>Rates!D$22+(((' Forecast - W'!D83-16000)/1000)*Rates!D$23)</f>
        <v>112.43</v>
      </c>
      <c r="G83" s="289">
        <f>'Water Users'!E82</f>
        <v>1</v>
      </c>
      <c r="H83" s="309">
        <f t="shared" ref="H83:H85" si="37">G83*C83</f>
        <v>16496</v>
      </c>
      <c r="I83" s="290">
        <f t="shared" ref="I83:I85" si="38">G83*E83</f>
        <v>112.92920000000001</v>
      </c>
      <c r="J83" s="157">
        <f>'Water Users'!G82</f>
        <v>1</v>
      </c>
      <c r="K83" s="161">
        <f t="shared" ref="K83:K87" si="39">J83*D83</f>
        <v>16400</v>
      </c>
      <c r="L83" s="233">
        <f>J83*F83</f>
        <v>112.43</v>
      </c>
      <c r="M83" s="265"/>
      <c r="N83" s="188"/>
      <c r="O83" s="157"/>
      <c r="P83" s="161"/>
      <c r="Q83" s="266"/>
      <c r="R83" s="160"/>
      <c r="S83" s="161"/>
      <c r="T83" s="267"/>
      <c r="U83" s="160"/>
      <c r="V83" s="161"/>
      <c r="W83" s="267"/>
      <c r="X83" s="229"/>
    </row>
    <row r="84" spans="1:24" x14ac:dyDescent="0.25">
      <c r="A84" s="190" t="s">
        <v>80</v>
      </c>
      <c r="B84" s="147"/>
      <c r="C84" s="281">
        <f>'W Usage'!J224</f>
        <v>17541.666666666668</v>
      </c>
      <c r="D84" s="224">
        <f>'W Usage'!U224</f>
        <v>17250</v>
      </c>
      <c r="E84" s="286">
        <f>Rates!D$22+(((' Forecast - W'!C84-16000)/1000)*Rates!D$23)</f>
        <v>118.36666666666667</v>
      </c>
      <c r="F84" s="253">
        <f>Rates!D$22+(((' Forecast - W'!D84-16000)/1000)*Rates!D$23)</f>
        <v>116.85000000000001</v>
      </c>
      <c r="G84" s="289">
        <f>'Water Users'!E83</f>
        <v>1</v>
      </c>
      <c r="H84" s="309">
        <f t="shared" si="37"/>
        <v>17541.666666666668</v>
      </c>
      <c r="I84" s="290">
        <f t="shared" si="38"/>
        <v>118.36666666666667</v>
      </c>
      <c r="J84" s="157"/>
      <c r="K84" s="151"/>
      <c r="L84" s="265"/>
      <c r="M84" s="265"/>
      <c r="N84" s="188"/>
      <c r="O84" s="157"/>
      <c r="P84" s="161"/>
      <c r="Q84" s="266"/>
      <c r="R84" s="160"/>
      <c r="S84" s="161"/>
      <c r="T84" s="267"/>
      <c r="U84" s="160"/>
      <c r="V84" s="161"/>
      <c r="W84" s="267"/>
      <c r="X84" s="229"/>
    </row>
    <row r="85" spans="1:24" x14ac:dyDescent="0.25">
      <c r="A85" s="190" t="s">
        <v>81</v>
      </c>
      <c r="B85" s="147"/>
      <c r="C85" s="281">
        <f>'W Usage'!J225</f>
        <v>18383.333333333332</v>
      </c>
      <c r="D85" s="224">
        <f>'W Usage'!U225</f>
        <v>18638.461538461539</v>
      </c>
      <c r="E85" s="286">
        <f>Rates!D$22+(((' Forecast - W'!C85-16000)/1000)*Rates!D$23)</f>
        <v>122.74333333333334</v>
      </c>
      <c r="F85" s="253">
        <f>Rates!D$22+(((' Forecast - W'!D85-16000)/1000)*Rates!D$23)</f>
        <v>124.07000000000001</v>
      </c>
      <c r="G85" s="289">
        <f>'Water Users'!E84</f>
        <v>1</v>
      </c>
      <c r="H85" s="309">
        <f t="shared" si="37"/>
        <v>18383.333333333332</v>
      </c>
      <c r="I85" s="290">
        <f t="shared" si="38"/>
        <v>122.74333333333334</v>
      </c>
      <c r="J85" s="157">
        <f>'Water Users'!G84</f>
        <v>1</v>
      </c>
      <c r="K85" s="161">
        <f t="shared" si="39"/>
        <v>18638.461538461539</v>
      </c>
      <c r="L85" s="233">
        <f>J85*F85</f>
        <v>124.07000000000001</v>
      </c>
      <c r="M85" s="265"/>
      <c r="N85" s="188"/>
      <c r="O85" s="157"/>
      <c r="P85" s="161"/>
      <c r="Q85" s="266"/>
      <c r="R85" s="160"/>
      <c r="S85" s="161"/>
      <c r="T85" s="267"/>
      <c r="U85" s="160"/>
      <c r="V85" s="161"/>
      <c r="W85" s="267"/>
      <c r="X85" s="229"/>
    </row>
    <row r="86" spans="1:24" x14ac:dyDescent="0.25">
      <c r="A86" s="190" t="s">
        <v>82</v>
      </c>
      <c r="B86" s="147"/>
      <c r="C86" s="281">
        <f>'W Usage'!J226</f>
        <v>19500</v>
      </c>
      <c r="D86" s="224">
        <f>'W Usage'!U226</f>
        <v>19325</v>
      </c>
      <c r="E86" s="286">
        <f>Rates!D$22+(((' Forecast - W'!C86-16000)/1000)*Rates!D$23)</f>
        <v>128.55000000000001</v>
      </c>
      <c r="F86" s="253">
        <f>Rates!D$22+(((' Forecast - W'!D86-16000)/1000)*Rates!D$23)</f>
        <v>127.64000000000001</v>
      </c>
      <c r="G86" s="289"/>
      <c r="H86" s="309"/>
      <c r="I86" s="312"/>
      <c r="J86" s="157"/>
      <c r="K86" s="151"/>
      <c r="L86" s="265"/>
      <c r="M86" s="265"/>
      <c r="N86" s="188"/>
      <c r="O86" s="157"/>
      <c r="P86" s="161"/>
      <c r="Q86" s="232"/>
      <c r="R86" s="160"/>
      <c r="S86" s="161"/>
      <c r="T86" s="267"/>
      <c r="U86" s="160"/>
      <c r="V86" s="161"/>
      <c r="W86" s="267"/>
      <c r="X86" s="229"/>
    </row>
    <row r="87" spans="1:24" x14ac:dyDescent="0.25">
      <c r="A87" s="190" t="s">
        <v>83</v>
      </c>
      <c r="B87" s="147"/>
      <c r="C87" s="280">
        <v>98334</v>
      </c>
      <c r="D87" s="224">
        <v>88123</v>
      </c>
      <c r="E87" s="322">
        <f>Rates!D22+(9*Rates!D23)+(((' Forecast - W'!C87-25000)/1000)*Rates!D24)</f>
        <v>483.48630000000003</v>
      </c>
      <c r="F87" s="267">
        <f>Rates!D22+(9*Rates!D23)+(((' Forecast - W'!D87-25000)/1000)*Rates!D24)</f>
        <v>438.04735000000005</v>
      </c>
      <c r="G87" s="289">
        <f>'Water Users'!E86</f>
        <v>22</v>
      </c>
      <c r="H87" s="309">
        <f>G87*C87</f>
        <v>2163348</v>
      </c>
      <c r="I87" s="290">
        <f>G87*E87</f>
        <v>10636.6986</v>
      </c>
      <c r="J87" s="157">
        <f>'Water Users'!G86</f>
        <v>32</v>
      </c>
      <c r="K87" s="161">
        <f t="shared" si="39"/>
        <v>2819936</v>
      </c>
      <c r="L87" s="233">
        <f>J87*F87</f>
        <v>14017.515200000002</v>
      </c>
      <c r="M87" s="232"/>
      <c r="N87" s="269"/>
      <c r="O87" s="157"/>
      <c r="P87" s="157"/>
      <c r="Q87" s="195"/>
      <c r="R87" s="196"/>
      <c r="S87" s="197"/>
      <c r="T87" s="233"/>
      <c r="U87" s="196"/>
      <c r="V87" s="197"/>
      <c r="W87" s="233"/>
      <c r="X87" s="229"/>
    </row>
    <row r="88" spans="1:24" x14ac:dyDescent="0.25">
      <c r="A88" s="190"/>
      <c r="B88" s="147"/>
      <c r="C88" s="283"/>
      <c r="D88" s="147"/>
      <c r="E88" s="292"/>
      <c r="F88" s="195"/>
      <c r="G88" s="289"/>
      <c r="H88" s="309"/>
      <c r="I88" s="313"/>
      <c r="J88" s="196"/>
      <c r="K88" s="197"/>
      <c r="L88" s="232"/>
      <c r="M88" s="232"/>
      <c r="N88" s="269"/>
      <c r="O88" s="157"/>
      <c r="P88" s="157"/>
      <c r="Q88" s="195"/>
      <c r="R88" s="196"/>
      <c r="S88" s="197"/>
      <c r="T88" s="233"/>
      <c r="U88" s="196"/>
      <c r="V88" s="197"/>
      <c r="W88" s="233"/>
      <c r="X88" s="229"/>
    </row>
    <row r="89" spans="1:24" x14ac:dyDescent="0.25">
      <c r="A89" s="190"/>
      <c r="B89" s="147"/>
      <c r="C89" s="283"/>
      <c r="D89" s="147"/>
      <c r="E89" s="292"/>
      <c r="F89" s="287" t="s">
        <v>9</v>
      </c>
      <c r="G89" s="325">
        <f>SUM(G67:G87)</f>
        <v>48</v>
      </c>
      <c r="H89" s="326">
        <f t="shared" ref="H89:L89" si="40">SUM(H67:H87)</f>
        <v>2346851.2592702028</v>
      </c>
      <c r="I89" s="327">
        <f t="shared" si="40"/>
        <v>13528.7878</v>
      </c>
      <c r="J89" s="328">
        <f t="shared" si="40"/>
        <v>47</v>
      </c>
      <c r="K89" s="329">
        <f t="shared" si="40"/>
        <v>2910239.0856774254</v>
      </c>
      <c r="L89" s="330">
        <f t="shared" si="40"/>
        <v>15688.565200000001</v>
      </c>
      <c r="M89" s="232"/>
      <c r="N89" s="269"/>
      <c r="O89" s="157"/>
      <c r="P89" s="157"/>
      <c r="Q89" s="195"/>
      <c r="R89" s="196"/>
      <c r="S89" s="197"/>
      <c r="T89" s="233"/>
      <c r="U89" s="196"/>
      <c r="V89" s="197"/>
      <c r="W89" s="233"/>
      <c r="X89" s="229"/>
    </row>
    <row r="90" spans="1:24" x14ac:dyDescent="0.25">
      <c r="A90" s="190"/>
      <c r="B90" s="147"/>
      <c r="C90" s="283"/>
      <c r="D90" s="147"/>
      <c r="E90" s="292"/>
      <c r="F90" s="287"/>
      <c r="G90" s="289"/>
      <c r="H90" s="398"/>
      <c r="I90" s="290"/>
      <c r="J90" s="399"/>
      <c r="K90" s="400"/>
      <c r="L90" s="401"/>
      <c r="M90" s="232"/>
      <c r="N90" s="269"/>
      <c r="O90" s="157"/>
      <c r="P90" s="157"/>
      <c r="Q90" s="195"/>
      <c r="R90" s="196"/>
      <c r="S90" s="197"/>
      <c r="T90" s="233"/>
      <c r="U90" s="196"/>
      <c r="V90" s="197"/>
      <c r="W90" s="233"/>
      <c r="X90" s="229"/>
    </row>
    <row r="91" spans="1:24" x14ac:dyDescent="0.25">
      <c r="A91" s="402" t="s">
        <v>370</v>
      </c>
      <c r="B91" s="147"/>
      <c r="C91" s="283"/>
      <c r="D91" s="147"/>
      <c r="E91" s="403"/>
      <c r="F91" s="403"/>
      <c r="G91" s="404"/>
      <c r="H91" s="404"/>
      <c r="I91" s="405"/>
      <c r="J91" s="406"/>
      <c r="K91" s="406"/>
      <c r="L91" s="407"/>
      <c r="M91" s="232"/>
      <c r="N91" s="269"/>
      <c r="O91" s="157"/>
      <c r="P91" s="157"/>
      <c r="Q91" s="195"/>
      <c r="R91" s="196"/>
      <c r="S91" s="197"/>
      <c r="T91" s="233"/>
      <c r="U91" s="196"/>
      <c r="V91" s="197"/>
      <c r="W91" s="233"/>
      <c r="X91" s="229"/>
    </row>
    <row r="92" spans="1:24" x14ac:dyDescent="0.25">
      <c r="A92" s="402" t="s">
        <v>371</v>
      </c>
      <c r="B92" s="147"/>
      <c r="C92" s="283"/>
      <c r="D92" s="224">
        <f>'[1]Water Users'!D91</f>
        <v>2845501.6666666665</v>
      </c>
      <c r="E92" s="279"/>
      <c r="F92" s="290">
        <f>(D92/1000)*2.25</f>
        <v>6402.3787499999999</v>
      </c>
      <c r="G92" s="398"/>
      <c r="H92" s="398"/>
      <c r="I92" s="290"/>
      <c r="J92" s="209">
        <v>1</v>
      </c>
      <c r="K92" s="209">
        <f>J92*D92</f>
        <v>2845501.6666666665</v>
      </c>
      <c r="L92" s="408">
        <f>J92*F92</f>
        <v>6402.3787499999999</v>
      </c>
      <c r="M92" s="232"/>
      <c r="N92" s="269"/>
      <c r="O92" s="157"/>
      <c r="P92" s="157"/>
      <c r="Q92" s="195"/>
      <c r="R92" s="196"/>
      <c r="S92" s="197"/>
      <c r="T92" s="233"/>
      <c r="U92" s="196"/>
      <c r="V92" s="197"/>
      <c r="W92" s="233"/>
      <c r="X92" s="229"/>
    </row>
    <row r="93" spans="1:24" x14ac:dyDescent="0.25">
      <c r="A93" s="402" t="s">
        <v>372</v>
      </c>
      <c r="B93" s="147"/>
      <c r="C93" s="283"/>
      <c r="D93" s="224">
        <f>'[1]Water Users'!D92</f>
        <v>3433.3333333333335</v>
      </c>
      <c r="E93" s="279"/>
      <c r="F93" s="290">
        <f>(D93/1000)*2.5</f>
        <v>8.5833333333333339</v>
      </c>
      <c r="G93" s="398"/>
      <c r="H93" s="398"/>
      <c r="I93" s="290"/>
      <c r="J93" s="209">
        <v>1</v>
      </c>
      <c r="K93" s="209">
        <f t="shared" ref="K93:K94" si="41">J93*D93</f>
        <v>3433.3333333333335</v>
      </c>
      <c r="L93" s="408">
        <f>J93*F93</f>
        <v>8.5833333333333339</v>
      </c>
      <c r="M93" s="232"/>
      <c r="N93" s="269"/>
      <c r="O93" s="157"/>
      <c r="P93" s="157"/>
      <c r="Q93" s="195"/>
      <c r="R93" s="196"/>
      <c r="S93" s="197"/>
      <c r="T93" s="233"/>
      <c r="U93" s="196"/>
      <c r="V93" s="197"/>
      <c r="W93" s="233"/>
      <c r="X93" s="229"/>
    </row>
    <row r="94" spans="1:24" x14ac:dyDescent="0.25">
      <c r="A94" s="402" t="s">
        <v>373</v>
      </c>
      <c r="B94" s="147"/>
      <c r="C94" s="283"/>
      <c r="D94" s="224">
        <f>'[1]Water Users'!D93</f>
        <v>0</v>
      </c>
      <c r="E94" s="279"/>
      <c r="F94" s="290">
        <v>0</v>
      </c>
      <c r="G94" s="398"/>
      <c r="H94" s="398"/>
      <c r="I94" s="290"/>
      <c r="J94" s="209">
        <v>1</v>
      </c>
      <c r="K94" s="209">
        <f t="shared" si="41"/>
        <v>0</v>
      </c>
      <c r="L94" s="408">
        <f>J94*F94</f>
        <v>0</v>
      </c>
      <c r="M94" s="232"/>
      <c r="N94" s="269"/>
      <c r="O94" s="157"/>
      <c r="P94" s="157"/>
      <c r="Q94" s="195"/>
      <c r="R94" s="196"/>
      <c r="S94" s="197"/>
      <c r="T94" s="233"/>
      <c r="U94" s="196"/>
      <c r="V94" s="197"/>
      <c r="W94" s="233"/>
      <c r="X94" s="229"/>
    </row>
    <row r="95" spans="1:24" hidden="1" x14ac:dyDescent="0.25">
      <c r="A95" s="190"/>
      <c r="B95" s="147"/>
      <c r="C95" s="283"/>
      <c r="D95" s="147"/>
      <c r="E95" s="292"/>
      <c r="F95" s="287"/>
      <c r="G95" s="289"/>
      <c r="H95" s="398"/>
      <c r="I95" s="290"/>
      <c r="J95" s="399"/>
      <c r="K95" s="400"/>
      <c r="L95" s="401"/>
      <c r="M95" s="232"/>
      <c r="N95" s="269"/>
      <c r="O95" s="157"/>
      <c r="P95" s="157"/>
      <c r="Q95" s="195"/>
      <c r="R95" s="196"/>
      <c r="S95" s="197"/>
      <c r="T95" s="233"/>
      <c r="U95" s="196"/>
      <c r="V95" s="197"/>
      <c r="W95" s="233"/>
      <c r="X95" s="229"/>
    </row>
    <row r="96" spans="1:24" x14ac:dyDescent="0.25">
      <c r="A96" s="190"/>
      <c r="B96" s="147"/>
      <c r="C96" s="283"/>
      <c r="D96" s="147"/>
      <c r="E96" s="293"/>
      <c r="F96" s="150"/>
      <c r="G96" s="293"/>
      <c r="H96" s="293"/>
      <c r="I96" s="311"/>
      <c r="J96" s="150"/>
      <c r="K96" s="150"/>
      <c r="L96" s="234"/>
      <c r="M96" s="234"/>
      <c r="N96" s="150"/>
      <c r="O96" s="150"/>
      <c r="P96" s="150"/>
      <c r="Q96" s="150"/>
      <c r="R96" s="150"/>
      <c r="S96" s="150"/>
      <c r="T96" s="235"/>
      <c r="U96" s="150"/>
      <c r="V96" s="150"/>
      <c r="W96" s="235"/>
      <c r="X96" s="147"/>
    </row>
    <row r="97" spans="1:24" ht="15.75" thickBot="1" x14ac:dyDescent="0.3">
      <c r="A97" s="190"/>
      <c r="B97" s="147"/>
      <c r="C97" s="283"/>
      <c r="D97" s="147"/>
      <c r="E97" s="294" t="s">
        <v>13</v>
      </c>
      <c r="F97" s="198"/>
      <c r="G97" s="314">
        <f>+G30+G53+G64+G89</f>
        <v>7580.8888888888896</v>
      </c>
      <c r="H97" s="314">
        <f>+H30+H53+H64+H89</f>
        <v>31869356.16544475</v>
      </c>
      <c r="I97" s="315">
        <f>+I30+I53+I64+I89</f>
        <v>310280.70050349366</v>
      </c>
      <c r="J97" s="199">
        <f>+J30+J53+J64+J89+J92+J93+J94</f>
        <v>492.44444444444434</v>
      </c>
      <c r="K97" s="199">
        <f>+L30+K53+K64+K89+K92+K93</f>
        <v>6586562.9638871225</v>
      </c>
      <c r="L97" s="277">
        <f>L30+L53+L64+L89+L92+L93+L94</f>
        <v>44424.256369553979</v>
      </c>
      <c r="M97" s="274"/>
      <c r="X97" s="147"/>
    </row>
    <row r="98" spans="1:24" ht="15.75" thickTop="1" x14ac:dyDescent="0.25">
      <c r="A98" s="190"/>
      <c r="B98" s="147"/>
      <c r="C98" s="283"/>
      <c r="D98" s="147"/>
      <c r="E98" s="283"/>
      <c r="F98" s="147"/>
      <c r="G98" s="280"/>
      <c r="H98" s="283"/>
      <c r="I98" s="293"/>
      <c r="J98" s="147"/>
      <c r="K98" s="147"/>
      <c r="L98" s="263"/>
      <c r="M98" s="263"/>
      <c r="X98" s="147"/>
    </row>
    <row r="99" spans="1:24" x14ac:dyDescent="0.25">
      <c r="A99" s="174" t="s">
        <v>19</v>
      </c>
      <c r="B99" s="149"/>
      <c r="C99" s="279"/>
      <c r="D99" s="149"/>
      <c r="E99" s="279"/>
      <c r="F99" s="149"/>
      <c r="G99" s="279"/>
      <c r="H99" s="279"/>
      <c r="I99" s="316">
        <f>I97*12</f>
        <v>3723368.4060419239</v>
      </c>
      <c r="J99" s="149"/>
      <c r="K99" s="149"/>
      <c r="L99" s="276">
        <f>L97*12</f>
        <v>533091.07643464778</v>
      </c>
      <c r="M99" s="276"/>
      <c r="X99" s="147"/>
    </row>
    <row r="100" spans="1:24" x14ac:dyDescent="0.25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50"/>
      <c r="X100" s="147"/>
    </row>
    <row r="101" spans="1:24" x14ac:dyDescent="0.25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50"/>
      <c r="X101" s="147"/>
    </row>
    <row r="102" spans="1:24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231"/>
    </row>
    <row r="103" spans="1:24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1:24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1:24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4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4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</row>
  </sheetData>
  <pageMargins left="0.7" right="0.7" top="0.75" bottom="0.75" header="0.3" footer="0.3"/>
  <pageSetup scale="90" firstPageNumber="21" orientation="landscape" useFirstPageNumber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CDE50-8C7E-46D9-AE46-A260B8229BE7}">
  <dimension ref="A1:W170"/>
  <sheetViews>
    <sheetView topLeftCell="A14" zoomScaleNormal="100" workbookViewId="0">
      <selection activeCell="F9" sqref="F9"/>
    </sheetView>
  </sheetViews>
  <sheetFormatPr defaultRowHeight="15" x14ac:dyDescent="0.25"/>
  <cols>
    <col min="3" max="4" width="11" bestFit="1" customWidth="1"/>
    <col min="5" max="5" width="11" customWidth="1"/>
    <col min="7" max="7" width="10.140625" bestFit="1" customWidth="1"/>
    <col min="8" max="8" width="11" bestFit="1" customWidth="1"/>
    <col min="9" max="9" width="12.140625" bestFit="1" customWidth="1"/>
    <col min="11" max="11" width="11.5703125" bestFit="1" customWidth="1"/>
    <col min="12" max="12" width="12.85546875" bestFit="1" customWidth="1"/>
    <col min="13" max="13" width="12.85546875" customWidth="1"/>
  </cols>
  <sheetData>
    <row r="1" spans="1:23" x14ac:dyDescent="0.25">
      <c r="A1" s="335" t="s">
        <v>262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335" t="s">
        <v>263</v>
      </c>
      <c r="O1" s="149"/>
      <c r="P1" s="149"/>
      <c r="Q1" s="149"/>
      <c r="R1" s="149"/>
      <c r="S1" s="149"/>
      <c r="T1" s="149"/>
      <c r="U1" s="149"/>
      <c r="V1" s="2"/>
      <c r="W1" s="2"/>
    </row>
    <row r="2" spans="1:23" x14ac:dyDescent="0.25">
      <c r="A2" s="174"/>
      <c r="B2" s="149"/>
      <c r="C2" s="149"/>
      <c r="D2" s="149"/>
      <c r="E2" s="149"/>
      <c r="F2" s="149"/>
      <c r="G2" s="149"/>
      <c r="H2" s="149"/>
      <c r="I2" s="236"/>
      <c r="J2" s="149"/>
      <c r="K2" s="149"/>
      <c r="L2" s="149"/>
      <c r="M2" s="149"/>
      <c r="N2" s="237"/>
      <c r="O2" s="238"/>
      <c r="P2" s="238"/>
      <c r="Q2" s="238"/>
      <c r="R2" s="238"/>
      <c r="S2" s="238"/>
      <c r="T2" s="239"/>
      <c r="U2" s="238"/>
      <c r="V2" s="15"/>
      <c r="W2" s="15"/>
    </row>
    <row r="3" spans="1:23" x14ac:dyDescent="0.25">
      <c r="A3" s="149"/>
      <c r="B3" s="149"/>
      <c r="C3" s="149"/>
      <c r="D3" s="149"/>
      <c r="E3" s="149"/>
      <c r="F3" s="147"/>
      <c r="G3" s="149"/>
      <c r="H3" s="149"/>
      <c r="I3" s="149"/>
      <c r="J3" s="149"/>
      <c r="K3" s="149"/>
      <c r="L3" s="149"/>
      <c r="M3" s="149"/>
      <c r="N3" s="240"/>
      <c r="O3" s="149"/>
      <c r="P3" s="149"/>
      <c r="Q3" s="147"/>
      <c r="R3" s="149"/>
      <c r="S3" s="149"/>
      <c r="T3" s="149"/>
      <c r="U3" s="149"/>
      <c r="V3" s="2"/>
      <c r="W3" s="2"/>
    </row>
    <row r="4" spans="1:23" x14ac:dyDescent="0.25">
      <c r="A4" s="147"/>
      <c r="B4" s="175"/>
      <c r="C4" s="176"/>
      <c r="D4" s="176"/>
      <c r="E4" s="176"/>
      <c r="F4" s="241"/>
      <c r="G4" s="242"/>
      <c r="H4" s="243" t="s">
        <v>0</v>
      </c>
      <c r="I4" s="244"/>
      <c r="J4" s="244"/>
      <c r="K4" s="243" t="s">
        <v>1</v>
      </c>
      <c r="L4" s="244"/>
      <c r="M4" s="157"/>
      <c r="N4" s="147"/>
      <c r="O4" s="175"/>
      <c r="P4" s="176"/>
      <c r="Q4" s="241">
        <v>4.9000000000000004</v>
      </c>
      <c r="R4" s="242"/>
      <c r="S4" s="243" t="s">
        <v>0</v>
      </c>
      <c r="T4" s="244"/>
      <c r="U4" s="244"/>
      <c r="V4" s="17" t="s">
        <v>1</v>
      </c>
      <c r="W4" s="18"/>
    </row>
    <row r="5" spans="1:23" x14ac:dyDescent="0.25">
      <c r="A5" s="176" t="s">
        <v>15</v>
      </c>
      <c r="B5" s="149"/>
      <c r="C5" s="147"/>
      <c r="D5" s="147"/>
      <c r="E5" s="284" t="s">
        <v>5</v>
      </c>
      <c r="F5" s="153" t="s">
        <v>5</v>
      </c>
      <c r="G5" s="298" t="s">
        <v>3</v>
      </c>
      <c r="H5" s="299" t="s">
        <v>4</v>
      </c>
      <c r="I5" s="299" t="s">
        <v>16</v>
      </c>
      <c r="J5" s="181" t="s">
        <v>3</v>
      </c>
      <c r="K5" s="180" t="s">
        <v>4</v>
      </c>
      <c r="L5" s="246" t="s">
        <v>16</v>
      </c>
      <c r="M5" s="148"/>
      <c r="N5" s="176" t="s">
        <v>15</v>
      </c>
      <c r="O5" s="149"/>
      <c r="P5" s="147"/>
      <c r="Q5" s="153" t="s">
        <v>5</v>
      </c>
      <c r="R5" s="245" t="s">
        <v>3</v>
      </c>
      <c r="S5" s="180" t="s">
        <v>4</v>
      </c>
      <c r="T5" s="180" t="s">
        <v>16</v>
      </c>
      <c r="U5" s="181" t="s">
        <v>3</v>
      </c>
      <c r="V5" s="4" t="s">
        <v>4</v>
      </c>
      <c r="W5" s="19" t="s">
        <v>16</v>
      </c>
    </row>
    <row r="6" spans="1:23" x14ac:dyDescent="0.25">
      <c r="A6" s="218"/>
      <c r="B6" s="183"/>
      <c r="C6" s="278" t="s">
        <v>267</v>
      </c>
      <c r="D6" s="184" t="s">
        <v>268</v>
      </c>
      <c r="E6" s="285" t="s">
        <v>306</v>
      </c>
      <c r="F6" s="247" t="s">
        <v>307</v>
      </c>
      <c r="G6" s="300" t="s">
        <v>6</v>
      </c>
      <c r="H6" s="301"/>
      <c r="I6" s="302"/>
      <c r="J6" s="187" t="s">
        <v>6</v>
      </c>
      <c r="K6" s="186"/>
      <c r="L6" s="250"/>
      <c r="M6" s="183"/>
      <c r="N6" s="218"/>
      <c r="O6" s="183"/>
      <c r="P6" s="218" t="s">
        <v>5</v>
      </c>
      <c r="Q6" s="251" t="s">
        <v>17</v>
      </c>
      <c r="R6" s="248" t="s">
        <v>6</v>
      </c>
      <c r="S6" s="186" t="s">
        <v>7</v>
      </c>
      <c r="T6" s="249"/>
      <c r="U6" s="187" t="s">
        <v>6</v>
      </c>
      <c r="V6" s="5" t="s">
        <v>7</v>
      </c>
      <c r="W6" s="20"/>
    </row>
    <row r="7" spans="1:23" x14ac:dyDescent="0.25">
      <c r="A7" s="147" t="s">
        <v>308</v>
      </c>
      <c r="B7" s="149"/>
      <c r="C7" s="279"/>
      <c r="D7" s="149"/>
      <c r="E7" s="303">
        <f>Rates!K4</f>
        <v>7</v>
      </c>
      <c r="F7" s="234">
        <f>Rates!K4</f>
        <v>7</v>
      </c>
      <c r="G7" s="336">
        <f>'WW Users'!E8</f>
        <v>20</v>
      </c>
      <c r="H7" s="279"/>
      <c r="I7" s="303">
        <f>G7*Rates!K4</f>
        <v>140</v>
      </c>
      <c r="J7" s="149">
        <f>'WW Users'!G8</f>
        <v>3</v>
      </c>
      <c r="K7" s="149"/>
      <c r="L7" s="235">
        <f>J7*Rates!K4</f>
        <v>21</v>
      </c>
      <c r="M7" s="235"/>
      <c r="N7" s="192" t="s">
        <v>8</v>
      </c>
      <c r="O7" s="149"/>
      <c r="P7" s="149"/>
      <c r="Q7" s="252"/>
      <c r="R7" s="149"/>
      <c r="S7" s="149"/>
      <c r="T7" s="149"/>
      <c r="U7" s="149"/>
      <c r="V7" s="2"/>
      <c r="W7" s="2"/>
    </row>
    <row r="8" spans="1:23" x14ac:dyDescent="0.25">
      <c r="A8" s="190" t="s">
        <v>63</v>
      </c>
      <c r="B8" s="149"/>
      <c r="C8" s="281">
        <f>'WW Users'!C9</f>
        <v>378.70771899392889</v>
      </c>
      <c r="D8" s="194">
        <f>'WW Users'!D9</f>
        <v>358.22784810126581</v>
      </c>
      <c r="E8" s="303">
        <f>Rates!$K$4+((('Forecast - WW'!C8/1000)*Rates!$K$5))</f>
        <v>9.7266955767562884</v>
      </c>
      <c r="F8" s="350">
        <f>Rates!$K$4+((('Forecast - WW'!D8/1000)*Rates!$K$5))</f>
        <v>9.5792405063291142</v>
      </c>
      <c r="G8" s="336">
        <f>'WW Users'!E9</f>
        <v>256.22222222222223</v>
      </c>
      <c r="H8" s="291">
        <f>G8*C8</f>
        <v>97033.333333333343</v>
      </c>
      <c r="I8" s="303">
        <f>G8*E8</f>
        <v>2492.1955555555555</v>
      </c>
      <c r="J8" s="194">
        <f>'WW Users'!G9</f>
        <v>96.555555555555557</v>
      </c>
      <c r="K8" s="151">
        <f>J8*D8</f>
        <v>34588.888888888891</v>
      </c>
      <c r="L8" s="253">
        <f>J8*F8</f>
        <v>924.92888888888888</v>
      </c>
      <c r="M8" s="253"/>
      <c r="N8" s="190" t="s">
        <v>63</v>
      </c>
      <c r="O8" s="149"/>
      <c r="P8" s="151"/>
      <c r="Q8" s="200">
        <f t="shared" ref="Q8:Q23" si="0">+F8</f>
        <v>9.5792405063291142</v>
      </c>
      <c r="R8" s="152"/>
      <c r="S8" s="151"/>
      <c r="T8" s="254"/>
      <c r="U8" s="152"/>
      <c r="V8" s="7"/>
      <c r="W8" s="21"/>
    </row>
    <row r="9" spans="1:23" x14ac:dyDescent="0.25">
      <c r="A9" s="190" t="s">
        <v>64</v>
      </c>
      <c r="B9" s="149"/>
      <c r="C9" s="281">
        <f>'WW Users'!C10</f>
        <v>1458.6041358936484</v>
      </c>
      <c r="D9" s="194">
        <f>'WW Users'!D10</f>
        <v>1379.4749403341289</v>
      </c>
      <c r="E9" s="303">
        <f>Rates!K$4+((('Forecast - WW'!C9/1000)*Rates!K$5))</f>
        <v>17.501949778434266</v>
      </c>
      <c r="F9" s="350">
        <f>Rates!$K$4+((('Forecast - WW'!D9/1000)*Rates!$K$5))</f>
        <v>16.932219570405728</v>
      </c>
      <c r="G9" s="336">
        <f>'WW Users'!E10</f>
        <v>300.88888888888891</v>
      </c>
      <c r="H9" s="291">
        <f t="shared" ref="H9:H28" si="1">G9*C9</f>
        <v>438877.77777777781</v>
      </c>
      <c r="I9" s="303">
        <f t="shared" ref="I9:I28" si="2">G9*E9</f>
        <v>5266.1422222222218</v>
      </c>
      <c r="J9" s="194">
        <f>'WW Users'!G10</f>
        <v>46.555555555555557</v>
      </c>
      <c r="K9" s="151">
        <f t="shared" ref="K9:K28" si="3">J9*D9</f>
        <v>64222.222222222226</v>
      </c>
      <c r="L9" s="253">
        <f t="shared" ref="L9:L28" si="4">J9*F9</f>
        <v>788.28888888888889</v>
      </c>
      <c r="M9" s="253"/>
      <c r="N9" s="190" t="s">
        <v>64</v>
      </c>
      <c r="O9" s="149"/>
      <c r="P9" s="151">
        <v>1500</v>
      </c>
      <c r="Q9" s="200">
        <f t="shared" si="0"/>
        <v>16.932219570405728</v>
      </c>
      <c r="R9" s="152"/>
      <c r="S9" s="151">
        <f t="shared" ref="S9:S23" si="5">(R9*P9)/1000</f>
        <v>0</v>
      </c>
      <c r="T9" s="254">
        <f>Q9*R9</f>
        <v>0</v>
      </c>
      <c r="U9" s="152"/>
      <c r="V9" s="7">
        <f t="shared" ref="V9:V23" si="6">(U9*P9)/1000</f>
        <v>0</v>
      </c>
      <c r="W9" s="21">
        <f>Q9*U9</f>
        <v>0</v>
      </c>
    </row>
    <row r="10" spans="1:23" x14ac:dyDescent="0.25">
      <c r="A10" s="190" t="s">
        <v>65</v>
      </c>
      <c r="B10" s="149"/>
      <c r="C10" s="281">
        <f>'WW Users'!C11</f>
        <v>2439.9511798209928</v>
      </c>
      <c r="D10" s="194">
        <f>'WW Users'!D11</f>
        <v>2411.5577889447236</v>
      </c>
      <c r="E10" s="303">
        <f>Rates!K$4+((('Forecast - WW'!C10/1000)*Rates!K$5))</f>
        <v>24.56764849471115</v>
      </c>
      <c r="F10" s="350">
        <f>Rates!$K$4+((('Forecast - WW'!D10/1000)*Rates!$K$5))</f>
        <v>24.363216080402008</v>
      </c>
      <c r="G10" s="336">
        <f>'WW Users'!E11</f>
        <v>273.11111111111109</v>
      </c>
      <c r="H10" s="291">
        <f t="shared" si="1"/>
        <v>666377.77777777775</v>
      </c>
      <c r="I10" s="303">
        <f t="shared" si="2"/>
        <v>6709.6977777777784</v>
      </c>
      <c r="J10" s="194">
        <f>'WW Users'!G11</f>
        <v>22.111111111111111</v>
      </c>
      <c r="K10" s="151">
        <f t="shared" si="3"/>
        <v>53322.222222222219</v>
      </c>
      <c r="L10" s="253">
        <f t="shared" si="4"/>
        <v>538.69777777777767</v>
      </c>
      <c r="M10" s="253"/>
      <c r="N10" s="190" t="s">
        <v>65</v>
      </c>
      <c r="O10" s="149"/>
      <c r="P10" s="151">
        <v>2500</v>
      </c>
      <c r="Q10" s="200">
        <f t="shared" si="0"/>
        <v>24.363216080402008</v>
      </c>
      <c r="R10" s="152"/>
      <c r="S10" s="151">
        <f t="shared" si="5"/>
        <v>0</v>
      </c>
      <c r="T10" s="254">
        <f t="shared" ref="T10:T25" si="7">Q9*R10</f>
        <v>0</v>
      </c>
      <c r="U10" s="152"/>
      <c r="V10" s="7">
        <f t="shared" si="6"/>
        <v>0</v>
      </c>
      <c r="W10" s="21">
        <f t="shared" ref="W10:W25" si="8">Q9*U10</f>
        <v>0</v>
      </c>
    </row>
    <row r="11" spans="1:23" x14ac:dyDescent="0.25">
      <c r="A11" s="190" t="s">
        <v>66</v>
      </c>
      <c r="B11" s="149"/>
      <c r="C11" s="281">
        <f>'WW Users'!C12</f>
        <v>3420.7272727272725</v>
      </c>
      <c r="D11" s="194">
        <f>'WW Users'!D12</f>
        <v>3441.5254237288136</v>
      </c>
      <c r="E11" s="303">
        <f>Rates!K$4+((('Forecast - WW'!C11/1000)*Rates!K$5))</f>
        <v>31.629236363636362</v>
      </c>
      <c r="F11" s="350">
        <f>Rates!$K$4+((('Forecast - WW'!D11/1000)*Rates!$K$5))</f>
        <v>31.778983050847458</v>
      </c>
      <c r="G11" s="336">
        <f>'WW Users'!E12</f>
        <v>213.88888888888889</v>
      </c>
      <c r="H11" s="291">
        <f t="shared" si="1"/>
        <v>731655.5555555555</v>
      </c>
      <c r="I11" s="303">
        <f t="shared" si="2"/>
        <v>6765.1422222222218</v>
      </c>
      <c r="J11" s="194">
        <f>'WW Users'!G12</f>
        <v>13.111111111111111</v>
      </c>
      <c r="K11" s="151">
        <f t="shared" si="3"/>
        <v>45122.222222222219</v>
      </c>
      <c r="L11" s="253">
        <f t="shared" si="4"/>
        <v>416.65777777777777</v>
      </c>
      <c r="M11" s="253"/>
      <c r="N11" s="190" t="s">
        <v>66</v>
      </c>
      <c r="O11" s="149"/>
      <c r="P11" s="151">
        <v>3500</v>
      </c>
      <c r="Q11" s="200">
        <f t="shared" si="0"/>
        <v>31.778983050847458</v>
      </c>
      <c r="R11" s="152"/>
      <c r="S11" s="151">
        <f t="shared" si="5"/>
        <v>0</v>
      </c>
      <c r="T11" s="254">
        <f t="shared" si="7"/>
        <v>0</v>
      </c>
      <c r="U11" s="152"/>
      <c r="V11" s="7">
        <f t="shared" si="6"/>
        <v>0</v>
      </c>
      <c r="W11" s="21">
        <f t="shared" si="8"/>
        <v>0</v>
      </c>
    </row>
    <row r="12" spans="1:23" x14ac:dyDescent="0.25">
      <c r="A12" s="190" t="s">
        <v>67</v>
      </c>
      <c r="B12" s="149"/>
      <c r="C12" s="281">
        <f>'WW Users'!C13</f>
        <v>4415.4028436018962</v>
      </c>
      <c r="D12" s="194">
        <f>'WW Users'!D13</f>
        <v>4375.5319148936169</v>
      </c>
      <c r="E12" s="303">
        <f>Rates!K$4+((('Forecast - WW'!C12/1000)*Rates!K$5))</f>
        <v>38.790900473933654</v>
      </c>
      <c r="F12" s="350">
        <f>Rates!$K$4+((('Forecast - WW'!D12/1000)*Rates!$K$5))</f>
        <v>38.503829787234039</v>
      </c>
      <c r="G12" s="336">
        <f>'WW Users'!E13</f>
        <v>140.66666666666666</v>
      </c>
      <c r="H12" s="291">
        <f t="shared" si="1"/>
        <v>621100</v>
      </c>
      <c r="I12" s="303">
        <f t="shared" si="2"/>
        <v>5456.586666666667</v>
      </c>
      <c r="J12" s="194">
        <f>'WW Users'!G13</f>
        <v>10.444444444444445</v>
      </c>
      <c r="K12" s="151">
        <f t="shared" si="3"/>
        <v>45700</v>
      </c>
      <c r="L12" s="253">
        <f t="shared" si="4"/>
        <v>402.15111111111111</v>
      </c>
      <c r="M12" s="253"/>
      <c r="N12" s="190" t="s">
        <v>67</v>
      </c>
      <c r="O12" s="149"/>
      <c r="P12" s="151">
        <v>4500</v>
      </c>
      <c r="Q12" s="200">
        <f t="shared" si="0"/>
        <v>38.503829787234039</v>
      </c>
      <c r="R12" s="152"/>
      <c r="S12" s="151">
        <f t="shared" si="5"/>
        <v>0</v>
      </c>
      <c r="T12" s="254">
        <f t="shared" si="7"/>
        <v>0</v>
      </c>
      <c r="U12" s="152"/>
      <c r="V12" s="7">
        <f t="shared" si="6"/>
        <v>0</v>
      </c>
      <c r="W12" s="21">
        <f t="shared" si="8"/>
        <v>0</v>
      </c>
    </row>
    <row r="13" spans="1:23" x14ac:dyDescent="0.25">
      <c r="A13" s="190" t="s">
        <v>68</v>
      </c>
      <c r="B13" s="149"/>
      <c r="C13" s="281">
        <f>'WW Users'!C14</f>
        <v>5421.16991643454</v>
      </c>
      <c r="D13" s="194">
        <f>'WW Users'!D14</f>
        <v>5370.1298701298701</v>
      </c>
      <c r="E13" s="303">
        <f>Rates!K$4+((('Forecast - WW'!C13/1000)*Rates!K$5))</f>
        <v>46.032423398328689</v>
      </c>
      <c r="F13" s="350">
        <f>Rates!$K$4+((('Forecast - WW'!D13/1000)*Rates!$K$5))</f>
        <v>45.664935064935065</v>
      </c>
      <c r="G13" s="336">
        <f>'WW Users'!E14</f>
        <v>79.777777777777771</v>
      </c>
      <c r="H13" s="291">
        <f t="shared" si="1"/>
        <v>432488.88888888882</v>
      </c>
      <c r="I13" s="303">
        <f t="shared" si="2"/>
        <v>3672.364444444444</v>
      </c>
      <c r="J13" s="194">
        <f>'WW Users'!G14</f>
        <v>8.5555555555555554</v>
      </c>
      <c r="K13" s="151">
        <f t="shared" si="3"/>
        <v>45944.444444444445</v>
      </c>
      <c r="L13" s="253">
        <f t="shared" si="4"/>
        <v>390.68888888888887</v>
      </c>
      <c r="M13" s="253"/>
      <c r="N13" s="190" t="s">
        <v>68</v>
      </c>
      <c r="O13" s="149"/>
      <c r="P13" s="151">
        <v>5500</v>
      </c>
      <c r="Q13" s="200">
        <f t="shared" si="0"/>
        <v>45.664935064935065</v>
      </c>
      <c r="R13" s="152"/>
      <c r="S13" s="151">
        <f t="shared" si="5"/>
        <v>0</v>
      </c>
      <c r="T13" s="254">
        <f t="shared" si="7"/>
        <v>0</v>
      </c>
      <c r="U13" s="152"/>
      <c r="V13" s="7">
        <f t="shared" si="6"/>
        <v>0</v>
      </c>
      <c r="W13" s="21">
        <f t="shared" si="8"/>
        <v>0</v>
      </c>
    </row>
    <row r="14" spans="1:23" x14ac:dyDescent="0.25">
      <c r="A14" s="190" t="s">
        <v>69</v>
      </c>
      <c r="B14" s="149"/>
      <c r="C14" s="281">
        <f>'WW Users'!C15</f>
        <v>6393.2405566600401</v>
      </c>
      <c r="D14" s="194">
        <f>'WW Users'!D15</f>
        <v>6438</v>
      </c>
      <c r="E14" s="303">
        <f>Rates!K$4+((('Forecast - WW'!C14/1000)*Rates!K$5))</f>
        <v>53.031332007952294</v>
      </c>
      <c r="F14" s="350">
        <f>Rates!$K$4+((('Forecast - WW'!D14/1000)*Rates!$K$5))</f>
        <v>53.3536</v>
      </c>
      <c r="G14" s="336">
        <f>'WW Users'!E15</f>
        <v>55.888888888888886</v>
      </c>
      <c r="H14" s="291">
        <f t="shared" si="1"/>
        <v>357311.11111111112</v>
      </c>
      <c r="I14" s="303">
        <f t="shared" si="2"/>
        <v>2963.8622222222225</v>
      </c>
      <c r="J14" s="194">
        <f>'WW Users'!G15</f>
        <v>5.5555555555555554</v>
      </c>
      <c r="K14" s="151">
        <f t="shared" si="3"/>
        <v>35766.666666666664</v>
      </c>
      <c r="L14" s="253">
        <f t="shared" si="4"/>
        <v>296.4088888888889</v>
      </c>
      <c r="M14" s="253"/>
      <c r="N14" s="190" t="s">
        <v>69</v>
      </c>
      <c r="O14" s="149"/>
      <c r="P14" s="151">
        <v>6500</v>
      </c>
      <c r="Q14" s="200">
        <f t="shared" si="0"/>
        <v>53.3536</v>
      </c>
      <c r="R14" s="152"/>
      <c r="S14" s="151">
        <f t="shared" si="5"/>
        <v>0</v>
      </c>
      <c r="T14" s="254">
        <f t="shared" si="7"/>
        <v>0</v>
      </c>
      <c r="U14" s="152"/>
      <c r="V14" s="7">
        <f t="shared" si="6"/>
        <v>0</v>
      </c>
      <c r="W14" s="21">
        <f t="shared" si="8"/>
        <v>0</v>
      </c>
    </row>
    <row r="15" spans="1:23" x14ac:dyDescent="0.25">
      <c r="A15" s="190" t="s">
        <v>70</v>
      </c>
      <c r="B15" s="149"/>
      <c r="C15" s="281">
        <f>'WW Users'!C16</f>
        <v>7418.9922480620153</v>
      </c>
      <c r="D15" s="194">
        <f>'WW Users'!D16</f>
        <v>7470.588235294118</v>
      </c>
      <c r="E15" s="303">
        <f>Rates!K$4+((('Forecast - WW'!C15/1000)*Rates!K$5))</f>
        <v>60.416744186046515</v>
      </c>
      <c r="F15" s="350">
        <f>Rates!$K$4+((('Forecast - WW'!D15/1000)*Rates!$K$5))</f>
        <v>60.788235294117648</v>
      </c>
      <c r="G15" s="336">
        <f>'WW Users'!E16</f>
        <v>28.666666666666668</v>
      </c>
      <c r="H15" s="291">
        <f t="shared" si="1"/>
        <v>212677.77777777778</v>
      </c>
      <c r="I15" s="303">
        <f t="shared" si="2"/>
        <v>1731.9466666666667</v>
      </c>
      <c r="J15" s="194">
        <f>'WW Users'!G16</f>
        <v>5.666666666666667</v>
      </c>
      <c r="K15" s="151">
        <f t="shared" si="3"/>
        <v>42333.333333333336</v>
      </c>
      <c r="L15" s="253">
        <f t="shared" si="4"/>
        <v>344.4666666666667</v>
      </c>
      <c r="M15" s="253"/>
      <c r="N15" s="190" t="s">
        <v>70</v>
      </c>
      <c r="O15" s="149"/>
      <c r="P15" s="151">
        <v>7500</v>
      </c>
      <c r="Q15" s="200">
        <f t="shared" si="0"/>
        <v>60.788235294117648</v>
      </c>
      <c r="R15" s="152"/>
      <c r="S15" s="151">
        <f t="shared" si="5"/>
        <v>0</v>
      </c>
      <c r="T15" s="254">
        <f t="shared" si="7"/>
        <v>0</v>
      </c>
      <c r="U15" s="152"/>
      <c r="V15" s="7">
        <f t="shared" si="6"/>
        <v>0</v>
      </c>
      <c r="W15" s="21">
        <f t="shared" si="8"/>
        <v>0</v>
      </c>
    </row>
    <row r="16" spans="1:23" x14ac:dyDescent="0.25">
      <c r="A16" s="190" t="s">
        <v>71</v>
      </c>
      <c r="B16" s="149"/>
      <c r="C16" s="281">
        <f>'WW Users'!C17</f>
        <v>8428.9017341040471</v>
      </c>
      <c r="D16" s="194">
        <f>'WW Users'!D17</f>
        <v>8426.4705882352937</v>
      </c>
      <c r="E16" s="303">
        <f>Rates!K$4+((('Forecast - WW'!C16/1000)*Rates!K$5))</f>
        <v>67.688092485549134</v>
      </c>
      <c r="F16" s="350">
        <f>Rates!$K$4+((('Forecast - WW'!D16/1000)*Rates!$K$5))</f>
        <v>67.670588235294105</v>
      </c>
      <c r="G16" s="336">
        <f>'WW Users'!E17</f>
        <v>19.222222222222221</v>
      </c>
      <c r="H16" s="291">
        <f t="shared" si="1"/>
        <v>162022.22222222222</v>
      </c>
      <c r="I16" s="303">
        <f t="shared" si="2"/>
        <v>1301.1155555555556</v>
      </c>
      <c r="J16" s="194">
        <f>'WW Users'!G17</f>
        <v>3.7777777777777777</v>
      </c>
      <c r="K16" s="151">
        <f t="shared" si="3"/>
        <v>31833.333333333332</v>
      </c>
      <c r="L16" s="253">
        <f t="shared" si="4"/>
        <v>255.64444444444439</v>
      </c>
      <c r="M16" s="253"/>
      <c r="N16" s="190" t="s">
        <v>71</v>
      </c>
      <c r="O16" s="149"/>
      <c r="P16" s="151">
        <v>8500</v>
      </c>
      <c r="Q16" s="200">
        <f t="shared" si="0"/>
        <v>67.670588235294105</v>
      </c>
      <c r="R16" s="152"/>
      <c r="S16" s="151">
        <f t="shared" si="5"/>
        <v>0</v>
      </c>
      <c r="T16" s="254">
        <f t="shared" si="7"/>
        <v>0</v>
      </c>
      <c r="U16" s="152"/>
      <c r="V16" s="7">
        <f t="shared" si="6"/>
        <v>0</v>
      </c>
      <c r="W16" s="21">
        <f t="shared" si="8"/>
        <v>0</v>
      </c>
    </row>
    <row r="17" spans="1:23" x14ac:dyDescent="0.25">
      <c r="A17" s="190" t="s">
        <v>72</v>
      </c>
      <c r="B17" s="149"/>
      <c r="C17" s="281">
        <f>'WW Users'!C18</f>
        <v>9408.633093525179</v>
      </c>
      <c r="D17" s="194">
        <f>'WW Users'!D18</f>
        <v>9367.8571428571431</v>
      </c>
      <c r="E17" s="303">
        <f>Rates!K$4+((('Forecast - WW'!C17/1000)*Rates!K$5))</f>
        <v>74.742158273381293</v>
      </c>
      <c r="F17" s="350">
        <f>Rates!$K$4+((('Forecast - WW'!D17/1000)*Rates!$K$5))</f>
        <v>74.448571428571441</v>
      </c>
      <c r="G17" s="336">
        <f>'WW Users'!E18</f>
        <v>15.444444444444445</v>
      </c>
      <c r="H17" s="291">
        <f t="shared" si="1"/>
        <v>145311.11111111109</v>
      </c>
      <c r="I17" s="303">
        <f t="shared" si="2"/>
        <v>1154.3511111111111</v>
      </c>
      <c r="J17" s="194">
        <f>'WW Users'!G18</f>
        <v>3.1111111111111112</v>
      </c>
      <c r="K17" s="151">
        <f t="shared" si="3"/>
        <v>29144.444444444445</v>
      </c>
      <c r="L17" s="253">
        <f t="shared" si="4"/>
        <v>231.61777777777783</v>
      </c>
      <c r="M17" s="253"/>
      <c r="N17" s="190" t="s">
        <v>72</v>
      </c>
      <c r="O17" s="149"/>
      <c r="P17" s="151">
        <v>9500</v>
      </c>
      <c r="Q17" s="200">
        <f t="shared" si="0"/>
        <v>74.448571428571441</v>
      </c>
      <c r="R17" s="152"/>
      <c r="S17" s="151">
        <f t="shared" si="5"/>
        <v>0</v>
      </c>
      <c r="T17" s="254">
        <f t="shared" si="7"/>
        <v>0</v>
      </c>
      <c r="U17" s="152"/>
      <c r="V17" s="7">
        <f t="shared" si="6"/>
        <v>0</v>
      </c>
      <c r="W17" s="21">
        <f t="shared" si="8"/>
        <v>0</v>
      </c>
    </row>
    <row r="18" spans="1:23" x14ac:dyDescent="0.25">
      <c r="A18" s="190" t="s">
        <v>73</v>
      </c>
      <c r="B18" s="149"/>
      <c r="C18" s="281">
        <f>'WW Users'!C19</f>
        <v>10432.967032967033</v>
      </c>
      <c r="D18" s="194">
        <f>'WW Users'!D19</f>
        <v>10458.620689655172</v>
      </c>
      <c r="E18" s="303">
        <f>Rates!K$4+((('Forecast - WW'!C18/1000)*Rates!K$5))</f>
        <v>82.117362637362646</v>
      </c>
      <c r="F18" s="350">
        <f>Rates!$K$4+((('Forecast - WW'!D18/1000)*Rates!$K$5))</f>
        <v>82.302068965517236</v>
      </c>
      <c r="G18" s="336">
        <f>'WW Users'!E19</f>
        <v>10.111111111111111</v>
      </c>
      <c r="H18" s="291">
        <f t="shared" si="1"/>
        <v>105488.88888888889</v>
      </c>
      <c r="I18" s="303">
        <f t="shared" si="2"/>
        <v>830.29777777777781</v>
      </c>
      <c r="J18" s="194">
        <f>'WW Users'!G19</f>
        <v>3.2222222222222223</v>
      </c>
      <c r="K18" s="151">
        <f t="shared" si="3"/>
        <v>33700</v>
      </c>
      <c r="L18" s="253">
        <f t="shared" si="4"/>
        <v>265.19555555555553</v>
      </c>
      <c r="M18" s="253"/>
      <c r="N18" s="190" t="s">
        <v>73</v>
      </c>
      <c r="O18" s="149"/>
      <c r="P18" s="151">
        <v>10500</v>
      </c>
      <c r="Q18" s="200">
        <f t="shared" si="0"/>
        <v>82.302068965517236</v>
      </c>
      <c r="R18" s="152"/>
      <c r="S18" s="151">
        <f t="shared" si="5"/>
        <v>0</v>
      </c>
      <c r="T18" s="254">
        <f t="shared" si="7"/>
        <v>0</v>
      </c>
      <c r="U18" s="152"/>
      <c r="V18" s="7">
        <f t="shared" si="6"/>
        <v>0</v>
      </c>
      <c r="W18" s="21">
        <f t="shared" si="8"/>
        <v>0</v>
      </c>
    </row>
    <row r="19" spans="1:23" x14ac:dyDescent="0.25">
      <c r="A19" s="190" t="s">
        <v>74</v>
      </c>
      <c r="B19" s="149"/>
      <c r="C19" s="281">
        <f>'WW Users'!C20</f>
        <v>11400</v>
      </c>
      <c r="D19" s="194">
        <f>'WW Users'!D20</f>
        <v>11386.363636363636</v>
      </c>
      <c r="E19" s="303">
        <f>Rates!K$4+((('Forecast - WW'!C19/1000)*Rates!K$5))</f>
        <v>89.08</v>
      </c>
      <c r="F19" s="350">
        <f>Rates!$K$4+((('Forecast - WW'!D19/1000)*Rates!$K$5))</f>
        <v>88.981818181818184</v>
      </c>
      <c r="G19" s="336">
        <f>'WW Users'!E20</f>
        <v>6.333333333333333</v>
      </c>
      <c r="H19" s="291">
        <f t="shared" si="1"/>
        <v>72200</v>
      </c>
      <c r="I19" s="303">
        <f t="shared" si="2"/>
        <v>564.17333333333329</v>
      </c>
      <c r="J19" s="194">
        <f>'WW Users'!G20</f>
        <v>2.4444444444444446</v>
      </c>
      <c r="K19" s="151">
        <f t="shared" si="3"/>
        <v>27833.333333333336</v>
      </c>
      <c r="L19" s="253">
        <f t="shared" si="4"/>
        <v>217.51111111111115</v>
      </c>
      <c r="M19" s="253"/>
      <c r="N19" s="190" t="s">
        <v>74</v>
      </c>
      <c r="O19" s="149"/>
      <c r="P19" s="151">
        <v>11500</v>
      </c>
      <c r="Q19" s="200">
        <f t="shared" si="0"/>
        <v>88.981818181818184</v>
      </c>
      <c r="R19" s="152"/>
      <c r="S19" s="151">
        <f t="shared" si="5"/>
        <v>0</v>
      </c>
      <c r="T19" s="254">
        <f t="shared" si="7"/>
        <v>0</v>
      </c>
      <c r="U19" s="152"/>
      <c r="V19" s="7">
        <f t="shared" si="6"/>
        <v>0</v>
      </c>
      <c r="W19" s="21">
        <f t="shared" si="8"/>
        <v>0</v>
      </c>
    </row>
    <row r="20" spans="1:23" x14ac:dyDescent="0.25">
      <c r="A20" s="190" t="s">
        <v>75</v>
      </c>
      <c r="B20" s="149"/>
      <c r="C20" s="281">
        <f>'WW Users'!C21</f>
        <v>12429.411764705883</v>
      </c>
      <c r="D20" s="194">
        <f>'WW Users'!D21</f>
        <v>12506.666666666666</v>
      </c>
      <c r="E20" s="303">
        <f>Rates!K$4+((('Forecast - WW'!C20/1000)*Rates!K$5))</f>
        <v>96.49176470588236</v>
      </c>
      <c r="F20" s="350">
        <f>Rates!$K$4+((('Forecast - WW'!D20/1000)*Rates!$K$5))</f>
        <v>97.048000000000002</v>
      </c>
      <c r="G20" s="336">
        <f>'WW Users'!E21</f>
        <v>5.666666666666667</v>
      </c>
      <c r="H20" s="291">
        <f t="shared" si="1"/>
        <v>70433.333333333343</v>
      </c>
      <c r="I20" s="303">
        <f t="shared" si="2"/>
        <v>546.78666666666675</v>
      </c>
      <c r="J20" s="194">
        <f>'WW Users'!G21</f>
        <v>1.6666666666666667</v>
      </c>
      <c r="K20" s="151">
        <f t="shared" si="3"/>
        <v>20844.444444444445</v>
      </c>
      <c r="L20" s="253">
        <f t="shared" si="4"/>
        <v>161.74666666666667</v>
      </c>
      <c r="M20" s="253"/>
      <c r="N20" s="190" t="s">
        <v>75</v>
      </c>
      <c r="O20" s="149"/>
      <c r="P20" s="151">
        <v>12500</v>
      </c>
      <c r="Q20" s="200">
        <f t="shared" si="0"/>
        <v>97.048000000000002</v>
      </c>
      <c r="R20" s="152"/>
      <c r="S20" s="151">
        <f t="shared" si="5"/>
        <v>0</v>
      </c>
      <c r="T20" s="254">
        <f t="shared" si="7"/>
        <v>0</v>
      </c>
      <c r="U20" s="152"/>
      <c r="V20" s="7">
        <f t="shared" si="6"/>
        <v>0</v>
      </c>
      <c r="W20" s="21">
        <f t="shared" si="8"/>
        <v>0</v>
      </c>
    </row>
    <row r="21" spans="1:23" x14ac:dyDescent="0.25">
      <c r="A21" s="190" t="s">
        <v>76</v>
      </c>
      <c r="B21" s="149"/>
      <c r="C21" s="281">
        <f>'WW Users'!C22</f>
        <v>13284.375</v>
      </c>
      <c r="D21" s="194">
        <f>'WW Users'!D22</f>
        <v>13518.181818181818</v>
      </c>
      <c r="E21" s="303">
        <f>Rates!K$4+((('Forecast - WW'!C21/1000)*Rates!K$5))</f>
        <v>102.64750000000001</v>
      </c>
      <c r="F21" s="350">
        <f>Rates!$K$4+((('Forecast - WW'!D21/1000)*Rates!$K$5))</f>
        <v>104.33090909090909</v>
      </c>
      <c r="G21" s="336">
        <f>'WW Users'!E22</f>
        <v>3.5555555555555554</v>
      </c>
      <c r="H21" s="291">
        <f t="shared" si="1"/>
        <v>47233.333333333328</v>
      </c>
      <c r="I21" s="303">
        <f t="shared" si="2"/>
        <v>364.9688888888889</v>
      </c>
      <c r="J21" s="194">
        <f>'WW Users'!G22</f>
        <v>1.2222222222222223</v>
      </c>
      <c r="K21" s="151">
        <f t="shared" si="3"/>
        <v>16522.222222222223</v>
      </c>
      <c r="L21" s="253">
        <f t="shared" si="4"/>
        <v>127.51555555555557</v>
      </c>
      <c r="M21" s="253"/>
      <c r="N21" s="190" t="s">
        <v>76</v>
      </c>
      <c r="O21" s="149"/>
      <c r="P21" s="151">
        <v>13500</v>
      </c>
      <c r="Q21" s="200">
        <f t="shared" si="0"/>
        <v>104.33090909090909</v>
      </c>
      <c r="R21" s="152"/>
      <c r="S21" s="151">
        <f t="shared" si="5"/>
        <v>0</v>
      </c>
      <c r="T21" s="254">
        <f t="shared" si="7"/>
        <v>0</v>
      </c>
      <c r="U21" s="152"/>
      <c r="V21" s="7">
        <f t="shared" si="6"/>
        <v>0</v>
      </c>
      <c r="W21" s="21">
        <f t="shared" si="8"/>
        <v>0</v>
      </c>
    </row>
    <row r="22" spans="1:23" x14ac:dyDescent="0.25">
      <c r="A22" s="190" t="s">
        <v>77</v>
      </c>
      <c r="B22" s="149"/>
      <c r="C22" s="281">
        <f>'WW Users'!C23</f>
        <v>14462.962962962964</v>
      </c>
      <c r="D22" s="194">
        <f>'WW Users'!D23</f>
        <v>14514.285714285714</v>
      </c>
      <c r="E22" s="303">
        <f>Rates!K$4+((('Forecast - WW'!C22/1000)*Rates!K$5))</f>
        <v>111.13333333333334</v>
      </c>
      <c r="F22" s="350">
        <f>Rates!$K$4+((('Forecast - WW'!D22/1000)*Rates!$K$5))</f>
        <v>111.50285714285714</v>
      </c>
      <c r="G22" s="336">
        <f>'WW Users'!E23</f>
        <v>3</v>
      </c>
      <c r="H22" s="291">
        <f t="shared" si="1"/>
        <v>43388.888888888891</v>
      </c>
      <c r="I22" s="303">
        <f t="shared" si="2"/>
        <v>333.40000000000003</v>
      </c>
      <c r="J22" s="194">
        <f>'WW Users'!G23</f>
        <v>0.77777777777777779</v>
      </c>
      <c r="K22" s="151">
        <f t="shared" si="3"/>
        <v>11288.888888888889</v>
      </c>
      <c r="L22" s="253">
        <f t="shared" si="4"/>
        <v>86.724444444444444</v>
      </c>
      <c r="M22" s="253"/>
      <c r="N22" s="190" t="s">
        <v>77</v>
      </c>
      <c r="O22" s="149"/>
      <c r="P22" s="151">
        <v>14500</v>
      </c>
      <c r="Q22" s="200">
        <f t="shared" si="0"/>
        <v>111.50285714285714</v>
      </c>
      <c r="R22" s="152"/>
      <c r="S22" s="151">
        <f t="shared" si="5"/>
        <v>0</v>
      </c>
      <c r="T22" s="254">
        <f t="shared" si="7"/>
        <v>0</v>
      </c>
      <c r="U22" s="152"/>
      <c r="V22" s="7">
        <f t="shared" si="6"/>
        <v>0</v>
      </c>
      <c r="W22" s="21">
        <f t="shared" si="8"/>
        <v>0</v>
      </c>
    </row>
    <row r="23" spans="1:23" x14ac:dyDescent="0.25">
      <c r="A23" s="190" t="s">
        <v>78</v>
      </c>
      <c r="B23" s="149"/>
      <c r="C23" s="281">
        <f>'WW Users'!C24</f>
        <v>15323.529411764706</v>
      </c>
      <c r="D23" s="194">
        <f>'WW Users'!D24</f>
        <v>15344.444444444445</v>
      </c>
      <c r="E23" s="303">
        <f>Rates!K$4+((('Forecast - WW'!C23/1000)*Rates!K$5))</f>
        <v>117.3294117647059</v>
      </c>
      <c r="F23" s="350">
        <f>Rates!$K$4+((('Forecast - WW'!D23/1000)*Rates!$K$5))</f>
        <v>117.48</v>
      </c>
      <c r="G23" s="336">
        <f>'WW Users'!E24</f>
        <v>1.8888888888888888</v>
      </c>
      <c r="H23" s="291">
        <f t="shared" si="1"/>
        <v>28944.444444444445</v>
      </c>
      <c r="I23" s="303">
        <f t="shared" si="2"/>
        <v>221.62222222222223</v>
      </c>
      <c r="J23" s="194">
        <f>'WW Users'!G24</f>
        <v>1</v>
      </c>
      <c r="K23" s="151">
        <f t="shared" si="3"/>
        <v>15344.444444444445</v>
      </c>
      <c r="L23" s="253">
        <f t="shared" si="4"/>
        <v>117.48</v>
      </c>
      <c r="M23" s="253"/>
      <c r="N23" s="190" t="s">
        <v>78</v>
      </c>
      <c r="O23" s="149"/>
      <c r="P23" s="151">
        <v>15500</v>
      </c>
      <c r="Q23" s="200">
        <f t="shared" si="0"/>
        <v>117.48</v>
      </c>
      <c r="R23" s="152"/>
      <c r="S23" s="151">
        <f t="shared" si="5"/>
        <v>0</v>
      </c>
      <c r="T23" s="254">
        <f t="shared" si="7"/>
        <v>0</v>
      </c>
      <c r="U23" s="152"/>
      <c r="V23" s="7">
        <f t="shared" si="6"/>
        <v>0</v>
      </c>
      <c r="W23" s="21">
        <f t="shared" si="8"/>
        <v>0</v>
      </c>
    </row>
    <row r="24" spans="1:23" x14ac:dyDescent="0.25">
      <c r="A24" s="190" t="s">
        <v>79</v>
      </c>
      <c r="B24" s="149"/>
      <c r="C24" s="281">
        <f>'WW Users'!C25</f>
        <v>16380</v>
      </c>
      <c r="D24" s="194">
        <f>'WW Users'!D25</f>
        <v>16293.75</v>
      </c>
      <c r="E24" s="303">
        <f>Rates!K$4+((('Forecast - WW'!C24/1000)*Rates!K$5))</f>
        <v>124.93599999999999</v>
      </c>
      <c r="F24" s="350">
        <f>Rates!$K$4+((('Forecast - WW'!D24/1000)*Rates!$K$5))</f>
        <v>124.315</v>
      </c>
      <c r="G24" s="336">
        <f>'WW Users'!E25</f>
        <v>1.6666666666666667</v>
      </c>
      <c r="H24" s="291">
        <f t="shared" si="1"/>
        <v>27300</v>
      </c>
      <c r="I24" s="303">
        <f t="shared" si="2"/>
        <v>208.22666666666666</v>
      </c>
      <c r="J24" s="194">
        <f>'WW Users'!G25</f>
        <v>1.7777777777777777</v>
      </c>
      <c r="K24" s="151">
        <f t="shared" si="3"/>
        <v>28966.666666666664</v>
      </c>
      <c r="L24" s="253">
        <f t="shared" si="4"/>
        <v>221.00444444444443</v>
      </c>
      <c r="M24" s="253"/>
      <c r="N24" s="190" t="s">
        <v>79</v>
      </c>
      <c r="O24" s="149"/>
      <c r="P24" s="151">
        <v>16500</v>
      </c>
      <c r="Q24" s="200">
        <f>+F24</f>
        <v>124.315</v>
      </c>
      <c r="R24" s="152"/>
      <c r="S24" s="151">
        <f>(R24*P24)/1000</f>
        <v>0</v>
      </c>
      <c r="T24" s="254">
        <f t="shared" si="7"/>
        <v>0</v>
      </c>
      <c r="U24" s="152"/>
      <c r="V24" s="7">
        <f>(U24*P24)/1000</f>
        <v>0</v>
      </c>
      <c r="W24" s="21">
        <f t="shared" si="8"/>
        <v>0</v>
      </c>
    </row>
    <row r="25" spans="1:23" x14ac:dyDescent="0.25">
      <c r="A25" s="190" t="s">
        <v>80</v>
      </c>
      <c r="B25" s="149"/>
      <c r="C25" s="281">
        <f>'WW Users'!C26</f>
        <v>17333.333333333332</v>
      </c>
      <c r="D25" s="194">
        <f>'WW Users'!D26</f>
        <v>17466.666666666668</v>
      </c>
      <c r="E25" s="303">
        <f>Rates!K$4+((('Forecast - WW'!C25/1000)*Rates!K$5))</f>
        <v>131.80000000000001</v>
      </c>
      <c r="F25" s="350">
        <f>Rates!$K$4+((('Forecast - WW'!D25/1000)*Rates!$K$5))</f>
        <v>132.76000000000002</v>
      </c>
      <c r="G25" s="336">
        <f>'WW Users'!E26</f>
        <v>1.6666666666666667</v>
      </c>
      <c r="H25" s="291">
        <f t="shared" si="1"/>
        <v>28888.888888888887</v>
      </c>
      <c r="I25" s="303">
        <f t="shared" si="2"/>
        <v>219.66666666666669</v>
      </c>
      <c r="J25" s="194">
        <f>'WW Users'!G26</f>
        <v>1</v>
      </c>
      <c r="K25" s="151">
        <f t="shared" si="3"/>
        <v>17466.666666666668</v>
      </c>
      <c r="L25" s="253">
        <f t="shared" si="4"/>
        <v>132.76000000000002</v>
      </c>
      <c r="M25" s="253"/>
      <c r="N25" s="190" t="s">
        <v>80</v>
      </c>
      <c r="O25" s="149"/>
      <c r="P25" s="151">
        <v>17500</v>
      </c>
      <c r="Q25" s="200">
        <f>+F25</f>
        <v>132.76000000000002</v>
      </c>
      <c r="R25" s="152"/>
      <c r="S25" s="151">
        <f>(R25*P25)/1000</f>
        <v>0</v>
      </c>
      <c r="T25" s="254">
        <f t="shared" si="7"/>
        <v>0</v>
      </c>
      <c r="U25" s="152"/>
      <c r="V25" s="7">
        <f>(U25*P25)/1000</f>
        <v>0</v>
      </c>
      <c r="W25" s="21">
        <f t="shared" si="8"/>
        <v>0</v>
      </c>
    </row>
    <row r="26" spans="1:23" x14ac:dyDescent="0.25">
      <c r="A26" s="190" t="s">
        <v>81</v>
      </c>
      <c r="B26" s="149"/>
      <c r="C26" s="281">
        <f>'WW Users'!C27</f>
        <v>18455.555555555555</v>
      </c>
      <c r="D26" s="194">
        <f>'WW Users'!D27</f>
        <v>18585.714285714286</v>
      </c>
      <c r="E26" s="303">
        <f>Rates!K$4+((('Forecast - WW'!C26/1000)*Rates!K$5))</f>
        <v>139.88</v>
      </c>
      <c r="F26" s="350">
        <f>Rates!$K$4+((('Forecast - WW'!D26/1000)*Rates!$K$5))</f>
        <v>140.81714285714287</v>
      </c>
      <c r="G26" s="336">
        <f>'WW Users'!E27</f>
        <v>1</v>
      </c>
      <c r="H26" s="291">
        <f t="shared" si="1"/>
        <v>18455.555555555555</v>
      </c>
      <c r="I26" s="303">
        <f t="shared" si="2"/>
        <v>139.88</v>
      </c>
      <c r="J26" s="194">
        <f>'WW Users'!G27</f>
        <v>0.77777777777777779</v>
      </c>
      <c r="K26" s="151">
        <f t="shared" si="3"/>
        <v>14455.555555555557</v>
      </c>
      <c r="L26" s="253">
        <f t="shared" si="4"/>
        <v>109.52444444444446</v>
      </c>
      <c r="M26" s="253"/>
      <c r="N26" s="190" t="s">
        <v>81</v>
      </c>
      <c r="O26" s="149"/>
      <c r="P26" s="151">
        <v>18500</v>
      </c>
      <c r="Q26" s="200">
        <f>+F26</f>
        <v>140.81714285714287</v>
      </c>
      <c r="R26" s="152"/>
      <c r="S26" s="151">
        <f>(R26*P26)/1000</f>
        <v>0</v>
      </c>
      <c r="T26" s="254">
        <f>Q25*R26</f>
        <v>0</v>
      </c>
      <c r="U26" s="152"/>
      <c r="V26" s="7">
        <f>(U26*P26)/1000</f>
        <v>0</v>
      </c>
      <c r="W26" s="21">
        <f>Q25*U26</f>
        <v>0</v>
      </c>
    </row>
    <row r="27" spans="1:23" x14ac:dyDescent="0.25">
      <c r="A27" s="190" t="s">
        <v>82</v>
      </c>
      <c r="B27" s="149"/>
      <c r="C27" s="281">
        <f>'WW Users'!C28</f>
        <v>19250</v>
      </c>
      <c r="D27" s="194">
        <f>'WW Users'!D28</f>
        <v>19525</v>
      </c>
      <c r="E27" s="303">
        <f>Rates!K$4+((('Forecast - WW'!C27/1000)*Rates!K$5))</f>
        <v>145.6</v>
      </c>
      <c r="F27" s="350">
        <f>Rates!$K$4+((('Forecast - WW'!D27/1000)*Rates!$K$5))</f>
        <v>147.57999999999998</v>
      </c>
      <c r="G27" s="336">
        <f>'WW Users'!E28</f>
        <v>0.88888888888888884</v>
      </c>
      <c r="H27" s="291">
        <f t="shared" si="1"/>
        <v>17111.111111111109</v>
      </c>
      <c r="I27" s="303">
        <f t="shared" si="2"/>
        <v>129.42222222222222</v>
      </c>
      <c r="J27" s="194">
        <f>'WW Users'!G28</f>
        <v>2.2222222222222223</v>
      </c>
      <c r="K27" s="151">
        <f t="shared" si="3"/>
        <v>43388.888888888891</v>
      </c>
      <c r="L27" s="253">
        <f t="shared" si="4"/>
        <v>327.95555555555552</v>
      </c>
      <c r="M27" s="253"/>
      <c r="N27" s="190" t="s">
        <v>82</v>
      </c>
      <c r="O27" s="149"/>
      <c r="P27" s="151">
        <v>19500</v>
      </c>
      <c r="Q27" s="200">
        <f>+F28</f>
        <v>485.07795454545459</v>
      </c>
      <c r="R27" s="152"/>
      <c r="S27" s="151">
        <f>(R27*P27)/1000</f>
        <v>0</v>
      </c>
      <c r="T27" s="254">
        <f>Q26*R27</f>
        <v>0</v>
      </c>
      <c r="U27" s="152"/>
      <c r="V27" s="7">
        <f>(U27*P27)/1000</f>
        <v>0</v>
      </c>
      <c r="W27" s="21">
        <f>Q26*U27</f>
        <v>0</v>
      </c>
    </row>
    <row r="28" spans="1:23" x14ac:dyDescent="0.25">
      <c r="A28" s="190" t="s">
        <v>83</v>
      </c>
      <c r="B28" s="149"/>
      <c r="C28" s="281">
        <f>'WW Users'!C29</f>
        <v>69169.685039370073</v>
      </c>
      <c r="D28" s="194">
        <f>'WW Users'!D29</f>
        <v>66399.715909090912</v>
      </c>
      <c r="E28" s="303">
        <f>Rates!K$4+((('Forecast - WW'!C28/1000)*Rates!K$5))</f>
        <v>505.02173228346459</v>
      </c>
      <c r="F28" s="350">
        <f>Rates!$K$4+((('Forecast - WW'!D28/1000)*Rates!$K$5))</f>
        <v>485.07795454545459</v>
      </c>
      <c r="G28" s="336">
        <f>'WW Users'!E29</f>
        <v>28.222222222222221</v>
      </c>
      <c r="H28" s="291">
        <f t="shared" si="1"/>
        <v>1952122.222222222</v>
      </c>
      <c r="I28" s="303">
        <f t="shared" si="2"/>
        <v>14252.835555555555</v>
      </c>
      <c r="J28" s="194">
        <f>'WW Users'!G29</f>
        <v>39.111111111111114</v>
      </c>
      <c r="K28" s="151">
        <f t="shared" si="3"/>
        <v>2596966.666666667</v>
      </c>
      <c r="L28" s="253">
        <f t="shared" si="4"/>
        <v>18971.937777777781</v>
      </c>
      <c r="M28" s="253"/>
      <c r="N28" s="190" t="s">
        <v>83</v>
      </c>
      <c r="O28" s="149"/>
      <c r="P28" s="151">
        <v>22150</v>
      </c>
      <c r="Q28" s="200" t="str">
        <f>+F30</f>
        <v>Subtotal</v>
      </c>
      <c r="R28" s="152"/>
      <c r="S28" s="151">
        <f>(R28*P28)/1000</f>
        <v>0</v>
      </c>
      <c r="T28" s="254"/>
      <c r="U28" s="152"/>
      <c r="V28" s="7">
        <f>(U28*P28)/1000</f>
        <v>0</v>
      </c>
      <c r="W28" s="21"/>
    </row>
    <row r="29" spans="1:23" x14ac:dyDescent="0.25">
      <c r="A29" s="190"/>
      <c r="B29" s="149"/>
      <c r="C29" s="351"/>
      <c r="D29" s="194"/>
      <c r="E29" s="350"/>
      <c r="F29" s="350"/>
      <c r="G29" s="336"/>
      <c r="H29" s="291"/>
      <c r="I29" s="303"/>
      <c r="J29" s="194"/>
      <c r="K29" s="151"/>
      <c r="L29" s="253"/>
      <c r="M29" s="253"/>
      <c r="N29" s="190"/>
      <c r="O29" s="149"/>
      <c r="P29" s="151"/>
      <c r="Q29" s="200"/>
      <c r="R29" s="152"/>
      <c r="S29" s="151"/>
      <c r="T29" s="254"/>
      <c r="U29" s="152"/>
      <c r="V29" s="7"/>
      <c r="W29" s="21"/>
    </row>
    <row r="30" spans="1:23" x14ac:dyDescent="0.25">
      <c r="A30" s="147"/>
      <c r="B30" s="149"/>
      <c r="C30" s="255"/>
      <c r="D30" s="255"/>
      <c r="E30" s="255"/>
      <c r="F30" s="193" t="s">
        <v>9</v>
      </c>
      <c r="G30" s="343">
        <f t="shared" ref="G30:L30" si="9">SUM(G7:G28)</f>
        <v>1467.7777777777781</v>
      </c>
      <c r="H30" s="344">
        <f t="shared" si="9"/>
        <v>6276422.222222222</v>
      </c>
      <c r="I30" s="345">
        <f t="shared" si="9"/>
        <v>55464.684444444429</v>
      </c>
      <c r="J30" s="346">
        <f t="shared" si="9"/>
        <v>273.66666666666663</v>
      </c>
      <c r="K30" s="347">
        <f t="shared" si="9"/>
        <v>3254755.555555556</v>
      </c>
      <c r="L30" s="349">
        <f t="shared" si="9"/>
        <v>25349.906666666669</v>
      </c>
      <c r="M30" s="342"/>
      <c r="N30" s="147"/>
      <c r="O30" s="149"/>
      <c r="P30" s="147"/>
      <c r="Q30" s="193" t="s">
        <v>9</v>
      </c>
      <c r="R30" s="155">
        <f t="shared" ref="R30:W30" si="10">SUM(R8:R28)</f>
        <v>0</v>
      </c>
      <c r="S30" s="156">
        <f t="shared" si="10"/>
        <v>0</v>
      </c>
      <c r="T30" s="337">
        <f t="shared" si="10"/>
        <v>0</v>
      </c>
      <c r="U30" s="155">
        <f t="shared" si="10"/>
        <v>0</v>
      </c>
      <c r="V30" s="8">
        <f t="shared" si="10"/>
        <v>0</v>
      </c>
      <c r="W30" s="22">
        <f t="shared" si="10"/>
        <v>0</v>
      </c>
    </row>
    <row r="31" spans="1:23" x14ac:dyDescent="0.25">
      <c r="A31" s="190" t="s">
        <v>18</v>
      </c>
      <c r="B31" s="149"/>
      <c r="C31" s="149"/>
      <c r="D31" s="149"/>
      <c r="E31" s="149"/>
      <c r="F31" s="253">
        <f>Rates!K4+((('Forecast - WW'!H32/1000)*Rates!K5))</f>
        <v>37.788202876608622</v>
      </c>
      <c r="G31" s="279"/>
      <c r="H31" s="279"/>
      <c r="I31" s="306"/>
      <c r="J31" s="149"/>
      <c r="K31" s="149"/>
      <c r="L31" s="149"/>
      <c r="M31" s="149"/>
      <c r="N31" s="190" t="s">
        <v>18</v>
      </c>
      <c r="O31" s="149"/>
      <c r="P31" s="149"/>
      <c r="Q31" s="260"/>
      <c r="R31" s="149"/>
      <c r="S31" s="149"/>
      <c r="T31" s="258"/>
      <c r="U31" s="149"/>
      <c r="V31" s="2"/>
      <c r="W31" s="23"/>
    </row>
    <row r="32" spans="1:23" ht="15.75" thickBot="1" x14ac:dyDescent="0.3">
      <c r="A32" s="190" t="s">
        <v>10</v>
      </c>
      <c r="B32" s="149"/>
      <c r="C32" s="149"/>
      <c r="D32" s="149"/>
      <c r="E32" s="149"/>
      <c r="F32" s="158"/>
      <c r="G32" s="288"/>
      <c r="H32" s="307">
        <f>H30/G30</f>
        <v>4276.139288417864</v>
      </c>
      <c r="I32" s="308"/>
      <c r="J32" s="158"/>
      <c r="K32" s="159">
        <f>K30/J30</f>
        <v>11893.138449045882</v>
      </c>
      <c r="L32" s="261"/>
      <c r="M32" s="262"/>
      <c r="N32" s="190" t="s">
        <v>10</v>
      </c>
      <c r="O32" s="149"/>
      <c r="P32" s="149"/>
      <c r="Q32" s="158"/>
      <c r="R32" s="158"/>
      <c r="S32" s="159"/>
      <c r="T32" s="261"/>
      <c r="U32" s="158"/>
      <c r="V32" s="9"/>
      <c r="W32" s="24"/>
    </row>
    <row r="33" spans="1:23" ht="15.75" hidden="1" thickTop="1" x14ac:dyDescent="0.25">
      <c r="A33" s="147"/>
      <c r="B33" s="147"/>
      <c r="C33" s="147"/>
      <c r="D33" s="147"/>
      <c r="E33" s="147"/>
      <c r="F33" s="147"/>
      <c r="G33" s="147"/>
      <c r="H33" s="147"/>
      <c r="I33" s="263"/>
      <c r="J33" s="147"/>
      <c r="K33" s="147"/>
      <c r="L33" s="263"/>
      <c r="M33" s="263"/>
      <c r="N33" s="147"/>
      <c r="O33" s="147"/>
      <c r="P33" s="147"/>
      <c r="Q33" s="147"/>
      <c r="R33" s="147"/>
      <c r="S33" s="147"/>
      <c r="T33" s="263"/>
      <c r="U33" s="147"/>
      <c r="V33" s="16"/>
      <c r="W33" s="14"/>
    </row>
    <row r="34" spans="1:23" hidden="1" x14ac:dyDescent="0.25">
      <c r="A34" s="192"/>
      <c r="B34" s="149"/>
      <c r="C34" s="149"/>
      <c r="D34" s="149"/>
      <c r="E34" s="149"/>
      <c r="F34" s="151"/>
      <c r="G34" s="149"/>
      <c r="H34" s="149"/>
      <c r="I34" s="264"/>
      <c r="J34" s="149"/>
      <c r="K34" s="149"/>
      <c r="L34" s="264"/>
      <c r="M34" s="264"/>
      <c r="N34" s="192" t="s">
        <v>11</v>
      </c>
      <c r="O34" s="149"/>
      <c r="P34" s="149"/>
      <c r="Q34" s="151"/>
      <c r="R34" s="149"/>
      <c r="S34" s="149"/>
      <c r="T34" s="264"/>
      <c r="U34" s="149"/>
      <c r="V34" s="2"/>
      <c r="W34" s="25"/>
    </row>
    <row r="35" spans="1:23" hidden="1" x14ac:dyDescent="0.25">
      <c r="A35" s="190"/>
      <c r="B35" s="149"/>
      <c r="C35" s="151"/>
      <c r="D35" s="151"/>
      <c r="E35" s="151"/>
      <c r="F35" s="260"/>
      <c r="G35" s="152"/>
      <c r="H35" s="151"/>
      <c r="I35" s="265"/>
      <c r="J35" s="152"/>
      <c r="K35" s="151"/>
      <c r="L35" s="265"/>
      <c r="M35" s="265"/>
      <c r="N35" s="190"/>
      <c r="O35" s="149"/>
      <c r="P35" s="151"/>
      <c r="Q35" s="260">
        <f>P$55+(((2*P$56)+(3*P$57))+(((P35-7000)/1000)*P$58))</f>
        <v>0</v>
      </c>
      <c r="R35" s="152">
        <v>0</v>
      </c>
      <c r="S35" s="151">
        <f>(R35*P35)/1000</f>
        <v>0</v>
      </c>
      <c r="T35" s="265">
        <f>Q35*R35</f>
        <v>0</v>
      </c>
      <c r="U35" s="152">
        <v>0</v>
      </c>
      <c r="V35" s="7">
        <f>U35*(S35/1000)</f>
        <v>0</v>
      </c>
      <c r="W35" s="26">
        <f>Q35*U35</f>
        <v>0</v>
      </c>
    </row>
    <row r="36" spans="1:23" hidden="1" x14ac:dyDescent="0.25">
      <c r="A36" s="190"/>
      <c r="B36" s="149"/>
      <c r="C36" s="151"/>
      <c r="D36" s="151"/>
      <c r="E36" s="151"/>
      <c r="F36" s="260"/>
      <c r="G36" s="152"/>
      <c r="H36" s="151"/>
      <c r="I36" s="265"/>
      <c r="J36" s="152"/>
      <c r="K36" s="151"/>
      <c r="L36" s="265"/>
      <c r="M36" s="265"/>
      <c r="N36" s="190"/>
      <c r="O36" s="149"/>
      <c r="P36" s="151"/>
      <c r="Q36" s="260">
        <f>P$55+((((2*P$56)+(3*P$57)+(3*P$58))+(((P36-10000)/1000)*P$67)))</f>
        <v>0</v>
      </c>
      <c r="R36" s="152">
        <v>0</v>
      </c>
      <c r="S36" s="151">
        <f>(R36*P36)/1000</f>
        <v>0</v>
      </c>
      <c r="T36" s="265">
        <f>Q36*R36</f>
        <v>0</v>
      </c>
      <c r="U36" s="152">
        <v>0</v>
      </c>
      <c r="V36" s="7">
        <f>U36*(S36/1000)</f>
        <v>0</v>
      </c>
      <c r="W36" s="26">
        <f>Q36*U36</f>
        <v>0</v>
      </c>
    </row>
    <row r="37" spans="1:23" hidden="1" x14ac:dyDescent="0.25">
      <c r="A37" s="190"/>
      <c r="B37" s="149"/>
      <c r="C37" s="151"/>
      <c r="D37" s="151"/>
      <c r="E37" s="151"/>
      <c r="F37" s="260"/>
      <c r="G37" s="152"/>
      <c r="H37" s="151"/>
      <c r="I37" s="265"/>
      <c r="J37" s="152"/>
      <c r="K37" s="151"/>
      <c r="L37" s="265"/>
      <c r="M37" s="265"/>
      <c r="N37" s="190"/>
      <c r="O37" s="149"/>
      <c r="P37" s="151"/>
      <c r="Q37" s="260">
        <f>P$55+((((2*P$56)+(3*P$57)+(3*P$58))+(((P37-10000)/1000)*P$67)))</f>
        <v>0</v>
      </c>
      <c r="R37" s="152">
        <v>0</v>
      </c>
      <c r="S37" s="151">
        <f>(R37*P37)/1000</f>
        <v>0</v>
      </c>
      <c r="T37" s="265">
        <f>Q37*R37</f>
        <v>0</v>
      </c>
      <c r="U37" s="152">
        <v>0</v>
      </c>
      <c r="V37" s="7">
        <f>U37*(S37/1000)</f>
        <v>0</v>
      </c>
      <c r="W37" s="26">
        <f>Q37*U37</f>
        <v>0</v>
      </c>
    </row>
    <row r="38" spans="1:23" ht="15.75" hidden="1" thickBot="1" x14ac:dyDescent="0.3">
      <c r="A38" s="150"/>
      <c r="B38" s="150"/>
      <c r="C38" s="150"/>
      <c r="D38" s="150"/>
      <c r="E38" s="150"/>
      <c r="F38" s="193"/>
      <c r="G38" s="162"/>
      <c r="H38" s="211"/>
      <c r="I38" s="338"/>
      <c r="J38" s="162"/>
      <c r="K38" s="211"/>
      <c r="L38" s="334"/>
      <c r="M38" s="232"/>
      <c r="N38" s="150"/>
      <c r="O38" s="150"/>
      <c r="P38" s="150"/>
      <c r="Q38" s="193" t="s">
        <v>9</v>
      </c>
      <c r="R38" s="162">
        <f t="shared" ref="R38:W38" si="11">SUM(R35:R37)</f>
        <v>0</v>
      </c>
      <c r="S38" s="211">
        <f t="shared" si="11"/>
        <v>0</v>
      </c>
      <c r="T38" s="338">
        <f t="shared" si="11"/>
        <v>0</v>
      </c>
      <c r="U38" s="162">
        <f t="shared" si="11"/>
        <v>0</v>
      </c>
      <c r="V38" s="27">
        <f t="shared" si="11"/>
        <v>0</v>
      </c>
      <c r="W38" s="28">
        <f t="shared" si="11"/>
        <v>0</v>
      </c>
    </row>
    <row r="39" spans="1:23" ht="15.75" hidden="1" thickTop="1" x14ac:dyDescent="0.25">
      <c r="A39" s="150"/>
      <c r="B39" s="149"/>
      <c r="C39" s="149"/>
      <c r="D39" s="149"/>
      <c r="E39" s="149"/>
      <c r="F39" s="149"/>
      <c r="G39" s="192"/>
      <c r="H39" s="192"/>
      <c r="I39" s="271"/>
      <c r="J39" s="192"/>
      <c r="K39" s="272"/>
      <c r="L39" s="234"/>
      <c r="M39" s="234"/>
      <c r="N39" s="150"/>
      <c r="O39" s="149"/>
      <c r="P39" s="149"/>
      <c r="Q39" s="149"/>
      <c r="R39" s="192"/>
      <c r="S39" s="192"/>
      <c r="T39" s="271"/>
      <c r="U39" s="192"/>
      <c r="V39" s="29"/>
      <c r="W39" s="30"/>
    </row>
    <row r="40" spans="1:23" hidden="1" x14ac:dyDescent="0.25">
      <c r="A40" s="192"/>
      <c r="B40" s="149"/>
      <c r="C40" s="149"/>
      <c r="D40" s="149"/>
      <c r="E40" s="149"/>
      <c r="F40" s="149"/>
      <c r="G40" s="149"/>
      <c r="H40" s="149"/>
      <c r="I40" s="264"/>
      <c r="J40" s="149"/>
      <c r="K40" s="149"/>
      <c r="L40" s="234"/>
      <c r="M40" s="234"/>
      <c r="N40" s="192" t="s">
        <v>12</v>
      </c>
      <c r="O40" s="149"/>
      <c r="P40" s="149"/>
      <c r="Q40" s="149"/>
      <c r="R40" s="149"/>
      <c r="S40" s="149"/>
      <c r="T40" s="264"/>
      <c r="U40" s="149"/>
      <c r="V40" s="2"/>
      <c r="W40" s="30"/>
    </row>
    <row r="41" spans="1:23" hidden="1" x14ac:dyDescent="0.25">
      <c r="A41" s="190"/>
      <c r="B41" s="149"/>
      <c r="C41" s="151"/>
      <c r="D41" s="151"/>
      <c r="E41" s="151"/>
      <c r="F41" s="260"/>
      <c r="G41" s="152"/>
      <c r="H41" s="151"/>
      <c r="I41" s="265"/>
      <c r="J41" s="152"/>
      <c r="K41" s="151"/>
      <c r="L41" s="265"/>
      <c r="M41" s="265"/>
      <c r="N41" s="190"/>
      <c r="O41" s="149"/>
      <c r="P41" s="151"/>
      <c r="Q41" s="260">
        <f>P$55+((((2*P$56)+(3*P$57)+(3*P$58))+(((P41-10000)/1000)*P$67)))</f>
        <v>0</v>
      </c>
      <c r="R41" s="152">
        <v>0</v>
      </c>
      <c r="S41" s="151">
        <f>(R41*P41)/1000</f>
        <v>0</v>
      </c>
      <c r="T41" s="265">
        <f>Q41*R41</f>
        <v>0</v>
      </c>
      <c r="U41" s="152">
        <v>0</v>
      </c>
      <c r="V41" s="7">
        <f>(U41*S41)/1000</f>
        <v>0</v>
      </c>
      <c r="W41" s="26">
        <f>Q41*U41</f>
        <v>0</v>
      </c>
    </row>
    <row r="42" spans="1:23" hidden="1" x14ac:dyDescent="0.25">
      <c r="A42" s="190"/>
      <c r="B42" s="149"/>
      <c r="C42" s="161"/>
      <c r="D42" s="161"/>
      <c r="E42" s="161"/>
      <c r="F42" s="260"/>
      <c r="G42" s="160"/>
      <c r="H42" s="161"/>
      <c r="I42" s="265"/>
      <c r="J42" s="152"/>
      <c r="K42" s="151"/>
      <c r="L42" s="265"/>
      <c r="M42" s="265"/>
      <c r="N42" s="190"/>
      <c r="O42" s="149"/>
      <c r="P42" s="161"/>
      <c r="Q42" s="260">
        <f>P$55+((((2*P$56)+(3*P$57)+(3*P$58))+(((P42-10000)/1000)*P$67)))</f>
        <v>0</v>
      </c>
      <c r="R42" s="160">
        <v>0</v>
      </c>
      <c r="S42" s="161">
        <f>(R42*P42)/1000</f>
        <v>0</v>
      </c>
      <c r="T42" s="265">
        <f>Q42*R42</f>
        <v>0</v>
      </c>
      <c r="U42" s="160">
        <v>0</v>
      </c>
      <c r="V42" s="10">
        <f>(U42*S42)/1000</f>
        <v>0</v>
      </c>
      <c r="W42" s="26">
        <f>Q42*U42</f>
        <v>0</v>
      </c>
    </row>
    <row r="43" spans="1:23" hidden="1" x14ac:dyDescent="0.25">
      <c r="A43" s="190"/>
      <c r="B43" s="149"/>
      <c r="C43" s="161"/>
      <c r="D43" s="161"/>
      <c r="E43" s="161"/>
      <c r="F43" s="260"/>
      <c r="G43" s="160"/>
      <c r="H43" s="161"/>
      <c r="I43" s="265"/>
      <c r="J43" s="152"/>
      <c r="K43" s="151"/>
      <c r="L43" s="265"/>
      <c r="M43" s="265"/>
      <c r="N43" s="190"/>
      <c r="O43" s="149"/>
      <c r="P43" s="161"/>
      <c r="Q43" s="260">
        <f>P$55+((((2*P$56)+(3*P$57)+(3*P$58))+(((P43-10000)/1000)*P$67)))</f>
        <v>0</v>
      </c>
      <c r="R43" s="160">
        <v>0</v>
      </c>
      <c r="S43" s="161">
        <f>(R43*P43)/1000</f>
        <v>0</v>
      </c>
      <c r="T43" s="265">
        <f>Q43*R43</f>
        <v>0</v>
      </c>
      <c r="U43" s="160">
        <v>0</v>
      </c>
      <c r="V43" s="10">
        <f>(U43*S43)/1000</f>
        <v>0</v>
      </c>
      <c r="W43" s="26">
        <f>Q43*U43</f>
        <v>0</v>
      </c>
    </row>
    <row r="44" spans="1:23" hidden="1" x14ac:dyDescent="0.25">
      <c r="A44" s="190"/>
      <c r="B44" s="149"/>
      <c r="C44" s="161"/>
      <c r="D44" s="161"/>
      <c r="E44" s="161"/>
      <c r="F44" s="234"/>
      <c r="G44" s="160"/>
      <c r="H44" s="161"/>
      <c r="I44" s="265"/>
      <c r="J44" s="160"/>
      <c r="K44" s="151"/>
      <c r="L44" s="265"/>
      <c r="M44" s="265"/>
      <c r="N44" s="190"/>
      <c r="O44" s="149"/>
      <c r="P44" s="161"/>
      <c r="Q44" s="234"/>
      <c r="R44" s="160"/>
      <c r="S44" s="161"/>
      <c r="T44" s="265"/>
      <c r="U44" s="160"/>
      <c r="V44" s="10"/>
      <c r="W44" s="26"/>
    </row>
    <row r="45" spans="1:23" ht="15.75" hidden="1" thickBot="1" x14ac:dyDescent="0.3">
      <c r="A45" s="150"/>
      <c r="B45" s="149"/>
      <c r="C45" s="149"/>
      <c r="D45" s="149"/>
      <c r="E45" s="149"/>
      <c r="F45" s="195"/>
      <c r="G45" s="163"/>
      <c r="H45" s="164"/>
      <c r="I45" s="339"/>
      <c r="J45" s="163"/>
      <c r="K45" s="164"/>
      <c r="L45" s="334"/>
      <c r="M45" s="232"/>
      <c r="N45" s="150"/>
      <c r="O45" s="149"/>
      <c r="P45" s="149"/>
      <c r="Q45" s="195" t="s">
        <v>9</v>
      </c>
      <c r="R45" s="163">
        <f t="shared" ref="R45:W45" si="12">SUM(R41:R44)</f>
        <v>0</v>
      </c>
      <c r="S45" s="164">
        <f t="shared" si="12"/>
        <v>0</v>
      </c>
      <c r="T45" s="339">
        <f t="shared" si="12"/>
        <v>0</v>
      </c>
      <c r="U45" s="163">
        <f t="shared" si="12"/>
        <v>0</v>
      </c>
      <c r="V45" s="12">
        <f t="shared" si="12"/>
        <v>0</v>
      </c>
      <c r="W45" s="28">
        <f t="shared" si="12"/>
        <v>0</v>
      </c>
    </row>
    <row r="46" spans="1:23" ht="15.75" thickTop="1" x14ac:dyDescent="0.25">
      <c r="A46" s="150"/>
      <c r="B46" s="150"/>
      <c r="C46" s="150"/>
      <c r="D46" s="150"/>
      <c r="E46" s="150"/>
      <c r="F46" s="150"/>
      <c r="G46" s="150"/>
      <c r="H46" s="150"/>
      <c r="I46" s="264"/>
      <c r="J46" s="150"/>
      <c r="K46" s="150"/>
      <c r="L46" s="234"/>
      <c r="M46" s="234"/>
      <c r="N46" s="150"/>
      <c r="O46" s="150"/>
      <c r="P46" s="150"/>
      <c r="Q46" s="150"/>
      <c r="R46" s="150"/>
      <c r="S46" s="150"/>
      <c r="T46" s="264"/>
      <c r="U46" s="150"/>
      <c r="V46" s="3"/>
      <c r="W46" s="30"/>
    </row>
    <row r="47" spans="1:23" ht="15.75" thickBot="1" x14ac:dyDescent="0.3">
      <c r="A47" s="192"/>
      <c r="B47" s="149"/>
      <c r="C47" s="149"/>
      <c r="D47" s="149"/>
      <c r="E47" s="149"/>
      <c r="F47" s="198" t="s">
        <v>13</v>
      </c>
      <c r="G47" s="198">
        <f>+G30+G38+G45</f>
        <v>1467.7777777777781</v>
      </c>
      <c r="H47" s="199">
        <f>+H30+H38+H45</f>
        <v>6276422.222222222</v>
      </c>
      <c r="I47" s="273">
        <f>+I30+I38+I45</f>
        <v>55464.684444444429</v>
      </c>
      <c r="J47" s="198">
        <f>+J30+J38+J45</f>
        <v>273.66666666666663</v>
      </c>
      <c r="K47" s="199">
        <f>+L30+K38+K45</f>
        <v>25349.906666666669</v>
      </c>
      <c r="L47" s="273">
        <f>L30+L38+L45</f>
        <v>25349.906666666669</v>
      </c>
      <c r="M47" s="274"/>
      <c r="N47" s="192"/>
      <c r="O47" s="149"/>
      <c r="P47" s="149"/>
      <c r="Q47" s="198" t="s">
        <v>13</v>
      </c>
      <c r="R47" s="198">
        <f>+R30+R38+R45</f>
        <v>0</v>
      </c>
      <c r="S47" s="199">
        <f>+S30+S38+S45</f>
        <v>0</v>
      </c>
      <c r="T47" s="340">
        <f>+T30+T38+T45</f>
        <v>0</v>
      </c>
      <c r="U47" s="198">
        <f>+U30+U38+U45</f>
        <v>0</v>
      </c>
      <c r="V47" s="13">
        <f>+W30+V38+V45</f>
        <v>0</v>
      </c>
      <c r="W47" s="31">
        <f>W30+W38+W45</f>
        <v>0</v>
      </c>
    </row>
    <row r="48" spans="1:23" ht="15.75" thickTop="1" x14ac:dyDescent="0.25">
      <c r="A48" s="275"/>
      <c r="B48" s="147"/>
      <c r="C48" s="147"/>
      <c r="D48" s="147"/>
      <c r="E48" s="147"/>
      <c r="F48" s="147"/>
      <c r="G48" s="147"/>
      <c r="H48" s="147"/>
      <c r="I48" s="150"/>
      <c r="J48" s="147"/>
      <c r="K48" s="147"/>
      <c r="L48" s="263"/>
      <c r="M48" s="263"/>
      <c r="N48" s="275"/>
      <c r="O48" s="147"/>
      <c r="P48" s="147"/>
      <c r="Q48" s="147"/>
      <c r="R48" s="147"/>
      <c r="S48" s="147"/>
      <c r="T48" s="263"/>
      <c r="U48" s="147"/>
      <c r="V48" s="16"/>
      <c r="W48" s="14"/>
    </row>
    <row r="49" spans="1:23" x14ac:dyDescent="0.25">
      <c r="A49" s="174" t="s">
        <v>19</v>
      </c>
      <c r="B49" s="149"/>
      <c r="C49" s="149"/>
      <c r="D49" s="149"/>
      <c r="E49" s="149"/>
      <c r="F49" s="149"/>
      <c r="G49" s="149"/>
      <c r="H49" s="149"/>
      <c r="I49" s="276">
        <f>I47*12</f>
        <v>665576.21333333314</v>
      </c>
      <c r="J49" s="149"/>
      <c r="K49" s="149"/>
      <c r="L49" s="276">
        <f>L47*12</f>
        <v>304198.88</v>
      </c>
      <c r="M49" s="341"/>
      <c r="N49" s="174" t="s">
        <v>19</v>
      </c>
      <c r="O49" s="149"/>
      <c r="P49" s="149"/>
      <c r="Q49" s="149"/>
      <c r="R49" s="149"/>
      <c r="S49" s="149"/>
      <c r="T49" s="341">
        <f>T47*12</f>
        <v>0</v>
      </c>
      <c r="U49" s="149"/>
      <c r="V49" s="2"/>
      <c r="W49" s="32">
        <f>W47*12</f>
        <v>0</v>
      </c>
    </row>
    <row r="50" spans="1:23" x14ac:dyDescent="0.2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</row>
    <row r="51" spans="1:23" x14ac:dyDescent="0.2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</row>
    <row r="52" spans="1:23" x14ac:dyDescent="0.25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</row>
    <row r="53" spans="1:23" x14ac:dyDescent="0.25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</row>
    <row r="54" spans="1:23" x14ac:dyDescent="0.25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</row>
    <row r="55" spans="1:23" x14ac:dyDescent="0.25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</row>
    <row r="56" spans="1:23" x14ac:dyDescent="0.25">
      <c r="A56" s="147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</row>
    <row r="57" spans="1:23" x14ac:dyDescent="0.25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</row>
    <row r="58" spans="1:23" x14ac:dyDescent="0.25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</row>
    <row r="59" spans="1:23" x14ac:dyDescent="0.25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</row>
    <row r="60" spans="1:23" x14ac:dyDescent="0.25">
      <c r="A60" s="147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</row>
    <row r="61" spans="1:23" x14ac:dyDescent="0.25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</row>
    <row r="62" spans="1:23" x14ac:dyDescent="0.25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</row>
    <row r="63" spans="1:23" x14ac:dyDescent="0.25">
      <c r="A63" s="147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</row>
    <row r="64" spans="1:23" x14ac:dyDescent="0.25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</row>
    <row r="65" spans="1:21" x14ac:dyDescent="0.25">
      <c r="A65" s="147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</row>
    <row r="66" spans="1:21" x14ac:dyDescent="0.2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</row>
    <row r="67" spans="1:21" x14ac:dyDescent="0.2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</row>
    <row r="68" spans="1:21" x14ac:dyDescent="0.25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</row>
    <row r="69" spans="1:21" x14ac:dyDescent="0.25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</row>
    <row r="70" spans="1:21" x14ac:dyDescent="0.25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</row>
    <row r="71" spans="1:21" x14ac:dyDescent="0.25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</row>
    <row r="72" spans="1:21" x14ac:dyDescent="0.25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</row>
    <row r="73" spans="1:21" x14ac:dyDescent="0.25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</row>
    <row r="74" spans="1:21" x14ac:dyDescent="0.25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</row>
    <row r="75" spans="1:21" x14ac:dyDescent="0.25">
      <c r="A75" s="147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</row>
    <row r="76" spans="1:21" x14ac:dyDescent="0.25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</row>
    <row r="77" spans="1:21" x14ac:dyDescent="0.25">
      <c r="A77" s="147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</row>
    <row r="78" spans="1:21" x14ac:dyDescent="0.25">
      <c r="A78" s="14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</row>
    <row r="79" spans="1:21" x14ac:dyDescent="0.25">
      <c r="A79" s="147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</row>
    <row r="80" spans="1:21" x14ac:dyDescent="0.25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</row>
    <row r="81" spans="1:21" x14ac:dyDescent="0.25">
      <c r="A81" s="147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</row>
    <row r="82" spans="1:21" x14ac:dyDescent="0.25">
      <c r="A82" s="147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</row>
    <row r="83" spans="1:21" x14ac:dyDescent="0.25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</row>
    <row r="84" spans="1:21" x14ac:dyDescent="0.25">
      <c r="A84" s="147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</row>
    <row r="85" spans="1:21" x14ac:dyDescent="0.25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</row>
    <row r="86" spans="1:21" x14ac:dyDescent="0.25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</row>
    <row r="87" spans="1:21" x14ac:dyDescent="0.25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</row>
    <row r="88" spans="1:21" x14ac:dyDescent="0.25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</row>
    <row r="89" spans="1:21" x14ac:dyDescent="0.25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</row>
    <row r="90" spans="1:21" x14ac:dyDescent="0.25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</row>
    <row r="91" spans="1:21" x14ac:dyDescent="0.25">
      <c r="A91" s="147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</row>
    <row r="92" spans="1:21" x14ac:dyDescent="0.25">
      <c r="A92" s="147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</row>
    <row r="93" spans="1:21" x14ac:dyDescent="0.25">
      <c r="A93" s="147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</row>
    <row r="94" spans="1:21" x14ac:dyDescent="0.25">
      <c r="A94" s="147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</row>
    <row r="95" spans="1:21" x14ac:dyDescent="0.25">
      <c r="A95" s="147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</row>
    <row r="96" spans="1:21" x14ac:dyDescent="0.25">
      <c r="A96" s="147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</row>
    <row r="97" spans="1:21" x14ac:dyDescent="0.25">
      <c r="A97" s="147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</row>
    <row r="98" spans="1:21" x14ac:dyDescent="0.25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</row>
    <row r="99" spans="1:21" x14ac:dyDescent="0.25">
      <c r="A99" s="147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</row>
    <row r="100" spans="1:21" x14ac:dyDescent="0.25">
      <c r="A100" s="147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</row>
    <row r="101" spans="1:21" x14ac:dyDescent="0.25">
      <c r="A101" s="147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</row>
    <row r="102" spans="1:21" x14ac:dyDescent="0.25">
      <c r="A102" s="147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</row>
    <row r="103" spans="1:21" x14ac:dyDescent="0.25">
      <c r="A103" s="147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</row>
    <row r="104" spans="1:21" x14ac:dyDescent="0.25">
      <c r="A104" s="147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</row>
    <row r="105" spans="1:21" x14ac:dyDescent="0.25">
      <c r="A105" s="147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</row>
    <row r="106" spans="1:21" x14ac:dyDescent="0.25">
      <c r="A106" s="147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</row>
    <row r="107" spans="1:21" x14ac:dyDescent="0.25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</row>
    <row r="108" spans="1:21" x14ac:dyDescent="0.25">
      <c r="A108" s="147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</row>
    <row r="109" spans="1:21" x14ac:dyDescent="0.25">
      <c r="A109" s="147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</row>
    <row r="110" spans="1:21" x14ac:dyDescent="0.25">
      <c r="A110" s="147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</row>
    <row r="111" spans="1:21" x14ac:dyDescent="0.25">
      <c r="A111" s="147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</row>
    <row r="112" spans="1:21" x14ac:dyDescent="0.25">
      <c r="A112" s="147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</row>
    <row r="113" spans="1:21" x14ac:dyDescent="0.25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</row>
    <row r="114" spans="1:21" x14ac:dyDescent="0.25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</row>
    <row r="115" spans="1:21" x14ac:dyDescent="0.25">
      <c r="A115" s="147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</row>
    <row r="116" spans="1:21" x14ac:dyDescent="0.25">
      <c r="A116" s="147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</row>
    <row r="117" spans="1:21" x14ac:dyDescent="0.25">
      <c r="A117" s="147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</row>
    <row r="118" spans="1:21" x14ac:dyDescent="0.25">
      <c r="A118" s="147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</row>
    <row r="119" spans="1:21" x14ac:dyDescent="0.25">
      <c r="A119" s="147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</row>
    <row r="120" spans="1:21" x14ac:dyDescent="0.25">
      <c r="A120" s="147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</row>
    <row r="121" spans="1:21" x14ac:dyDescent="0.25">
      <c r="A121" s="14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</row>
    <row r="122" spans="1:21" x14ac:dyDescent="0.25">
      <c r="A122" s="14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</row>
    <row r="123" spans="1:21" x14ac:dyDescent="0.25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</row>
    <row r="124" spans="1:21" x14ac:dyDescent="0.25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</row>
    <row r="125" spans="1:21" x14ac:dyDescent="0.25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</row>
    <row r="126" spans="1:21" x14ac:dyDescent="0.25">
      <c r="A126" s="147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</row>
    <row r="127" spans="1:21" x14ac:dyDescent="0.25">
      <c r="A127" s="147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</row>
    <row r="128" spans="1:21" x14ac:dyDescent="0.25">
      <c r="A128" s="147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</row>
    <row r="129" spans="1:21" x14ac:dyDescent="0.25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</row>
    <row r="130" spans="1:21" x14ac:dyDescent="0.25">
      <c r="A130" s="147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</row>
    <row r="131" spans="1:21" x14ac:dyDescent="0.25">
      <c r="A131" s="147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</row>
    <row r="132" spans="1:21" x14ac:dyDescent="0.25">
      <c r="A132" s="147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</row>
    <row r="133" spans="1:21" x14ac:dyDescent="0.25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</row>
    <row r="134" spans="1:21" x14ac:dyDescent="0.25">
      <c r="A134" s="147"/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</row>
    <row r="135" spans="1:21" x14ac:dyDescent="0.25">
      <c r="A135" s="147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</row>
    <row r="136" spans="1:21" x14ac:dyDescent="0.25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</row>
    <row r="137" spans="1:21" x14ac:dyDescent="0.25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</row>
    <row r="138" spans="1:21" x14ac:dyDescent="0.25">
      <c r="A138" s="14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</row>
    <row r="139" spans="1:21" x14ac:dyDescent="0.25">
      <c r="A139" s="14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</row>
    <row r="140" spans="1:21" x14ac:dyDescent="0.25">
      <c r="A140" s="14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</row>
    <row r="141" spans="1:21" x14ac:dyDescent="0.25">
      <c r="A141" s="147"/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</row>
    <row r="142" spans="1:21" x14ac:dyDescent="0.25">
      <c r="A142" s="147"/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</row>
    <row r="143" spans="1:21" x14ac:dyDescent="0.25">
      <c r="A143" s="147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</row>
    <row r="144" spans="1:21" x14ac:dyDescent="0.25">
      <c r="A144" s="147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</row>
    <row r="145" spans="1:21" x14ac:dyDescent="0.25">
      <c r="A145" s="147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</row>
    <row r="146" spans="1:21" x14ac:dyDescent="0.25">
      <c r="A146" s="147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</row>
    <row r="147" spans="1:21" x14ac:dyDescent="0.25">
      <c r="A147" s="147"/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</row>
    <row r="148" spans="1:21" x14ac:dyDescent="0.25">
      <c r="A148" s="147"/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</row>
    <row r="149" spans="1:21" x14ac:dyDescent="0.25">
      <c r="A149" s="147"/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</row>
    <row r="150" spans="1:21" x14ac:dyDescent="0.25">
      <c r="A150" s="147"/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</row>
    <row r="151" spans="1:21" x14ac:dyDescent="0.25">
      <c r="A151" s="147"/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</row>
    <row r="152" spans="1:21" x14ac:dyDescent="0.25">
      <c r="A152" s="147"/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</row>
    <row r="153" spans="1:21" x14ac:dyDescent="0.25">
      <c r="A153" s="147"/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</row>
    <row r="154" spans="1:21" x14ac:dyDescent="0.25">
      <c r="A154" s="147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</row>
    <row r="155" spans="1:21" x14ac:dyDescent="0.25">
      <c r="A155" s="147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</row>
    <row r="156" spans="1:21" x14ac:dyDescent="0.25">
      <c r="A156" s="147"/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</row>
    <row r="157" spans="1:21" x14ac:dyDescent="0.25">
      <c r="A157" s="147"/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</row>
    <row r="158" spans="1:21" x14ac:dyDescent="0.25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</row>
    <row r="159" spans="1:21" x14ac:dyDescent="0.25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</row>
    <row r="160" spans="1:21" x14ac:dyDescent="0.25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</row>
    <row r="161" spans="1:21" x14ac:dyDescent="0.25">
      <c r="A161" s="147"/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</row>
    <row r="162" spans="1:21" x14ac:dyDescent="0.25">
      <c r="A162" s="147"/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</row>
    <row r="163" spans="1:21" x14ac:dyDescent="0.25">
      <c r="A163" s="147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</row>
    <row r="164" spans="1:21" x14ac:dyDescent="0.25">
      <c r="A164" s="147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</row>
    <row r="165" spans="1:21" x14ac:dyDescent="0.25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</row>
    <row r="166" spans="1:21" x14ac:dyDescent="0.25">
      <c r="A166" s="147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</row>
    <row r="167" spans="1:21" x14ac:dyDescent="0.25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</row>
    <row r="168" spans="1:21" x14ac:dyDescent="0.25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</row>
    <row r="169" spans="1:21" x14ac:dyDescent="0.25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</row>
    <row r="170" spans="1:21" x14ac:dyDescent="0.25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4"/>
  <sheetViews>
    <sheetView workbookViewId="0">
      <selection activeCell="I6" sqref="I6"/>
    </sheetView>
  </sheetViews>
  <sheetFormatPr defaultRowHeight="15" x14ac:dyDescent="0.25"/>
  <cols>
    <col min="1" max="1" width="4.5703125" customWidth="1"/>
    <col min="2" max="2" width="4.140625" customWidth="1"/>
    <col min="9" max="9" width="16" bestFit="1" customWidth="1"/>
    <col min="10" max="10" width="9.7109375" customWidth="1"/>
  </cols>
  <sheetData>
    <row r="1" spans="1:18" x14ac:dyDescent="0.2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1" t="s">
        <v>22</v>
      </c>
      <c r="L1" s="2"/>
      <c r="M1" s="2"/>
      <c r="N1" s="2"/>
      <c r="O1" s="2"/>
      <c r="P1" s="2"/>
      <c r="Q1" s="3"/>
      <c r="R1" s="2"/>
    </row>
    <row r="2" spans="1:18" x14ac:dyDescent="0.25">
      <c r="A2" s="2"/>
      <c r="B2" s="6" t="s">
        <v>23</v>
      </c>
      <c r="C2" s="2"/>
      <c r="D2" s="2"/>
      <c r="E2" s="2"/>
      <c r="F2" s="2"/>
      <c r="G2" s="6" t="s">
        <v>24</v>
      </c>
      <c r="H2" s="2"/>
      <c r="I2" s="2"/>
      <c r="J2" s="2"/>
      <c r="K2" s="6" t="s">
        <v>23</v>
      </c>
      <c r="L2" s="2"/>
      <c r="M2" s="2"/>
      <c r="N2" s="2"/>
      <c r="O2" s="2"/>
      <c r="P2" s="6" t="s">
        <v>24</v>
      </c>
      <c r="Q2" s="3"/>
      <c r="R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3"/>
      <c r="L3" s="34"/>
      <c r="M3" s="34"/>
      <c r="N3" s="35"/>
      <c r="O3" s="34"/>
      <c r="P3" s="34"/>
      <c r="Q3" s="35"/>
      <c r="R3" s="35"/>
    </row>
    <row r="4" spans="1:18" x14ac:dyDescent="0.25">
      <c r="A4" s="2"/>
      <c r="B4" s="6" t="s">
        <v>25</v>
      </c>
      <c r="C4" s="6" t="s">
        <v>26</v>
      </c>
      <c r="D4" s="2"/>
      <c r="E4" s="2"/>
      <c r="F4" s="2"/>
      <c r="G4" s="2"/>
      <c r="H4" s="2"/>
      <c r="I4" s="2"/>
      <c r="J4" s="2"/>
      <c r="K4" s="6" t="s">
        <v>25</v>
      </c>
      <c r="L4" s="6" t="s">
        <v>26</v>
      </c>
      <c r="M4" s="2"/>
      <c r="N4" s="2"/>
      <c r="O4" s="2"/>
      <c r="P4" s="2"/>
      <c r="Q4" s="2"/>
      <c r="R4" s="2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2"/>
      <c r="B6" s="2"/>
      <c r="C6" s="6" t="s">
        <v>27</v>
      </c>
      <c r="D6" s="2"/>
      <c r="E6" s="2"/>
      <c r="F6" s="2"/>
      <c r="G6" s="2"/>
      <c r="H6" s="2"/>
      <c r="I6" s="36">
        <f>' Forecast - W'!I99+' Forecast - W'!L99</f>
        <v>4256459.4824765716</v>
      </c>
      <c r="J6" s="36"/>
      <c r="K6" s="2"/>
      <c r="L6" s="6" t="s">
        <v>27</v>
      </c>
      <c r="M6" s="2"/>
      <c r="N6" s="2"/>
      <c r="O6" s="2"/>
      <c r="P6" s="2"/>
      <c r="Q6" s="2"/>
      <c r="R6" s="36">
        <f>' Forecast - W'!T37</f>
        <v>6594.4658360334706</v>
      </c>
    </row>
    <row r="7" spans="1:18" x14ac:dyDescent="0.25">
      <c r="A7" s="2"/>
      <c r="B7" s="2"/>
      <c r="C7" s="6" t="s">
        <v>28</v>
      </c>
      <c r="D7" s="2"/>
      <c r="E7" s="2"/>
      <c r="F7" s="2"/>
      <c r="G7" s="2"/>
      <c r="H7" s="2"/>
      <c r="I7" s="37">
        <v>170000</v>
      </c>
      <c r="J7" s="37"/>
      <c r="K7" s="2"/>
      <c r="L7" s="6" t="s">
        <v>28</v>
      </c>
      <c r="M7" s="2"/>
      <c r="N7" s="2"/>
      <c r="O7" s="2"/>
      <c r="P7" s="2"/>
      <c r="Q7" s="2"/>
      <c r="R7" s="37">
        <v>0</v>
      </c>
    </row>
    <row r="8" spans="1:18" x14ac:dyDescent="0.25">
      <c r="A8" s="2"/>
      <c r="B8" s="2"/>
      <c r="C8" s="6" t="s">
        <v>29</v>
      </c>
      <c r="D8" s="2"/>
      <c r="E8" s="6"/>
      <c r="F8" s="2"/>
      <c r="G8" s="2"/>
      <c r="H8" s="2"/>
      <c r="I8" s="37"/>
      <c r="J8" s="37"/>
      <c r="K8" s="2"/>
      <c r="L8" s="6" t="s">
        <v>29</v>
      </c>
      <c r="M8" s="2"/>
      <c r="N8" s="6"/>
      <c r="O8" s="2"/>
      <c r="P8" s="2"/>
      <c r="Q8" s="2"/>
      <c r="R8" s="37"/>
    </row>
    <row r="9" spans="1:18" x14ac:dyDescent="0.25">
      <c r="A9" s="2"/>
      <c r="B9" s="2"/>
      <c r="C9" s="2"/>
      <c r="D9" s="2"/>
      <c r="E9" s="2"/>
      <c r="F9" s="2"/>
      <c r="G9" s="2"/>
      <c r="H9" s="2"/>
      <c r="I9" s="37"/>
      <c r="J9" s="37"/>
      <c r="K9" s="2"/>
      <c r="L9" s="2"/>
      <c r="M9" s="2"/>
      <c r="N9" s="2"/>
      <c r="O9" s="2"/>
      <c r="P9" s="2"/>
      <c r="Q9" s="2"/>
      <c r="R9" s="37"/>
    </row>
    <row r="10" spans="1:18" x14ac:dyDescent="0.25">
      <c r="A10" s="2"/>
      <c r="B10" s="2"/>
      <c r="C10" s="6" t="s">
        <v>30</v>
      </c>
      <c r="D10" s="6" t="s">
        <v>31</v>
      </c>
      <c r="E10" s="2"/>
      <c r="F10" s="2"/>
      <c r="G10" s="2"/>
      <c r="H10" s="2"/>
      <c r="I10" s="37"/>
      <c r="J10" s="37"/>
      <c r="K10" s="2"/>
      <c r="L10" s="6" t="s">
        <v>30</v>
      </c>
      <c r="M10" s="6" t="s">
        <v>31</v>
      </c>
      <c r="N10" s="2"/>
      <c r="O10" s="2"/>
      <c r="P10" s="2"/>
      <c r="Q10" s="2"/>
      <c r="R10" s="37"/>
    </row>
    <row r="11" spans="1:18" x14ac:dyDescent="0.25">
      <c r="A11" s="2"/>
      <c r="B11" s="2"/>
      <c r="C11" s="2"/>
      <c r="D11" s="2"/>
      <c r="E11" s="2"/>
      <c r="F11" s="2"/>
      <c r="G11" s="2"/>
      <c r="H11" s="2"/>
      <c r="I11" s="38"/>
      <c r="J11" s="41"/>
      <c r="K11" s="2"/>
      <c r="L11" s="2"/>
      <c r="M11" s="2"/>
      <c r="N11" s="2"/>
      <c r="O11" s="2"/>
      <c r="P11" s="2"/>
      <c r="Q11" s="2"/>
      <c r="R11" s="38"/>
    </row>
    <row r="12" spans="1:18" x14ac:dyDescent="0.25">
      <c r="A12" s="2"/>
      <c r="B12" s="2"/>
      <c r="C12" s="6" t="s">
        <v>32</v>
      </c>
      <c r="D12" s="2"/>
      <c r="E12" s="2"/>
      <c r="F12" s="2"/>
      <c r="G12" s="2"/>
      <c r="H12" s="2"/>
      <c r="I12" s="36">
        <f>SUM(I6:I8)</f>
        <v>4426459.4824765716</v>
      </c>
      <c r="J12" s="36"/>
      <c r="K12" s="2"/>
      <c r="L12" s="6" t="s">
        <v>32</v>
      </c>
      <c r="M12" s="2"/>
      <c r="N12" s="2"/>
      <c r="O12" s="2"/>
      <c r="P12" s="2"/>
      <c r="Q12" s="2"/>
      <c r="R12" s="36">
        <f>SUM(R6:R8)</f>
        <v>6594.4658360334706</v>
      </c>
    </row>
    <row r="13" spans="1:18" x14ac:dyDescent="0.25">
      <c r="A13" s="2"/>
      <c r="B13" s="2"/>
      <c r="C13" s="2"/>
      <c r="D13" s="2"/>
      <c r="E13" s="2"/>
      <c r="F13" s="2"/>
      <c r="G13" s="2"/>
      <c r="H13" s="2"/>
      <c r="I13" s="37"/>
      <c r="J13" s="37"/>
      <c r="K13" s="2"/>
      <c r="L13" s="2"/>
      <c r="M13" s="2"/>
      <c r="N13" s="2"/>
      <c r="O13" s="2"/>
      <c r="P13" s="2"/>
      <c r="Q13" s="2"/>
      <c r="R13" s="37"/>
    </row>
    <row r="14" spans="1:18" x14ac:dyDescent="0.25">
      <c r="A14" s="2"/>
      <c r="B14" s="6" t="s">
        <v>33</v>
      </c>
      <c r="C14" s="6" t="s">
        <v>34</v>
      </c>
      <c r="D14" s="2"/>
      <c r="E14" s="2"/>
      <c r="F14" s="2"/>
      <c r="G14" s="2"/>
      <c r="H14" s="2"/>
      <c r="I14" s="37"/>
      <c r="J14" s="37"/>
      <c r="K14" s="6" t="s">
        <v>33</v>
      </c>
      <c r="L14" s="6" t="s">
        <v>34</v>
      </c>
      <c r="M14" s="2"/>
      <c r="N14" s="2"/>
      <c r="O14" s="2"/>
      <c r="P14" s="2"/>
      <c r="Q14" s="2"/>
      <c r="R14" s="37"/>
    </row>
    <row r="15" spans="1:18" x14ac:dyDescent="0.25">
      <c r="A15" s="2"/>
      <c r="B15" s="2"/>
      <c r="C15" s="6" t="s">
        <v>35</v>
      </c>
      <c r="D15" s="2"/>
      <c r="E15" s="2"/>
      <c r="F15" s="2"/>
      <c r="G15" s="2"/>
      <c r="H15" s="2"/>
      <c r="I15" s="37"/>
      <c r="J15" s="37"/>
      <c r="K15" s="2"/>
      <c r="L15" s="6" t="s">
        <v>35</v>
      </c>
      <c r="M15" s="2"/>
      <c r="N15" s="2"/>
      <c r="O15" s="2"/>
      <c r="P15" s="2"/>
      <c r="Q15" s="2"/>
      <c r="R15" s="37"/>
    </row>
    <row r="16" spans="1:18" x14ac:dyDescent="0.25">
      <c r="A16" s="2"/>
      <c r="B16" s="2"/>
      <c r="C16" s="6" t="s">
        <v>36</v>
      </c>
      <c r="D16" s="2"/>
      <c r="E16" s="2"/>
      <c r="F16" s="2"/>
      <c r="G16" s="2"/>
      <c r="H16" s="2"/>
      <c r="I16" s="37"/>
      <c r="J16" s="37"/>
      <c r="K16" s="2"/>
      <c r="L16" s="6" t="s">
        <v>36</v>
      </c>
      <c r="M16" s="2"/>
      <c r="N16" s="2"/>
      <c r="O16" s="2"/>
      <c r="P16" s="2"/>
      <c r="Q16" s="2"/>
      <c r="R16" s="37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37"/>
      <c r="J17" s="37"/>
      <c r="K17" s="2"/>
      <c r="L17" s="2"/>
      <c r="M17" s="2"/>
      <c r="N17" s="2"/>
      <c r="O17" s="2"/>
      <c r="P17" s="2"/>
      <c r="Q17" s="2"/>
      <c r="R17" s="37"/>
    </row>
    <row r="18" spans="1:18" x14ac:dyDescent="0.25">
      <c r="A18" s="2"/>
      <c r="B18" s="2"/>
      <c r="C18" s="6" t="s">
        <v>37</v>
      </c>
      <c r="D18" s="2"/>
      <c r="E18" s="2"/>
      <c r="F18" s="2"/>
      <c r="G18" s="2"/>
      <c r="H18" s="2"/>
      <c r="I18" s="37">
        <v>5000</v>
      </c>
      <c r="J18" s="36"/>
      <c r="K18" s="2"/>
      <c r="L18" s="6" t="s">
        <v>37</v>
      </c>
      <c r="M18" s="2"/>
      <c r="N18" s="2"/>
      <c r="O18" s="2"/>
      <c r="P18" s="2"/>
      <c r="Q18" s="2"/>
      <c r="R18" s="36">
        <v>10</v>
      </c>
    </row>
    <row r="19" spans="1:18" x14ac:dyDescent="0.25">
      <c r="A19" s="2"/>
      <c r="B19" s="2"/>
      <c r="C19" s="6" t="s">
        <v>38</v>
      </c>
      <c r="D19" s="2"/>
      <c r="E19" s="2"/>
      <c r="F19" s="2"/>
      <c r="G19" s="2"/>
      <c r="H19" s="2"/>
      <c r="I19" s="37"/>
      <c r="J19" s="36"/>
      <c r="K19" s="2"/>
      <c r="L19" s="6" t="s">
        <v>38</v>
      </c>
      <c r="M19" s="2"/>
      <c r="N19" s="2"/>
      <c r="O19" s="2"/>
      <c r="P19" s="2"/>
      <c r="Q19" s="2"/>
      <c r="R19" s="36">
        <v>0</v>
      </c>
    </row>
    <row r="20" spans="1:18" x14ac:dyDescent="0.25">
      <c r="A20" s="2"/>
      <c r="B20" s="2"/>
      <c r="C20" s="6" t="s">
        <v>39</v>
      </c>
      <c r="D20" s="2"/>
      <c r="E20" s="2"/>
      <c r="F20" s="2"/>
      <c r="G20" s="2"/>
      <c r="H20" s="2"/>
      <c r="I20" s="37">
        <v>200000</v>
      </c>
      <c r="J20" s="36"/>
      <c r="K20" s="2"/>
      <c r="L20" s="6" t="s">
        <v>39</v>
      </c>
      <c r="M20" s="2"/>
      <c r="N20" s="2"/>
      <c r="O20" s="2"/>
      <c r="P20" s="2"/>
      <c r="Q20" s="2"/>
      <c r="R20" s="36">
        <v>370</v>
      </c>
    </row>
    <row r="21" spans="1:18" x14ac:dyDescent="0.25">
      <c r="A21" s="2"/>
      <c r="B21" s="2"/>
      <c r="C21" s="6" t="s">
        <v>40</v>
      </c>
      <c r="D21" s="2"/>
      <c r="E21" s="2"/>
      <c r="F21" s="2"/>
      <c r="G21" s="2"/>
      <c r="H21" s="2"/>
      <c r="I21" s="37">
        <v>900000</v>
      </c>
      <c r="J21" s="36"/>
      <c r="K21" s="2"/>
      <c r="L21" s="6" t="s">
        <v>40</v>
      </c>
      <c r="M21" s="2"/>
      <c r="N21" s="2"/>
      <c r="O21" s="2"/>
      <c r="P21" s="2"/>
      <c r="Q21" s="2"/>
      <c r="R21" s="36">
        <v>167</v>
      </c>
    </row>
    <row r="22" spans="1:18" x14ac:dyDescent="0.25">
      <c r="A22" s="2"/>
      <c r="B22" s="2"/>
      <c r="C22" s="6" t="s">
        <v>41</v>
      </c>
      <c r="D22" s="2"/>
      <c r="E22" s="2"/>
      <c r="F22" s="2"/>
      <c r="G22" s="2"/>
      <c r="H22" s="2"/>
      <c r="I22" s="37">
        <v>100000</v>
      </c>
      <c r="J22" s="36"/>
      <c r="K22" s="2"/>
      <c r="L22" s="6" t="s">
        <v>41</v>
      </c>
      <c r="M22" s="2"/>
      <c r="N22" s="2"/>
      <c r="O22" s="2"/>
      <c r="P22" s="2"/>
      <c r="Q22" s="2"/>
      <c r="R22" s="36">
        <v>185</v>
      </c>
    </row>
    <row r="23" spans="1:18" x14ac:dyDescent="0.25">
      <c r="A23" s="2"/>
      <c r="B23" s="2"/>
      <c r="C23" s="6" t="s">
        <v>42</v>
      </c>
      <c r="D23" s="2"/>
      <c r="E23" s="2"/>
      <c r="F23" s="2"/>
      <c r="G23" s="2"/>
      <c r="H23" s="2"/>
      <c r="I23" s="44">
        <v>1400000</v>
      </c>
      <c r="J23" s="40"/>
      <c r="K23" s="2"/>
      <c r="L23" s="6" t="s">
        <v>42</v>
      </c>
      <c r="M23" s="2"/>
      <c r="N23" s="2"/>
      <c r="O23" s="2"/>
      <c r="P23" s="2"/>
      <c r="Q23" s="2"/>
      <c r="R23" s="39">
        <v>2600</v>
      </c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40"/>
      <c r="J24" s="40"/>
      <c r="K24" s="2"/>
      <c r="L24" s="2"/>
      <c r="M24" s="2"/>
      <c r="N24" s="2"/>
      <c r="O24" s="2"/>
      <c r="P24" s="2"/>
      <c r="Q24" s="2"/>
      <c r="R24" s="41"/>
    </row>
    <row r="25" spans="1:18" x14ac:dyDescent="0.25">
      <c r="A25" s="2"/>
      <c r="B25" s="2"/>
      <c r="C25" s="6" t="s">
        <v>43</v>
      </c>
      <c r="D25" s="2"/>
      <c r="E25" s="2"/>
      <c r="F25" s="2"/>
      <c r="G25" s="2"/>
      <c r="H25" s="2"/>
      <c r="I25" s="39">
        <f>SUM(I18:I23)</f>
        <v>2605000</v>
      </c>
      <c r="J25" s="40"/>
      <c r="K25" s="2"/>
      <c r="L25" s="6" t="s">
        <v>43</v>
      </c>
      <c r="M25" s="2"/>
      <c r="N25" s="2"/>
      <c r="O25" s="2"/>
      <c r="P25" s="2"/>
      <c r="Q25" s="2"/>
      <c r="R25" s="39">
        <f>SUM(R18:R23)</f>
        <v>3332</v>
      </c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40"/>
      <c r="J26" s="40"/>
      <c r="K26" s="2"/>
      <c r="L26" s="2"/>
      <c r="M26" s="2"/>
      <c r="N26" s="2"/>
      <c r="O26" s="2"/>
      <c r="P26" s="2"/>
      <c r="Q26" s="2"/>
      <c r="R26" s="41"/>
    </row>
    <row r="27" spans="1:18" x14ac:dyDescent="0.25">
      <c r="A27" s="2"/>
      <c r="B27" s="2"/>
      <c r="C27" s="6" t="s">
        <v>44</v>
      </c>
      <c r="D27" s="2"/>
      <c r="E27" s="2"/>
      <c r="F27" s="2"/>
      <c r="G27" s="2"/>
      <c r="H27" s="2"/>
      <c r="I27" s="36">
        <f>I12-I25</f>
        <v>1821459.4824765716</v>
      </c>
      <c r="J27" s="36"/>
      <c r="K27" s="2"/>
      <c r="L27" s="6" t="s">
        <v>44</v>
      </c>
      <c r="M27" s="2"/>
      <c r="N27" s="2"/>
      <c r="O27" s="2"/>
      <c r="P27" s="2"/>
      <c r="Q27" s="2"/>
      <c r="R27" s="36">
        <f>R12-R25</f>
        <v>3262.4658360334706</v>
      </c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36"/>
      <c r="J28" s="36"/>
      <c r="K28" s="2"/>
      <c r="L28" s="2"/>
      <c r="M28" s="2"/>
      <c r="N28" s="2"/>
      <c r="O28" s="2"/>
      <c r="P28" s="2"/>
      <c r="Q28" s="2"/>
      <c r="R28" s="37"/>
    </row>
    <row r="29" spans="1:18" x14ac:dyDescent="0.25">
      <c r="A29" s="2"/>
      <c r="B29" s="6" t="s">
        <v>45</v>
      </c>
      <c r="C29" s="6" t="s">
        <v>46</v>
      </c>
      <c r="D29" s="2"/>
      <c r="E29" s="2"/>
      <c r="F29" s="2"/>
      <c r="G29" s="2"/>
      <c r="H29" s="2"/>
      <c r="I29" s="36"/>
      <c r="J29" s="36"/>
      <c r="K29" s="6" t="s">
        <v>45</v>
      </c>
      <c r="L29" s="6" t="s">
        <v>46</v>
      </c>
      <c r="M29" s="2"/>
      <c r="N29" s="2"/>
      <c r="O29" s="2"/>
      <c r="P29" s="2"/>
      <c r="Q29" s="2"/>
      <c r="R29" s="37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36"/>
      <c r="J30" s="36"/>
      <c r="K30" s="2"/>
      <c r="L30" s="2"/>
      <c r="M30" s="2"/>
      <c r="N30" s="2"/>
      <c r="O30" s="2"/>
      <c r="P30" s="2"/>
      <c r="Q30" s="2"/>
      <c r="R30" s="37"/>
    </row>
    <row r="31" spans="1:18" x14ac:dyDescent="0.25">
      <c r="A31" s="2"/>
      <c r="B31" s="2"/>
      <c r="C31" s="6" t="s">
        <v>47</v>
      </c>
      <c r="D31" s="2"/>
      <c r="E31" s="2"/>
      <c r="F31" s="2"/>
      <c r="G31" s="2"/>
      <c r="H31" s="2"/>
      <c r="I31" s="36">
        <v>0</v>
      </c>
      <c r="J31" s="36"/>
      <c r="K31" s="2"/>
      <c r="L31" s="6" t="s">
        <v>47</v>
      </c>
      <c r="M31" s="2"/>
      <c r="N31" s="2"/>
      <c r="O31" s="2"/>
      <c r="P31" s="2"/>
      <c r="Q31" s="2"/>
      <c r="R31" s="37"/>
    </row>
    <row r="32" spans="1:18" x14ac:dyDescent="0.25">
      <c r="A32" s="2"/>
      <c r="B32" s="2"/>
      <c r="C32" s="6" t="s">
        <v>48</v>
      </c>
      <c r="D32" s="2"/>
      <c r="E32" s="42"/>
      <c r="F32" s="2"/>
      <c r="G32" s="2"/>
      <c r="H32" s="2"/>
      <c r="I32" s="36"/>
      <c r="J32" s="36"/>
      <c r="K32" s="2"/>
      <c r="L32" s="6" t="s">
        <v>48</v>
      </c>
      <c r="M32" s="2"/>
      <c r="N32" s="2"/>
      <c r="O32" s="2"/>
      <c r="P32" s="2"/>
      <c r="Q32" s="2"/>
      <c r="R32" s="37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36"/>
      <c r="J33" s="36"/>
      <c r="K33" s="2"/>
      <c r="L33" s="2"/>
      <c r="M33" s="2"/>
      <c r="N33" s="2"/>
      <c r="O33" s="2"/>
      <c r="P33" s="2"/>
      <c r="Q33" s="2"/>
      <c r="R33" s="37"/>
    </row>
    <row r="34" spans="1:18" x14ac:dyDescent="0.25">
      <c r="A34" s="2"/>
      <c r="B34" s="2"/>
      <c r="C34" s="6" t="s">
        <v>49</v>
      </c>
      <c r="D34" s="2"/>
      <c r="E34" s="2"/>
      <c r="F34" s="2"/>
      <c r="G34" s="2"/>
      <c r="H34" s="2"/>
      <c r="I34" s="36">
        <f>SUM(I31:I32)</f>
        <v>0</v>
      </c>
      <c r="J34" s="36"/>
      <c r="K34" s="2"/>
      <c r="L34" s="6" t="s">
        <v>49</v>
      </c>
      <c r="M34" s="2"/>
      <c r="N34" s="2"/>
      <c r="O34" s="2"/>
      <c r="P34" s="2"/>
      <c r="Q34" s="2"/>
      <c r="R34" s="36">
        <f>SUM(R31:R32)</f>
        <v>0</v>
      </c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43"/>
      <c r="J35" s="40"/>
      <c r="K35" s="2"/>
      <c r="L35" s="2"/>
      <c r="M35" s="2"/>
      <c r="N35" s="2"/>
      <c r="O35" s="2"/>
      <c r="P35" s="2"/>
      <c r="Q35" s="2"/>
      <c r="R35" s="38"/>
    </row>
    <row r="36" spans="1:18" x14ac:dyDescent="0.25">
      <c r="A36" s="2"/>
      <c r="B36" s="6" t="s">
        <v>50</v>
      </c>
      <c r="C36" s="6" t="s">
        <v>51</v>
      </c>
      <c r="D36" s="2"/>
      <c r="E36" s="2"/>
      <c r="F36" s="2"/>
      <c r="G36" s="2"/>
      <c r="H36" s="2"/>
      <c r="I36" s="36">
        <f>I27+I34</f>
        <v>1821459.4824765716</v>
      </c>
      <c r="J36" s="36"/>
      <c r="K36" s="6" t="s">
        <v>50</v>
      </c>
      <c r="L36" s="6" t="s">
        <v>51</v>
      </c>
      <c r="M36" s="2"/>
      <c r="N36" s="2"/>
      <c r="O36" s="2"/>
      <c r="P36" s="2"/>
      <c r="Q36" s="2"/>
      <c r="R36" s="36">
        <f>R27+R34</f>
        <v>3262.4658360334706</v>
      </c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36"/>
      <c r="J37" s="36"/>
      <c r="K37" s="2"/>
      <c r="L37" s="2"/>
      <c r="M37" s="2"/>
      <c r="N37" s="2"/>
      <c r="O37" s="2"/>
      <c r="P37" s="2"/>
      <c r="Q37" s="2"/>
      <c r="R37" s="37"/>
    </row>
    <row r="38" spans="1:18" x14ac:dyDescent="0.25">
      <c r="A38" s="2"/>
      <c r="B38" s="6" t="s">
        <v>52</v>
      </c>
      <c r="C38" s="6" t="s">
        <v>53</v>
      </c>
      <c r="D38" s="2"/>
      <c r="E38" s="2"/>
      <c r="F38" s="2"/>
      <c r="G38" s="2"/>
      <c r="H38" s="2"/>
      <c r="I38" s="36"/>
      <c r="J38" s="36"/>
      <c r="K38" s="6" t="s">
        <v>52</v>
      </c>
      <c r="L38" s="6" t="s">
        <v>53</v>
      </c>
      <c r="M38" s="2"/>
      <c r="N38" s="2"/>
      <c r="O38" s="2"/>
      <c r="P38" s="2"/>
      <c r="Q38" s="2"/>
      <c r="R38" s="37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36"/>
      <c r="J39" s="36"/>
      <c r="K39" s="2"/>
      <c r="L39" s="2"/>
      <c r="M39" s="2"/>
      <c r="N39" s="2"/>
      <c r="O39" s="2"/>
      <c r="P39" s="2"/>
      <c r="Q39" s="2"/>
      <c r="R39" s="37"/>
    </row>
    <row r="40" spans="1:18" x14ac:dyDescent="0.25">
      <c r="A40" s="2"/>
      <c r="B40" s="2"/>
      <c r="C40" s="6" t="s">
        <v>54</v>
      </c>
      <c r="D40" s="2"/>
      <c r="E40" s="2"/>
      <c r="F40" s="2"/>
      <c r="G40" s="2"/>
      <c r="H40" s="2"/>
      <c r="I40" s="36">
        <v>333749</v>
      </c>
      <c r="J40" s="36"/>
      <c r="K40" s="2"/>
      <c r="L40" s="6" t="s">
        <v>54</v>
      </c>
      <c r="M40" s="2"/>
      <c r="N40" s="2"/>
      <c r="O40" s="2"/>
      <c r="P40" s="2"/>
      <c r="Q40" s="2"/>
      <c r="R40" s="36">
        <v>620</v>
      </c>
    </row>
    <row r="41" spans="1:18" x14ac:dyDescent="0.25">
      <c r="A41" s="2"/>
      <c r="B41" s="2"/>
      <c r="C41" s="6" t="s">
        <v>55</v>
      </c>
      <c r="D41" s="2"/>
      <c r="E41" s="2"/>
      <c r="F41" s="2"/>
      <c r="G41" s="2"/>
      <c r="H41" s="2"/>
      <c r="I41" s="36">
        <v>228205</v>
      </c>
      <c r="J41" s="36"/>
      <c r="K41" s="2"/>
      <c r="L41" s="6" t="s">
        <v>55</v>
      </c>
      <c r="M41" s="2"/>
      <c r="N41" s="2"/>
      <c r="O41" s="2"/>
      <c r="P41" s="2"/>
      <c r="Q41" s="2"/>
      <c r="R41" s="37">
        <v>424</v>
      </c>
    </row>
    <row r="42" spans="1:18" x14ac:dyDescent="0.25">
      <c r="A42" s="2"/>
      <c r="B42" s="2"/>
      <c r="C42" s="3" t="s">
        <v>56</v>
      </c>
      <c r="D42" s="2"/>
      <c r="E42" s="2"/>
      <c r="F42" s="2"/>
      <c r="G42" s="2"/>
      <c r="H42" s="2"/>
      <c r="I42" s="36">
        <v>20640</v>
      </c>
      <c r="J42" s="36"/>
      <c r="K42" s="2"/>
      <c r="L42" s="3" t="s">
        <v>56</v>
      </c>
      <c r="M42" s="2"/>
      <c r="N42" s="2"/>
      <c r="O42" s="2"/>
      <c r="P42" s="2"/>
      <c r="Q42" s="2"/>
      <c r="R42" s="37">
        <v>38</v>
      </c>
    </row>
    <row r="43" spans="1:18" x14ac:dyDescent="0.25">
      <c r="A43" s="2"/>
      <c r="B43" s="2"/>
      <c r="C43" s="6" t="s">
        <v>57</v>
      </c>
      <c r="D43" s="2"/>
      <c r="E43" s="2"/>
      <c r="F43" s="2"/>
      <c r="G43" s="2"/>
      <c r="H43" s="2"/>
      <c r="I43" s="36">
        <v>169837</v>
      </c>
      <c r="J43" s="36"/>
      <c r="K43" s="2"/>
      <c r="L43" s="6" t="s">
        <v>57</v>
      </c>
      <c r="M43" s="2"/>
      <c r="N43" s="2"/>
      <c r="O43" s="2"/>
      <c r="P43" s="2"/>
      <c r="Q43" s="2"/>
      <c r="R43" s="37">
        <v>315</v>
      </c>
    </row>
    <row r="44" spans="1:18" x14ac:dyDescent="0.25">
      <c r="A44" s="2"/>
      <c r="B44" s="2"/>
      <c r="C44" s="6" t="s">
        <v>58</v>
      </c>
      <c r="D44" s="2"/>
      <c r="E44" s="2"/>
      <c r="F44" s="2"/>
      <c r="G44" s="2"/>
      <c r="H44" s="2"/>
      <c r="I44" s="39">
        <v>871431</v>
      </c>
      <c r="J44" s="40"/>
      <c r="K44" s="2"/>
      <c r="L44" s="6" t="s">
        <v>58</v>
      </c>
      <c r="M44" s="2"/>
      <c r="N44" s="2"/>
      <c r="O44" s="2"/>
      <c r="P44" s="2"/>
      <c r="Q44" s="2"/>
      <c r="R44" s="44">
        <v>1619</v>
      </c>
    </row>
    <row r="45" spans="1:18" x14ac:dyDescent="0.25">
      <c r="A45" s="2"/>
      <c r="B45" s="2"/>
      <c r="C45" s="6"/>
      <c r="D45" s="2"/>
      <c r="E45" s="2"/>
      <c r="F45" s="2"/>
      <c r="G45" s="2"/>
      <c r="H45" s="2"/>
      <c r="I45" s="36"/>
      <c r="J45" s="36"/>
      <c r="K45" s="2"/>
      <c r="L45" s="6"/>
      <c r="M45" s="2"/>
      <c r="N45" s="2"/>
      <c r="O45" s="2"/>
      <c r="P45" s="2"/>
      <c r="Q45" s="2"/>
      <c r="R45" s="37"/>
    </row>
    <row r="46" spans="1:18" hidden="1" x14ac:dyDescent="0.25">
      <c r="A46" s="2"/>
      <c r="B46" s="2"/>
      <c r="C46" s="2"/>
      <c r="D46" s="2"/>
      <c r="E46" s="2"/>
      <c r="F46" s="2"/>
      <c r="G46" s="2"/>
      <c r="H46" s="2"/>
      <c r="I46" s="41"/>
      <c r="J46" s="41"/>
      <c r="K46" s="2"/>
      <c r="L46" s="2"/>
      <c r="M46" s="2"/>
      <c r="N46" s="2"/>
      <c r="O46" s="2"/>
      <c r="P46" s="2"/>
      <c r="Q46" s="2"/>
      <c r="R46" s="41"/>
    </row>
    <row r="47" spans="1:18" x14ac:dyDescent="0.25">
      <c r="A47" s="2"/>
      <c r="B47" s="2"/>
      <c r="C47" s="6" t="s">
        <v>59</v>
      </c>
      <c r="D47" s="2"/>
      <c r="E47" s="2"/>
      <c r="F47" s="2"/>
      <c r="G47" s="2"/>
      <c r="H47" s="2"/>
      <c r="I47" s="36">
        <f>SUM(I40:I45)</f>
        <v>1623862</v>
      </c>
      <c r="J47" s="36"/>
      <c r="K47" s="2"/>
      <c r="L47" s="6" t="s">
        <v>59</v>
      </c>
      <c r="M47" s="2"/>
      <c r="N47" s="2"/>
      <c r="O47" s="2"/>
      <c r="P47" s="2"/>
      <c r="Q47" s="2"/>
      <c r="R47" s="36">
        <f>SUM(R40:R44)</f>
        <v>3016</v>
      </c>
    </row>
    <row r="48" spans="1:18" x14ac:dyDescent="0.25">
      <c r="A48" s="2"/>
      <c r="B48" s="2"/>
      <c r="C48" s="6"/>
      <c r="D48" s="2"/>
      <c r="E48" s="2"/>
      <c r="F48" s="2"/>
      <c r="G48" s="2"/>
      <c r="H48" s="2"/>
      <c r="I48" s="36"/>
      <c r="J48" s="36"/>
      <c r="K48" s="2"/>
      <c r="L48" s="6"/>
      <c r="M48" s="2"/>
      <c r="N48" s="2"/>
      <c r="O48" s="2"/>
      <c r="P48" s="2"/>
      <c r="Q48" s="2"/>
      <c r="R48" s="36"/>
    </row>
    <row r="49" spans="1:18" x14ac:dyDescent="0.25">
      <c r="A49" s="2"/>
      <c r="B49" s="2"/>
      <c r="C49" s="6" t="s">
        <v>356</v>
      </c>
      <c r="D49" s="2"/>
      <c r="E49" s="2"/>
      <c r="F49" s="2"/>
      <c r="G49" s="2"/>
      <c r="H49" s="2"/>
      <c r="I49" s="36">
        <v>187367</v>
      </c>
      <c r="J49" s="36"/>
      <c r="K49" s="2"/>
      <c r="L49" s="6" t="s">
        <v>356</v>
      </c>
      <c r="M49" s="2"/>
      <c r="N49" s="2"/>
      <c r="O49" s="2"/>
      <c r="P49" s="2"/>
      <c r="Q49" s="2"/>
      <c r="R49" s="36">
        <v>348</v>
      </c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41"/>
      <c r="J50" s="41"/>
      <c r="K50" s="2"/>
      <c r="L50" s="2"/>
      <c r="M50" s="2"/>
      <c r="N50" s="2"/>
      <c r="O50" s="2"/>
      <c r="P50" s="2"/>
      <c r="Q50" s="2"/>
      <c r="R50" s="41"/>
    </row>
    <row r="51" spans="1:18" x14ac:dyDescent="0.25">
      <c r="A51" s="2"/>
      <c r="B51" s="6" t="s">
        <v>60</v>
      </c>
      <c r="C51" s="6" t="s">
        <v>61</v>
      </c>
      <c r="D51" s="2"/>
      <c r="E51" s="2"/>
      <c r="F51" s="2"/>
      <c r="G51" s="2"/>
      <c r="H51" s="2"/>
      <c r="I51" s="36">
        <f>I36-(I47+I49)</f>
        <v>10230.482476571575</v>
      </c>
      <c r="J51" s="45"/>
      <c r="K51" s="6" t="s">
        <v>60</v>
      </c>
      <c r="L51" s="6" t="s">
        <v>61</v>
      </c>
      <c r="M51" s="2"/>
      <c r="N51" s="2"/>
      <c r="O51" s="2"/>
      <c r="P51" s="2"/>
      <c r="Q51" s="2"/>
      <c r="R51" s="36">
        <f>R36-(R47+R49)</f>
        <v>-101.53416396652938</v>
      </c>
    </row>
    <row r="52" spans="1:1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5">
      <c r="A53" s="3"/>
      <c r="B53" s="3"/>
      <c r="C53" s="3" t="s">
        <v>62</v>
      </c>
      <c r="D53" s="3"/>
      <c r="E53" s="3"/>
      <c r="F53" s="3"/>
      <c r="G53" s="3"/>
      <c r="H53" s="3"/>
      <c r="I53" s="46">
        <f>I36/I47</f>
        <v>1.1216836667626753</v>
      </c>
      <c r="J53" s="46"/>
      <c r="K53" s="3"/>
      <c r="L53" s="3"/>
      <c r="M53" s="3"/>
      <c r="N53" s="3"/>
      <c r="O53" s="3"/>
      <c r="P53" s="3"/>
      <c r="Q53" s="3"/>
      <c r="R53" s="3"/>
    </row>
    <row r="54" spans="1:18" x14ac:dyDescent="0.25">
      <c r="A54" s="3"/>
      <c r="B54" s="1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</sheetData>
  <pageMargins left="0.7" right="0.7" top="0.75" bottom="0.75" header="0.3" footer="0.3"/>
  <pageSetup scale="90" firstPageNumber="26" orientation="portrait" useFirstPageNumber="1" r:id="rId1"/>
  <headerFooter>
    <oddFooter>&amp;R&amp;P</oddFooter>
  </headerFooter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26CDE-CDEC-4DE3-9D3E-ED30D731B204}">
  <dimension ref="A1:AA52"/>
  <sheetViews>
    <sheetView topLeftCell="A7" workbookViewId="0">
      <selection activeCell="K6" sqref="K6"/>
    </sheetView>
  </sheetViews>
  <sheetFormatPr defaultRowHeight="15" x14ac:dyDescent="0.25"/>
  <cols>
    <col min="8" max="8" width="10.7109375" bestFit="1" customWidth="1"/>
    <col min="17" max="17" width="9.7109375" bestFit="1" customWidth="1"/>
    <col min="18" max="18" width="10.7109375" bestFit="1" customWidth="1"/>
  </cols>
  <sheetData>
    <row r="1" spans="1:27" x14ac:dyDescent="0.25">
      <c r="A1" s="388" t="s">
        <v>360</v>
      </c>
      <c r="B1" s="389"/>
      <c r="C1" s="389"/>
      <c r="D1" s="389"/>
      <c r="E1" s="389"/>
      <c r="F1" s="389"/>
      <c r="G1" s="389"/>
      <c r="H1" s="389"/>
      <c r="I1" s="390"/>
      <c r="J1" s="388" t="s">
        <v>361</v>
      </c>
      <c r="K1" s="389"/>
      <c r="L1" s="389"/>
      <c r="M1" s="389"/>
      <c r="N1" s="389"/>
      <c r="O1" s="389"/>
      <c r="P1" s="389"/>
      <c r="Q1" s="389"/>
      <c r="R1" s="390"/>
      <c r="S1" s="390"/>
      <c r="T1" s="388" t="s">
        <v>362</v>
      </c>
      <c r="U1" s="389"/>
      <c r="V1" s="389"/>
      <c r="W1" s="389"/>
      <c r="X1" s="389"/>
      <c r="Y1" s="389"/>
      <c r="Z1" s="389"/>
      <c r="AA1" s="389"/>
    </row>
    <row r="2" spans="1:27" x14ac:dyDescent="0.25">
      <c r="A2" s="389"/>
      <c r="B2" s="389" t="s">
        <v>363</v>
      </c>
      <c r="C2" s="389"/>
      <c r="D2" s="389"/>
      <c r="E2" s="389"/>
      <c r="F2" s="391"/>
      <c r="G2" s="389"/>
      <c r="H2" s="392">
        <v>43465</v>
      </c>
      <c r="I2" s="390"/>
      <c r="J2" s="389"/>
      <c r="K2" s="393" t="s">
        <v>364</v>
      </c>
      <c r="L2" s="389"/>
      <c r="M2" s="389"/>
      <c r="N2" s="389"/>
      <c r="O2" s="390"/>
      <c r="P2" s="389"/>
      <c r="Q2" s="394" t="s">
        <v>24</v>
      </c>
      <c r="R2" s="395">
        <v>44561</v>
      </c>
      <c r="S2" s="390"/>
      <c r="T2" s="389"/>
      <c r="U2" s="393" t="s">
        <v>365</v>
      </c>
      <c r="V2" s="389"/>
      <c r="W2" s="389"/>
      <c r="X2" s="389"/>
      <c r="Y2" s="390"/>
      <c r="Z2" s="389"/>
      <c r="AA2" s="394" t="s">
        <v>24</v>
      </c>
    </row>
    <row r="3" spans="1:27" x14ac:dyDescent="0.25">
      <c r="A3" s="389"/>
      <c r="B3" s="389"/>
      <c r="C3" s="389"/>
      <c r="D3" s="389"/>
      <c r="E3" s="389"/>
      <c r="F3" s="389"/>
      <c r="G3" s="389"/>
      <c r="H3" s="389"/>
      <c r="I3" s="390"/>
      <c r="J3" s="389"/>
      <c r="K3" s="389"/>
      <c r="L3" s="389"/>
      <c r="M3" s="389"/>
      <c r="N3" s="389"/>
      <c r="O3" s="389"/>
      <c r="P3" s="389"/>
      <c r="Q3" s="389"/>
      <c r="R3" s="390"/>
      <c r="S3" s="390"/>
      <c r="T3" s="389"/>
      <c r="U3" s="389"/>
      <c r="V3" s="389"/>
      <c r="W3" s="389"/>
      <c r="X3" s="389"/>
      <c r="Y3" s="389"/>
      <c r="Z3" s="389"/>
      <c r="AA3" s="389"/>
    </row>
    <row r="4" spans="1:27" x14ac:dyDescent="0.25">
      <c r="A4" s="391" t="s">
        <v>25</v>
      </c>
      <c r="B4" s="391" t="s">
        <v>26</v>
      </c>
      <c r="C4" s="389"/>
      <c r="D4" s="389"/>
      <c r="E4" s="389"/>
      <c r="F4" s="389"/>
      <c r="G4" s="389"/>
      <c r="H4" s="389"/>
      <c r="I4" s="390"/>
      <c r="J4" s="391" t="s">
        <v>25</v>
      </c>
      <c r="K4" s="391" t="s">
        <v>26</v>
      </c>
      <c r="L4" s="389"/>
      <c r="M4" s="389"/>
      <c r="N4" s="389"/>
      <c r="O4" s="389"/>
      <c r="P4" s="389"/>
      <c r="Q4" s="389"/>
      <c r="R4" s="390"/>
      <c r="S4" s="390"/>
      <c r="T4" s="391" t="s">
        <v>25</v>
      </c>
      <c r="U4" s="391" t="s">
        <v>26</v>
      </c>
      <c r="V4" s="389"/>
      <c r="W4" s="389"/>
      <c r="X4" s="389"/>
      <c r="Y4" s="389"/>
      <c r="Z4" s="389"/>
      <c r="AA4" s="389"/>
    </row>
    <row r="5" spans="1:27" x14ac:dyDescent="0.25">
      <c r="A5" s="389"/>
      <c r="B5" s="389"/>
      <c r="C5" s="389"/>
      <c r="D5" s="389"/>
      <c r="E5" s="389"/>
      <c r="F5" s="389"/>
      <c r="G5" s="389"/>
      <c r="H5" s="389"/>
      <c r="I5" s="390"/>
      <c r="J5" s="389"/>
      <c r="K5" s="389"/>
      <c r="L5" s="389"/>
      <c r="M5" s="389"/>
      <c r="N5" s="389"/>
      <c r="O5" s="389"/>
      <c r="P5" s="389"/>
      <c r="Q5" s="389"/>
      <c r="R5" s="390"/>
      <c r="S5" s="390"/>
      <c r="T5" s="389"/>
      <c r="U5" s="389"/>
      <c r="V5" s="389"/>
      <c r="W5" s="389"/>
      <c r="X5" s="389"/>
      <c r="Y5" s="389"/>
      <c r="Z5" s="389"/>
      <c r="AA5" s="389"/>
    </row>
    <row r="6" spans="1:27" x14ac:dyDescent="0.25">
      <c r="A6" s="389"/>
      <c r="B6" s="391" t="s">
        <v>92</v>
      </c>
      <c r="C6" s="389"/>
      <c r="D6" s="389"/>
      <c r="E6" s="389"/>
      <c r="F6" s="389"/>
      <c r="G6" s="389"/>
      <c r="H6" s="396">
        <v>673687</v>
      </c>
      <c r="I6" s="390"/>
      <c r="J6" s="389"/>
      <c r="K6" s="391" t="s">
        <v>92</v>
      </c>
      <c r="L6" s="389"/>
      <c r="M6" s="389"/>
      <c r="N6" s="389"/>
      <c r="O6" s="389"/>
      <c r="P6" s="389"/>
      <c r="Q6" s="396">
        <f>'Forecast - WW'!I49+'Forecast - WW'!L49</f>
        <v>969775.09333333315</v>
      </c>
      <c r="R6" s="390"/>
      <c r="S6" s="390"/>
      <c r="T6" s="389"/>
      <c r="U6" s="391" t="s">
        <v>92</v>
      </c>
      <c r="V6" s="389"/>
      <c r="W6" s="389"/>
      <c r="X6" s="389"/>
      <c r="Y6" s="389"/>
      <c r="Z6" s="389"/>
      <c r="AA6" s="396">
        <f>+'[2]Sewer Forecast'!AB61+'[2]Sewer Forecast'!AE61</f>
        <v>0</v>
      </c>
    </row>
    <row r="7" spans="1:27" x14ac:dyDescent="0.25">
      <c r="A7" s="389"/>
      <c r="B7" s="391" t="s">
        <v>366</v>
      </c>
      <c r="C7" s="389"/>
      <c r="D7" s="389"/>
      <c r="E7" s="389"/>
      <c r="F7" s="389"/>
      <c r="G7" s="389"/>
      <c r="H7" s="396"/>
      <c r="I7" s="390"/>
      <c r="J7" s="389"/>
      <c r="K7" s="391" t="s">
        <v>366</v>
      </c>
      <c r="L7" s="389"/>
      <c r="M7" s="389"/>
      <c r="N7" s="389"/>
      <c r="O7" s="389"/>
      <c r="P7" s="389"/>
      <c r="Q7" s="396"/>
      <c r="R7" s="390"/>
      <c r="S7" s="390"/>
      <c r="T7" s="389"/>
      <c r="U7" s="391" t="s">
        <v>366</v>
      </c>
      <c r="V7" s="389"/>
      <c r="W7" s="389"/>
      <c r="X7" s="389"/>
      <c r="Y7" s="389"/>
      <c r="Z7" s="389"/>
      <c r="AA7" s="396"/>
    </row>
    <row r="8" spans="1:27" x14ac:dyDescent="0.25">
      <c r="A8" s="389"/>
      <c r="B8" s="391" t="s">
        <v>29</v>
      </c>
      <c r="C8" s="389"/>
      <c r="D8" s="391"/>
      <c r="E8" s="389"/>
      <c r="F8" s="389"/>
      <c r="G8" s="389"/>
      <c r="H8" s="396"/>
      <c r="I8" s="390"/>
      <c r="J8" s="389"/>
      <c r="K8" s="391" t="s">
        <v>29</v>
      </c>
      <c r="L8" s="389"/>
      <c r="M8" s="391"/>
      <c r="N8" s="389"/>
      <c r="O8" s="389"/>
      <c r="P8" s="389"/>
      <c r="Q8" s="396"/>
      <c r="R8" s="390"/>
      <c r="S8" s="390"/>
      <c r="T8" s="389"/>
      <c r="U8" s="391" t="s">
        <v>29</v>
      </c>
      <c r="V8" s="389"/>
      <c r="W8" s="391"/>
      <c r="X8" s="389"/>
      <c r="Y8" s="389"/>
      <c r="Z8" s="389"/>
      <c r="AA8" s="396"/>
    </row>
    <row r="9" spans="1:27" x14ac:dyDescent="0.25">
      <c r="A9" s="389"/>
      <c r="B9" s="389"/>
      <c r="C9" s="389"/>
      <c r="D9" s="389"/>
      <c r="E9" s="389"/>
      <c r="F9" s="389"/>
      <c r="G9" s="389"/>
      <c r="H9" s="389"/>
      <c r="I9" s="390"/>
      <c r="J9" s="389"/>
      <c r="K9" s="389"/>
      <c r="L9" s="389"/>
      <c r="M9" s="389"/>
      <c r="N9" s="389"/>
      <c r="O9" s="389"/>
      <c r="P9" s="389"/>
      <c r="Q9" s="389"/>
      <c r="R9" s="390"/>
      <c r="S9" s="390"/>
      <c r="T9" s="389"/>
      <c r="U9" s="389"/>
      <c r="V9" s="389"/>
      <c r="W9" s="389"/>
      <c r="X9" s="389"/>
      <c r="Y9" s="389"/>
      <c r="Z9" s="389"/>
      <c r="AA9" s="389"/>
    </row>
    <row r="10" spans="1:27" x14ac:dyDescent="0.25">
      <c r="A10" s="389"/>
      <c r="B10" s="391" t="s">
        <v>30</v>
      </c>
      <c r="C10" s="391" t="s">
        <v>31</v>
      </c>
      <c r="D10" s="389"/>
      <c r="E10" s="389"/>
      <c r="F10" s="389"/>
      <c r="G10" s="389"/>
      <c r="H10" s="389"/>
      <c r="I10" s="390"/>
      <c r="J10" s="389"/>
      <c r="K10" s="391" t="s">
        <v>30</v>
      </c>
      <c r="L10" s="391" t="s">
        <v>31</v>
      </c>
      <c r="M10" s="389"/>
      <c r="N10" s="389"/>
      <c r="O10" s="389"/>
      <c r="P10" s="389"/>
      <c r="Q10" s="389"/>
      <c r="R10" s="390"/>
      <c r="S10" s="390"/>
      <c r="T10" s="389"/>
      <c r="U10" s="391" t="s">
        <v>30</v>
      </c>
      <c r="V10" s="391" t="s">
        <v>31</v>
      </c>
      <c r="W10" s="389"/>
      <c r="X10" s="389"/>
      <c r="Y10" s="389"/>
      <c r="Z10" s="389"/>
      <c r="AA10" s="389"/>
    </row>
    <row r="11" spans="1:27" x14ac:dyDescent="0.25">
      <c r="A11" s="389"/>
      <c r="B11" s="389"/>
      <c r="C11" s="389"/>
      <c r="D11" s="389"/>
      <c r="E11" s="389"/>
      <c r="F11" s="389"/>
      <c r="G11" s="389"/>
      <c r="H11" s="397"/>
      <c r="I11" s="390"/>
      <c r="J11" s="389"/>
      <c r="K11" s="389"/>
      <c r="L11" s="389"/>
      <c r="M11" s="389"/>
      <c r="N11" s="389"/>
      <c r="O11" s="389"/>
      <c r="P11" s="389"/>
      <c r="Q11" s="397"/>
      <c r="R11" s="390"/>
      <c r="S11" s="390"/>
      <c r="T11" s="389"/>
      <c r="U11" s="389"/>
      <c r="V11" s="389"/>
      <c r="W11" s="389"/>
      <c r="X11" s="389"/>
      <c r="Y11" s="389"/>
      <c r="Z11" s="389"/>
      <c r="AA11" s="397"/>
    </row>
    <row r="12" spans="1:27" x14ac:dyDescent="0.25">
      <c r="A12" s="389"/>
      <c r="B12" s="391" t="s">
        <v>32</v>
      </c>
      <c r="C12" s="389"/>
      <c r="D12" s="389"/>
      <c r="E12" s="389"/>
      <c r="F12" s="389"/>
      <c r="G12" s="389"/>
      <c r="H12" s="396">
        <f>SUM(H6:H8)</f>
        <v>673687</v>
      </c>
      <c r="I12" s="390"/>
      <c r="J12" s="389"/>
      <c r="K12" s="391" t="s">
        <v>32</v>
      </c>
      <c r="L12" s="389"/>
      <c r="M12" s="389"/>
      <c r="N12" s="389"/>
      <c r="O12" s="389"/>
      <c r="P12" s="389"/>
      <c r="Q12" s="396">
        <f>SUM(Q6:Q8)</f>
        <v>969775.09333333315</v>
      </c>
      <c r="R12" s="390"/>
      <c r="S12" s="390"/>
      <c r="T12" s="389"/>
      <c r="U12" s="391" t="s">
        <v>32</v>
      </c>
      <c r="V12" s="389"/>
      <c r="W12" s="389"/>
      <c r="X12" s="389"/>
      <c r="Y12" s="389"/>
      <c r="Z12" s="389"/>
      <c r="AA12" s="396">
        <f>SUM(AA6:AA8)</f>
        <v>0</v>
      </c>
    </row>
    <row r="13" spans="1:27" x14ac:dyDescent="0.25">
      <c r="A13" s="389"/>
      <c r="B13" s="389"/>
      <c r="C13" s="389"/>
      <c r="D13" s="389"/>
      <c r="E13" s="389"/>
      <c r="F13" s="389"/>
      <c r="G13" s="389"/>
      <c r="H13" s="389"/>
      <c r="I13" s="390"/>
      <c r="J13" s="389"/>
      <c r="K13" s="389"/>
      <c r="L13" s="389"/>
      <c r="M13" s="389"/>
      <c r="N13" s="389"/>
      <c r="O13" s="389"/>
      <c r="P13" s="389"/>
      <c r="Q13" s="389"/>
      <c r="R13" s="390"/>
      <c r="S13" s="390"/>
      <c r="T13" s="389"/>
      <c r="U13" s="389"/>
      <c r="V13" s="389"/>
      <c r="W13" s="389"/>
      <c r="X13" s="389"/>
      <c r="Y13" s="389"/>
      <c r="Z13" s="389"/>
      <c r="AA13" s="389"/>
    </row>
    <row r="14" spans="1:27" x14ac:dyDescent="0.25">
      <c r="A14" s="391" t="s">
        <v>33</v>
      </c>
      <c r="B14" s="391" t="s">
        <v>34</v>
      </c>
      <c r="C14" s="389"/>
      <c r="D14" s="389"/>
      <c r="E14" s="389"/>
      <c r="F14" s="389"/>
      <c r="G14" s="389"/>
      <c r="H14" s="389"/>
      <c r="I14" s="390"/>
      <c r="J14" s="391" t="s">
        <v>33</v>
      </c>
      <c r="K14" s="391" t="s">
        <v>34</v>
      </c>
      <c r="L14" s="389"/>
      <c r="M14" s="389"/>
      <c r="N14" s="389"/>
      <c r="O14" s="389"/>
      <c r="P14" s="389"/>
      <c r="Q14" s="389"/>
      <c r="R14" s="390"/>
      <c r="S14" s="390"/>
      <c r="T14" s="391" t="s">
        <v>33</v>
      </c>
      <c r="U14" s="391" t="s">
        <v>34</v>
      </c>
      <c r="V14" s="389"/>
      <c r="W14" s="389"/>
      <c r="X14" s="389"/>
      <c r="Y14" s="389"/>
      <c r="Z14" s="389"/>
      <c r="AA14" s="389"/>
    </row>
    <row r="15" spans="1:27" x14ac:dyDescent="0.25">
      <c r="A15" s="389"/>
      <c r="B15" s="391" t="s">
        <v>35</v>
      </c>
      <c r="C15" s="389"/>
      <c r="D15" s="389"/>
      <c r="E15" s="389"/>
      <c r="F15" s="389"/>
      <c r="G15" s="389"/>
      <c r="H15" s="389"/>
      <c r="I15" s="390"/>
      <c r="J15" s="389"/>
      <c r="K15" s="391" t="s">
        <v>35</v>
      </c>
      <c r="L15" s="389"/>
      <c r="M15" s="389"/>
      <c r="N15" s="389"/>
      <c r="O15" s="389"/>
      <c r="P15" s="389"/>
      <c r="Q15" s="389"/>
      <c r="R15" s="390"/>
      <c r="S15" s="390"/>
      <c r="T15" s="389"/>
      <c r="U15" s="391" t="s">
        <v>35</v>
      </c>
      <c r="V15" s="389"/>
      <c r="W15" s="389"/>
      <c r="X15" s="389"/>
      <c r="Y15" s="389"/>
      <c r="Z15" s="389"/>
      <c r="AA15" s="389"/>
    </row>
    <row r="16" spans="1:27" x14ac:dyDescent="0.25">
      <c r="A16" s="389"/>
      <c r="B16" s="391" t="s">
        <v>36</v>
      </c>
      <c r="C16" s="389"/>
      <c r="D16" s="389"/>
      <c r="E16" s="389"/>
      <c r="F16" s="389"/>
      <c r="G16" s="389"/>
      <c r="H16" s="389"/>
      <c r="I16" s="390"/>
      <c r="J16" s="389"/>
      <c r="K16" s="391" t="s">
        <v>36</v>
      </c>
      <c r="L16" s="389"/>
      <c r="M16" s="389"/>
      <c r="N16" s="389"/>
      <c r="O16" s="389"/>
      <c r="P16" s="389"/>
      <c r="Q16" s="389"/>
      <c r="R16" s="390"/>
      <c r="S16" s="390"/>
      <c r="T16" s="389"/>
      <c r="U16" s="391" t="s">
        <v>36</v>
      </c>
      <c r="V16" s="389"/>
      <c r="W16" s="389"/>
      <c r="X16" s="389"/>
      <c r="Y16" s="389"/>
      <c r="Z16" s="389"/>
      <c r="AA16" s="389"/>
    </row>
    <row r="17" spans="1:27" x14ac:dyDescent="0.25">
      <c r="A17" s="389"/>
      <c r="B17" s="389"/>
      <c r="C17" s="389"/>
      <c r="D17" s="389"/>
      <c r="E17" s="389"/>
      <c r="F17" s="389"/>
      <c r="G17" s="389"/>
      <c r="H17" s="389"/>
      <c r="I17" s="390"/>
      <c r="J17" s="389"/>
      <c r="K17" s="389"/>
      <c r="L17" s="389"/>
      <c r="M17" s="389"/>
      <c r="N17" s="389"/>
      <c r="O17" s="389"/>
      <c r="P17" s="389"/>
      <c r="Q17" s="389"/>
      <c r="R17" s="390"/>
      <c r="S17" s="390"/>
      <c r="T17" s="389"/>
      <c r="U17" s="389"/>
      <c r="V17" s="389"/>
      <c r="W17" s="389"/>
      <c r="X17" s="389"/>
      <c r="Y17" s="389"/>
      <c r="Z17" s="389"/>
      <c r="AA17" s="389"/>
    </row>
    <row r="18" spans="1:27" x14ac:dyDescent="0.25">
      <c r="A18" s="389"/>
      <c r="B18" s="391" t="s">
        <v>367</v>
      </c>
      <c r="C18" s="389"/>
      <c r="D18" s="389"/>
      <c r="E18" s="389"/>
      <c r="F18" s="389"/>
      <c r="G18" s="389"/>
      <c r="H18" s="396">
        <v>385992</v>
      </c>
      <c r="I18" s="390"/>
      <c r="J18" s="389"/>
      <c r="K18" s="391" t="s">
        <v>367</v>
      </c>
      <c r="L18" s="389"/>
      <c r="M18" s="389"/>
      <c r="N18" s="389"/>
      <c r="O18" s="389"/>
      <c r="P18" s="389"/>
      <c r="Q18" s="396">
        <v>400000</v>
      </c>
      <c r="R18" s="390"/>
      <c r="S18" s="390"/>
      <c r="T18" s="389"/>
      <c r="U18" s="391" t="s">
        <v>367</v>
      </c>
      <c r="V18" s="389"/>
      <c r="W18" s="389"/>
      <c r="X18" s="389"/>
      <c r="Y18" s="389"/>
      <c r="Z18" s="389"/>
      <c r="AA18" s="396"/>
    </row>
    <row r="19" spans="1:27" x14ac:dyDescent="0.25">
      <c r="A19" s="389"/>
      <c r="B19" s="391" t="s">
        <v>368</v>
      </c>
      <c r="C19" s="389"/>
      <c r="D19" s="389"/>
      <c r="E19" s="389"/>
      <c r="F19" s="389"/>
      <c r="G19" s="389"/>
      <c r="H19" s="396">
        <v>49314</v>
      </c>
      <c r="I19" s="390"/>
      <c r="J19" s="389"/>
      <c r="K19" s="391" t="s">
        <v>368</v>
      </c>
      <c r="L19" s="389"/>
      <c r="M19" s="389"/>
      <c r="N19" s="389"/>
      <c r="O19" s="389"/>
      <c r="P19" s="389"/>
      <c r="Q19" s="396">
        <v>67000</v>
      </c>
      <c r="R19" s="390"/>
      <c r="S19" s="390"/>
      <c r="T19" s="389"/>
      <c r="U19" s="391" t="s">
        <v>368</v>
      </c>
      <c r="V19" s="389"/>
      <c r="W19" s="389"/>
      <c r="X19" s="389"/>
      <c r="Y19" s="389"/>
      <c r="Z19" s="389"/>
      <c r="AA19" s="396"/>
    </row>
    <row r="20" spans="1:27" x14ac:dyDescent="0.25">
      <c r="A20" s="389"/>
      <c r="B20" s="391" t="s">
        <v>41</v>
      </c>
      <c r="C20" s="389"/>
      <c r="D20" s="389"/>
      <c r="E20" s="389"/>
      <c r="F20" s="389"/>
      <c r="G20" s="389"/>
      <c r="H20" s="396"/>
      <c r="I20" s="390"/>
      <c r="J20" s="389"/>
      <c r="K20" s="391" t="s">
        <v>41</v>
      </c>
      <c r="L20" s="389"/>
      <c r="M20" s="389"/>
      <c r="N20" s="389"/>
      <c r="O20" s="389"/>
      <c r="P20" s="389"/>
      <c r="Q20" s="396"/>
      <c r="R20" s="390"/>
      <c r="S20" s="390"/>
      <c r="T20" s="389"/>
      <c r="U20" s="391" t="s">
        <v>41</v>
      </c>
      <c r="V20" s="389"/>
      <c r="W20" s="389"/>
      <c r="X20" s="389"/>
      <c r="Y20" s="389"/>
      <c r="Z20" s="389"/>
      <c r="AA20" s="396"/>
    </row>
    <row r="21" spans="1:27" x14ac:dyDescent="0.25">
      <c r="A21" s="389"/>
      <c r="B21" s="391" t="s">
        <v>42</v>
      </c>
      <c r="C21" s="389"/>
      <c r="D21" s="389"/>
      <c r="E21" s="389"/>
      <c r="F21" s="389"/>
      <c r="G21" s="389"/>
      <c r="H21" s="396">
        <v>267475</v>
      </c>
      <c r="I21" s="390"/>
      <c r="J21" s="389"/>
      <c r="K21" s="391" t="s">
        <v>42</v>
      </c>
      <c r="L21" s="389"/>
      <c r="M21" s="389"/>
      <c r="N21" s="389"/>
      <c r="O21" s="389"/>
      <c r="P21" s="389"/>
      <c r="Q21" s="396">
        <v>270000</v>
      </c>
      <c r="R21" s="390"/>
      <c r="S21" s="390"/>
      <c r="T21" s="389"/>
      <c r="U21" s="391" t="s">
        <v>42</v>
      </c>
      <c r="V21" s="389"/>
      <c r="W21" s="389"/>
      <c r="X21" s="389"/>
      <c r="Y21" s="389"/>
      <c r="Z21" s="389"/>
      <c r="AA21" s="396"/>
    </row>
    <row r="22" spans="1:27" x14ac:dyDescent="0.25">
      <c r="A22" s="389"/>
      <c r="B22" s="391"/>
      <c r="C22" s="389"/>
      <c r="D22" s="389"/>
      <c r="E22" s="389"/>
      <c r="F22" s="389"/>
      <c r="G22" s="389"/>
      <c r="H22" s="396"/>
      <c r="I22" s="390"/>
      <c r="J22" s="389"/>
      <c r="K22" s="391"/>
      <c r="L22" s="389"/>
      <c r="M22" s="389"/>
      <c r="N22" s="389"/>
      <c r="O22" s="389"/>
      <c r="P22" s="389"/>
      <c r="Q22" s="396"/>
      <c r="R22" s="390"/>
      <c r="S22" s="390"/>
      <c r="T22" s="389"/>
      <c r="U22" s="391"/>
      <c r="V22" s="389"/>
      <c r="W22" s="389"/>
      <c r="X22" s="389"/>
      <c r="Y22" s="389"/>
      <c r="Z22" s="389"/>
      <c r="AA22" s="396"/>
    </row>
    <row r="23" spans="1:27" x14ac:dyDescent="0.25">
      <c r="A23" s="389"/>
      <c r="B23" s="391" t="s">
        <v>43</v>
      </c>
      <c r="C23" s="389"/>
      <c r="D23" s="389"/>
      <c r="E23" s="389"/>
      <c r="F23" s="389"/>
      <c r="G23" s="389"/>
      <c r="H23" s="396">
        <f>SUM(H18:H22)</f>
        <v>702781</v>
      </c>
      <c r="I23" s="390"/>
      <c r="J23" s="389"/>
      <c r="K23" s="391" t="s">
        <v>43</v>
      </c>
      <c r="L23" s="389"/>
      <c r="M23" s="389"/>
      <c r="N23" s="389"/>
      <c r="O23" s="389"/>
      <c r="P23" s="389"/>
      <c r="Q23" s="396">
        <f>SUM(Q18:Q22)</f>
        <v>737000</v>
      </c>
      <c r="R23" s="390"/>
      <c r="S23" s="390"/>
      <c r="T23" s="389"/>
      <c r="U23" s="391" t="s">
        <v>43</v>
      </c>
      <c r="V23" s="389"/>
      <c r="W23" s="389"/>
      <c r="X23" s="389"/>
      <c r="Y23" s="389"/>
      <c r="Z23" s="389"/>
      <c r="AA23" s="396">
        <f>SUM(AA18:AA22)</f>
        <v>0</v>
      </c>
    </row>
    <row r="24" spans="1:27" x14ac:dyDescent="0.25">
      <c r="A24" s="389"/>
      <c r="B24" s="389"/>
      <c r="C24" s="389"/>
      <c r="D24" s="389"/>
      <c r="E24" s="389"/>
      <c r="F24" s="389"/>
      <c r="G24" s="389"/>
      <c r="H24" s="397"/>
      <c r="I24" s="390"/>
      <c r="J24" s="389"/>
      <c r="K24" s="389"/>
      <c r="L24" s="389"/>
      <c r="M24" s="389"/>
      <c r="N24" s="389"/>
      <c r="O24" s="389"/>
      <c r="P24" s="389"/>
      <c r="Q24" s="397"/>
      <c r="R24" s="390"/>
      <c r="S24" s="390"/>
      <c r="T24" s="389"/>
      <c r="U24" s="389"/>
      <c r="V24" s="389"/>
      <c r="W24" s="389"/>
      <c r="X24" s="389"/>
      <c r="Y24" s="389"/>
      <c r="Z24" s="389"/>
      <c r="AA24" s="397"/>
    </row>
    <row r="25" spans="1:27" x14ac:dyDescent="0.25">
      <c r="A25" s="389"/>
      <c r="B25" s="390"/>
      <c r="C25" s="390"/>
      <c r="D25" s="390"/>
      <c r="E25" s="390"/>
      <c r="F25" s="390"/>
      <c r="G25" s="390"/>
      <c r="H25" s="390"/>
      <c r="I25" s="390"/>
      <c r="J25" s="389"/>
      <c r="K25" s="390"/>
      <c r="L25" s="389"/>
      <c r="M25" s="389"/>
      <c r="N25" s="389"/>
      <c r="O25" s="389"/>
      <c r="P25" s="389"/>
      <c r="Q25" s="396"/>
      <c r="R25" s="390"/>
      <c r="S25" s="390"/>
      <c r="T25" s="389"/>
      <c r="U25" s="390"/>
      <c r="V25" s="389"/>
      <c r="W25" s="389"/>
      <c r="X25" s="389"/>
      <c r="Y25" s="389"/>
      <c r="Z25" s="389"/>
      <c r="AA25" s="396"/>
    </row>
    <row r="26" spans="1:27" x14ac:dyDescent="0.25">
      <c r="A26" s="389"/>
      <c r="B26" s="389"/>
      <c r="C26" s="389"/>
      <c r="D26" s="389"/>
      <c r="E26" s="389"/>
      <c r="F26" s="389"/>
      <c r="G26" s="389"/>
      <c r="H26" s="397"/>
      <c r="I26" s="390"/>
      <c r="J26" s="389"/>
      <c r="K26" s="389"/>
      <c r="L26" s="389"/>
      <c r="M26" s="389"/>
      <c r="N26" s="389"/>
      <c r="O26" s="389"/>
      <c r="P26" s="389"/>
      <c r="Q26" s="397"/>
      <c r="R26" s="390"/>
      <c r="S26" s="390"/>
      <c r="T26" s="389"/>
      <c r="U26" s="389"/>
      <c r="V26" s="389"/>
      <c r="W26" s="389"/>
      <c r="X26" s="389"/>
      <c r="Y26" s="389"/>
      <c r="Z26" s="389"/>
      <c r="AA26" s="397"/>
    </row>
    <row r="27" spans="1:27" x14ac:dyDescent="0.25">
      <c r="A27" s="389"/>
      <c r="B27" s="391" t="s">
        <v>44</v>
      </c>
      <c r="C27" s="389"/>
      <c r="D27" s="389"/>
      <c r="E27" s="389"/>
      <c r="F27" s="389"/>
      <c r="G27" s="389"/>
      <c r="H27" s="396">
        <f>H12-H23</f>
        <v>-29094</v>
      </c>
      <c r="I27" s="390"/>
      <c r="J27" s="389"/>
      <c r="K27" s="391" t="s">
        <v>44</v>
      </c>
      <c r="L27" s="389"/>
      <c r="M27" s="389"/>
      <c r="N27" s="389"/>
      <c r="O27" s="389"/>
      <c r="P27" s="389"/>
      <c r="Q27" s="396">
        <f>Q12-Q23</f>
        <v>232775.09333333315</v>
      </c>
      <c r="R27" s="390"/>
      <c r="S27" s="390"/>
      <c r="T27" s="389"/>
      <c r="U27" s="391" t="s">
        <v>44</v>
      </c>
      <c r="V27" s="389"/>
      <c r="W27" s="389"/>
      <c r="X27" s="389"/>
      <c r="Y27" s="389"/>
      <c r="Z27" s="389"/>
      <c r="AA27" s="396">
        <f>AA12-AA23</f>
        <v>0</v>
      </c>
    </row>
    <row r="28" spans="1:27" x14ac:dyDescent="0.25">
      <c r="A28" s="389"/>
      <c r="B28" s="389"/>
      <c r="C28" s="389"/>
      <c r="D28" s="389"/>
      <c r="E28" s="389"/>
      <c r="F28" s="389"/>
      <c r="G28" s="389"/>
      <c r="H28" s="389"/>
      <c r="I28" s="390"/>
      <c r="J28" s="389"/>
      <c r="K28" s="389"/>
      <c r="L28" s="389"/>
      <c r="M28" s="389"/>
      <c r="N28" s="389"/>
      <c r="O28" s="389"/>
      <c r="P28" s="389"/>
      <c r="Q28" s="389"/>
      <c r="R28" s="390"/>
      <c r="S28" s="390"/>
      <c r="T28" s="389"/>
      <c r="U28" s="389"/>
      <c r="V28" s="389"/>
      <c r="W28" s="389"/>
      <c r="X28" s="389"/>
      <c r="Y28" s="389"/>
      <c r="Z28" s="389"/>
      <c r="AA28" s="389"/>
    </row>
    <row r="29" spans="1:27" x14ac:dyDescent="0.25">
      <c r="A29" s="391" t="s">
        <v>45</v>
      </c>
      <c r="B29" s="391" t="s">
        <v>46</v>
      </c>
      <c r="C29" s="389"/>
      <c r="D29" s="389"/>
      <c r="E29" s="389"/>
      <c r="F29" s="389"/>
      <c r="G29" s="389"/>
      <c r="H29" s="389"/>
      <c r="I29" s="390"/>
      <c r="J29" s="391" t="s">
        <v>45</v>
      </c>
      <c r="K29" s="391" t="s">
        <v>46</v>
      </c>
      <c r="L29" s="389"/>
      <c r="M29" s="389"/>
      <c r="N29" s="389"/>
      <c r="O29" s="389"/>
      <c r="P29" s="389"/>
      <c r="Q29" s="389"/>
      <c r="R29" s="390"/>
      <c r="S29" s="390"/>
      <c r="T29" s="391" t="s">
        <v>45</v>
      </c>
      <c r="U29" s="391" t="s">
        <v>46</v>
      </c>
      <c r="V29" s="389"/>
      <c r="W29" s="389"/>
      <c r="X29" s="389"/>
      <c r="Y29" s="389"/>
      <c r="Z29" s="389"/>
      <c r="AA29" s="389"/>
    </row>
    <row r="30" spans="1:27" x14ac:dyDescent="0.25">
      <c r="A30" s="389"/>
      <c r="B30" s="389"/>
      <c r="C30" s="389"/>
      <c r="D30" s="389"/>
      <c r="E30" s="389"/>
      <c r="F30" s="389"/>
      <c r="G30" s="389"/>
      <c r="H30" s="389"/>
      <c r="I30" s="390"/>
      <c r="J30" s="389"/>
      <c r="K30" s="389"/>
      <c r="L30" s="389"/>
      <c r="M30" s="389"/>
      <c r="N30" s="389"/>
      <c r="O30" s="389"/>
      <c r="P30" s="389"/>
      <c r="Q30" s="389"/>
      <c r="R30" s="390"/>
      <c r="S30" s="390"/>
      <c r="T30" s="389"/>
      <c r="U30" s="389"/>
      <c r="V30" s="389"/>
      <c r="W30" s="389"/>
      <c r="X30" s="389"/>
      <c r="Y30" s="389"/>
      <c r="Z30" s="389"/>
      <c r="AA30" s="389"/>
    </row>
    <row r="31" spans="1:27" x14ac:dyDescent="0.25">
      <c r="A31" s="389"/>
      <c r="B31" s="391" t="s">
        <v>47</v>
      </c>
      <c r="C31" s="389"/>
      <c r="D31" s="389"/>
      <c r="E31" s="389"/>
      <c r="F31" s="389"/>
      <c r="G31" s="389"/>
      <c r="H31" s="396"/>
      <c r="I31" s="390"/>
      <c r="J31" s="389"/>
      <c r="K31" s="391" t="s">
        <v>47</v>
      </c>
      <c r="L31" s="389"/>
      <c r="M31" s="389"/>
      <c r="N31" s="389"/>
      <c r="O31" s="389"/>
      <c r="P31" s="389"/>
      <c r="Q31" s="396"/>
      <c r="R31" s="390"/>
      <c r="S31" s="390"/>
      <c r="T31" s="389"/>
      <c r="U31" s="391" t="s">
        <v>47</v>
      </c>
      <c r="V31" s="389"/>
      <c r="W31" s="389"/>
      <c r="X31" s="389"/>
      <c r="Y31" s="389"/>
      <c r="Z31" s="389"/>
      <c r="AA31" s="396"/>
    </row>
    <row r="32" spans="1:27" x14ac:dyDescent="0.25">
      <c r="A32" s="389"/>
      <c r="B32" s="391" t="s">
        <v>48</v>
      </c>
      <c r="C32" s="389"/>
      <c r="D32" s="391"/>
      <c r="E32" s="389"/>
      <c r="F32" s="389"/>
      <c r="G32" s="389"/>
      <c r="H32" s="396"/>
      <c r="I32" s="390"/>
      <c r="J32" s="389"/>
      <c r="K32" s="391" t="s">
        <v>48</v>
      </c>
      <c r="L32" s="389"/>
      <c r="M32" s="391" t="s">
        <v>369</v>
      </c>
      <c r="N32" s="389"/>
      <c r="O32" s="389"/>
      <c r="P32" s="389"/>
      <c r="Q32" s="396"/>
      <c r="R32" s="390"/>
      <c r="S32" s="390"/>
      <c r="T32" s="389"/>
      <c r="U32" s="391" t="s">
        <v>48</v>
      </c>
      <c r="V32" s="389"/>
      <c r="W32" s="391" t="s">
        <v>369</v>
      </c>
      <c r="X32" s="389"/>
      <c r="Y32" s="389"/>
      <c r="Z32" s="389"/>
      <c r="AA32" s="396"/>
    </row>
    <row r="33" spans="1:27" x14ac:dyDescent="0.25">
      <c r="A33" s="389"/>
      <c r="B33" s="389"/>
      <c r="C33" s="389"/>
      <c r="D33" s="389"/>
      <c r="E33" s="389"/>
      <c r="F33" s="389"/>
      <c r="G33" s="389"/>
      <c r="H33" s="397"/>
      <c r="I33" s="390"/>
      <c r="J33" s="389"/>
      <c r="K33" s="389"/>
      <c r="L33" s="389"/>
      <c r="M33" s="389"/>
      <c r="N33" s="389"/>
      <c r="O33" s="389"/>
      <c r="P33" s="389"/>
      <c r="Q33" s="397"/>
      <c r="R33" s="390"/>
      <c r="S33" s="390"/>
      <c r="T33" s="389"/>
      <c r="U33" s="389"/>
      <c r="V33" s="389"/>
      <c r="W33" s="389"/>
      <c r="X33" s="389"/>
      <c r="Y33" s="389"/>
      <c r="Z33" s="389"/>
      <c r="AA33" s="397"/>
    </row>
    <row r="34" spans="1:27" x14ac:dyDescent="0.25">
      <c r="A34" s="389"/>
      <c r="B34" s="391" t="s">
        <v>49</v>
      </c>
      <c r="C34" s="389"/>
      <c r="D34" s="389"/>
      <c r="E34" s="389"/>
      <c r="F34" s="389"/>
      <c r="G34" s="389"/>
      <c r="H34" s="396">
        <f>SUM(H31:H32)</f>
        <v>0</v>
      </c>
      <c r="I34" s="390"/>
      <c r="J34" s="389"/>
      <c r="K34" s="391" t="s">
        <v>49</v>
      </c>
      <c r="L34" s="389"/>
      <c r="M34" s="389"/>
      <c r="N34" s="389"/>
      <c r="O34" s="389"/>
      <c r="P34" s="389"/>
      <c r="Q34" s="396">
        <f>SUM(Q31:Q32)</f>
        <v>0</v>
      </c>
      <c r="R34" s="390"/>
      <c r="S34" s="390"/>
      <c r="T34" s="389"/>
      <c r="U34" s="391" t="s">
        <v>49</v>
      </c>
      <c r="V34" s="389"/>
      <c r="W34" s="389"/>
      <c r="X34" s="389"/>
      <c r="Y34" s="389"/>
      <c r="Z34" s="389"/>
      <c r="AA34" s="396">
        <f>SUM(AA31:AA32)</f>
        <v>0</v>
      </c>
    </row>
    <row r="35" spans="1:27" x14ac:dyDescent="0.25">
      <c r="A35" s="389"/>
      <c r="B35" s="389"/>
      <c r="C35" s="389"/>
      <c r="D35" s="389"/>
      <c r="E35" s="389"/>
      <c r="F35" s="389"/>
      <c r="G35" s="389"/>
      <c r="H35" s="397"/>
      <c r="I35" s="390"/>
      <c r="J35" s="389"/>
      <c r="K35" s="389"/>
      <c r="L35" s="389"/>
      <c r="M35" s="389"/>
      <c r="N35" s="389"/>
      <c r="O35" s="389"/>
      <c r="P35" s="389"/>
      <c r="Q35" s="397"/>
      <c r="R35" s="390"/>
      <c r="S35" s="390"/>
      <c r="T35" s="389"/>
      <c r="U35" s="389"/>
      <c r="V35" s="389"/>
      <c r="W35" s="389"/>
      <c r="X35" s="389"/>
      <c r="Y35" s="389"/>
      <c r="Z35" s="389"/>
      <c r="AA35" s="397"/>
    </row>
    <row r="36" spans="1:27" x14ac:dyDescent="0.25">
      <c r="A36" s="391" t="s">
        <v>50</v>
      </c>
      <c r="B36" s="391" t="s">
        <v>51</v>
      </c>
      <c r="C36" s="389"/>
      <c r="D36" s="389"/>
      <c r="E36" s="389"/>
      <c r="F36" s="389"/>
      <c r="G36" s="389"/>
      <c r="H36" s="396">
        <f>H27+H34</f>
        <v>-29094</v>
      </c>
      <c r="I36" s="390"/>
      <c r="J36" s="391" t="s">
        <v>50</v>
      </c>
      <c r="K36" s="391" t="s">
        <v>51</v>
      </c>
      <c r="L36" s="389"/>
      <c r="M36" s="389"/>
      <c r="N36" s="389"/>
      <c r="O36" s="389"/>
      <c r="P36" s="389"/>
      <c r="Q36" s="396">
        <f>Q27+Q34</f>
        <v>232775.09333333315</v>
      </c>
      <c r="R36" s="390"/>
      <c r="S36" s="390"/>
      <c r="T36" s="391" t="s">
        <v>50</v>
      </c>
      <c r="U36" s="391" t="s">
        <v>51</v>
      </c>
      <c r="V36" s="389"/>
      <c r="W36" s="389"/>
      <c r="X36" s="389"/>
      <c r="Y36" s="389"/>
      <c r="Z36" s="389"/>
      <c r="AA36" s="396">
        <f>AA27+AA34</f>
        <v>0</v>
      </c>
    </row>
    <row r="37" spans="1:27" x14ac:dyDescent="0.25">
      <c r="A37" s="389"/>
      <c r="B37" s="389"/>
      <c r="C37" s="389"/>
      <c r="D37" s="389"/>
      <c r="E37" s="389"/>
      <c r="F37" s="389"/>
      <c r="G37" s="389"/>
      <c r="H37" s="389"/>
      <c r="I37" s="390"/>
      <c r="J37" s="389"/>
      <c r="K37" s="389"/>
      <c r="L37" s="389"/>
      <c r="M37" s="389"/>
      <c r="N37" s="389"/>
      <c r="O37" s="389"/>
      <c r="P37" s="389"/>
      <c r="Q37" s="389"/>
      <c r="R37" s="390"/>
      <c r="S37" s="390"/>
      <c r="T37" s="389"/>
      <c r="U37" s="389"/>
      <c r="V37" s="389"/>
      <c r="W37" s="389"/>
      <c r="X37" s="389"/>
      <c r="Y37" s="389"/>
      <c r="Z37" s="389"/>
      <c r="AA37" s="389"/>
    </row>
    <row r="38" spans="1:27" x14ac:dyDescent="0.25">
      <c r="A38" s="391" t="s">
        <v>52</v>
      </c>
      <c r="B38" s="391" t="s">
        <v>53</v>
      </c>
      <c r="C38" s="389"/>
      <c r="D38" s="389"/>
      <c r="E38" s="389"/>
      <c r="F38" s="389"/>
      <c r="G38" s="389"/>
      <c r="H38" s="389"/>
      <c r="I38" s="390"/>
      <c r="J38" s="391" t="s">
        <v>52</v>
      </c>
      <c r="K38" s="391" t="s">
        <v>53</v>
      </c>
      <c r="L38" s="389"/>
      <c r="M38" s="389"/>
      <c r="N38" s="389"/>
      <c r="O38" s="389"/>
      <c r="P38" s="389"/>
      <c r="Q38" s="389"/>
      <c r="R38" s="390"/>
      <c r="S38" s="390"/>
      <c r="T38" s="391" t="s">
        <v>52</v>
      </c>
      <c r="U38" s="391" t="s">
        <v>53</v>
      </c>
      <c r="V38" s="389"/>
      <c r="W38" s="389"/>
      <c r="X38" s="389"/>
      <c r="Y38" s="389"/>
      <c r="Z38" s="389"/>
      <c r="AA38" s="389"/>
    </row>
    <row r="39" spans="1:27" x14ac:dyDescent="0.25">
      <c r="A39" s="389"/>
      <c r="B39" s="389"/>
      <c r="C39" s="389"/>
      <c r="D39" s="389"/>
      <c r="E39" s="389"/>
      <c r="F39" s="389"/>
      <c r="G39" s="389"/>
      <c r="H39" s="389"/>
      <c r="I39" s="390"/>
      <c r="J39" s="389"/>
      <c r="K39" s="389"/>
      <c r="L39" s="389"/>
      <c r="M39" s="389"/>
      <c r="N39" s="389"/>
      <c r="O39" s="389"/>
      <c r="P39" s="389"/>
      <c r="Q39" s="389"/>
      <c r="R39" s="390"/>
      <c r="S39" s="390"/>
      <c r="T39" s="389"/>
      <c r="U39" s="389"/>
      <c r="V39" s="389"/>
      <c r="W39" s="389"/>
      <c r="X39" s="389"/>
      <c r="Y39" s="389"/>
      <c r="Z39" s="389"/>
      <c r="AA39" s="389"/>
    </row>
    <row r="40" spans="1:27" x14ac:dyDescent="0.25">
      <c r="A40" s="389"/>
      <c r="B40" s="391" t="s">
        <v>54</v>
      </c>
      <c r="C40" s="389"/>
      <c r="D40" s="389"/>
      <c r="E40" s="389"/>
      <c r="F40" s="389"/>
      <c r="G40" s="389"/>
      <c r="H40" s="396">
        <f>2112+2122</f>
        <v>4234</v>
      </c>
      <c r="I40" s="390"/>
      <c r="J40" s="389"/>
      <c r="K40" s="391" t="s">
        <v>54</v>
      </c>
      <c r="L40" s="389"/>
      <c r="M40" s="389"/>
      <c r="N40" s="389"/>
      <c r="O40" s="389"/>
      <c r="P40" s="389"/>
      <c r="Q40" s="396">
        <f>[1]Debt!J8+([1]Debt!J20*0.12)</f>
        <v>8499.32</v>
      </c>
      <c r="R40" s="390"/>
      <c r="S40" s="390"/>
      <c r="T40" s="389"/>
      <c r="U40" s="391" t="s">
        <v>54</v>
      </c>
      <c r="V40" s="389"/>
      <c r="W40" s="389"/>
      <c r="X40" s="389"/>
      <c r="Y40" s="389"/>
      <c r="Z40" s="389"/>
      <c r="AA40" s="396"/>
    </row>
    <row r="41" spans="1:27" x14ac:dyDescent="0.25">
      <c r="A41" s="389"/>
      <c r="B41" s="391" t="s">
        <v>55</v>
      </c>
      <c r="C41" s="389"/>
      <c r="D41" s="389"/>
      <c r="E41" s="389"/>
      <c r="F41" s="389"/>
      <c r="G41" s="389"/>
      <c r="H41" s="396">
        <v>1800</v>
      </c>
      <c r="I41" s="390"/>
      <c r="J41" s="389"/>
      <c r="K41" s="391" t="s">
        <v>55</v>
      </c>
      <c r="L41" s="389"/>
      <c r="M41" s="389"/>
      <c r="N41" s="389"/>
      <c r="O41" s="389"/>
      <c r="P41" s="389"/>
      <c r="Q41" s="396">
        <f>[1]Debt!I8+([1]Debt!I20*0.12)</f>
        <v>5462.2</v>
      </c>
      <c r="R41" s="390"/>
      <c r="S41" s="390"/>
      <c r="T41" s="389"/>
      <c r="U41" s="391" t="s">
        <v>55</v>
      </c>
      <c r="V41" s="389"/>
      <c r="W41" s="389"/>
      <c r="X41" s="389"/>
      <c r="Y41" s="389"/>
      <c r="Z41" s="389"/>
      <c r="AA41" s="396"/>
    </row>
    <row r="42" spans="1:27" x14ac:dyDescent="0.25">
      <c r="A42" s="389"/>
      <c r="B42" s="391" t="s">
        <v>57</v>
      </c>
      <c r="C42" s="389"/>
      <c r="D42" s="389"/>
      <c r="E42" s="389"/>
      <c r="F42" s="389"/>
      <c r="G42" s="389"/>
      <c r="H42" s="396">
        <f>'[3]2017-2018'!$M$36*0.33</f>
        <v>37265.659200000002</v>
      </c>
      <c r="I42" s="390"/>
      <c r="J42" s="389"/>
      <c r="K42" s="391" t="s">
        <v>57</v>
      </c>
      <c r="L42" s="389"/>
      <c r="M42" s="389"/>
      <c r="N42" s="389"/>
      <c r="O42" s="389"/>
      <c r="P42" s="389"/>
      <c r="Q42" s="396">
        <f>([1]Debt!J16*0.33)+[1]Debt!J22</f>
        <v>44803.65</v>
      </c>
      <c r="R42" s="390"/>
      <c r="S42" s="390"/>
      <c r="T42" s="389"/>
      <c r="U42" s="391" t="s">
        <v>57</v>
      </c>
      <c r="V42" s="389"/>
      <c r="W42" s="389"/>
      <c r="X42" s="389"/>
      <c r="Y42" s="389"/>
      <c r="Z42" s="389"/>
      <c r="AA42" s="396"/>
    </row>
    <row r="43" spans="1:27" x14ac:dyDescent="0.25">
      <c r="A43" s="389"/>
      <c r="B43" s="391" t="s">
        <v>58</v>
      </c>
      <c r="C43" s="389"/>
      <c r="D43" s="389"/>
      <c r="E43" s="389"/>
      <c r="F43" s="389"/>
      <c r="G43" s="389"/>
      <c r="H43" s="396">
        <f>'[3]2017-2018'!$M$35*0.33</f>
        <v>64350</v>
      </c>
      <c r="I43" s="390"/>
      <c r="J43" s="389"/>
      <c r="K43" s="391" t="s">
        <v>58</v>
      </c>
      <c r="L43" s="389"/>
      <c r="M43" s="389"/>
      <c r="N43" s="389"/>
      <c r="O43" s="389"/>
      <c r="P43" s="389"/>
      <c r="Q43" s="396">
        <f>([1]Debt!I16*0.33)+[1]Debt!I22</f>
        <v>169349.78</v>
      </c>
      <c r="R43" s="390"/>
      <c r="S43" s="390"/>
      <c r="T43" s="389"/>
      <c r="U43" s="391" t="s">
        <v>58</v>
      </c>
      <c r="V43" s="389"/>
      <c r="W43" s="389"/>
      <c r="X43" s="389"/>
      <c r="Y43" s="389"/>
      <c r="Z43" s="389"/>
      <c r="AA43" s="396"/>
    </row>
    <row r="44" spans="1:27" x14ac:dyDescent="0.25">
      <c r="A44" s="389"/>
      <c r="B44" s="391"/>
      <c r="C44" s="389"/>
      <c r="D44" s="389"/>
      <c r="E44" s="389"/>
      <c r="F44" s="389"/>
      <c r="G44" s="389"/>
      <c r="H44" s="396"/>
      <c r="I44" s="390"/>
      <c r="J44" s="389"/>
      <c r="K44" s="391"/>
      <c r="L44" s="389"/>
      <c r="M44" s="389"/>
      <c r="N44" s="389"/>
      <c r="O44" s="389"/>
      <c r="P44" s="389"/>
      <c r="Q44" s="396"/>
      <c r="R44" s="390"/>
      <c r="S44" s="390"/>
      <c r="T44" s="389"/>
      <c r="U44" s="391"/>
      <c r="V44" s="389"/>
      <c r="W44" s="389"/>
      <c r="X44" s="389"/>
      <c r="Y44" s="389"/>
      <c r="Z44" s="389"/>
      <c r="AA44" s="396"/>
    </row>
    <row r="45" spans="1:27" x14ac:dyDescent="0.25">
      <c r="A45" s="389"/>
      <c r="B45" s="391"/>
      <c r="C45" s="389"/>
      <c r="D45" s="389"/>
      <c r="E45" s="389"/>
      <c r="F45" s="389"/>
      <c r="G45" s="389"/>
      <c r="H45" s="396"/>
      <c r="I45" s="390"/>
      <c r="J45" s="389"/>
      <c r="K45" s="391"/>
      <c r="L45" s="389"/>
      <c r="M45" s="389"/>
      <c r="N45" s="389"/>
      <c r="O45" s="389"/>
      <c r="P45" s="389"/>
      <c r="Q45" s="396"/>
      <c r="R45" s="390"/>
      <c r="S45" s="390"/>
      <c r="T45" s="389"/>
      <c r="U45" s="391"/>
      <c r="V45" s="389"/>
      <c r="W45" s="389"/>
      <c r="X45" s="389"/>
      <c r="Y45" s="389"/>
      <c r="Z45" s="389"/>
      <c r="AA45" s="396"/>
    </row>
    <row r="46" spans="1:27" x14ac:dyDescent="0.25">
      <c r="A46" s="389"/>
      <c r="B46" s="389"/>
      <c r="C46" s="389"/>
      <c r="D46" s="389"/>
      <c r="E46" s="389"/>
      <c r="F46" s="389"/>
      <c r="G46" s="389"/>
      <c r="H46" s="397"/>
      <c r="I46" s="390"/>
      <c r="J46" s="389"/>
      <c r="K46" s="389"/>
      <c r="L46" s="389"/>
      <c r="M46" s="389"/>
      <c r="N46" s="389"/>
      <c r="O46" s="389"/>
      <c r="P46" s="389"/>
      <c r="Q46" s="397"/>
      <c r="R46" s="390"/>
      <c r="S46" s="390"/>
      <c r="T46" s="389"/>
      <c r="U46" s="389"/>
      <c r="V46" s="389"/>
      <c r="W46" s="389"/>
      <c r="X46" s="389"/>
      <c r="Y46" s="389"/>
      <c r="Z46" s="389"/>
      <c r="AA46" s="397"/>
    </row>
    <row r="47" spans="1:27" x14ac:dyDescent="0.25">
      <c r="A47" s="389"/>
      <c r="B47" s="391" t="s">
        <v>59</v>
      </c>
      <c r="C47" s="389"/>
      <c r="D47" s="389"/>
      <c r="E47" s="389"/>
      <c r="F47" s="389"/>
      <c r="G47" s="389"/>
      <c r="H47" s="396">
        <f>SUM(H40:H45)</f>
        <v>107649.65919999999</v>
      </c>
      <c r="I47" s="390"/>
      <c r="J47" s="389"/>
      <c r="K47" s="391" t="s">
        <v>59</v>
      </c>
      <c r="L47" s="389"/>
      <c r="M47" s="389"/>
      <c r="N47" s="389"/>
      <c r="O47" s="389"/>
      <c r="P47" s="389"/>
      <c r="Q47" s="396">
        <f>SUM(Q40:Q45)</f>
        <v>228114.95</v>
      </c>
      <c r="R47" s="390"/>
      <c r="S47" s="390"/>
      <c r="T47" s="389"/>
      <c r="U47" s="391" t="s">
        <v>59</v>
      </c>
      <c r="V47" s="389"/>
      <c r="W47" s="389"/>
      <c r="X47" s="389"/>
      <c r="Y47" s="389"/>
      <c r="Z47" s="389"/>
      <c r="AA47" s="396">
        <f>SUM(AA40:AA45)</f>
        <v>0</v>
      </c>
    </row>
    <row r="48" spans="1:27" x14ac:dyDescent="0.25">
      <c r="A48" s="389"/>
      <c r="B48" s="389"/>
      <c r="C48" s="389"/>
      <c r="D48" s="389"/>
      <c r="E48" s="389"/>
      <c r="F48" s="389"/>
      <c r="G48" s="389"/>
      <c r="H48" s="397"/>
      <c r="I48" s="390"/>
      <c r="J48" s="389"/>
      <c r="K48" s="389"/>
      <c r="L48" s="389"/>
      <c r="M48" s="389"/>
      <c r="N48" s="389"/>
      <c r="O48" s="389"/>
      <c r="P48" s="389"/>
      <c r="Q48" s="397"/>
      <c r="R48" s="390"/>
      <c r="S48" s="390"/>
      <c r="T48" s="389"/>
      <c r="U48" s="389"/>
      <c r="V48" s="389"/>
      <c r="W48" s="389"/>
      <c r="X48" s="389"/>
      <c r="Y48" s="389"/>
      <c r="Z48" s="389"/>
      <c r="AA48" s="397"/>
    </row>
    <row r="49" spans="1:27" x14ac:dyDescent="0.25">
      <c r="A49" s="391" t="s">
        <v>60</v>
      </c>
      <c r="B49" s="391" t="s">
        <v>61</v>
      </c>
      <c r="C49" s="389"/>
      <c r="D49" s="389"/>
      <c r="E49" s="389"/>
      <c r="F49" s="389"/>
      <c r="G49" s="389"/>
      <c r="H49" s="396">
        <f>H36-H47</f>
        <v>-136743.65919999999</v>
      </c>
      <c r="I49" s="390"/>
      <c r="J49" s="391" t="s">
        <v>60</v>
      </c>
      <c r="K49" s="391" t="s">
        <v>61</v>
      </c>
      <c r="L49" s="389"/>
      <c r="M49" s="389"/>
      <c r="N49" s="389"/>
      <c r="O49" s="389"/>
      <c r="P49" s="389"/>
      <c r="Q49" s="396">
        <f>Q36-Q47</f>
        <v>4660.143333333137</v>
      </c>
      <c r="R49" s="390"/>
      <c r="S49" s="390"/>
      <c r="T49" s="391" t="s">
        <v>60</v>
      </c>
      <c r="U49" s="391" t="s">
        <v>61</v>
      </c>
      <c r="V49" s="389"/>
      <c r="W49" s="389"/>
      <c r="X49" s="389"/>
      <c r="Y49" s="389"/>
      <c r="Z49" s="389"/>
      <c r="AA49" s="396">
        <f>AA36-AA47</f>
        <v>0</v>
      </c>
    </row>
    <row r="50" spans="1:27" x14ac:dyDescent="0.25">
      <c r="A50" s="390"/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0"/>
    </row>
    <row r="51" spans="1:27" x14ac:dyDescent="0.25">
      <c r="A51" s="390"/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</row>
    <row r="52" spans="1:27" x14ac:dyDescent="0.25">
      <c r="A52" s="390"/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workbookViewId="0">
      <selection activeCell="D4" sqref="D4"/>
    </sheetView>
  </sheetViews>
  <sheetFormatPr defaultRowHeight="15" x14ac:dyDescent="0.25"/>
  <sheetData>
    <row r="1" spans="1:13" x14ac:dyDescent="0.25">
      <c r="A1" s="223"/>
      <c r="B1" s="223"/>
      <c r="C1" s="223"/>
      <c r="D1" s="317" t="s">
        <v>273</v>
      </c>
      <c r="E1" t="s">
        <v>359</v>
      </c>
      <c r="F1" s="223"/>
      <c r="G1" s="223"/>
      <c r="H1" s="223"/>
      <c r="I1" s="223"/>
      <c r="J1" s="223"/>
      <c r="K1" s="223"/>
      <c r="L1" s="223"/>
      <c r="M1" s="223"/>
    </row>
    <row r="2" spans="1:13" x14ac:dyDescent="0.25">
      <c r="A2" s="48" t="s">
        <v>274</v>
      </c>
      <c r="B2" s="149"/>
      <c r="C2" s="149"/>
      <c r="D2" s="253"/>
      <c r="E2" s="318"/>
      <c r="F2" s="223"/>
      <c r="G2" s="223"/>
      <c r="H2" s="223"/>
      <c r="I2" s="48" t="s">
        <v>290</v>
      </c>
      <c r="J2" s="223"/>
      <c r="K2" s="223"/>
      <c r="L2" s="223"/>
      <c r="M2" s="223"/>
    </row>
    <row r="3" spans="1:13" x14ac:dyDescent="0.25">
      <c r="A3" s="192" t="s">
        <v>279</v>
      </c>
      <c r="B3" s="149"/>
      <c r="C3" s="149"/>
      <c r="D3" s="253"/>
      <c r="E3" s="318"/>
      <c r="F3" s="223"/>
      <c r="G3" s="223"/>
      <c r="H3" s="223"/>
      <c r="I3" s="223"/>
      <c r="J3" s="223"/>
      <c r="K3" s="223"/>
      <c r="L3" s="223"/>
      <c r="M3" s="223"/>
    </row>
    <row r="4" spans="1:13" x14ac:dyDescent="0.25">
      <c r="A4" s="190" t="s">
        <v>357</v>
      </c>
      <c r="B4" s="149"/>
      <c r="C4" s="149"/>
      <c r="D4" s="253">
        <v>19.899999999999999</v>
      </c>
      <c r="E4" s="318"/>
      <c r="F4" s="223"/>
      <c r="G4" s="223"/>
      <c r="H4" s="223"/>
      <c r="I4" s="223" t="s">
        <v>286</v>
      </c>
      <c r="J4" s="223"/>
      <c r="K4" s="223">
        <v>7</v>
      </c>
      <c r="L4" s="223" t="s">
        <v>289</v>
      </c>
      <c r="M4" s="223"/>
    </row>
    <row r="5" spans="1:13" x14ac:dyDescent="0.25">
      <c r="A5" s="190" t="s">
        <v>358</v>
      </c>
      <c r="B5" s="149"/>
      <c r="C5" s="149"/>
      <c r="D5" s="253">
        <v>7</v>
      </c>
      <c r="E5" s="318"/>
      <c r="F5" s="223"/>
      <c r="G5" s="223"/>
      <c r="H5" s="223"/>
      <c r="I5" s="223" t="s">
        <v>287</v>
      </c>
      <c r="J5" s="223"/>
      <c r="K5" s="223">
        <v>7.2</v>
      </c>
      <c r="L5" s="223" t="s">
        <v>288</v>
      </c>
      <c r="M5" s="223"/>
    </row>
    <row r="6" spans="1:13" x14ac:dyDescent="0.25">
      <c r="A6" s="190" t="s">
        <v>275</v>
      </c>
      <c r="B6" s="149"/>
      <c r="C6" s="149"/>
      <c r="D6" s="253">
        <v>6.25</v>
      </c>
      <c r="E6" s="318"/>
      <c r="F6" s="223"/>
      <c r="G6" s="223"/>
      <c r="H6" s="223"/>
      <c r="I6" s="223"/>
      <c r="J6" s="223"/>
      <c r="K6" s="223"/>
      <c r="L6" s="223"/>
      <c r="M6" s="223"/>
    </row>
    <row r="7" spans="1:13" x14ac:dyDescent="0.25">
      <c r="A7" s="190" t="s">
        <v>276</v>
      </c>
      <c r="B7" s="149"/>
      <c r="C7" s="151"/>
      <c r="D7" s="253">
        <v>5.2</v>
      </c>
      <c r="E7" s="318"/>
      <c r="F7" s="223"/>
      <c r="G7" s="223"/>
      <c r="H7" s="223"/>
      <c r="I7" s="223"/>
      <c r="J7" s="223"/>
      <c r="K7" s="223"/>
      <c r="L7" s="223"/>
      <c r="M7" s="223"/>
    </row>
    <row r="8" spans="1:13" x14ac:dyDescent="0.25">
      <c r="A8" s="319" t="s">
        <v>277</v>
      </c>
      <c r="B8" s="223"/>
      <c r="C8" s="223"/>
      <c r="D8" s="253">
        <v>4.45</v>
      </c>
      <c r="E8" s="223"/>
      <c r="F8" s="223"/>
      <c r="G8" s="223"/>
      <c r="H8" s="223"/>
      <c r="I8" s="223"/>
      <c r="J8" s="223"/>
      <c r="K8" s="223"/>
      <c r="L8" s="223"/>
      <c r="M8" s="223"/>
    </row>
    <row r="9" spans="1:13" x14ac:dyDescent="0.25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</row>
    <row r="10" spans="1:13" x14ac:dyDescent="0.25">
      <c r="A10" s="206" t="s">
        <v>278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</row>
    <row r="11" spans="1:13" x14ac:dyDescent="0.25">
      <c r="A11" s="190" t="s">
        <v>280</v>
      </c>
      <c r="B11" s="223"/>
      <c r="C11" s="223"/>
      <c r="D11" s="253">
        <f>D4+(4*D5)</f>
        <v>47.9</v>
      </c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3" x14ac:dyDescent="0.25">
      <c r="A12" s="190" t="s">
        <v>275</v>
      </c>
      <c r="B12" s="223"/>
      <c r="C12" s="223"/>
      <c r="D12" s="318">
        <f>D6</f>
        <v>6.25</v>
      </c>
      <c r="E12" s="223"/>
      <c r="F12" s="223"/>
      <c r="G12" s="223"/>
      <c r="H12" s="223"/>
      <c r="I12" s="223"/>
      <c r="J12" s="223"/>
      <c r="K12" s="223"/>
      <c r="L12" s="223"/>
      <c r="M12" s="223"/>
    </row>
    <row r="13" spans="1:13" x14ac:dyDescent="0.25">
      <c r="A13" s="190" t="s">
        <v>276</v>
      </c>
      <c r="B13" s="223"/>
      <c r="C13" s="223"/>
      <c r="D13" s="318">
        <f>D7</f>
        <v>5.2</v>
      </c>
      <c r="E13" s="223"/>
      <c r="F13" s="223"/>
      <c r="G13" s="223"/>
      <c r="H13" s="223"/>
      <c r="I13" s="223"/>
      <c r="J13" s="223"/>
      <c r="K13" s="223"/>
      <c r="L13" s="223"/>
      <c r="M13" s="223"/>
    </row>
    <row r="14" spans="1:13" x14ac:dyDescent="0.25">
      <c r="A14" s="319" t="s">
        <v>277</v>
      </c>
      <c r="B14" s="223"/>
      <c r="C14" s="223"/>
      <c r="D14" s="318">
        <f>D8</f>
        <v>4.45</v>
      </c>
      <c r="E14" s="223"/>
      <c r="F14" s="223"/>
      <c r="G14" s="223"/>
      <c r="H14" s="223"/>
      <c r="I14" s="223"/>
      <c r="J14" s="223"/>
      <c r="K14" s="223"/>
      <c r="L14" s="223"/>
      <c r="M14" s="223"/>
    </row>
    <row r="15" spans="1:13" x14ac:dyDescent="0.25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</row>
    <row r="16" spans="1:13" x14ac:dyDescent="0.25">
      <c r="A16" s="320" t="s">
        <v>281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</row>
    <row r="17" spans="1:13" x14ac:dyDescent="0.25">
      <c r="A17" s="190" t="s">
        <v>282</v>
      </c>
      <c r="B17" s="223"/>
      <c r="C17" s="223"/>
      <c r="D17" s="321">
        <f>D4+(4*D5)+(5*D6)</f>
        <v>79.150000000000006</v>
      </c>
      <c r="E17" s="223"/>
      <c r="F17" s="223"/>
      <c r="G17" s="223"/>
      <c r="H17" s="223"/>
      <c r="I17" s="223"/>
      <c r="J17" s="223"/>
      <c r="K17" s="223"/>
      <c r="L17" s="223"/>
      <c r="M17" s="223"/>
    </row>
    <row r="18" spans="1:13" x14ac:dyDescent="0.25">
      <c r="A18" s="190" t="s">
        <v>276</v>
      </c>
      <c r="B18" s="223"/>
      <c r="C18" s="223"/>
      <c r="D18" s="318">
        <f>D7</f>
        <v>5.2</v>
      </c>
      <c r="E18" s="223"/>
      <c r="F18" s="223"/>
      <c r="G18" s="223"/>
      <c r="H18" s="223"/>
      <c r="I18" s="223"/>
      <c r="J18" s="223"/>
      <c r="K18" s="223"/>
      <c r="L18" s="223"/>
      <c r="M18" s="223"/>
    </row>
    <row r="19" spans="1:13" x14ac:dyDescent="0.25">
      <c r="A19" s="319" t="s">
        <v>277</v>
      </c>
      <c r="B19" s="223"/>
      <c r="C19" s="223"/>
      <c r="D19" s="318">
        <f>D8</f>
        <v>4.45</v>
      </c>
      <c r="E19" s="223"/>
      <c r="F19" s="223"/>
      <c r="G19" s="223"/>
      <c r="H19" s="223"/>
      <c r="I19" s="223"/>
      <c r="J19" s="223"/>
      <c r="K19" s="223"/>
      <c r="L19" s="223"/>
      <c r="M19" s="223"/>
    </row>
    <row r="20" spans="1:13" x14ac:dyDescent="0.25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</row>
    <row r="21" spans="1:13" x14ac:dyDescent="0.25">
      <c r="A21" s="319" t="s">
        <v>283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</row>
    <row r="22" spans="1:13" x14ac:dyDescent="0.25">
      <c r="A22" s="190" t="s">
        <v>284</v>
      </c>
      <c r="B22" s="223"/>
      <c r="C22" s="223"/>
      <c r="D22" s="321">
        <f>D4+(4*D5)+(5*D6)+(6*D7)</f>
        <v>110.35000000000001</v>
      </c>
      <c r="E22" s="223"/>
      <c r="F22" s="223"/>
      <c r="G22" s="223"/>
      <c r="H22" s="223"/>
      <c r="I22" s="223"/>
      <c r="J22" s="223"/>
      <c r="K22" s="223"/>
      <c r="L22" s="223"/>
      <c r="M22" s="223"/>
    </row>
    <row r="23" spans="1:13" x14ac:dyDescent="0.25">
      <c r="A23" s="190" t="s">
        <v>285</v>
      </c>
      <c r="B23" s="223"/>
      <c r="C23" s="223"/>
      <c r="D23" s="318">
        <f>D7</f>
        <v>5.2</v>
      </c>
      <c r="E23" s="223"/>
      <c r="F23" s="223"/>
      <c r="G23" s="223"/>
      <c r="H23" s="223"/>
      <c r="I23" s="223"/>
      <c r="J23" s="223"/>
      <c r="K23" s="223"/>
      <c r="L23" s="223"/>
      <c r="M23" s="223"/>
    </row>
    <row r="24" spans="1:13" x14ac:dyDescent="0.25">
      <c r="A24" s="319" t="s">
        <v>277</v>
      </c>
      <c r="B24" s="223"/>
      <c r="C24" s="223"/>
      <c r="D24" s="318">
        <f>D8</f>
        <v>4.45</v>
      </c>
      <c r="E24" s="223"/>
      <c r="F24" s="223"/>
      <c r="G24" s="223"/>
      <c r="H24" s="223"/>
      <c r="I24" s="223"/>
      <c r="J24" s="223"/>
      <c r="K24" s="223"/>
      <c r="L24" s="223"/>
      <c r="M24" s="223"/>
    </row>
    <row r="25" spans="1:13" x14ac:dyDescent="0.25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</row>
  </sheetData>
  <pageMargins left="0.7" right="0.7" top="0.75" bottom="0.75" header="0.3" footer="0.3"/>
  <pageSetup orientation="portrait" horizontalDpi="0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Water Users</vt:lpstr>
      <vt:lpstr>W Usage</vt:lpstr>
      <vt:lpstr>WW Users</vt:lpstr>
      <vt:lpstr>WW Usage</vt:lpstr>
      <vt:lpstr> Forecast - W</vt:lpstr>
      <vt:lpstr>Forecast - WW</vt:lpstr>
      <vt:lpstr>W Budgets</vt:lpstr>
      <vt:lpstr>WW Budgets</vt:lpstr>
      <vt:lpstr>Rates</vt:lpstr>
      <vt:lpstr>Income - Summary</vt:lpstr>
      <vt:lpstr>Income - Water</vt:lpstr>
      <vt:lpstr>Income - Sewer</vt:lpstr>
      <vt:lpstr>Audit Compare</vt:lpstr>
      <vt:lpstr>Debt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L Nicholas</dc:creator>
  <cp:lastModifiedBy>HLN</cp:lastModifiedBy>
  <cp:lastPrinted>2020-09-17T18:48:31Z</cp:lastPrinted>
  <dcterms:created xsi:type="dcterms:W3CDTF">2010-05-20T14:31:34Z</dcterms:created>
  <dcterms:modified xsi:type="dcterms:W3CDTF">2020-09-17T20:54:57Z</dcterms:modified>
</cp:coreProperties>
</file>