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wrgroup.sharepoint.com/Rate Cases/Kentucky/BGUOC Rate Case 2020-00290/Financial Exhibit 21 - Original/Work Papers/Rate Base/"/>
    </mc:Choice>
  </mc:AlternateContent>
  <xr:revisionPtr revIDLastSave="968" documentId="114_{08E20804-322B-4284-9C7E-CF6E7E6CED3A}" xr6:coauthVersionLast="45" xr6:coauthVersionMax="45" xr10:uidLastSave="{750DD0C8-4035-4384-B77F-3E8664E81B0C}"/>
  <bookViews>
    <workbookView xWindow="-98" yWindow="-98" windowWidth="20715" windowHeight="13276" firstSheet="1" activeTab="4" xr2:uid="{BBC52077-4129-40DE-878E-9B76E25C0C88}"/>
  </bookViews>
  <sheets>
    <sheet name="Constants LinkIn" sheetId="12" r:id="rId1"/>
    <sheet name="Link Out" sheetId="24" r:id="rId2"/>
    <sheet name="BY Rate Base - Sewer B1" sheetId="8" r:id="rId3"/>
    <sheet name="FY Rate Base - Sewer B1" sheetId="1" r:id="rId4"/>
    <sheet name="UPIS - BY B2" sheetId="2" r:id="rId5"/>
    <sheet name="UPIS - FY B2" sheetId="3" r:id="rId6"/>
    <sheet name="AccDep - BY B3" sheetId="9" r:id="rId7"/>
    <sheet name="AccDep - FY B3" sheetId="11" r:id="rId8"/>
    <sheet name="Dep - BY B3.1" sheetId="13" r:id="rId9"/>
    <sheet name="Dep - FY B3.1" sheetId="14" r:id="rId10"/>
    <sheet name="CWIP - BY B4" sheetId="17" r:id="rId11"/>
    <sheet name="CWIP - FY B4" sheetId="18" r:id="rId12"/>
    <sheet name="WC - BY B5" sheetId="21" r:id="rId13"/>
    <sheet name="WC - FY B5" sheetId="23" r:id="rId14"/>
    <sheet name="CIAC - BY B6" sheetId="25" r:id="rId15"/>
    <sheet name="CIAC - FY B6" sheetId="26" r:id="rId16"/>
    <sheet name="Worksheets&gt;" sheetId="19" r:id="rId17"/>
    <sheet name="CIAC WP" sheetId="20" r:id="rId18"/>
    <sheet name="UPIS LinkIn" sheetId="7" r:id="rId19"/>
    <sheet name="UPIS Detail" sheetId="4" r:id="rId20"/>
    <sheet name="AccDep LinkIn" sheetId="5" r:id="rId21"/>
    <sheet name="Dep LinkIn" sheetId="6" r:id="rId22"/>
  </sheets>
  <externalReferences>
    <externalReference r:id="rId23"/>
    <externalReference r:id="rId24"/>
  </externalReferences>
  <definedNames>
    <definedName name="BY_end">'Constants LinkIn'!$B$5</definedName>
    <definedName name="BY_Start">'Constants LinkIn'!$B$4</definedName>
    <definedName name="FY_End">'Constants LinkIn'!$B$7</definedName>
    <definedName name="FY_Start">'Constants LinkIn'!$B$6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6">'AccDep - BY B3'!$A$1:$I$32</definedName>
    <definedName name="_xlnm.Print_Area" localSheetId="7">'AccDep - FY B3'!$A$1:$K$32</definedName>
    <definedName name="_xlnm.Print_Area" localSheetId="2">'BY Rate Base - Sewer B1'!$A$1:$I$30</definedName>
    <definedName name="_xlnm.Print_Area" localSheetId="14">'CIAC - BY B6'!$A$1:$I$16</definedName>
    <definedName name="_xlnm.Print_Area" localSheetId="15">'CIAC - FY B6'!$A$1:$I$16</definedName>
    <definedName name="_xlnm.Print_Area" localSheetId="10">'CWIP - BY B4'!$A$1:$N$28</definedName>
    <definedName name="_xlnm.Print_Area" localSheetId="11">'CWIP - FY B4'!$A$1:$N$29</definedName>
    <definedName name="_xlnm.Print_Area" localSheetId="8">'Dep - BY B3.1'!$A$1:$N$30</definedName>
    <definedName name="_xlnm.Print_Area" localSheetId="9">'Dep - FY B3.1'!$A$1:$N$30</definedName>
    <definedName name="_xlnm.Print_Area" localSheetId="3">'FY Rate Base - Sewer B1'!$A$1:$K$30</definedName>
    <definedName name="_xlnm.Print_Area" localSheetId="4">'UPIS - BY B2'!$A$1:$M$32</definedName>
    <definedName name="_xlnm.Print_Area" localSheetId="5">'UPIS - FY B2'!$A$1:$O$32</definedName>
    <definedName name="_xlnm.Print_Area" localSheetId="12">'WC - BY B5'!$A$1:$J$17</definedName>
    <definedName name="_xlnm.Print_Area" localSheetId="13">'WC - FY B5'!$A$1:$J$17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8" i="20" l="1"/>
  <c r="O38" i="20"/>
  <c r="P34" i="20"/>
  <c r="C17" i="6" l="1"/>
  <c r="C5" i="6"/>
  <c r="C6" i="6"/>
  <c r="C7" i="6"/>
  <c r="C8" i="6"/>
  <c r="C9" i="6"/>
  <c r="C10" i="6"/>
  <c r="C11" i="6"/>
  <c r="C12" i="6"/>
  <c r="C13" i="6"/>
  <c r="C14" i="6"/>
  <c r="C15" i="6"/>
  <c r="C16" i="6"/>
  <c r="C7" i="24"/>
  <c r="B7" i="24"/>
  <c r="H26" i="8" l="1"/>
  <c r="H14" i="25"/>
  <c r="R11" i="20" l="1"/>
  <c r="R10" i="20"/>
  <c r="R9" i="20"/>
  <c r="R8" i="20"/>
  <c r="R37" i="20"/>
  <c r="R36" i="20"/>
  <c r="R35" i="20"/>
  <c r="R21" i="20"/>
  <c r="R22" i="20"/>
  <c r="R23" i="20"/>
  <c r="R24" i="20"/>
  <c r="R25" i="20"/>
  <c r="O36" i="20"/>
  <c r="O37" i="20"/>
  <c r="O23" i="20"/>
  <c r="O24" i="20"/>
  <c r="G38" i="20"/>
  <c r="J38" i="20"/>
  <c r="Q35" i="20"/>
  <c r="L35" i="20"/>
  <c r="G36" i="20"/>
  <c r="J36" i="20" s="1"/>
  <c r="G37" i="20"/>
  <c r="J37" i="20"/>
  <c r="P24" i="20"/>
  <c r="Q24" i="20" s="1"/>
  <c r="L37" i="20" s="1"/>
  <c r="Q37" i="20" s="1"/>
  <c r="J24" i="20"/>
  <c r="J10" i="20"/>
  <c r="G23" i="20" s="1"/>
  <c r="J23" i="20" s="1"/>
  <c r="N38" i="20"/>
  <c r="I38" i="20"/>
  <c r="H38" i="20"/>
  <c r="P36" i="20"/>
  <c r="P37" i="20"/>
  <c r="P23" i="20"/>
  <c r="N25" i="20"/>
  <c r="I25" i="20"/>
  <c r="H25" i="20"/>
  <c r="H7" i="26"/>
  <c r="A2" i="26"/>
  <c r="A1" i="26"/>
  <c r="H7" i="25"/>
  <c r="A2" i="25"/>
  <c r="A1" i="25"/>
  <c r="J29" i="2"/>
  <c r="F29" i="2"/>
  <c r="F31" i="2"/>
  <c r="F27" i="2"/>
  <c r="I27" i="13"/>
  <c r="D17" i="5"/>
  <c r="C17" i="7"/>
  <c r="H17" i="4"/>
  <c r="D17" i="7" s="1"/>
  <c r="L17" i="4" l="1"/>
  <c r="E17" i="7" s="1"/>
  <c r="E17" i="5"/>
  <c r="P17" i="4" l="1"/>
  <c r="T17" i="4" s="1"/>
  <c r="F17" i="7"/>
  <c r="F17" i="5"/>
  <c r="X17" i="4" l="1"/>
  <c r="G17" i="7"/>
  <c r="G17" i="5"/>
  <c r="AB17" i="4" l="1"/>
  <c r="H17" i="7"/>
  <c r="H17" i="5"/>
  <c r="AF17" i="4" l="1"/>
  <c r="I17" i="7"/>
  <c r="I17" i="5"/>
  <c r="AJ17" i="4" l="1"/>
  <c r="J17" i="7"/>
  <c r="G16" i="23"/>
  <c r="I7" i="23"/>
  <c r="A2" i="23"/>
  <c r="A1" i="23"/>
  <c r="I7" i="21"/>
  <c r="A2" i="21"/>
  <c r="A1" i="21"/>
  <c r="AN17" i="4" l="1"/>
  <c r="K17" i="7"/>
  <c r="AR17" i="4" l="1"/>
  <c r="L17" i="7"/>
  <c r="AV17" i="4" l="1"/>
  <c r="M17" i="7"/>
  <c r="AZ17" i="4" l="1"/>
  <c r="N17" i="7"/>
  <c r="BD17" i="4" l="1"/>
  <c r="O17" i="7"/>
  <c r="N28" i="18"/>
  <c r="N14" i="18"/>
  <c r="N15" i="18"/>
  <c r="N16" i="18"/>
  <c r="N13" i="18"/>
  <c r="N7" i="18"/>
  <c r="N7" i="17"/>
  <c r="M7" i="14"/>
  <c r="M7" i="13"/>
  <c r="J7" i="11"/>
  <c r="H7" i="9"/>
  <c r="L7" i="2"/>
  <c r="N7" i="3"/>
  <c r="J8" i="1"/>
  <c r="BH17" i="4" l="1"/>
  <c r="P17" i="7"/>
  <c r="ER2" i="4"/>
  <c r="EK2" i="4"/>
  <c r="EL2" i="4"/>
  <c r="EM2" i="4"/>
  <c r="EN2" i="4"/>
  <c r="EO2" i="4" s="1"/>
  <c r="AM2" i="5"/>
  <c r="AF2" i="5"/>
  <c r="AG2" i="5"/>
  <c r="AH2" i="5"/>
  <c r="AI2" i="5"/>
  <c r="AJ2" i="5" s="1"/>
  <c r="AK2" i="5" s="1"/>
  <c r="AL2" i="5" s="1"/>
  <c r="DM2" i="4"/>
  <c r="DN2" i="4"/>
  <c r="DO2" i="4"/>
  <c r="DP2" i="4"/>
  <c r="DQ2" i="4" s="1"/>
  <c r="AL2" i="7"/>
  <c r="AM2" i="7" s="1"/>
  <c r="AF2" i="7"/>
  <c r="AG2" i="7"/>
  <c r="AH2" i="7" s="1"/>
  <c r="AN2" i="6"/>
  <c r="AG2" i="6"/>
  <c r="AH2" i="6" s="1"/>
  <c r="AI2" i="6" s="1"/>
  <c r="AJ2" i="6" s="1"/>
  <c r="AK2" i="6" s="1"/>
  <c r="AL2" i="6" s="1"/>
  <c r="AM2" i="6" s="1"/>
  <c r="BL17" i="4" l="1"/>
  <c r="Q17" i="7"/>
  <c r="EQ2" i="4"/>
  <c r="EP2" i="4"/>
  <c r="DT2" i="4"/>
  <c r="DS2" i="4"/>
  <c r="DR2" i="4"/>
  <c r="AI2" i="7"/>
  <c r="H8" i="8"/>
  <c r="BP17" i="4" l="1"/>
  <c r="R17" i="7"/>
  <c r="DU2" i="4"/>
  <c r="DV2" i="4"/>
  <c r="DW2" i="4"/>
  <c r="AJ2" i="7"/>
  <c r="BT17" i="4" l="1"/>
  <c r="S17" i="7"/>
  <c r="DX2" i="4"/>
  <c r="AK2" i="7"/>
  <c r="J8" i="20"/>
  <c r="J9" i="20"/>
  <c r="P10" i="20"/>
  <c r="Q10" i="20" s="1"/>
  <c r="L23" i="20" s="1"/>
  <c r="G11" i="20"/>
  <c r="H11" i="20"/>
  <c r="I11" i="20"/>
  <c r="L11" i="20"/>
  <c r="N11" i="20"/>
  <c r="BX17" i="4" l="1"/>
  <c r="T17" i="7"/>
  <c r="Q23" i="20"/>
  <c r="L36" i="20" s="1"/>
  <c r="Q36" i="20" s="1"/>
  <c r="O9" i="20"/>
  <c r="P9" i="20" s="1"/>
  <c r="Q9" i="20" s="1"/>
  <c r="L22" i="20" s="1"/>
  <c r="G22" i="20"/>
  <c r="J22" i="20" s="1"/>
  <c r="O8" i="20"/>
  <c r="G21" i="20"/>
  <c r="J11" i="20"/>
  <c r="DY2" i="4"/>
  <c r="DZ2" i="4"/>
  <c r="EA2" i="4"/>
  <c r="P8" i="20"/>
  <c r="Q8" i="20" s="1"/>
  <c r="L21" i="20" s="1"/>
  <c r="I2" i="7"/>
  <c r="CB17" i="4" l="1"/>
  <c r="U17" i="7"/>
  <c r="G35" i="20"/>
  <c r="J35" i="20" s="1"/>
  <c r="O35" i="20" s="1"/>
  <c r="P35" i="20" s="1"/>
  <c r="O22" i="20"/>
  <c r="P22" i="20" s="1"/>
  <c r="Q22" i="20" s="1"/>
  <c r="G25" i="20"/>
  <c r="J21" i="20"/>
  <c r="O11" i="20"/>
  <c r="L25" i="20"/>
  <c r="Q11" i="20"/>
  <c r="EB2" i="4"/>
  <c r="P11" i="20"/>
  <c r="L28" i="18"/>
  <c r="K28" i="18"/>
  <c r="CF17" i="4" l="1"/>
  <c r="V17" i="7"/>
  <c r="G34" i="20"/>
  <c r="O21" i="20"/>
  <c r="J25" i="20"/>
  <c r="EC2" i="4"/>
  <c r="ED2" i="4"/>
  <c r="EE2" i="4"/>
  <c r="A2" i="18"/>
  <c r="A1" i="18"/>
  <c r="L27" i="17"/>
  <c r="K27" i="17"/>
  <c r="A2" i="17"/>
  <c r="A1" i="17"/>
  <c r="CJ17" i="4" l="1"/>
  <c r="W17" i="7"/>
  <c r="P21" i="20"/>
  <c r="O25" i="20"/>
  <c r="J34" i="20"/>
  <c r="EF2" i="4"/>
  <c r="CN17" i="4" l="1"/>
  <c r="X17" i="7"/>
  <c r="O34" i="20"/>
  <c r="P25" i="20"/>
  <c r="Q21" i="20"/>
  <c r="EG2" i="4"/>
  <c r="EH2" i="4"/>
  <c r="EI2" i="4"/>
  <c r="I25" i="14"/>
  <c r="I24" i="14"/>
  <c r="I23" i="14"/>
  <c r="I22" i="14"/>
  <c r="I21" i="14"/>
  <c r="I19" i="14"/>
  <c r="I18" i="14"/>
  <c r="I17" i="14"/>
  <c r="I16" i="14"/>
  <c r="I27" i="14" s="1"/>
  <c r="A2" i="14"/>
  <c r="A1" i="14"/>
  <c r="A2" i="13"/>
  <c r="A1" i="13"/>
  <c r="B5" i="12"/>
  <c r="B6" i="12"/>
  <c r="B7" i="12"/>
  <c r="A2" i="12"/>
  <c r="B2" i="12"/>
  <c r="A1" i="2" s="1"/>
  <c r="A3" i="12"/>
  <c r="B3" i="12"/>
  <c r="A2" i="3" s="1"/>
  <c r="A4" i="12"/>
  <c r="B4" i="12"/>
  <c r="H29" i="2" s="1"/>
  <c r="L29" i="2" s="1"/>
  <c r="A5" i="12"/>
  <c r="A6" i="12"/>
  <c r="A7" i="12"/>
  <c r="A8" i="12"/>
  <c r="B8" i="12"/>
  <c r="A9" i="12"/>
  <c r="B9" i="12"/>
  <c r="A10" i="12"/>
  <c r="B10" i="12"/>
  <c r="A11" i="12"/>
  <c r="B11" i="12"/>
  <c r="A12" i="12"/>
  <c r="B12" i="12"/>
  <c r="A13" i="12"/>
  <c r="B13" i="12"/>
  <c r="A14" i="12"/>
  <c r="B14" i="12"/>
  <c r="A15" i="12"/>
  <c r="B15" i="12"/>
  <c r="A16" i="12"/>
  <c r="B16" i="12"/>
  <c r="B1" i="12"/>
  <c r="A1" i="12"/>
  <c r="A2" i="11"/>
  <c r="A1" i="11"/>
  <c r="A2" i="9"/>
  <c r="A1" i="9"/>
  <c r="CR17" i="4" l="1"/>
  <c r="Y17" i="7"/>
  <c r="F29" i="9"/>
  <c r="F27" i="13"/>
  <c r="J27" i="13" s="1"/>
  <c r="I13" i="17"/>
  <c r="A4" i="23"/>
  <c r="A4" i="26"/>
  <c r="A4" i="25"/>
  <c r="F29" i="3"/>
  <c r="H29" i="3"/>
  <c r="J29" i="3"/>
  <c r="L34" i="20"/>
  <c r="Q25" i="20"/>
  <c r="A4" i="8"/>
  <c r="A4" i="21"/>
  <c r="A4" i="2"/>
  <c r="A4" i="13"/>
  <c r="A4" i="9"/>
  <c r="A4" i="18"/>
  <c r="A4" i="3"/>
  <c r="A4" i="14"/>
  <c r="A4" i="1"/>
  <c r="A4" i="11"/>
  <c r="EJ2" i="4"/>
  <c r="A1" i="3"/>
  <c r="A4" i="17"/>
  <c r="I16" i="17"/>
  <c r="N16" i="17" s="1"/>
  <c r="I20" i="17"/>
  <c r="N20" i="17" s="1"/>
  <c r="I17" i="17"/>
  <c r="N17" i="17" s="1"/>
  <c r="I21" i="17"/>
  <c r="N21" i="17" s="1"/>
  <c r="I22" i="17"/>
  <c r="N22" i="17" s="1"/>
  <c r="I14" i="17"/>
  <c r="N14" i="17" s="1"/>
  <c r="I18" i="17"/>
  <c r="N18" i="17" s="1"/>
  <c r="N13" i="17"/>
  <c r="I15" i="17"/>
  <c r="N15" i="17" s="1"/>
  <c r="I19" i="17"/>
  <c r="N19" i="17" s="1"/>
  <c r="A1" i="8"/>
  <c r="A2" i="8"/>
  <c r="A2" i="2"/>
  <c r="A1" i="1"/>
  <c r="A2" i="1"/>
  <c r="CV17" i="4" l="1"/>
  <c r="Z17" i="7"/>
  <c r="L29" i="3"/>
  <c r="Q34" i="20"/>
  <c r="L38" i="20"/>
  <c r="N27" i="17"/>
  <c r="H22" i="8" s="1"/>
  <c r="R34" i="20" l="1"/>
  <c r="F14" i="26" s="1"/>
  <c r="Q38" i="20"/>
  <c r="R38" i="20" s="1"/>
  <c r="CZ17" i="4"/>
  <c r="AA17" i="7"/>
  <c r="F29" i="11"/>
  <c r="F27" i="14"/>
  <c r="J27" i="14" s="1"/>
  <c r="D2" i="7"/>
  <c r="E2" i="7" s="1"/>
  <c r="F2" i="7" s="1"/>
  <c r="G2" i="7" s="1"/>
  <c r="H2" i="7" s="1"/>
  <c r="H26" i="1" l="1"/>
  <c r="H14" i="26"/>
  <c r="J26" i="1" s="1"/>
  <c r="DD17" i="4"/>
  <c r="AB17" i="7"/>
  <c r="J2" i="7"/>
  <c r="K2" i="7" s="1"/>
  <c r="L2" i="7" s="1"/>
  <c r="M2" i="7" s="1"/>
  <c r="N2" i="7" s="1"/>
  <c r="O2" i="7" s="1"/>
  <c r="P2" i="7" s="1"/>
  <c r="Q2" i="7" s="1"/>
  <c r="R2" i="7" s="1"/>
  <c r="S2" i="7" s="1"/>
  <c r="T2" i="7" s="1"/>
  <c r="U2" i="7" s="1"/>
  <c r="V2" i="7" s="1"/>
  <c r="W2" i="7" s="1"/>
  <c r="X2" i="7" s="1"/>
  <c r="Y2" i="7" s="1"/>
  <c r="Z2" i="7" s="1"/>
  <c r="AA2" i="7" s="1"/>
  <c r="AB2" i="7" s="1"/>
  <c r="AC2" i="7" s="1"/>
  <c r="AD2" i="7" s="1"/>
  <c r="AE2" i="7" s="1"/>
  <c r="DH17" i="4" l="1"/>
  <c r="AC17" i="7"/>
  <c r="D2" i="5"/>
  <c r="E2" i="5" s="1"/>
  <c r="F2" i="5" s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AB2" i="5" s="1"/>
  <c r="AC2" i="5" s="1"/>
  <c r="AD2" i="5" s="1"/>
  <c r="AE2" i="5" s="1"/>
  <c r="F2" i="6"/>
  <c r="DL17" i="4" l="1"/>
  <c r="AD17" i="7"/>
  <c r="N29" i="3"/>
  <c r="G2" i="6"/>
  <c r="H2" i="6" s="1"/>
  <c r="I2" i="6" s="1"/>
  <c r="J2" i="6" s="1"/>
  <c r="K2" i="6" s="1"/>
  <c r="L2" i="6" s="1"/>
  <c r="M2" i="6" s="1"/>
  <c r="N2" i="6" s="1"/>
  <c r="O2" i="6" s="1"/>
  <c r="P2" i="6" s="1"/>
  <c r="Q2" i="6" s="1"/>
  <c r="R2" i="6" s="1"/>
  <c r="S2" i="6" s="1"/>
  <c r="T2" i="6" s="1"/>
  <c r="U2" i="6" s="1"/>
  <c r="V2" i="6" s="1"/>
  <c r="W2" i="6" s="1"/>
  <c r="X2" i="6" s="1"/>
  <c r="Y2" i="6" s="1"/>
  <c r="Z2" i="6" s="1"/>
  <c r="AA2" i="6" s="1"/>
  <c r="AB2" i="6" s="1"/>
  <c r="AC2" i="6" s="1"/>
  <c r="AD2" i="6" s="1"/>
  <c r="AE2" i="6" s="1"/>
  <c r="AF2" i="6" s="1"/>
  <c r="DP17" i="4" l="1"/>
  <c r="AE17" i="7"/>
  <c r="F15" i="2"/>
  <c r="F16" i="2"/>
  <c r="F17" i="2"/>
  <c r="F18" i="2"/>
  <c r="F19" i="2"/>
  <c r="F20" i="2"/>
  <c r="F21" i="2"/>
  <c r="F22" i="2"/>
  <c r="F23" i="2"/>
  <c r="F24" i="2"/>
  <c r="F25" i="2"/>
  <c r="F14" i="2"/>
  <c r="DT17" i="4" l="1"/>
  <c r="AF17" i="7"/>
  <c r="G2" i="4"/>
  <c r="F2" i="4"/>
  <c r="E2" i="4"/>
  <c r="DX17" i="4" l="1"/>
  <c r="AG17" i="7"/>
  <c r="H2" i="4"/>
  <c r="K2" i="4" s="1"/>
  <c r="I2" i="4"/>
  <c r="L2" i="4" s="1"/>
  <c r="J2" i="4"/>
  <c r="EB17" i="4" l="1"/>
  <c r="AH17" i="7"/>
  <c r="M2" i="4"/>
  <c r="N2" i="4"/>
  <c r="O2" i="4"/>
  <c r="EF17" i="4" l="1"/>
  <c r="AI17" i="7"/>
  <c r="P2" i="4"/>
  <c r="R2" i="4"/>
  <c r="EJ17" i="4" l="1"/>
  <c r="AJ17" i="7"/>
  <c r="S2" i="4"/>
  <c r="Q2" i="4"/>
  <c r="EN17" i="4" l="1"/>
  <c r="AK17" i="7"/>
  <c r="T2" i="4"/>
  <c r="ER17" i="4" l="1"/>
  <c r="AM17" i="7" s="1"/>
  <c r="AL17" i="7"/>
  <c r="U2" i="4"/>
  <c r="W2" i="4"/>
  <c r="V2" i="4"/>
  <c r="X2" i="4" l="1"/>
  <c r="Y2" i="4" l="1"/>
  <c r="AA2" i="4"/>
  <c r="Z2" i="4"/>
  <c r="AB2" i="4" l="1"/>
  <c r="AE2" i="4" l="1"/>
  <c r="AD2" i="4"/>
  <c r="AC2" i="4"/>
  <c r="AF2" i="4" s="1"/>
  <c r="AH2" i="4" l="1"/>
  <c r="AI2" i="4"/>
  <c r="AG2" i="4"/>
  <c r="AJ2" i="4" s="1"/>
  <c r="AL2" i="4" l="1"/>
  <c r="AM2" i="4"/>
  <c r="AK2" i="4"/>
  <c r="AN2" i="4" s="1"/>
  <c r="AQ2" i="4" l="1"/>
  <c r="AO2" i="4"/>
  <c r="AR2" i="4" s="1"/>
  <c r="AP2" i="4"/>
  <c r="AU2" i="4" l="1"/>
  <c r="AS2" i="4"/>
  <c r="AV2" i="4" s="1"/>
  <c r="AT2" i="4"/>
  <c r="AY2" i="4" l="1"/>
  <c r="AW2" i="4"/>
  <c r="AZ2" i="4" s="1"/>
  <c r="AX2" i="4"/>
  <c r="BC2" i="4" l="1"/>
  <c r="BA2" i="4"/>
  <c r="BD2" i="4" s="1"/>
  <c r="BB2" i="4"/>
  <c r="BG2" i="4" l="1"/>
  <c r="BF2" i="4"/>
  <c r="BE2" i="4"/>
  <c r="BH2" i="4" s="1"/>
  <c r="BI2" i="4" l="1"/>
  <c r="BL2" i="4" s="1"/>
  <c r="BK2" i="4"/>
  <c r="BJ2" i="4"/>
  <c r="BM2" i="4" l="1"/>
  <c r="BP2" i="4" s="1"/>
  <c r="BN2" i="4"/>
  <c r="BO2" i="4"/>
  <c r="BS2" i="4" l="1"/>
  <c r="BQ2" i="4"/>
  <c r="BT2" i="4" s="1"/>
  <c r="BR2" i="4"/>
  <c r="BW2" i="4" l="1"/>
  <c r="BU2" i="4"/>
  <c r="BX2" i="4" s="1"/>
  <c r="BV2" i="4"/>
  <c r="CA2" i="4" l="1"/>
  <c r="BY2" i="4"/>
  <c r="CB2" i="4" s="1"/>
  <c r="BZ2" i="4"/>
  <c r="CE2" i="4" l="1"/>
  <c r="CC2" i="4"/>
  <c r="CF2" i="4" s="1"/>
  <c r="CD2" i="4"/>
  <c r="CG2" i="4" l="1"/>
  <c r="CJ2" i="4" s="1"/>
  <c r="CI2" i="4"/>
  <c r="CH2" i="4"/>
  <c r="CK2" i="4" l="1"/>
  <c r="CN2" i="4" s="1"/>
  <c r="CM2" i="4"/>
  <c r="CL2" i="4"/>
  <c r="CQ2" i="4" l="1"/>
  <c r="CO2" i="4"/>
  <c r="CR2" i="4" s="1"/>
  <c r="CP2" i="4"/>
  <c r="CS2" i="4" l="1"/>
  <c r="CV2" i="4" s="1"/>
  <c r="CT2" i="4"/>
  <c r="CU2" i="4"/>
  <c r="CX2" i="4" l="1"/>
  <c r="CY2" i="4"/>
  <c r="CW2" i="4"/>
  <c r="CZ2" i="4" s="1"/>
  <c r="DC2" i="4" l="1"/>
  <c r="DA2" i="4"/>
  <c r="DD2" i="4" s="1"/>
  <c r="DB2" i="4"/>
  <c r="DG2" i="4" l="1"/>
  <c r="DE2" i="4"/>
  <c r="DF2" i="4"/>
  <c r="DH2" i="4" l="1"/>
  <c r="DK2" i="4" l="1"/>
  <c r="DJ2" i="4"/>
  <c r="DI2" i="4"/>
  <c r="DL2" i="4" l="1"/>
  <c r="C11" i="7" l="1"/>
  <c r="J22" i="3" a="1"/>
  <c r="J22" i="3" s="1"/>
  <c r="C12" i="7"/>
  <c r="J18" i="3" a="1"/>
  <c r="J18" i="3" s="1"/>
  <c r="J14" i="3" a="1"/>
  <c r="J14" i="3" s="1"/>
  <c r="C7" i="7"/>
  <c r="J23" i="3" a="1"/>
  <c r="J23" i="3" s="1"/>
  <c r="J25" i="3" a="1"/>
  <c r="J25" i="3" s="1"/>
  <c r="J15" i="2"/>
  <c r="J20" i="3" a="1"/>
  <c r="J20" i="3" s="1"/>
  <c r="J24" i="3" a="1"/>
  <c r="J24" i="3" s="1"/>
  <c r="C8" i="7"/>
  <c r="J16" i="3" a="1"/>
  <c r="J16" i="3" s="1"/>
  <c r="C6" i="7"/>
  <c r="C5" i="7"/>
  <c r="J20" i="2"/>
  <c r="C14" i="7"/>
  <c r="J22" i="2"/>
  <c r="J15" i="3" a="1"/>
  <c r="J15" i="3" s="1"/>
  <c r="J19" i="3" a="1"/>
  <c r="J19" i="3" s="1"/>
  <c r="J16" i="2"/>
  <c r="J21" i="2"/>
  <c r="C13" i="7"/>
  <c r="J24" i="2"/>
  <c r="C15" i="7"/>
  <c r="J21" i="3" a="1"/>
  <c r="J21" i="3" s="1"/>
  <c r="J14" i="2"/>
  <c r="J17" i="2"/>
  <c r="C9" i="7"/>
  <c r="C10" i="7"/>
  <c r="J25" i="2"/>
  <c r="J18" i="2"/>
  <c r="C16" i="7"/>
  <c r="J17" i="3" a="1"/>
  <c r="J17" i="3" s="1"/>
  <c r="J19" i="2"/>
  <c r="J23" i="2"/>
  <c r="J27" i="2" l="1"/>
  <c r="J31" i="2" s="1"/>
  <c r="J27" i="3"/>
  <c r="J31" i="3" s="1"/>
  <c r="H13" i="4"/>
  <c r="H15" i="4"/>
  <c r="H10" i="4"/>
  <c r="H14" i="4"/>
  <c r="H9" i="4"/>
  <c r="H5" i="4"/>
  <c r="H12" i="4"/>
  <c r="H7" i="4"/>
  <c r="H8" i="4"/>
  <c r="H16" i="4"/>
  <c r="H11" i="4"/>
  <c r="H6" i="4"/>
  <c r="L6" i="4" l="1"/>
  <c r="D6" i="7"/>
  <c r="L16" i="4"/>
  <c r="D16" i="7"/>
  <c r="L7" i="4"/>
  <c r="D7" i="7"/>
  <c r="D5" i="7"/>
  <c r="L5" i="4"/>
  <c r="L14" i="4"/>
  <c r="D14" i="7"/>
  <c r="L15" i="4"/>
  <c r="D15" i="7"/>
  <c r="L11" i="4"/>
  <c r="D11" i="7"/>
  <c r="L8" i="4"/>
  <c r="D8" i="7"/>
  <c r="L12" i="4"/>
  <c r="D12" i="7"/>
  <c r="L9" i="4"/>
  <c r="D9" i="7"/>
  <c r="L10" i="4"/>
  <c r="D10" i="7"/>
  <c r="L13" i="4"/>
  <c r="D13" i="7"/>
  <c r="E5" i="7" l="1"/>
  <c r="E13" i="7"/>
  <c r="E9" i="7"/>
  <c r="E8" i="7"/>
  <c r="E15" i="7"/>
  <c r="E16" i="7"/>
  <c r="E10" i="7"/>
  <c r="E12" i="7"/>
  <c r="E11" i="7"/>
  <c r="E14" i="7"/>
  <c r="E7" i="7"/>
  <c r="E6" i="7"/>
  <c r="H20" i="2" l="1"/>
  <c r="L20" i="2" s="1"/>
  <c r="P11" i="4"/>
  <c r="H21" i="2"/>
  <c r="L21" i="2" s="1"/>
  <c r="P12" i="4"/>
  <c r="H15" i="2"/>
  <c r="L15" i="2" s="1"/>
  <c r="P6" i="4"/>
  <c r="H14" i="3"/>
  <c r="H15" i="3"/>
  <c r="H20" i="3"/>
  <c r="H22" i="2"/>
  <c r="L22" i="2" s="1"/>
  <c r="P13" i="4"/>
  <c r="H16" i="2"/>
  <c r="L16" i="2" s="1"/>
  <c r="P7" i="4"/>
  <c r="H14" i="2"/>
  <c r="P5" i="4"/>
  <c r="H25" i="3"/>
  <c r="H17" i="3"/>
  <c r="H21" i="3"/>
  <c r="H16" i="3"/>
  <c r="H17" i="2"/>
  <c r="L17" i="2" s="1"/>
  <c r="P8" i="4"/>
  <c r="H23" i="2"/>
  <c r="L23" i="2" s="1"/>
  <c r="P14" i="4"/>
  <c r="H18" i="2"/>
  <c r="L18" i="2" s="1"/>
  <c r="P9" i="4"/>
  <c r="H22" i="3"/>
  <c r="H23" i="3"/>
  <c r="H24" i="2"/>
  <c r="L24" i="2" s="1"/>
  <c r="P15" i="4"/>
  <c r="H25" i="2"/>
  <c r="L25" i="2" s="1"/>
  <c r="P16" i="4"/>
  <c r="H19" i="2"/>
  <c r="L19" i="2" s="1"/>
  <c r="P10" i="4"/>
  <c r="H18" i="3"/>
  <c r="H19" i="3"/>
  <c r="H24" i="3"/>
  <c r="H27" i="3" l="1"/>
  <c r="H31" i="3" s="1"/>
  <c r="L14" i="2"/>
  <c r="F14" i="13" s="1"/>
  <c r="H27" i="2"/>
  <c r="H31" i="2" s="1"/>
  <c r="G16" i="21"/>
  <c r="F19" i="9"/>
  <c r="F19" i="13"/>
  <c r="J19" i="13" s="1"/>
  <c r="F24" i="9"/>
  <c r="F24" i="13"/>
  <c r="J24" i="13" s="1"/>
  <c r="F18" i="13"/>
  <c r="J18" i="13" s="1"/>
  <c r="F18" i="9"/>
  <c r="F17" i="9"/>
  <c r="F17" i="13"/>
  <c r="J17" i="13" s="1"/>
  <c r="F16" i="9"/>
  <c r="F16" i="13"/>
  <c r="J16" i="13" s="1"/>
  <c r="T12" i="4"/>
  <c r="F12" i="7"/>
  <c r="T16" i="4"/>
  <c r="F16" i="7"/>
  <c r="F14" i="7"/>
  <c r="T14" i="4"/>
  <c r="T5" i="4"/>
  <c r="F5" i="7"/>
  <c r="T13" i="4"/>
  <c r="F13" i="7"/>
  <c r="F21" i="9"/>
  <c r="F21" i="13"/>
  <c r="J21" i="13" s="1"/>
  <c r="F25" i="13"/>
  <c r="J25" i="13" s="1"/>
  <c r="F25" i="9"/>
  <c r="F23" i="13"/>
  <c r="J23" i="13" s="1"/>
  <c r="F23" i="9"/>
  <c r="F22" i="9"/>
  <c r="F22" i="13"/>
  <c r="J22" i="13" s="1"/>
  <c r="T6" i="4"/>
  <c r="F6" i="7"/>
  <c r="F11" i="7"/>
  <c r="T11" i="4"/>
  <c r="T10" i="4"/>
  <c r="F10" i="7"/>
  <c r="F15" i="7"/>
  <c r="T15" i="4"/>
  <c r="F9" i="7"/>
  <c r="T9" i="4"/>
  <c r="T8" i="4"/>
  <c r="F8" i="7"/>
  <c r="F7" i="7"/>
  <c r="T7" i="4"/>
  <c r="F15" i="9"/>
  <c r="F15" i="13"/>
  <c r="F20" i="13"/>
  <c r="J20" i="13" s="1"/>
  <c r="F20" i="9"/>
  <c r="F14" i="9" l="1"/>
  <c r="F29" i="13"/>
  <c r="J29" i="13"/>
  <c r="B6" i="24" s="1"/>
  <c r="B8" i="24" s="1"/>
  <c r="L27" i="2"/>
  <c r="L31" i="2" s="1"/>
  <c r="H14" i="8" s="1"/>
  <c r="G10" i="7"/>
  <c r="X10" i="4"/>
  <c r="G6" i="7"/>
  <c r="X6" i="4"/>
  <c r="F27" i="9"/>
  <c r="F31" i="9" s="1"/>
  <c r="G14" i="7"/>
  <c r="X14" i="4"/>
  <c r="X15" i="4"/>
  <c r="G15" i="7"/>
  <c r="X11" i="4"/>
  <c r="G11" i="7"/>
  <c r="X13" i="4"/>
  <c r="G13" i="7"/>
  <c r="X12" i="4"/>
  <c r="G12" i="7"/>
  <c r="X8" i="4"/>
  <c r="G8" i="7"/>
  <c r="G7" i="7"/>
  <c r="X7" i="4"/>
  <c r="G9" i="7"/>
  <c r="X9" i="4"/>
  <c r="G5" i="7"/>
  <c r="X5" i="4"/>
  <c r="X16" i="4"/>
  <c r="G16" i="7"/>
  <c r="AB15" i="4" l="1"/>
  <c r="H15" i="7"/>
  <c r="H6" i="7"/>
  <c r="AB6" i="4"/>
  <c r="H9" i="7"/>
  <c r="AB9" i="4"/>
  <c r="AB12" i="4"/>
  <c r="H12" i="7"/>
  <c r="AB14" i="4"/>
  <c r="H14" i="7"/>
  <c r="H16" i="7"/>
  <c r="AB16" i="4"/>
  <c r="AB11" i="4"/>
  <c r="H11" i="7"/>
  <c r="H10" i="7"/>
  <c r="AB10" i="4"/>
  <c r="AB5" i="4"/>
  <c r="J5" i="5" s="1"/>
  <c r="H5" i="7"/>
  <c r="H7" i="7"/>
  <c r="AB7" i="4"/>
  <c r="AB8" i="4"/>
  <c r="H8" i="7"/>
  <c r="H13" i="7"/>
  <c r="AB13" i="4"/>
  <c r="I6" i="7" l="1"/>
  <c r="AF6" i="4"/>
  <c r="AF8" i="4"/>
  <c r="I8" i="7"/>
  <c r="AF5" i="4"/>
  <c r="I5" i="7"/>
  <c r="I11" i="7"/>
  <c r="AF11" i="4"/>
  <c r="I14" i="7"/>
  <c r="AF14" i="4"/>
  <c r="I13" i="7"/>
  <c r="AF13" i="4"/>
  <c r="I7" i="7"/>
  <c r="AF7" i="4"/>
  <c r="AF10" i="4"/>
  <c r="I10" i="7"/>
  <c r="AF16" i="4"/>
  <c r="I16" i="7"/>
  <c r="AF9" i="4"/>
  <c r="I9" i="7"/>
  <c r="I12" i="7"/>
  <c r="AF12" i="4"/>
  <c r="AF15" i="4"/>
  <c r="I15" i="7"/>
  <c r="K15" i="6" l="1"/>
  <c r="J15" i="5" s="1"/>
  <c r="AJ13" i="4"/>
  <c r="J13" i="7"/>
  <c r="AJ14" i="4"/>
  <c r="J14" i="7"/>
  <c r="AJ8" i="4"/>
  <c r="J8" i="7"/>
  <c r="K8" i="6" s="1"/>
  <c r="J8" i="5" s="1"/>
  <c r="AJ15" i="4"/>
  <c r="J15" i="7"/>
  <c r="AJ9" i="4"/>
  <c r="J9" i="7"/>
  <c r="AJ10" i="4"/>
  <c r="J10" i="7"/>
  <c r="J6" i="7"/>
  <c r="AJ6" i="4"/>
  <c r="J12" i="7"/>
  <c r="K12" i="6" s="1"/>
  <c r="J12" i="5" s="1"/>
  <c r="AJ12" i="4"/>
  <c r="J7" i="7"/>
  <c r="K7" i="6" s="1"/>
  <c r="J7" i="5" s="1"/>
  <c r="AJ7" i="4"/>
  <c r="AJ11" i="4"/>
  <c r="J11" i="7"/>
  <c r="K11" i="6" s="1"/>
  <c r="J11" i="5" s="1"/>
  <c r="AJ5" i="4"/>
  <c r="J5" i="7"/>
  <c r="K5" i="6" s="1"/>
  <c r="AJ16" i="4"/>
  <c r="J16" i="7"/>
  <c r="K16" i="6" l="1"/>
  <c r="J16" i="5" s="1"/>
  <c r="L15" i="6"/>
  <c r="K15" i="5" s="1"/>
  <c r="K9" i="6"/>
  <c r="J9" i="5" s="1"/>
  <c r="K6" i="6"/>
  <c r="J6" i="5" s="1"/>
  <c r="K10" i="6"/>
  <c r="J10" i="5" s="1"/>
  <c r="K14" i="6"/>
  <c r="J14" i="5" s="1"/>
  <c r="K13" i="6"/>
  <c r="J13" i="5" s="1"/>
  <c r="K5" i="7"/>
  <c r="AN5" i="4"/>
  <c r="K12" i="7"/>
  <c r="AN12" i="4"/>
  <c r="AN10" i="4"/>
  <c r="K10" i="7"/>
  <c r="K15" i="7"/>
  <c r="AN15" i="4"/>
  <c r="K14" i="7"/>
  <c r="AN14" i="4"/>
  <c r="AN16" i="4"/>
  <c r="K16" i="7"/>
  <c r="AN11" i="4"/>
  <c r="K11" i="7"/>
  <c r="L11" i="6" s="1"/>
  <c r="K11" i="5" s="1"/>
  <c r="AN6" i="4"/>
  <c r="K6" i="7"/>
  <c r="AN7" i="4"/>
  <c r="K7" i="7"/>
  <c r="L7" i="6" s="1"/>
  <c r="K7" i="5" s="1"/>
  <c r="AN9" i="4"/>
  <c r="K9" i="7"/>
  <c r="AN8" i="4"/>
  <c r="K8" i="7"/>
  <c r="AN13" i="4"/>
  <c r="K13" i="7"/>
  <c r="M15" i="6" l="1"/>
  <c r="L15" i="5" s="1"/>
  <c r="L6" i="6"/>
  <c r="K6" i="5" s="1"/>
  <c r="L14" i="6"/>
  <c r="K14" i="5" s="1"/>
  <c r="L13" i="6"/>
  <c r="K13" i="5" s="1"/>
  <c r="L9" i="6"/>
  <c r="K9" i="5" s="1"/>
  <c r="L10" i="6"/>
  <c r="K10" i="5" s="1"/>
  <c r="L8" i="6"/>
  <c r="K8" i="5" s="1"/>
  <c r="L5" i="6"/>
  <c r="K5" i="5" s="1"/>
  <c r="L16" i="6"/>
  <c r="K16" i="5" s="1"/>
  <c r="L12" i="6"/>
  <c r="K12" i="5" s="1"/>
  <c r="L15" i="7"/>
  <c r="AR15" i="4"/>
  <c r="L12" i="7"/>
  <c r="AR12" i="4"/>
  <c r="AR13" i="4"/>
  <c r="L13" i="7"/>
  <c r="AR9" i="4"/>
  <c r="L9" i="7"/>
  <c r="L6" i="7"/>
  <c r="AR6" i="4"/>
  <c r="L16" i="7"/>
  <c r="AR16" i="4"/>
  <c r="AR14" i="4"/>
  <c r="L14" i="7"/>
  <c r="M14" i="6" s="1"/>
  <c r="L14" i="5" s="1"/>
  <c r="L5" i="7"/>
  <c r="AR5" i="4"/>
  <c r="L8" i="7"/>
  <c r="AR8" i="4"/>
  <c r="L7" i="7"/>
  <c r="M7" i="6" s="1"/>
  <c r="L7" i="5" s="1"/>
  <c r="AR7" i="4"/>
  <c r="AR11" i="4"/>
  <c r="L11" i="7"/>
  <c r="AR10" i="4"/>
  <c r="L10" i="7"/>
  <c r="N15" i="6" l="1"/>
  <c r="M15" i="5" s="1"/>
  <c r="M13" i="6"/>
  <c r="L13" i="5" s="1"/>
  <c r="M9" i="6"/>
  <c r="L9" i="5" s="1"/>
  <c r="M5" i="6"/>
  <c r="L5" i="5" s="1"/>
  <c r="M12" i="6"/>
  <c r="L12" i="5" s="1"/>
  <c r="M8" i="6"/>
  <c r="L8" i="5" s="1"/>
  <c r="M10" i="6"/>
  <c r="L10" i="5" s="1"/>
  <c r="M16" i="6"/>
  <c r="L16" i="5" s="1"/>
  <c r="M11" i="6"/>
  <c r="L11" i="5" s="1"/>
  <c r="M6" i="6"/>
  <c r="L6" i="5" s="1"/>
  <c r="AV7" i="4"/>
  <c r="M7" i="7"/>
  <c r="AV5" i="4"/>
  <c r="M5" i="7"/>
  <c r="AV16" i="4"/>
  <c r="M16" i="7"/>
  <c r="AV12" i="4"/>
  <c r="M12" i="7"/>
  <c r="M10" i="7"/>
  <c r="AV10" i="4"/>
  <c r="M9" i="7"/>
  <c r="AV9" i="4"/>
  <c r="M8" i="7"/>
  <c r="AV8" i="4"/>
  <c r="AV6" i="4"/>
  <c r="M6" i="7"/>
  <c r="AV15" i="4"/>
  <c r="M15" i="7"/>
  <c r="M11" i="7"/>
  <c r="AV11" i="4"/>
  <c r="M14" i="7"/>
  <c r="N14" i="6" s="1"/>
  <c r="M14" i="5" s="1"/>
  <c r="AV14" i="4"/>
  <c r="M13" i="7"/>
  <c r="AV13" i="4"/>
  <c r="O15" i="6" l="1"/>
  <c r="N15" i="5" s="1"/>
  <c r="N12" i="6"/>
  <c r="M12" i="5" s="1"/>
  <c r="N5" i="6"/>
  <c r="M5" i="5" s="1"/>
  <c r="N8" i="6"/>
  <c r="M8" i="5" s="1"/>
  <c r="N10" i="6"/>
  <c r="M10" i="5" s="1"/>
  <c r="N16" i="6"/>
  <c r="M16" i="5" s="1"/>
  <c r="N6" i="6"/>
  <c r="M6" i="5" s="1"/>
  <c r="N11" i="6"/>
  <c r="M11" i="5" s="1"/>
  <c r="N13" i="6"/>
  <c r="M13" i="5" s="1"/>
  <c r="N7" i="6"/>
  <c r="M7" i="5" s="1"/>
  <c r="N9" i="6"/>
  <c r="M9" i="5" s="1"/>
  <c r="AZ13" i="4"/>
  <c r="N13" i="7"/>
  <c r="N11" i="7"/>
  <c r="AZ11" i="4"/>
  <c r="AZ9" i="4"/>
  <c r="N9" i="7"/>
  <c r="AZ6" i="4"/>
  <c r="N6" i="7"/>
  <c r="AZ12" i="4"/>
  <c r="N12" i="7"/>
  <c r="N5" i="7"/>
  <c r="AZ5" i="4"/>
  <c r="AZ14" i="4"/>
  <c r="N14" i="7"/>
  <c r="O14" i="6" s="1"/>
  <c r="N14" i="5" s="1"/>
  <c r="N8" i="7"/>
  <c r="AZ8" i="4"/>
  <c r="AZ10" i="4"/>
  <c r="N10" i="7"/>
  <c r="N15" i="7"/>
  <c r="AZ15" i="4"/>
  <c r="N16" i="7"/>
  <c r="AZ16" i="4"/>
  <c r="AZ7" i="4"/>
  <c r="N7" i="7"/>
  <c r="P15" i="6" l="1"/>
  <c r="O15" i="5" s="1"/>
  <c r="O8" i="6"/>
  <c r="N8" i="5" s="1"/>
  <c r="O5" i="6"/>
  <c r="N5" i="5" s="1"/>
  <c r="O6" i="6"/>
  <c r="N6" i="5" s="1"/>
  <c r="O11" i="6"/>
  <c r="N11" i="5" s="1"/>
  <c r="O13" i="6"/>
  <c r="N13" i="5" s="1"/>
  <c r="O9" i="6"/>
  <c r="N9" i="5" s="1"/>
  <c r="O16" i="6"/>
  <c r="N16" i="5" s="1"/>
  <c r="O12" i="6"/>
  <c r="N12" i="5" s="1"/>
  <c r="O10" i="6"/>
  <c r="N10" i="5" s="1"/>
  <c r="O7" i="6"/>
  <c r="N7" i="5" s="1"/>
  <c r="O15" i="7"/>
  <c r="Q15" i="6" s="1"/>
  <c r="P15" i="5" s="1"/>
  <c r="BD15" i="4"/>
  <c r="BD8" i="4"/>
  <c r="O8" i="7"/>
  <c r="P8" i="6" s="1"/>
  <c r="O8" i="5" s="1"/>
  <c r="BD5" i="4"/>
  <c r="O5" i="7"/>
  <c r="BD11" i="4"/>
  <c r="O11" i="7"/>
  <c r="BD7" i="4"/>
  <c r="O7" i="7"/>
  <c r="BD6" i="4"/>
  <c r="O6" i="7"/>
  <c r="O16" i="7"/>
  <c r="BD16" i="4"/>
  <c r="BD10" i="4"/>
  <c r="O10" i="7"/>
  <c r="BD14" i="4"/>
  <c r="O14" i="7"/>
  <c r="O12" i="7"/>
  <c r="BD12" i="4"/>
  <c r="O9" i="7"/>
  <c r="BD9" i="4"/>
  <c r="BD13" i="4"/>
  <c r="O13" i="7"/>
  <c r="P13" i="6" l="1"/>
  <c r="O13" i="5" s="1"/>
  <c r="H22" i="9" s="1"/>
  <c r="P6" i="6"/>
  <c r="O6" i="5" s="1"/>
  <c r="G15" i="13" s="1"/>
  <c r="P16" i="6"/>
  <c r="O16" i="5" s="1"/>
  <c r="H25" i="9" s="1"/>
  <c r="P7" i="6"/>
  <c r="O7" i="5" s="1"/>
  <c r="G16" i="13" s="1"/>
  <c r="P10" i="6"/>
  <c r="O10" i="5" s="1"/>
  <c r="H19" i="9" s="1"/>
  <c r="P12" i="6"/>
  <c r="O12" i="5" s="1"/>
  <c r="H21" i="9" s="1"/>
  <c r="P14" i="6"/>
  <c r="O14" i="5" s="1"/>
  <c r="H23" i="9" s="1"/>
  <c r="P9" i="6"/>
  <c r="O9" i="5" s="1"/>
  <c r="H18" i="9" s="1"/>
  <c r="P11" i="6"/>
  <c r="O11" i="5" s="1"/>
  <c r="G20" i="13" s="1"/>
  <c r="P5" i="6"/>
  <c r="O5" i="5" s="1"/>
  <c r="H14" i="9" s="1"/>
  <c r="BH12" i="4"/>
  <c r="P12" i="7"/>
  <c r="H15" i="9"/>
  <c r="G17" i="13"/>
  <c r="H17" i="9"/>
  <c r="P13" i="7"/>
  <c r="BH13" i="4"/>
  <c r="BH10" i="4"/>
  <c r="P10" i="7"/>
  <c r="BH6" i="4"/>
  <c r="P6" i="7"/>
  <c r="BH11" i="4"/>
  <c r="P11" i="7"/>
  <c r="BH8" i="4"/>
  <c r="P8" i="7"/>
  <c r="BH9" i="4"/>
  <c r="P9" i="7"/>
  <c r="BH16" i="4"/>
  <c r="P16" i="7"/>
  <c r="Q16" i="6" s="1"/>
  <c r="P16" i="5" s="1"/>
  <c r="P15" i="7"/>
  <c r="R15" i="6" s="1"/>
  <c r="Q15" i="5" s="1"/>
  <c r="BH15" i="4"/>
  <c r="P14" i="7"/>
  <c r="BH14" i="4"/>
  <c r="BH7" i="4"/>
  <c r="P7" i="7"/>
  <c r="BH5" i="4"/>
  <c r="P5" i="7"/>
  <c r="H24" i="9"/>
  <c r="G24" i="13"/>
  <c r="G14" i="13" l="1"/>
  <c r="G25" i="13"/>
  <c r="G22" i="13"/>
  <c r="Q13" i="6"/>
  <c r="P13" i="5" s="1"/>
  <c r="G18" i="13"/>
  <c r="Q7" i="6"/>
  <c r="P7" i="5" s="1"/>
  <c r="H20" i="9"/>
  <c r="H16" i="9"/>
  <c r="H27" i="9" s="1"/>
  <c r="Q10" i="6"/>
  <c r="P10" i="5" s="1"/>
  <c r="G19" i="13"/>
  <c r="G21" i="13"/>
  <c r="Q11" i="6"/>
  <c r="P11" i="5" s="1"/>
  <c r="Q5" i="6"/>
  <c r="P5" i="5" s="1"/>
  <c r="Q9" i="6"/>
  <c r="P9" i="5" s="1"/>
  <c r="Q14" i="6"/>
  <c r="P14" i="5" s="1"/>
  <c r="G23" i="13"/>
  <c r="Q12" i="6"/>
  <c r="P12" i="5" s="1"/>
  <c r="Q6" i="6"/>
  <c r="P6" i="5" s="1"/>
  <c r="Q8" i="6"/>
  <c r="P8" i="5" s="1"/>
  <c r="Q14" i="7"/>
  <c r="BL14" i="4"/>
  <c r="Q15" i="7"/>
  <c r="S15" i="6" s="1"/>
  <c r="R15" i="5" s="1"/>
  <c r="BL15" i="4"/>
  <c r="Q7" i="7"/>
  <c r="BL7" i="4"/>
  <c r="Q8" i="7"/>
  <c r="BL8" i="4"/>
  <c r="Q6" i="7"/>
  <c r="BL6" i="4"/>
  <c r="Q12" i="7"/>
  <c r="BL12" i="4"/>
  <c r="BL13" i="4"/>
  <c r="Q13" i="7"/>
  <c r="R13" i="6" s="1"/>
  <c r="Q13" i="5" s="1"/>
  <c r="BL5" i="4"/>
  <c r="Q5" i="7"/>
  <c r="BL16" i="4"/>
  <c r="Q16" i="7"/>
  <c r="R16" i="6" s="1"/>
  <c r="Q16" i="5" s="1"/>
  <c r="Q9" i="7"/>
  <c r="BL9" i="4"/>
  <c r="BL11" i="4"/>
  <c r="Q11" i="7"/>
  <c r="Q10" i="7"/>
  <c r="BL10" i="4"/>
  <c r="G29" i="13" l="1"/>
  <c r="R11" i="6"/>
  <c r="Q11" i="5" s="1"/>
  <c r="R5" i="6"/>
  <c r="Q5" i="5" s="1"/>
  <c r="R14" i="6"/>
  <c r="Q14" i="5" s="1"/>
  <c r="R12" i="6"/>
  <c r="Q12" i="5" s="1"/>
  <c r="R8" i="6"/>
  <c r="Q8" i="5" s="1"/>
  <c r="R6" i="6"/>
  <c r="Q6" i="5" s="1"/>
  <c r="R7" i="6"/>
  <c r="Q7" i="5" s="1"/>
  <c r="R9" i="6"/>
  <c r="Q9" i="5" s="1"/>
  <c r="R10" i="6"/>
  <c r="Q10" i="5" s="1"/>
  <c r="R10" i="7"/>
  <c r="BP10" i="4"/>
  <c r="R9" i="7"/>
  <c r="BP9" i="4"/>
  <c r="R13" i="7"/>
  <c r="S13" i="6" s="1"/>
  <c r="R13" i="5" s="1"/>
  <c r="BP13" i="4"/>
  <c r="BP6" i="4"/>
  <c r="R6" i="7"/>
  <c r="R7" i="7"/>
  <c r="BP7" i="4"/>
  <c r="BP14" i="4"/>
  <c r="R14" i="7"/>
  <c r="R5" i="7"/>
  <c r="BP5" i="4"/>
  <c r="R12" i="7"/>
  <c r="BP12" i="4"/>
  <c r="BP8" i="4"/>
  <c r="R8" i="7"/>
  <c r="R15" i="7"/>
  <c r="T15" i="6" s="1"/>
  <c r="S15" i="5" s="1"/>
  <c r="BP15" i="4"/>
  <c r="BP11" i="4"/>
  <c r="R11" i="7"/>
  <c r="R16" i="7"/>
  <c r="BP16" i="4"/>
  <c r="S11" i="6" l="1"/>
  <c r="R11" i="5" s="1"/>
  <c r="S8" i="6"/>
  <c r="R8" i="5" s="1"/>
  <c r="S7" i="6"/>
  <c r="R7" i="5" s="1"/>
  <c r="S10" i="6"/>
  <c r="R10" i="5" s="1"/>
  <c r="S9" i="6"/>
  <c r="R9" i="5" s="1"/>
  <c r="S14" i="6"/>
  <c r="R14" i="5" s="1"/>
  <c r="S12" i="6"/>
  <c r="R12" i="5" s="1"/>
  <c r="S6" i="6"/>
  <c r="R6" i="5" s="1"/>
  <c r="S5" i="6"/>
  <c r="R5" i="5" s="1"/>
  <c r="S16" i="6"/>
  <c r="R16" i="5" s="1"/>
  <c r="S16" i="7"/>
  <c r="F25" i="3" s="1"/>
  <c r="L25" i="3" s="1"/>
  <c r="BT16" i="4"/>
  <c r="BT5" i="4"/>
  <c r="S5" i="7"/>
  <c r="F14" i="3" s="1"/>
  <c r="BT9" i="4"/>
  <c r="S9" i="7"/>
  <c r="F18" i="3" s="1"/>
  <c r="L18" i="3" s="1"/>
  <c r="BT8" i="4"/>
  <c r="S8" i="7"/>
  <c r="F17" i="3" s="1"/>
  <c r="L17" i="3" s="1"/>
  <c r="BT14" i="4"/>
  <c r="S14" i="7"/>
  <c r="F23" i="3" s="1"/>
  <c r="L23" i="3" s="1"/>
  <c r="S6" i="7"/>
  <c r="F15" i="3" s="1"/>
  <c r="L15" i="3" s="1"/>
  <c r="BT6" i="4"/>
  <c r="S15" i="7"/>
  <c r="F24" i="3" s="1"/>
  <c r="L24" i="3" s="1"/>
  <c r="BT15" i="4"/>
  <c r="S12" i="7"/>
  <c r="F21" i="3" s="1"/>
  <c r="L21" i="3" s="1"/>
  <c r="BT12" i="4"/>
  <c r="BT7" i="4"/>
  <c r="S7" i="7"/>
  <c r="F16" i="3" s="1"/>
  <c r="L16" i="3" s="1"/>
  <c r="BT13" i="4"/>
  <c r="S13" i="7"/>
  <c r="F22" i="3" s="1"/>
  <c r="L22" i="3" s="1"/>
  <c r="S10" i="7"/>
  <c r="F19" i="3" s="1"/>
  <c r="L19" i="3" s="1"/>
  <c r="BT10" i="4"/>
  <c r="BT11" i="4"/>
  <c r="S11" i="7"/>
  <c r="F20" i="3" s="1"/>
  <c r="L20" i="3" s="1"/>
  <c r="L14" i="3" l="1"/>
  <c r="F27" i="3"/>
  <c r="F31" i="3" s="1"/>
  <c r="T5" i="6"/>
  <c r="S5" i="5" s="1"/>
  <c r="T13" i="6"/>
  <c r="S13" i="5" s="1"/>
  <c r="T16" i="6"/>
  <c r="S16" i="5" s="1"/>
  <c r="T12" i="6"/>
  <c r="S12" i="5" s="1"/>
  <c r="T14" i="6"/>
  <c r="S14" i="5" s="1"/>
  <c r="T7" i="6"/>
  <c r="S7" i="5" s="1"/>
  <c r="T11" i="6"/>
  <c r="S11" i="5" s="1"/>
  <c r="U15" i="6"/>
  <c r="T15" i="5" s="1"/>
  <c r="T10" i="6"/>
  <c r="S10" i="5" s="1"/>
  <c r="T8" i="6"/>
  <c r="S8" i="5" s="1"/>
  <c r="T9" i="6"/>
  <c r="S9" i="5" s="1"/>
  <c r="T6" i="6"/>
  <c r="S6" i="5" s="1"/>
  <c r="BX10" i="4"/>
  <c r="T10" i="7"/>
  <c r="T13" i="7"/>
  <c r="BX13" i="4"/>
  <c r="T15" i="7"/>
  <c r="BX15" i="4"/>
  <c r="F23" i="14"/>
  <c r="J23" i="14" s="1"/>
  <c r="F23" i="11"/>
  <c r="F17" i="14"/>
  <c r="J17" i="14" s="1"/>
  <c r="F17" i="11"/>
  <c r="F18" i="14"/>
  <c r="J18" i="14" s="1"/>
  <c r="F18" i="11"/>
  <c r="F20" i="14"/>
  <c r="J20" i="14" s="1"/>
  <c r="F20" i="11"/>
  <c r="F19" i="11"/>
  <c r="F19" i="14"/>
  <c r="J19" i="14" s="1"/>
  <c r="T12" i="7"/>
  <c r="BX12" i="4"/>
  <c r="F24" i="14"/>
  <c r="J24" i="14" s="1"/>
  <c r="F24" i="11"/>
  <c r="T6" i="7"/>
  <c r="BX6" i="4"/>
  <c r="BX14" i="4"/>
  <c r="T14" i="7"/>
  <c r="T8" i="7"/>
  <c r="BX8" i="4"/>
  <c r="BX9" i="4"/>
  <c r="T9" i="7"/>
  <c r="F14" i="11"/>
  <c r="F14" i="14"/>
  <c r="BX11" i="4"/>
  <c r="T11" i="7"/>
  <c r="F16" i="14"/>
  <c r="J16" i="14" s="1"/>
  <c r="F16" i="11"/>
  <c r="F21" i="14"/>
  <c r="J21" i="14" s="1"/>
  <c r="F21" i="11"/>
  <c r="F15" i="14"/>
  <c r="F15" i="11"/>
  <c r="BX5" i="4"/>
  <c r="T5" i="7"/>
  <c r="BX16" i="4"/>
  <c r="T16" i="7"/>
  <c r="U16" i="6" s="1"/>
  <c r="T16" i="5" s="1"/>
  <c r="F22" i="11"/>
  <c r="F22" i="14"/>
  <c r="J22" i="14" s="1"/>
  <c r="T7" i="7"/>
  <c r="BX7" i="4"/>
  <c r="F25" i="11"/>
  <c r="F25" i="14"/>
  <c r="J25" i="14" s="1"/>
  <c r="U11" i="6" l="1"/>
  <c r="T11" i="5" s="1"/>
  <c r="U5" i="6"/>
  <c r="T5" i="5" s="1"/>
  <c r="U14" i="6"/>
  <c r="T14" i="5" s="1"/>
  <c r="U7" i="6"/>
  <c r="T7" i="5" s="1"/>
  <c r="U8" i="6"/>
  <c r="T8" i="5" s="1"/>
  <c r="L27" i="3"/>
  <c r="L31" i="3" s="1"/>
  <c r="H14" i="1" s="1"/>
  <c r="U13" i="6"/>
  <c r="T13" i="5" s="1"/>
  <c r="V15" i="6"/>
  <c r="U15" i="5" s="1"/>
  <c r="U9" i="6"/>
  <c r="T9" i="5" s="1"/>
  <c r="U6" i="6"/>
  <c r="T6" i="5" s="1"/>
  <c r="U12" i="6"/>
  <c r="T12" i="5" s="1"/>
  <c r="U10" i="6"/>
  <c r="T10" i="5" s="1"/>
  <c r="F27" i="11"/>
  <c r="F31" i="11" s="1"/>
  <c r="U8" i="7"/>
  <c r="CB8" i="4"/>
  <c r="U6" i="7"/>
  <c r="CB6" i="4"/>
  <c r="U12" i="7"/>
  <c r="CB12" i="4"/>
  <c r="U10" i="7"/>
  <c r="CB10" i="4"/>
  <c r="U5" i="7"/>
  <c r="CB5" i="4"/>
  <c r="CB13" i="4"/>
  <c r="U13" i="7"/>
  <c r="CB7" i="4"/>
  <c r="U7" i="7"/>
  <c r="CB11" i="4"/>
  <c r="U11" i="7"/>
  <c r="CB16" i="4"/>
  <c r="U16" i="7"/>
  <c r="V16" i="6" s="1"/>
  <c r="U16" i="5" s="1"/>
  <c r="J29" i="14"/>
  <c r="C6" i="24" s="1"/>
  <c r="C8" i="24" s="1"/>
  <c r="F29" i="14"/>
  <c r="CB9" i="4"/>
  <c r="U9" i="7"/>
  <c r="U14" i="7"/>
  <c r="CB14" i="4"/>
  <c r="CB15" i="4"/>
  <c r="U15" i="7"/>
  <c r="V14" i="6" l="1"/>
  <c r="U14" i="5" s="1"/>
  <c r="V5" i="6"/>
  <c r="U5" i="5" s="1"/>
  <c r="V11" i="6"/>
  <c r="U11" i="5" s="1"/>
  <c r="V8" i="6"/>
  <c r="U8" i="5" s="1"/>
  <c r="V7" i="6"/>
  <c r="U7" i="5" s="1"/>
  <c r="V9" i="6"/>
  <c r="U9" i="5" s="1"/>
  <c r="V10" i="6"/>
  <c r="U10" i="5" s="1"/>
  <c r="V13" i="6"/>
  <c r="U13" i="5" s="1"/>
  <c r="V6" i="6"/>
  <c r="U6" i="5" s="1"/>
  <c r="V12" i="6"/>
  <c r="U12" i="5" s="1"/>
  <c r="W15" i="6"/>
  <c r="V15" i="5" s="1"/>
  <c r="V16" i="7"/>
  <c r="W16" i="6" s="1"/>
  <c r="V16" i="5" s="1"/>
  <c r="CF16" i="4"/>
  <c r="V5" i="7"/>
  <c r="CF5" i="4"/>
  <c r="CF6" i="4"/>
  <c r="V6" i="7"/>
  <c r="V15" i="7"/>
  <c r="CF15" i="4"/>
  <c r="CF10" i="4"/>
  <c r="V10" i="7"/>
  <c r="CF12" i="4"/>
  <c r="V12" i="7"/>
  <c r="CF11" i="4"/>
  <c r="V11" i="7"/>
  <c r="W11" i="6" s="1"/>
  <c r="V11" i="5" s="1"/>
  <c r="CF7" i="4"/>
  <c r="V7" i="7"/>
  <c r="V13" i="7"/>
  <c r="CF13" i="4"/>
  <c r="CF14" i="4"/>
  <c r="V14" i="7"/>
  <c r="W14" i="6" s="1"/>
  <c r="V14" i="5" s="1"/>
  <c r="CF9" i="4"/>
  <c r="V9" i="7"/>
  <c r="W9" i="6" s="1"/>
  <c r="V9" i="5" s="1"/>
  <c r="V8" i="7"/>
  <c r="CF8" i="4"/>
  <c r="W8" i="6" l="1"/>
  <c r="V8" i="5" s="1"/>
  <c r="W5" i="6"/>
  <c r="V5" i="5" s="1"/>
  <c r="W13" i="6"/>
  <c r="V13" i="5" s="1"/>
  <c r="W6" i="6"/>
  <c r="V6" i="5" s="1"/>
  <c r="W7" i="6"/>
  <c r="V7" i="5" s="1"/>
  <c r="W12" i="6"/>
  <c r="V12" i="5" s="1"/>
  <c r="X15" i="6"/>
  <c r="W15" i="5" s="1"/>
  <c r="W10" i="6"/>
  <c r="V10" i="5" s="1"/>
  <c r="CJ8" i="4"/>
  <c r="W8" i="7"/>
  <c r="X8" i="6" s="1"/>
  <c r="W8" i="5" s="1"/>
  <c r="W9" i="7"/>
  <c r="CJ9" i="4"/>
  <c r="CJ7" i="4"/>
  <c r="W7" i="7"/>
  <c r="W10" i="7"/>
  <c r="CJ10" i="4"/>
  <c r="W16" i="7"/>
  <c r="X16" i="6" s="1"/>
  <c r="W16" i="5" s="1"/>
  <c r="CJ16" i="4"/>
  <c r="W13" i="7"/>
  <c r="X13" i="6" s="1"/>
  <c r="W13" i="5" s="1"/>
  <c r="CJ13" i="4"/>
  <c r="CJ15" i="4"/>
  <c r="W15" i="7"/>
  <c r="W6" i="7"/>
  <c r="X6" i="6" s="1"/>
  <c r="W6" i="5" s="1"/>
  <c r="CJ6" i="4"/>
  <c r="CJ14" i="4"/>
  <c r="W14" i="7"/>
  <c r="X14" i="6" s="1"/>
  <c r="W14" i="5" s="1"/>
  <c r="W11" i="7"/>
  <c r="X11" i="6" s="1"/>
  <c r="W11" i="5" s="1"/>
  <c r="CJ11" i="4"/>
  <c r="CJ12" i="4"/>
  <c r="W12" i="7"/>
  <c r="CJ5" i="4"/>
  <c r="W5" i="7"/>
  <c r="X5" i="6" s="1"/>
  <c r="W5" i="5" s="1"/>
  <c r="X12" i="6" l="1"/>
  <c r="W12" i="5" s="1"/>
  <c r="X7" i="6"/>
  <c r="W7" i="5" s="1"/>
  <c r="X10" i="6"/>
  <c r="W10" i="5" s="1"/>
  <c r="X9" i="6"/>
  <c r="W9" i="5" s="1"/>
  <c r="Y15" i="6"/>
  <c r="X15" i="5" s="1"/>
  <c r="X10" i="7"/>
  <c r="CN10" i="4"/>
  <c r="CN7" i="4"/>
  <c r="X7" i="7"/>
  <c r="X8" i="7"/>
  <c r="Y8" i="6" s="1"/>
  <c r="X8" i="5" s="1"/>
  <c r="CN8" i="4"/>
  <c r="X11" i="7"/>
  <c r="Y11" i="6" s="1"/>
  <c r="X11" i="5" s="1"/>
  <c r="CN11" i="4"/>
  <c r="X14" i="7"/>
  <c r="Y14" i="6" s="1"/>
  <c r="X14" i="5" s="1"/>
  <c r="CN14" i="4"/>
  <c r="CN5" i="4"/>
  <c r="X5" i="7"/>
  <c r="Y5" i="6" s="1"/>
  <c r="X5" i="5" s="1"/>
  <c r="X6" i="7"/>
  <c r="Y6" i="6" s="1"/>
  <c r="X6" i="5" s="1"/>
  <c r="CN6" i="4"/>
  <c r="CN13" i="4"/>
  <c r="X13" i="7"/>
  <c r="Y13" i="6" s="1"/>
  <c r="X13" i="5" s="1"/>
  <c r="CN16" i="4"/>
  <c r="X16" i="7"/>
  <c r="Y16" i="6" s="1"/>
  <c r="X16" i="5" s="1"/>
  <c r="CN9" i="4"/>
  <c r="X9" i="7"/>
  <c r="X12" i="7"/>
  <c r="Y12" i="6" s="1"/>
  <c r="X12" i="5" s="1"/>
  <c r="CN12" i="4"/>
  <c r="CN15" i="4"/>
  <c r="X15" i="7"/>
  <c r="Y7" i="6" l="1"/>
  <c r="X7" i="5" s="1"/>
  <c r="Y9" i="6"/>
  <c r="X9" i="5" s="1"/>
  <c r="Y10" i="6"/>
  <c r="X10" i="5" s="1"/>
  <c r="Z15" i="6"/>
  <c r="Y15" i="5" s="1"/>
  <c r="CR11" i="4"/>
  <c r="Y11" i="7"/>
  <c r="Z11" i="6" s="1"/>
  <c r="Y11" i="5" s="1"/>
  <c r="Y12" i="7"/>
  <c r="Z12" i="6" s="1"/>
  <c r="Y12" i="5" s="1"/>
  <c r="CR12" i="4"/>
  <c r="Y9" i="7"/>
  <c r="CR9" i="4"/>
  <c r="Y6" i="7"/>
  <c r="Z6" i="6" s="1"/>
  <c r="Y6" i="5" s="1"/>
  <c r="CR6" i="4"/>
  <c r="Y5" i="7"/>
  <c r="Z5" i="6" s="1"/>
  <c r="Y5" i="5" s="1"/>
  <c r="CR5" i="4"/>
  <c r="Y7" i="7"/>
  <c r="Z7" i="6" s="1"/>
  <c r="Y7" i="5" s="1"/>
  <c r="CR7" i="4"/>
  <c r="Y13" i="7"/>
  <c r="Z13" i="6" s="1"/>
  <c r="Y13" i="5" s="1"/>
  <c r="CR13" i="4"/>
  <c r="Y16" i="7"/>
  <c r="Z16" i="6" s="1"/>
  <c r="Y16" i="5" s="1"/>
  <c r="CR16" i="4"/>
  <c r="Y14" i="7"/>
  <c r="Z14" i="6" s="1"/>
  <c r="Y14" i="5" s="1"/>
  <c r="CR14" i="4"/>
  <c r="CR8" i="4"/>
  <c r="Y8" i="7"/>
  <c r="Z8" i="6" s="1"/>
  <c r="Y8" i="5" s="1"/>
  <c r="CR10" i="4"/>
  <c r="Y10" i="7"/>
  <c r="CR15" i="4"/>
  <c r="Y15" i="7"/>
  <c r="Z10" i="6" l="1"/>
  <c r="Y10" i="5" s="1"/>
  <c r="Z9" i="6"/>
  <c r="Y9" i="5" s="1"/>
  <c r="AA15" i="6"/>
  <c r="Z15" i="5" s="1"/>
  <c r="CV10" i="4"/>
  <c r="Z10" i="7"/>
  <c r="Z14" i="7"/>
  <c r="AA14" i="6" s="1"/>
  <c r="Z14" i="5" s="1"/>
  <c r="CV14" i="4"/>
  <c r="Z16" i="7"/>
  <c r="AA16" i="6" s="1"/>
  <c r="Z16" i="5" s="1"/>
  <c r="CV16" i="4"/>
  <c r="Z13" i="7"/>
  <c r="AA13" i="6" s="1"/>
  <c r="Z13" i="5" s="1"/>
  <c r="CV13" i="4"/>
  <c r="Z5" i="7"/>
  <c r="AA5" i="6" s="1"/>
  <c r="Z5" i="5" s="1"/>
  <c r="CV5" i="4"/>
  <c r="Z12" i="7"/>
  <c r="AA12" i="6" s="1"/>
  <c r="Z12" i="5" s="1"/>
  <c r="CV12" i="4"/>
  <c r="CV11" i="4"/>
  <c r="Z11" i="7"/>
  <c r="AA11" i="6" s="1"/>
  <c r="Z11" i="5" s="1"/>
  <c r="CV9" i="4"/>
  <c r="Z9" i="7"/>
  <c r="CV15" i="4"/>
  <c r="Z15" i="7"/>
  <c r="Z8" i="7"/>
  <c r="AA8" i="6" s="1"/>
  <c r="Z8" i="5" s="1"/>
  <c r="CV8" i="4"/>
  <c r="CV7" i="4"/>
  <c r="Z7" i="7"/>
  <c r="AA7" i="6" s="1"/>
  <c r="Z7" i="5" s="1"/>
  <c r="CV6" i="4"/>
  <c r="Z6" i="7"/>
  <c r="AA6" i="6" s="1"/>
  <c r="Z6" i="5" s="1"/>
  <c r="AA10" i="6" l="1"/>
  <c r="Z10" i="5" s="1"/>
  <c r="AB15" i="6"/>
  <c r="AA15" i="5" s="1"/>
  <c r="AA9" i="6"/>
  <c r="Z9" i="5" s="1"/>
  <c r="CZ15" i="4"/>
  <c r="AA15" i="7"/>
  <c r="CZ8" i="4"/>
  <c r="AA8" i="7"/>
  <c r="AB8" i="6" s="1"/>
  <c r="AA8" i="5" s="1"/>
  <c r="CZ11" i="4"/>
  <c r="AA11" i="7"/>
  <c r="AB11" i="6" s="1"/>
  <c r="AA11" i="5" s="1"/>
  <c r="AA16" i="7"/>
  <c r="AB16" i="6" s="1"/>
  <c r="AA16" i="5" s="1"/>
  <c r="CZ16" i="4"/>
  <c r="CZ6" i="4"/>
  <c r="AA6" i="7"/>
  <c r="AB6" i="6" s="1"/>
  <c r="AA6" i="5" s="1"/>
  <c r="CZ5" i="4"/>
  <c r="AA5" i="7"/>
  <c r="CZ7" i="4"/>
  <c r="AA7" i="7"/>
  <c r="AB7" i="6" s="1"/>
  <c r="AA7" i="5" s="1"/>
  <c r="CZ12" i="4"/>
  <c r="AA12" i="7"/>
  <c r="AB12" i="6" s="1"/>
  <c r="AA12" i="5" s="1"/>
  <c r="AA13" i="7"/>
  <c r="AB13" i="6" s="1"/>
  <c r="AA13" i="5" s="1"/>
  <c r="CZ13" i="4"/>
  <c r="AA9" i="7"/>
  <c r="CZ9" i="4"/>
  <c r="AA14" i="7"/>
  <c r="AB14" i="6" s="1"/>
  <c r="AA14" i="5" s="1"/>
  <c r="CZ14" i="4"/>
  <c r="CZ10" i="4"/>
  <c r="AA10" i="7"/>
  <c r="AB5" i="6" l="1"/>
  <c r="AA5" i="5" s="1"/>
  <c r="AB9" i="6"/>
  <c r="AA9" i="5" s="1"/>
  <c r="AB10" i="6"/>
  <c r="AA10" i="5" s="1"/>
  <c r="AC15" i="6"/>
  <c r="AB15" i="5" s="1"/>
  <c r="DD16" i="4"/>
  <c r="AB16" i="7"/>
  <c r="AC16" i="6" s="1"/>
  <c r="AB16" i="5" s="1"/>
  <c r="AB12" i="7"/>
  <c r="AC12" i="6" s="1"/>
  <c r="AB12" i="5" s="1"/>
  <c r="DD12" i="4"/>
  <c r="DD5" i="4"/>
  <c r="AB5" i="7"/>
  <c r="AC5" i="6" s="1"/>
  <c r="AB5" i="5" s="1"/>
  <c r="AB8" i="7"/>
  <c r="AC8" i="6" s="1"/>
  <c r="AB8" i="5" s="1"/>
  <c r="DD8" i="4"/>
  <c r="DD14" i="4"/>
  <c r="AB14" i="7"/>
  <c r="AC14" i="6" s="1"/>
  <c r="AB14" i="5" s="1"/>
  <c r="DD10" i="4"/>
  <c r="AB10" i="7"/>
  <c r="AB13" i="7"/>
  <c r="AC13" i="6" s="1"/>
  <c r="AB13" i="5" s="1"/>
  <c r="DD13" i="4"/>
  <c r="DD9" i="4"/>
  <c r="AB9" i="7"/>
  <c r="DD7" i="4"/>
  <c r="AB7" i="7"/>
  <c r="AC7" i="6" s="1"/>
  <c r="AB7" i="5" s="1"/>
  <c r="AB6" i="7"/>
  <c r="AC6" i="6" s="1"/>
  <c r="AB6" i="5" s="1"/>
  <c r="DD6" i="4"/>
  <c r="DD11" i="4"/>
  <c r="AB11" i="7"/>
  <c r="AC11" i="6" s="1"/>
  <c r="AB11" i="5" s="1"/>
  <c r="AB15" i="7"/>
  <c r="DD15" i="4"/>
  <c r="AD15" i="6" l="1"/>
  <c r="AC15" i="5" s="1"/>
  <c r="AC10" i="6"/>
  <c r="AB10" i="5" s="1"/>
  <c r="AC9" i="6"/>
  <c r="AB9" i="5" s="1"/>
  <c r="DH11" i="4"/>
  <c r="AC11" i="7"/>
  <c r="AD11" i="6" s="1"/>
  <c r="AC11" i="5" s="1"/>
  <c r="AC7" i="7"/>
  <c r="AD7" i="6" s="1"/>
  <c r="AC7" i="5" s="1"/>
  <c r="DH7" i="4"/>
  <c r="DH14" i="4"/>
  <c r="AC14" i="7"/>
  <c r="AD14" i="6" s="1"/>
  <c r="AC14" i="5" s="1"/>
  <c r="DH5" i="4"/>
  <c r="AC5" i="7"/>
  <c r="AD5" i="6" s="1"/>
  <c r="AC5" i="5" s="1"/>
  <c r="DH16" i="4"/>
  <c r="AC16" i="7"/>
  <c r="AD16" i="6" s="1"/>
  <c r="AC16" i="5" s="1"/>
  <c r="DH15" i="4"/>
  <c r="AC15" i="7"/>
  <c r="DH6" i="4"/>
  <c r="AC6" i="7"/>
  <c r="AD6" i="6" s="1"/>
  <c r="AC6" i="5" s="1"/>
  <c r="DH8" i="4"/>
  <c r="AC8" i="7"/>
  <c r="AC12" i="7"/>
  <c r="AD12" i="6" s="1"/>
  <c r="AC12" i="5" s="1"/>
  <c r="DH12" i="4"/>
  <c r="DH9" i="4"/>
  <c r="AC9" i="7"/>
  <c r="AC10" i="7"/>
  <c r="DH10" i="4"/>
  <c r="AC13" i="7"/>
  <c r="AD13" i="6" s="1"/>
  <c r="AC13" i="5" s="1"/>
  <c r="DH13" i="4"/>
  <c r="AD10" i="6" l="1"/>
  <c r="AC10" i="5" s="1"/>
  <c r="AE15" i="6"/>
  <c r="AD15" i="5" s="1"/>
  <c r="AD9" i="6"/>
  <c r="AC9" i="5" s="1"/>
  <c r="AD8" i="6"/>
  <c r="AC8" i="5" s="1"/>
  <c r="DL13" i="4"/>
  <c r="DP13" i="4" s="1"/>
  <c r="AD13" i="7"/>
  <c r="AE13" i="6" s="1"/>
  <c r="AD13" i="5" s="1"/>
  <c r="DL7" i="4"/>
  <c r="DP7" i="4" s="1"/>
  <c r="AD7" i="7"/>
  <c r="AE7" i="6" s="1"/>
  <c r="AD7" i="5" s="1"/>
  <c r="DL9" i="4"/>
  <c r="DP9" i="4" s="1"/>
  <c r="AD9" i="7"/>
  <c r="DL8" i="4"/>
  <c r="DP8" i="4" s="1"/>
  <c r="AD8" i="7"/>
  <c r="DL15" i="4"/>
  <c r="DP15" i="4" s="1"/>
  <c r="AD15" i="7"/>
  <c r="AF15" i="6" s="1"/>
  <c r="AE15" i="5" s="1"/>
  <c r="DL5" i="4"/>
  <c r="DP5" i="4" s="1"/>
  <c r="AD5" i="7"/>
  <c r="AE5" i="6" s="1"/>
  <c r="AD5" i="5" s="1"/>
  <c r="AD10" i="7"/>
  <c r="DL10" i="4"/>
  <c r="DP10" i="4" s="1"/>
  <c r="AD12" i="7"/>
  <c r="AE12" i="6" s="1"/>
  <c r="AD12" i="5" s="1"/>
  <c r="DL12" i="4"/>
  <c r="DP12" i="4" s="1"/>
  <c r="DL6" i="4"/>
  <c r="DP6" i="4" s="1"/>
  <c r="AD6" i="7"/>
  <c r="AE6" i="6" s="1"/>
  <c r="AD6" i="5" s="1"/>
  <c r="DL16" i="4"/>
  <c r="DP16" i="4" s="1"/>
  <c r="AD16" i="7"/>
  <c r="AE16" i="6" s="1"/>
  <c r="AD16" i="5" s="1"/>
  <c r="DL14" i="4"/>
  <c r="DP14" i="4" s="1"/>
  <c r="AD14" i="7"/>
  <c r="AE14" i="6" s="1"/>
  <c r="AD14" i="5" s="1"/>
  <c r="DL11" i="4"/>
  <c r="DP11" i="4" s="1"/>
  <c r="AD11" i="7"/>
  <c r="AE11" i="6" s="1"/>
  <c r="AD11" i="5" s="1"/>
  <c r="AE8" i="6" l="1"/>
  <c r="AD8" i="5" s="1"/>
  <c r="AE9" i="6"/>
  <c r="AD9" i="5" s="1"/>
  <c r="AE10" i="6"/>
  <c r="AD10" i="5" s="1"/>
  <c r="DT11" i="4"/>
  <c r="AF11" i="7"/>
  <c r="AF16" i="7"/>
  <c r="DT16" i="4"/>
  <c r="DT5" i="4"/>
  <c r="AF5" i="7"/>
  <c r="DT8" i="4"/>
  <c r="AF8" i="7"/>
  <c r="AF7" i="7"/>
  <c r="DT7" i="4"/>
  <c r="AF12" i="7"/>
  <c r="DT12" i="4"/>
  <c r="DT10" i="4"/>
  <c r="AF10" i="7"/>
  <c r="DT14" i="4"/>
  <c r="AF14" i="7"/>
  <c r="AF6" i="7"/>
  <c r="DT6" i="4"/>
  <c r="AF15" i="7"/>
  <c r="DT15" i="4"/>
  <c r="AF9" i="7"/>
  <c r="DT9" i="4"/>
  <c r="AF13" i="7"/>
  <c r="DT13" i="4"/>
  <c r="AE12" i="7"/>
  <c r="AF12" i="6" s="1"/>
  <c r="AE12" i="5" s="1"/>
  <c r="N21" i="3"/>
  <c r="AE11" i="7"/>
  <c r="AF11" i="6" s="1"/>
  <c r="AE11" i="5" s="1"/>
  <c r="N20" i="3"/>
  <c r="AE16" i="7"/>
  <c r="AF16" i="6" s="1"/>
  <c r="AE16" i="5" s="1"/>
  <c r="N25" i="3"/>
  <c r="AE5" i="7"/>
  <c r="AF5" i="6" s="1"/>
  <c r="AE5" i="5" s="1"/>
  <c r="AE8" i="7"/>
  <c r="N17" i="3"/>
  <c r="AE7" i="7"/>
  <c r="AF7" i="6" s="1"/>
  <c r="AE7" i="5" s="1"/>
  <c r="N16" i="3"/>
  <c r="AE10" i="7"/>
  <c r="N19" i="3"/>
  <c r="AE14" i="7"/>
  <c r="AF14" i="6" s="1"/>
  <c r="AE14" i="5" s="1"/>
  <c r="N23" i="3"/>
  <c r="AE6" i="7"/>
  <c r="AF6" i="6" s="1"/>
  <c r="AE6" i="5" s="1"/>
  <c r="N15" i="3"/>
  <c r="AE15" i="7"/>
  <c r="AG15" i="6" s="1"/>
  <c r="AF15" i="5" s="1"/>
  <c r="N24" i="3"/>
  <c r="AE9" i="7"/>
  <c r="N18" i="3"/>
  <c r="AE13" i="7"/>
  <c r="AF13" i="6" s="1"/>
  <c r="AE13" i="5" s="1"/>
  <c r="N22" i="3"/>
  <c r="AF10" i="6" l="1"/>
  <c r="AE10" i="5" s="1"/>
  <c r="AG10" i="6" s="1"/>
  <c r="AF10" i="5" s="1"/>
  <c r="AF8" i="6"/>
  <c r="AE8" i="5" s="1"/>
  <c r="AG8" i="6" s="1"/>
  <c r="AF8" i="5" s="1"/>
  <c r="AF9" i="6"/>
  <c r="AE9" i="5" s="1"/>
  <c r="AH15" i="6"/>
  <c r="AG15" i="5" s="1"/>
  <c r="AG7" i="6"/>
  <c r="AF7" i="5" s="1"/>
  <c r="AG5" i="6"/>
  <c r="AF5" i="5" s="1"/>
  <c r="AG13" i="6"/>
  <c r="AF13" i="5" s="1"/>
  <c r="AG14" i="6"/>
  <c r="AF14" i="5" s="1"/>
  <c r="AG11" i="6"/>
  <c r="AF11" i="5" s="1"/>
  <c r="AG6" i="6"/>
  <c r="AF6" i="5" s="1"/>
  <c r="AG16" i="6"/>
  <c r="AF16" i="5" s="1"/>
  <c r="AG12" i="6"/>
  <c r="AF12" i="5" s="1"/>
  <c r="AG13" i="7"/>
  <c r="DX13" i="4"/>
  <c r="AG15" i="7"/>
  <c r="DX15" i="4"/>
  <c r="AG12" i="7"/>
  <c r="DX12" i="4"/>
  <c r="AG16" i="7"/>
  <c r="DX16" i="4"/>
  <c r="AG14" i="7"/>
  <c r="DX14" i="4"/>
  <c r="AG8" i="7"/>
  <c r="DX8" i="4"/>
  <c r="AG9" i="7"/>
  <c r="DX9" i="4"/>
  <c r="AG6" i="7"/>
  <c r="DX6" i="4"/>
  <c r="AG7" i="7"/>
  <c r="DX7" i="4"/>
  <c r="AG10" i="7"/>
  <c r="DX10" i="4"/>
  <c r="AG5" i="7"/>
  <c r="DX5" i="4"/>
  <c r="AG11" i="7"/>
  <c r="DX11" i="4"/>
  <c r="H22" i="11"/>
  <c r="G22" i="14"/>
  <c r="J22" i="11"/>
  <c r="G24" i="14"/>
  <c r="H24" i="11"/>
  <c r="J24" i="11"/>
  <c r="G23" i="14"/>
  <c r="H23" i="11"/>
  <c r="J23" i="11"/>
  <c r="H16" i="11"/>
  <c r="G16" i="14"/>
  <c r="J16" i="11"/>
  <c r="G14" i="14"/>
  <c r="H14" i="11"/>
  <c r="J14" i="11"/>
  <c r="G20" i="14"/>
  <c r="H20" i="11"/>
  <c r="J20" i="11"/>
  <c r="G15" i="14"/>
  <c r="H15" i="11"/>
  <c r="J15" i="11"/>
  <c r="G17" i="14"/>
  <c r="H17" i="11"/>
  <c r="H25" i="11"/>
  <c r="G25" i="14"/>
  <c r="J25" i="11"/>
  <c r="H21" i="11"/>
  <c r="G21" i="14"/>
  <c r="J21" i="11"/>
  <c r="J17" i="11" l="1"/>
  <c r="G19" i="14"/>
  <c r="H19" i="11"/>
  <c r="J19" i="11"/>
  <c r="AH10" i="6"/>
  <c r="AG10" i="5" s="1"/>
  <c r="J18" i="11"/>
  <c r="G18" i="14"/>
  <c r="AG9" i="6"/>
  <c r="AF9" i="5" s="1"/>
  <c r="AH9" i="6" s="1"/>
  <c r="AG9" i="5" s="1"/>
  <c r="H18" i="11"/>
  <c r="AH13" i="6"/>
  <c r="AG13" i="5" s="1"/>
  <c r="AH8" i="6"/>
  <c r="AG8" i="5" s="1"/>
  <c r="AH7" i="6"/>
  <c r="AG7" i="5" s="1"/>
  <c r="AH6" i="6"/>
  <c r="AG6" i="5" s="1"/>
  <c r="AH11" i="6"/>
  <c r="AG11" i="5" s="1"/>
  <c r="AH14" i="6"/>
  <c r="AG14" i="5" s="1"/>
  <c r="AH5" i="6"/>
  <c r="AG5" i="5" s="1"/>
  <c r="AI15" i="6"/>
  <c r="AH15" i="5" s="1"/>
  <c r="AH16" i="6"/>
  <c r="AG16" i="5" s="1"/>
  <c r="AH12" i="6"/>
  <c r="AG12" i="5" s="1"/>
  <c r="AH11" i="7"/>
  <c r="EB11" i="4"/>
  <c r="AH16" i="7"/>
  <c r="EB16" i="4"/>
  <c r="AH10" i="7"/>
  <c r="EB10" i="4"/>
  <c r="AH6" i="7"/>
  <c r="EB6" i="4"/>
  <c r="AH8" i="7"/>
  <c r="EB8" i="4"/>
  <c r="AH15" i="7"/>
  <c r="EB15" i="4"/>
  <c r="AH5" i="7"/>
  <c r="EB5" i="4"/>
  <c r="AH7" i="7"/>
  <c r="EB7" i="4"/>
  <c r="AH9" i="7"/>
  <c r="EB9" i="4"/>
  <c r="AH14" i="7"/>
  <c r="EB14" i="4"/>
  <c r="AH12" i="7"/>
  <c r="EB12" i="4"/>
  <c r="AH13" i="7"/>
  <c r="EB13" i="4"/>
  <c r="H27" i="11" l="1"/>
  <c r="J27" i="11"/>
  <c r="G29" i="14"/>
  <c r="AI10" i="6"/>
  <c r="AH10" i="5" s="1"/>
  <c r="AI14" i="6"/>
  <c r="AH14" i="5" s="1"/>
  <c r="AI16" i="6"/>
  <c r="AH16" i="5" s="1"/>
  <c r="AI8" i="6"/>
  <c r="AH8" i="5" s="1"/>
  <c r="AI7" i="6"/>
  <c r="AH7" i="5" s="1"/>
  <c r="AI11" i="6"/>
  <c r="AH11" i="5" s="1"/>
  <c r="AJ15" i="6"/>
  <c r="AI15" i="5" s="1"/>
  <c r="AI12" i="6"/>
  <c r="AH12" i="5" s="1"/>
  <c r="AI9" i="6"/>
  <c r="AH9" i="5" s="1"/>
  <c r="AI5" i="6"/>
  <c r="AH5" i="5" s="1"/>
  <c r="AI13" i="6"/>
  <c r="AH13" i="5" s="1"/>
  <c r="AI6" i="6"/>
  <c r="AH6" i="5" s="1"/>
  <c r="AI13" i="7"/>
  <c r="EF13" i="4"/>
  <c r="AI14" i="7"/>
  <c r="EF14" i="4"/>
  <c r="AI7" i="7"/>
  <c r="EF7" i="4"/>
  <c r="AI15" i="7"/>
  <c r="EF15" i="4"/>
  <c r="AI6" i="7"/>
  <c r="EF6" i="4"/>
  <c r="AI16" i="7"/>
  <c r="EF16" i="4"/>
  <c r="AI12" i="7"/>
  <c r="EF12" i="4"/>
  <c r="AI9" i="7"/>
  <c r="EF9" i="4"/>
  <c r="AI5" i="7"/>
  <c r="EF5" i="4"/>
  <c r="AI8" i="7"/>
  <c r="EF8" i="4"/>
  <c r="AI10" i="7"/>
  <c r="AJ10" i="6" s="1"/>
  <c r="AI10" i="5" s="1"/>
  <c r="EF10" i="4"/>
  <c r="AI11" i="7"/>
  <c r="EF11" i="4"/>
  <c r="AJ12" i="6" l="1"/>
  <c r="AI12" i="5" s="1"/>
  <c r="AJ16" i="6"/>
  <c r="AI16" i="5" s="1"/>
  <c r="AK15" i="6"/>
  <c r="AJ15" i="5" s="1"/>
  <c r="AJ5" i="6"/>
  <c r="AI5" i="5" s="1"/>
  <c r="AJ8" i="6"/>
  <c r="AI8" i="5" s="1"/>
  <c r="AJ6" i="6"/>
  <c r="AI6" i="5" s="1"/>
  <c r="AJ7" i="6"/>
  <c r="AI7" i="5" s="1"/>
  <c r="AJ13" i="6"/>
  <c r="AI13" i="5" s="1"/>
  <c r="AJ9" i="6"/>
  <c r="AI9" i="5" s="1"/>
  <c r="AJ11" i="6"/>
  <c r="AI11" i="5" s="1"/>
  <c r="AJ14" i="6"/>
  <c r="AI14" i="5" s="1"/>
  <c r="AJ11" i="7"/>
  <c r="EJ11" i="4"/>
  <c r="AJ8" i="7"/>
  <c r="EJ8" i="4"/>
  <c r="AJ9" i="7"/>
  <c r="EJ9" i="4"/>
  <c r="AJ16" i="7"/>
  <c r="EJ16" i="4"/>
  <c r="AJ15" i="7"/>
  <c r="EJ15" i="4"/>
  <c r="AJ14" i="7"/>
  <c r="EJ14" i="4"/>
  <c r="AJ10" i="7"/>
  <c r="AK10" i="6" s="1"/>
  <c r="AJ10" i="5" s="1"/>
  <c r="EJ10" i="4"/>
  <c r="AJ5" i="7"/>
  <c r="EJ5" i="4"/>
  <c r="AJ12" i="7"/>
  <c r="EJ12" i="4"/>
  <c r="AJ6" i="7"/>
  <c r="EJ6" i="4"/>
  <c r="AJ7" i="7"/>
  <c r="EJ7" i="4"/>
  <c r="AJ13" i="7"/>
  <c r="EJ13" i="4"/>
  <c r="AK13" i="7" l="1"/>
  <c r="EN13" i="4"/>
  <c r="AK6" i="7"/>
  <c r="EN6" i="4"/>
  <c r="AK5" i="7"/>
  <c r="EN5" i="4"/>
  <c r="AK14" i="7"/>
  <c r="EN14" i="4"/>
  <c r="AK16" i="7"/>
  <c r="EN16" i="4"/>
  <c r="AK8" i="7"/>
  <c r="EN8" i="4"/>
  <c r="AK7" i="7"/>
  <c r="EN7" i="4"/>
  <c r="AK12" i="7"/>
  <c r="EN12" i="4"/>
  <c r="AK10" i="7"/>
  <c r="AL10" i="6" s="1"/>
  <c r="AK10" i="5" s="1"/>
  <c r="EN10" i="4"/>
  <c r="AK15" i="7"/>
  <c r="EN15" i="4"/>
  <c r="AK9" i="7"/>
  <c r="EN9" i="4"/>
  <c r="AK11" i="7"/>
  <c r="EN11" i="4"/>
  <c r="AK5" i="6"/>
  <c r="AJ5" i="5" s="1"/>
  <c r="AK7" i="6"/>
  <c r="AJ7" i="5" s="1"/>
  <c r="AL15" i="6"/>
  <c r="AK15" i="5" s="1"/>
  <c r="AK14" i="6"/>
  <c r="AJ14" i="5" s="1"/>
  <c r="AK11" i="6"/>
  <c r="AJ11" i="5" s="1"/>
  <c r="AK6" i="6"/>
  <c r="AJ6" i="5" s="1"/>
  <c r="AK16" i="6"/>
  <c r="AJ16" i="5" s="1"/>
  <c r="AK13" i="6"/>
  <c r="AJ13" i="5" s="1"/>
  <c r="AK9" i="6"/>
  <c r="AJ9" i="5" s="1"/>
  <c r="AK8" i="6"/>
  <c r="AJ8" i="5" s="1"/>
  <c r="AK12" i="6"/>
  <c r="AJ12" i="5" s="1"/>
  <c r="ER12" i="4" l="1"/>
  <c r="AM12" i="7" s="1"/>
  <c r="AL12" i="7"/>
  <c r="ER11" i="4"/>
  <c r="AM11" i="7" s="1"/>
  <c r="AL11" i="7"/>
  <c r="ER15" i="4"/>
  <c r="AM15" i="7" s="1"/>
  <c r="AL15" i="7"/>
  <c r="ER8" i="4"/>
  <c r="AM8" i="7" s="1"/>
  <c r="AL8" i="7"/>
  <c r="ER14" i="4"/>
  <c r="AM14" i="7" s="1"/>
  <c r="AL14" i="7"/>
  <c r="ER6" i="4"/>
  <c r="AM6" i="7" s="1"/>
  <c r="AL6" i="7"/>
  <c r="ER9" i="4"/>
  <c r="AM9" i="7" s="1"/>
  <c r="AL9" i="7"/>
  <c r="ER10" i="4"/>
  <c r="AM10" i="7" s="1"/>
  <c r="AL10" i="7"/>
  <c r="AM10" i="6" s="1"/>
  <c r="AL10" i="5" s="1"/>
  <c r="ER7" i="4"/>
  <c r="AM7" i="7" s="1"/>
  <c r="AL7" i="7"/>
  <c r="ER16" i="4"/>
  <c r="AM16" i="7" s="1"/>
  <c r="AL16" i="7"/>
  <c r="ER5" i="4"/>
  <c r="AL5" i="7"/>
  <c r="ER13" i="4"/>
  <c r="AM13" i="7" s="1"/>
  <c r="AL13" i="7"/>
  <c r="AL13" i="6"/>
  <c r="AK13" i="5" s="1"/>
  <c r="AL16" i="6"/>
  <c r="AK16" i="5" s="1"/>
  <c r="AL7" i="6"/>
  <c r="AK7" i="5" s="1"/>
  <c r="AL9" i="6"/>
  <c r="AK9" i="5" s="1"/>
  <c r="AL12" i="6"/>
  <c r="AK12" i="5" s="1"/>
  <c r="AL8" i="6"/>
  <c r="AK8" i="5" s="1"/>
  <c r="AL6" i="6"/>
  <c r="AK6" i="5" s="1"/>
  <c r="AL14" i="6"/>
  <c r="AK14" i="5" s="1"/>
  <c r="AL5" i="6"/>
  <c r="AK5" i="5" s="1"/>
  <c r="AL11" i="6"/>
  <c r="AK11" i="5" s="1"/>
  <c r="AM15" i="6"/>
  <c r="AL15" i="5" s="1"/>
  <c r="AM5" i="7" l="1"/>
  <c r="N14" i="3"/>
  <c r="N27" i="3" s="1"/>
  <c r="N31" i="3" s="1"/>
  <c r="J14" i="1" s="1"/>
  <c r="AM7" i="6"/>
  <c r="AL7" i="5" s="1"/>
  <c r="AM8" i="6"/>
  <c r="AL8" i="5" s="1"/>
  <c r="AM16" i="6"/>
  <c r="AL16" i="5" s="1"/>
  <c r="AN15" i="6"/>
  <c r="AM15" i="5" s="1"/>
  <c r="AM11" i="6"/>
  <c r="AL11" i="5" s="1"/>
  <c r="AM5" i="6"/>
  <c r="AL5" i="5" s="1"/>
  <c r="AM12" i="6"/>
  <c r="AL12" i="5" s="1"/>
  <c r="AM13" i="6"/>
  <c r="AL13" i="5" s="1"/>
  <c r="AM6" i="6"/>
  <c r="AL6" i="5" s="1"/>
  <c r="AM14" i="6"/>
  <c r="AL14" i="5" s="1"/>
  <c r="AM9" i="6"/>
  <c r="AL9" i="5" s="1"/>
  <c r="AN10" i="6"/>
  <c r="AM10" i="5" s="1"/>
  <c r="AN9" i="6" l="1"/>
  <c r="AM9" i="5" s="1"/>
  <c r="AN12" i="6"/>
  <c r="AM12" i="5" s="1"/>
  <c r="AN16" i="6"/>
  <c r="AM16" i="5" s="1"/>
  <c r="AN13" i="6"/>
  <c r="AM13" i="5" s="1"/>
  <c r="AN14" i="6"/>
  <c r="AM14" i="5" s="1"/>
  <c r="AN5" i="6"/>
  <c r="AM5" i="5" s="1"/>
  <c r="AN8" i="6"/>
  <c r="AM8" i="5" s="1"/>
  <c r="AN6" i="6"/>
  <c r="AM6" i="5" s="1"/>
  <c r="AN11" i="6"/>
  <c r="AM11" i="5" s="1"/>
  <c r="AN7" i="6"/>
  <c r="AM7" i="5" s="1"/>
  <c r="K17" i="6" l="1"/>
  <c r="J17" i="5" s="1"/>
  <c r="L17" i="6" l="1"/>
  <c r="K17" i="5" s="1"/>
  <c r="M17" i="6" l="1"/>
  <c r="L17" i="5" s="1"/>
  <c r="N17" i="6" l="1"/>
  <c r="M17" i="5" s="1"/>
  <c r="O17" i="6" l="1"/>
  <c r="N17" i="5" s="1"/>
  <c r="P17" i="6" l="1"/>
  <c r="O17" i="5" s="1"/>
  <c r="G27" i="13" l="1"/>
  <c r="H29" i="9"/>
  <c r="H31" i="9" s="1"/>
  <c r="H16" i="8" s="1"/>
  <c r="Q17" i="6"/>
  <c r="P17" i="5" s="1"/>
  <c r="H19" i="8" l="1"/>
  <c r="R17" i="6"/>
  <c r="Q17" i="5" s="1"/>
  <c r="S17" i="6" l="1"/>
  <c r="R17" i="5" s="1"/>
  <c r="T17" i="6" l="1"/>
  <c r="S17" i="5" s="1"/>
  <c r="U17" i="6" l="1"/>
  <c r="T17" i="5" s="1"/>
  <c r="V17" i="6" l="1"/>
  <c r="U17" i="5" s="1"/>
  <c r="W17" i="6" l="1"/>
  <c r="V17" i="5" s="1"/>
  <c r="X17" i="6" l="1"/>
  <c r="W17" i="5" s="1"/>
  <c r="Y17" i="6" l="1"/>
  <c r="X17" i="5" s="1"/>
  <c r="Z17" i="6" l="1"/>
  <c r="Y17" i="5" s="1"/>
  <c r="AA17" i="6" l="1"/>
  <c r="Z17" i="5" s="1"/>
  <c r="AB17" i="6" l="1"/>
  <c r="AA17" i="5" s="1"/>
  <c r="AC17" i="6" l="1"/>
  <c r="AB17" i="5" s="1"/>
  <c r="AD17" i="6" l="1"/>
  <c r="AC17" i="5" s="1"/>
  <c r="AE17" i="6" l="1"/>
  <c r="AD17" i="5" s="1"/>
  <c r="AF17" i="6" l="1"/>
  <c r="AE17" i="5" s="1"/>
  <c r="G27" i="14" l="1"/>
  <c r="H29" i="11"/>
  <c r="H31" i="11" s="1"/>
  <c r="H16" i="1" s="1"/>
  <c r="H19" i="1" s="1"/>
  <c r="AG17" i="6"/>
  <c r="AF17" i="5" s="1"/>
  <c r="AH17" i="6" l="1"/>
  <c r="AG17" i="5" s="1"/>
  <c r="AI17" i="6" l="1"/>
  <c r="AH17" i="5" s="1"/>
  <c r="AJ17" i="6" l="1"/>
  <c r="AI17" i="5" s="1"/>
  <c r="AK17" i="6" l="1"/>
  <c r="AJ17" i="5" s="1"/>
  <c r="AL17" i="6" l="1"/>
  <c r="AK17" i="5" s="1"/>
  <c r="AM17" i="6" l="1"/>
  <c r="AL17" i="5" s="1"/>
  <c r="AN17" i="6" l="1"/>
  <c r="AM17" i="5" s="1"/>
  <c r="J29" i="11" l="1"/>
  <c r="J31" i="11" s="1"/>
  <c r="J16" i="1" s="1"/>
  <c r="J19" i="1" s="1"/>
  <c r="H6" i="5"/>
  <c r="G6" i="5" s="1"/>
  <c r="F6" i="5" s="1"/>
  <c r="E6" i="5" s="1"/>
  <c r="D6" i="5" s="1"/>
  <c r="C6" i="5" s="1"/>
  <c r="H7" i="5"/>
  <c r="G7" i="5" s="1"/>
  <c r="F7" i="5" s="1"/>
  <c r="E7" i="5" s="1"/>
  <c r="D7" i="5" s="1"/>
  <c r="C7" i="5" s="1"/>
  <c r="H15" i="5"/>
  <c r="G15" i="5" s="1"/>
  <c r="F15" i="5" s="1"/>
  <c r="E15" i="5" s="1"/>
  <c r="D15" i="5" s="1"/>
  <c r="C15" i="5" s="1"/>
  <c r="H10" i="5"/>
  <c r="G10" i="5" s="1"/>
  <c r="F10" i="5" s="1"/>
  <c r="E10" i="5" s="1"/>
  <c r="D10" i="5" s="1"/>
  <c r="C10" i="5" s="1"/>
  <c r="H11" i="5"/>
  <c r="G11" i="5" s="1"/>
  <c r="F11" i="5" s="1"/>
  <c r="E11" i="5" s="1"/>
  <c r="D11" i="5" s="1"/>
  <c r="C11" i="5" s="1"/>
  <c r="H8" i="5"/>
  <c r="G8" i="5" s="1"/>
  <c r="F8" i="5" s="1"/>
  <c r="E8" i="5" s="1"/>
  <c r="D8" i="5" s="1"/>
  <c r="C8" i="5" s="1"/>
  <c r="H12" i="5"/>
  <c r="G12" i="5" s="1"/>
  <c r="F12" i="5" s="1"/>
  <c r="E12" i="5" s="1"/>
  <c r="D12" i="5" s="1"/>
  <c r="C12" i="5" s="1"/>
  <c r="H16" i="5"/>
  <c r="H14" i="5"/>
  <c r="G14" i="5" s="1"/>
  <c r="F14" i="5" s="1"/>
  <c r="E14" i="5" s="1"/>
  <c r="D14" i="5" s="1"/>
  <c r="C14" i="5" s="1"/>
  <c r="H5" i="5"/>
  <c r="G5" i="5" s="1"/>
  <c r="F5" i="5" s="1"/>
  <c r="E5" i="5" s="1"/>
  <c r="D5" i="5" s="1"/>
  <c r="C5" i="5" s="1"/>
  <c r="H9" i="5"/>
  <c r="G9" i="5" s="1"/>
  <c r="F9" i="5" s="1"/>
  <c r="E9" i="5" s="1"/>
  <c r="D9" i="5" s="1"/>
  <c r="C9" i="5" s="1"/>
  <c r="H13" i="5"/>
  <c r="G13" i="5" l="1"/>
  <c r="F13" i="5" s="1"/>
  <c r="E13" i="5" s="1"/>
  <c r="D13" i="5" s="1"/>
  <c r="C13" i="5" s="1"/>
  <c r="G16" i="5"/>
  <c r="F16" i="5" s="1"/>
  <c r="E16" i="5" s="1"/>
  <c r="D16" i="5" s="1"/>
  <c r="C16" i="5" s="1"/>
  <c r="B19" i="12" l="1"/>
  <c r="E14" i="21" s="1"/>
  <c r="I14" i="21" l="1"/>
  <c r="I16" i="21" s="1"/>
  <c r="H24" i="8" s="1"/>
  <c r="H29" i="8" s="1"/>
  <c r="B3" i="24" s="1"/>
  <c r="E16" i="21"/>
  <c r="C19" i="12" l="1"/>
  <c r="E14" i="23" s="1"/>
  <c r="E16" i="23" l="1"/>
  <c r="I14" i="23"/>
  <c r="I16" i="23" s="1"/>
  <c r="J24" i="1" s="1"/>
  <c r="H24" i="1" l="1"/>
  <c r="H29" i="1" s="1"/>
  <c r="J29" i="1"/>
  <c r="C3" i="2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<sst xmlns="http://schemas.openxmlformats.org/spreadsheetml/2006/main" count="701" uniqueCount="164">
  <si>
    <t>Line</t>
  </si>
  <si>
    <t>Supporting Reference Schedule</t>
  </si>
  <si>
    <t>End of Period Amount</t>
  </si>
  <si>
    <t>No.</t>
  </si>
  <si>
    <t>Rate Base Component</t>
  </si>
  <si>
    <t>Sewer</t>
  </si>
  <si>
    <t>Utility Plant In Service</t>
  </si>
  <si>
    <t>Accumulated Depreciation</t>
  </si>
  <si>
    <t>Net Utility Plant in Service</t>
  </si>
  <si>
    <t>Construction Work In Progress</t>
  </si>
  <si>
    <t>Working Capital Allowance</t>
  </si>
  <si>
    <t>Contributions in Aid of Construction</t>
  </si>
  <si>
    <t>Jurisdicitional Rate Base</t>
  </si>
  <si>
    <t>13 Mo. Forecasted Period Average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</si>
  <si>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 xml:space="preserve"> X Base Period _ Forecast Period</t>
    </r>
  </si>
  <si>
    <r>
      <rPr>
        <b/>
        <sz val="11"/>
        <color theme="1"/>
        <rFont val="Calibri"/>
        <family val="2"/>
        <scheme val="minor"/>
      </rPr>
      <t xml:space="preserve">Version: </t>
    </r>
    <r>
      <rPr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Original _Updated _Revised</t>
    </r>
  </si>
  <si>
    <t>NARUC Acct.</t>
  </si>
  <si>
    <t>Base Period Beginning Balance</t>
  </si>
  <si>
    <t>Additions</t>
  </si>
  <si>
    <t>Retirements</t>
  </si>
  <si>
    <t>Base Period Ending Balance</t>
  </si>
  <si>
    <t>Account Title</t>
  </si>
  <si>
    <t>Miscellaneous Intangible Plant</t>
  </si>
  <si>
    <t>Land and Land Rights</t>
  </si>
  <si>
    <t>S&amp;I   Source of Supply</t>
  </si>
  <si>
    <t>Collection Sewers   Force Mains</t>
  </si>
  <si>
    <t>Collection Sewers   Gravity</t>
  </si>
  <si>
    <t>Electric Sewer Pumping Equip</t>
  </si>
  <si>
    <t>Treatment &amp; Disposal Equipment</t>
  </si>
  <si>
    <t>Plant Sewers</t>
  </si>
  <si>
    <t>Outfall Sewer Lines</t>
  </si>
  <si>
    <t>Office Furn Equip (IT)</t>
  </si>
  <si>
    <t>Communication Equipment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</si>
  <si>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 xml:space="preserve"> _ Base Period X Forecast Period</t>
    </r>
  </si>
  <si>
    <t>Forecast Period Beginning Balance</t>
  </si>
  <si>
    <t>Forecast Period Ending Balance</t>
  </si>
  <si>
    <t>13 Month Average</t>
  </si>
  <si>
    <t>Base Period Plant Investment</t>
  </si>
  <si>
    <t>Accumulated Reserve Balances</t>
  </si>
  <si>
    <t>Forecast Period Plant Investment</t>
  </si>
  <si>
    <t>13 mo. Average</t>
  </si>
  <si>
    <t>Depreciation Accural Rates and Accumulated Balances by Account</t>
  </si>
  <si>
    <t>Plant Investment</t>
  </si>
  <si>
    <t>Accumulated Reserve</t>
  </si>
  <si>
    <t>Current Accrual Rate</t>
  </si>
  <si>
    <t>Calculated Depreciation Expense</t>
  </si>
  <si>
    <t>Net Salvage</t>
  </si>
  <si>
    <t>Average Service Life</t>
  </si>
  <si>
    <t>Total Depreciable Property</t>
  </si>
  <si>
    <t>Consturtion Work in Progress - Percent Complete</t>
  </si>
  <si>
    <t>Date Construction Began</t>
  </si>
  <si>
    <t>Estimated Completion Date</t>
  </si>
  <si>
    <t>% of Elapsed Time</t>
  </si>
  <si>
    <t>Original Budget Estimate</t>
  </si>
  <si>
    <t>Current Budget Estimate</t>
  </si>
  <si>
    <t>Total Estimated Project Expenditures</t>
  </si>
  <si>
    <t>Project Name</t>
  </si>
  <si>
    <t>Service Area/Type</t>
  </si>
  <si>
    <t>Airview - Wastewater</t>
  </si>
  <si>
    <t>Brocklyn - Wastewater</t>
  </si>
  <si>
    <t>Fox Run - Wastewater</t>
  </si>
  <si>
    <t>Kingswood - Wastewater</t>
  </si>
  <si>
    <t>Lake Columbia - Wastewater</t>
  </si>
  <si>
    <t>LH Treatment - Wastewater</t>
  </si>
  <si>
    <t>Golden Acres - Wastewater</t>
  </si>
  <si>
    <t>Great Oaks - Wastewater</t>
  </si>
  <si>
    <t>River Bluffs - Wastewater</t>
  </si>
  <si>
    <t>Timberland - Wastewater</t>
  </si>
  <si>
    <t>Beginning Balance</t>
  </si>
  <si>
    <t>Balance</t>
  </si>
  <si>
    <t>Other</t>
  </si>
  <si>
    <t>Rate</t>
  </si>
  <si>
    <t>Plant Expansion &amp; System Rehabilitation</t>
  </si>
  <si>
    <t>System Rehabilitation</t>
  </si>
  <si>
    <t>Delaplain - Wastewater</t>
  </si>
  <si>
    <t>Herrington Haven - Wastewater</t>
  </si>
  <si>
    <t>SpringCrest - Wastewater</t>
  </si>
  <si>
    <t>Woodland Acres - Wastewater</t>
  </si>
  <si>
    <t>MBBR Addition &amp; System Rehabilitation</t>
  </si>
  <si>
    <t>MBBR Conversion &amp; System Rehabilitation</t>
  </si>
  <si>
    <t>Flow Equalization &amp; Final Plant Rehabilitation</t>
  </si>
  <si>
    <t>Final Plant Rehabilitation</t>
  </si>
  <si>
    <t>Plant Rehabilitation &amp; Flow Equalization</t>
  </si>
  <si>
    <t>Total Plant Replacement With MBBR Plant</t>
  </si>
  <si>
    <t>Plant Rehabilitation With Flow Equalization &amp; Sludge Holding</t>
  </si>
  <si>
    <t>Plant Rehabilitation With Flow Equalization &amp; Sludge Digestor</t>
  </si>
  <si>
    <t>Plant Rehabilitation &amp; Sludge Digestor Replacement</t>
  </si>
  <si>
    <t xml:space="preserve">Plant Rehabilitation With MBBR &amp; New Digestor </t>
  </si>
  <si>
    <t>Plant Rehabilitation</t>
  </si>
  <si>
    <t>FY Beginning</t>
  </si>
  <si>
    <t>Current Date</t>
  </si>
  <si>
    <t>Acct Name</t>
  </si>
  <si>
    <t>Acct #</t>
  </si>
  <si>
    <t>System</t>
  </si>
  <si>
    <t>Current Balance</t>
  </si>
  <si>
    <t>Trans In/Ret</t>
  </si>
  <si>
    <t>1/1/20 Balance</t>
  </si>
  <si>
    <t>Ret</t>
  </si>
  <si>
    <t>1/1/20 Acc Amort</t>
  </si>
  <si>
    <t>Amort %</t>
  </si>
  <si>
    <t>Monthly Amort</t>
  </si>
  <si>
    <t>YTD Amort</t>
  </si>
  <si>
    <t>Period End Acc Amort</t>
  </si>
  <si>
    <t>CIAC-Sewer</t>
  </si>
  <si>
    <t>Tap in Fees</t>
  </si>
  <si>
    <t>CIAC-Water</t>
  </si>
  <si>
    <t>Water</t>
  </si>
  <si>
    <t>Alloc.</t>
  </si>
  <si>
    <t>Class</t>
  </si>
  <si>
    <t>Witness: B. Thies</t>
  </si>
  <si>
    <t>Exhibit 21, Schedule B-1</t>
  </si>
  <si>
    <t>Exhibit 21, Schedule B-2</t>
  </si>
  <si>
    <t>Exhibit 21, Schedule B-3</t>
  </si>
  <si>
    <t>Exhibit 21, Schedule B-3.1</t>
  </si>
  <si>
    <t>Exhibit 21, Schedule B-4</t>
  </si>
  <si>
    <t>Base Year</t>
  </si>
  <si>
    <t>Forecast Year</t>
  </si>
  <si>
    <t>Operating Expense for Working Capital</t>
  </si>
  <si>
    <t>B-2</t>
  </si>
  <si>
    <t>B-3</t>
  </si>
  <si>
    <t>B-4</t>
  </si>
  <si>
    <t>B-5</t>
  </si>
  <si>
    <t>Working Capital</t>
  </si>
  <si>
    <t>Lead Days</t>
  </si>
  <si>
    <t>Dollar Days</t>
  </si>
  <si>
    <t>Operating Expenses</t>
  </si>
  <si>
    <t>Amount</t>
  </si>
  <si>
    <t>Exhibit 21, Schedule B-5</t>
  </si>
  <si>
    <t>Total Working Capital</t>
  </si>
  <si>
    <t>Description</t>
  </si>
  <si>
    <t>Rate Base Summary</t>
  </si>
  <si>
    <t>B-6</t>
  </si>
  <si>
    <t>Rate Base</t>
  </si>
  <si>
    <t>River Bluffs</t>
  </si>
  <si>
    <t>Center Ridge</t>
  </si>
  <si>
    <t>ACQ</t>
  </si>
  <si>
    <t>Acquisitions</t>
  </si>
  <si>
    <t>Acquistions</t>
  </si>
  <si>
    <t>Total General</t>
  </si>
  <si>
    <t>Various</t>
  </si>
  <si>
    <t>Plant in Service by Accounts with Gross Additions, Retirements &amp; Transfers</t>
  </si>
  <si>
    <t>Acqusition Acc. Dep</t>
  </si>
  <si>
    <t>Median Depreciation Rate Used</t>
  </si>
  <si>
    <t>Total Accumulated Depreciation</t>
  </si>
  <si>
    <t>Total Utility Plant in Service</t>
  </si>
  <si>
    <t>Exhibit 21, Schedule B-6</t>
  </si>
  <si>
    <t>Delaplain</t>
  </si>
  <si>
    <t>Bluegrass Water Utility Operating Company CIAC Base Year</t>
  </si>
  <si>
    <t>Bluegrass Water Utility Operating Company CIAC Forecast Year</t>
  </si>
  <si>
    <t>1/1/22 Balance</t>
  </si>
  <si>
    <t>Bluegrass Water Utility Operating Company CIAC Interim Year</t>
  </si>
  <si>
    <t>1/1/21 Balance</t>
  </si>
  <si>
    <t>1/1/21 Acc Amort</t>
  </si>
  <si>
    <t>1/1/22 Acc Amort</t>
  </si>
  <si>
    <t>Total Company</t>
  </si>
  <si>
    <t>Balance Remaining</t>
  </si>
  <si>
    <t>Workpaper</t>
  </si>
  <si>
    <t>Reference</t>
  </si>
  <si>
    <t>CIAC WP</t>
  </si>
  <si>
    <t>Depreciation</t>
  </si>
  <si>
    <t>Annual CIAC Amort</t>
  </si>
  <si>
    <t>Deperciation net of CIAC</t>
  </si>
  <si>
    <t>To Income Statement</t>
  </si>
  <si>
    <t>To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</si>
</sst>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[$-409]mmm\-yy;@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113">
    <xf numFmtId="0" fontId="0" fillId="0" borderId="0" xfId="0"/>
    <xf numFmtId="0" fontId="0" fillId="2" borderId="0" xfId="0" applyFill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43" fontId="0" fillId="2" borderId="1" xfId="0" applyNumberFormat="1" applyFill="1" applyBorder="1" applyAlignment="1">
      <alignment horizontal="center"/>
    </xf>
    <xf numFmtId="43" fontId="0" fillId="2" borderId="0" xfId="0" applyNumberForma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5" fillId="2" borderId="0" xfId="0" applyFont="1" applyFill="1"/>
    <xf numFmtId="165" fontId="0" fillId="2" borderId="0" xfId="0" applyNumberFormat="1" applyFill="1"/>
    <xf numFmtId="0" fontId="0" fillId="2" borderId="0" xfId="0" applyFill="1" applyAlignment="1">
      <alignment horizontal="left" indent="1"/>
    </xf>
    <xf numFmtId="41" fontId="0" fillId="2" borderId="0" xfId="0" applyNumberFormat="1" applyFill="1"/>
    <xf numFmtId="0" fontId="0" fillId="2" borderId="0" xfId="0" applyFill="1" applyAlignment="1">
      <alignment horizontal="left"/>
    </xf>
    <xf numFmtId="41" fontId="2" fillId="2" borderId="0" xfId="0" applyNumberFormat="1" applyFont="1" applyFill="1"/>
    <xf numFmtId="0" fontId="6" fillId="2" borderId="0" xfId="0" applyFont="1" applyFill="1"/>
    <xf numFmtId="41" fontId="0" fillId="2" borderId="2" xfId="0" applyNumberFormat="1" applyFill="1" applyBorder="1"/>
    <xf numFmtId="0" fontId="7" fillId="2" borderId="0" xfId="0" applyFont="1" applyFill="1" applyAlignment="1">
      <alignment horizontal="left" indent="1"/>
    </xf>
    <xf numFmtId="0" fontId="7" fillId="2" borderId="0" xfId="0" applyFont="1" applyFill="1" applyAlignment="1">
      <alignment horizontal="left"/>
    </xf>
    <xf numFmtId="41" fontId="0" fillId="2" borderId="3" xfId="0" applyNumberFormat="1" applyFill="1" applyBorder="1"/>
    <xf numFmtId="165" fontId="0" fillId="2" borderId="0" xfId="0" applyNumberFormat="1" applyFill="1" applyAlignment="1">
      <alignment horizontal="right"/>
    </xf>
    <xf numFmtId="165" fontId="2" fillId="2" borderId="0" xfId="0" applyNumberFormat="1" applyFont="1" applyFill="1"/>
    <xf numFmtId="0" fontId="7" fillId="2" borderId="0" xfId="0" applyFont="1" applyFill="1"/>
    <xf numFmtId="10" fontId="2" fillId="2" borderId="0" xfId="1" applyNumberFormat="1" applyFont="1" applyFill="1"/>
    <xf numFmtId="10" fontId="2" fillId="2" borderId="0" xfId="1" applyNumberFormat="1" applyFont="1" applyFill="1" applyBorder="1"/>
    <xf numFmtId="0" fontId="0" fillId="2" borderId="0" xfId="0" applyFont="1" applyFill="1"/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9" fillId="2" borderId="0" xfId="0" applyFont="1" applyFill="1" applyAlignment="1">
      <alignment wrapText="1"/>
    </xf>
    <xf numFmtId="0" fontId="11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166" fontId="9" fillId="2" borderId="1" xfId="0" applyNumberFormat="1" applyFont="1" applyFill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/>
    </xf>
    <xf numFmtId="41" fontId="7" fillId="2" borderId="0" xfId="0" applyNumberFormat="1" applyFont="1" applyFill="1"/>
    <xf numFmtId="0" fontId="8" fillId="2" borderId="0" xfId="0" applyFont="1" applyFill="1"/>
    <xf numFmtId="41" fontId="9" fillId="2" borderId="0" xfId="0" applyNumberFormat="1" applyFont="1" applyFill="1"/>
    <xf numFmtId="2" fontId="10" fillId="2" borderId="0" xfId="0" applyNumberFormat="1" applyFont="1" applyFill="1"/>
    <xf numFmtId="1" fontId="10" fillId="2" borderId="0" xfId="0" applyNumberFormat="1" applyFont="1" applyFill="1"/>
    <xf numFmtId="166" fontId="12" fillId="2" borderId="1" xfId="0" applyNumberFormat="1" applyFont="1" applyFill="1" applyBorder="1" applyAlignment="1">
      <alignment horizontal="center"/>
    </xf>
    <xf numFmtId="10" fontId="10" fillId="2" borderId="0" xfId="1" applyNumberFormat="1" applyFont="1" applyFill="1"/>
    <xf numFmtId="0" fontId="0" fillId="2" borderId="0" xfId="0" applyFill="1" applyAlignment="1"/>
    <xf numFmtId="14" fontId="0" fillId="0" borderId="0" xfId="0" applyNumberFormat="1"/>
    <xf numFmtId="0" fontId="2" fillId="2" borderId="0" xfId="0" applyFont="1" applyFill="1" applyBorder="1" applyAlignment="1">
      <alignment horizontal="center" wrapText="1"/>
    </xf>
    <xf numFmtId="43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164" fontId="2" fillId="2" borderId="0" xfId="0" applyNumberFormat="1" applyFont="1" applyFill="1" applyBorder="1"/>
    <xf numFmtId="0" fontId="0" fillId="2" borderId="0" xfId="0" applyFill="1" applyBorder="1" applyAlignment="1">
      <alignment wrapText="1"/>
    </xf>
    <xf numFmtId="0" fontId="2" fillId="2" borderId="0" xfId="0" applyFont="1" applyFill="1" applyBorder="1"/>
    <xf numFmtId="9" fontId="0" fillId="2" borderId="0" xfId="0" applyNumberFormat="1" applyFill="1"/>
    <xf numFmtId="10" fontId="0" fillId="2" borderId="0" xfId="1" applyNumberFormat="1" applyFont="1" applyFill="1"/>
    <xf numFmtId="10" fontId="1" fillId="2" borderId="0" xfId="1" applyNumberFormat="1" applyFont="1" applyFill="1"/>
    <xf numFmtId="0" fontId="8" fillId="2" borderId="3" xfId="0" applyFont="1" applyFill="1" applyBorder="1" applyAlignment="1">
      <alignment horizontal="left" indent="1"/>
    </xf>
    <xf numFmtId="0" fontId="2" fillId="2" borderId="3" xfId="0" applyFont="1" applyFill="1" applyBorder="1"/>
    <xf numFmtId="41" fontId="2" fillId="2" borderId="3" xfId="0" applyNumberFormat="1" applyFont="1" applyFill="1" applyBorder="1"/>
    <xf numFmtId="166" fontId="0" fillId="2" borderId="0" xfId="0" applyNumberFormat="1" applyFill="1"/>
    <xf numFmtId="166" fontId="2" fillId="2" borderId="0" xfId="0" applyNumberFormat="1" applyFont="1" applyFill="1"/>
    <xf numFmtId="167" fontId="0" fillId="2" borderId="0" xfId="1" applyNumberFormat="1" applyFont="1" applyFill="1"/>
    <xf numFmtId="164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Alignment="1">
      <alignment horizontal="left"/>
    </xf>
    <xf numFmtId="166" fontId="0" fillId="2" borderId="0" xfId="0" applyNumberFormat="1" applyFont="1" applyFill="1"/>
    <xf numFmtId="0" fontId="13" fillId="0" borderId="0" xfId="0" applyFont="1"/>
    <xf numFmtId="0" fontId="6" fillId="0" borderId="0" xfId="0" applyFont="1"/>
    <xf numFmtId="40" fontId="0" fillId="0" borderId="0" xfId="0" applyNumberFormat="1"/>
    <xf numFmtId="165" fontId="0" fillId="0" borderId="0" xfId="0" applyNumberFormat="1"/>
    <xf numFmtId="43" fontId="0" fillId="0" borderId="0" xfId="2" applyFont="1"/>
    <xf numFmtId="43" fontId="0" fillId="0" borderId="4" xfId="2" applyFont="1" applyBorder="1"/>
    <xf numFmtId="0" fontId="15" fillId="2" borderId="0" xfId="3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5" fontId="0" fillId="0" borderId="0" xfId="0" applyNumberFormat="1"/>
    <xf numFmtId="0" fontId="0" fillId="2" borderId="1" xfId="0" applyFill="1" applyBorder="1" applyAlignment="1">
      <alignment horizontal="center"/>
    </xf>
    <xf numFmtId="5" fontId="0" fillId="2" borderId="0" xfId="0" applyNumberFormat="1" applyFill="1"/>
    <xf numFmtId="0" fontId="8" fillId="2" borderId="3" xfId="0" applyFont="1" applyFill="1" applyBorder="1" applyAlignment="1">
      <alignment horizontal="left"/>
    </xf>
    <xf numFmtId="5" fontId="2" fillId="2" borderId="3" xfId="0" applyNumberFormat="1" applyFont="1" applyFill="1" applyBorder="1"/>
    <xf numFmtId="41" fontId="0" fillId="0" borderId="0" xfId="0" applyNumberFormat="1"/>
    <xf numFmtId="41" fontId="0" fillId="2" borderId="5" xfId="0" applyNumberFormat="1" applyFill="1" applyBorder="1"/>
    <xf numFmtId="0" fontId="0" fillId="2" borderId="5" xfId="0" applyFill="1" applyBorder="1"/>
    <xf numFmtId="0" fontId="8" fillId="2" borderId="5" xfId="0" applyFont="1" applyFill="1" applyBorder="1" applyAlignment="1">
      <alignment horizontal="left" indent="1"/>
    </xf>
    <xf numFmtId="41" fontId="2" fillId="2" borderId="5" xfId="0" applyNumberFormat="1" applyFont="1" applyFill="1" applyBorder="1"/>
    <xf numFmtId="10" fontId="0" fillId="2" borderId="0" xfId="0" applyNumberFormat="1" applyFill="1"/>
    <xf numFmtId="41" fontId="2" fillId="2" borderId="0" xfId="0" applyNumberFormat="1" applyFont="1" applyFill="1" applyBorder="1"/>
    <xf numFmtId="41" fontId="2" fillId="2" borderId="6" xfId="0" applyNumberFormat="1" applyFont="1" applyFill="1" applyBorder="1"/>
    <xf numFmtId="0" fontId="8" fillId="2" borderId="6" xfId="0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left" indent="1"/>
    </xf>
    <xf numFmtId="41" fontId="0" fillId="2" borderId="0" xfId="0" applyNumberFormat="1" applyFill="1" applyBorder="1"/>
    <xf numFmtId="0" fontId="2" fillId="2" borderId="5" xfId="0" applyFont="1" applyFill="1" applyBorder="1"/>
    <xf numFmtId="0" fontId="7" fillId="2" borderId="5" xfId="0" applyFont="1" applyFill="1" applyBorder="1" applyAlignment="1">
      <alignment horizontal="left" indent="1"/>
    </xf>
    <xf numFmtId="0" fontId="0" fillId="2" borderId="3" xfId="0" applyFill="1" applyBorder="1"/>
    <xf numFmtId="165" fontId="8" fillId="2" borderId="3" xfId="0" applyNumberFormat="1" applyFont="1" applyFill="1" applyBorder="1" applyAlignment="1">
      <alignment horizontal="left" indent="1"/>
    </xf>
    <xf numFmtId="0" fontId="0" fillId="2" borderId="0" xfId="0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165" fontId="0" fillId="2" borderId="0" xfId="0" applyNumberFormat="1" applyFill="1" applyBorder="1"/>
    <xf numFmtId="0" fontId="8" fillId="2" borderId="0" xfId="0" applyFont="1" applyFill="1" applyBorder="1" applyAlignment="1">
      <alignment horizontal="left" indent="1"/>
    </xf>
    <xf numFmtId="43" fontId="0" fillId="0" borderId="0" xfId="0" applyNumberFormat="1"/>
    <xf numFmtId="43" fontId="0" fillId="0" borderId="4" xfId="0" applyNumberFormat="1" applyBorder="1"/>
    <xf numFmtId="166" fontId="9" fillId="3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1" fontId="10" fillId="2" borderId="0" xfId="1" applyNumberFormat="1" applyFont="1" applyFill="1"/>
    <xf numFmtId="1" fontId="0" fillId="0" borderId="0" xfId="0" applyNumberFormat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4">
    <cellStyle name="Comma" xfId="2" builtinId="3"/>
    <cellStyle name="Normal" xfId="0" builtinId="0"/>
    <cellStyle name="Normal 2" xfId="3" xr:uid="{51CD556D-18C9-4F38-BD3F-AEF3A80FB41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s/Kentucky/BGUOC%20Rate%20Case%202020-00290/Work%20Papers/BGUOC%202020%20Rate%20Case%20-%20Consta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s/Kentucky/BGUOC%20Rate%20Case%202020-00290/Work%20Papers/BGUOC%202020%20Rate%20Case%20-%20Income%20Statement%20(Sew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Insurance"/>
      <sheetName val="Customer Count"/>
    </sheetNames>
    <sheetDataSet>
      <sheetData sheetId="0">
        <row r="1">
          <cell r="A1" t="str">
            <v>Company Name</v>
          </cell>
          <cell r="B1" t="str">
            <v>Bluegrass Water Utility Operating Company, LLC</v>
          </cell>
        </row>
        <row r="2">
          <cell r="A2" t="str">
            <v>Company Name</v>
          </cell>
          <cell r="B2" t="str">
            <v>BLUEGRASS WATER UTILITY OPERATING COMPANY, LLC</v>
          </cell>
        </row>
        <row r="3">
          <cell r="A3" t="str">
            <v>Case</v>
          </cell>
          <cell r="B3" t="str">
            <v>Case No. 2020-00290</v>
          </cell>
        </row>
        <row r="4">
          <cell r="A4" t="str">
            <v>Base Year Start</v>
          </cell>
          <cell r="B4">
            <v>43830</v>
          </cell>
        </row>
        <row r="5">
          <cell r="A5" t="str">
            <v>Base Year End</v>
          </cell>
          <cell r="B5">
            <v>44196</v>
          </cell>
        </row>
        <row r="6">
          <cell r="A6" t="str">
            <v>Forecast Year Begin</v>
          </cell>
          <cell r="B6">
            <v>44316</v>
          </cell>
        </row>
        <row r="7">
          <cell r="A7" t="str">
            <v>Forecast Year End</v>
          </cell>
          <cell r="B7">
            <v>44681</v>
          </cell>
        </row>
        <row r="8">
          <cell r="A8" t="str">
            <v>???</v>
          </cell>
          <cell r="B8" t="str">
            <v>for the 12 Months ended December 31, 2019</v>
          </cell>
        </row>
        <row r="9">
          <cell r="A9" t="str">
            <v>Base Year Period</v>
          </cell>
          <cell r="B9" t="str">
            <v>Base Year for the 12 Months ended December 31, 2020</v>
          </cell>
        </row>
        <row r="10">
          <cell r="A10" t="str">
            <v>BY Adjustment</v>
          </cell>
          <cell r="B10" t="str">
            <v>Base Year Adjustment</v>
          </cell>
        </row>
        <row r="11">
          <cell r="A11" t="str">
            <v>Forecast Year Period</v>
          </cell>
          <cell r="B11" t="str">
            <v>Forecast Year for the 12 Months ended April 30, 2022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 In"/>
      <sheetName val="Link Out"/>
      <sheetName val="Inc Statment - SCH C.1"/>
      <sheetName val="MSFR Inc Stmt by Acct - SCH C.2"/>
      <sheetName val="MSFR IS Adjust D.1"/>
      <sheetName val="MSFR IS Adjust Support D-2"/>
      <sheetName val="D-3"/>
      <sheetName val="Tax Summary - SCH E"/>
    </sheetNames>
    <sheetDataSet>
      <sheetData sheetId="0"/>
      <sheetData sheetId="1"/>
      <sheetData sheetId="2">
        <row r="32">
          <cell r="E32">
            <v>1329592.0699999998</v>
          </cell>
          <cell r="G32">
            <v>2049423.9696547957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73D37-C2A9-4691-8E49-A30C93DE202C}">
  <dimension ref="A1:H19"/>
  <sheetViews>
    <sheetView workbookViewId="0">
      <selection activeCell="C20" sqref="C20"/>
    </sheetView>
  </sheetViews>
  <sheetFormatPr defaultRowHeight="14.25" x14ac:dyDescent="0.45"/>
  <cols>
    <col min="1" max="1" width="14" bestFit="1" customWidth="1"/>
    <col min="2" max="2" width="46.3984375" bestFit="1" customWidth="1"/>
    <col min="3" max="3" width="13" customWidth="1"/>
  </cols>
  <sheetData>
    <row r="1" spans="1:8" x14ac:dyDescent="0.45">
      <c r="A1" t="str">
        <f>[1]Reference!A1</f>
        <v>Company Name</v>
      </c>
      <c r="B1" t="str">
        <f>[1]Reference!B1</f>
        <v>Bluegrass Water Utility Operating Company, LLC</v>
      </c>
    </row>
    <row r="2" spans="1:8" x14ac:dyDescent="0.45">
      <c r="A2" t="str">
        <f>[1]Reference!A2</f>
        <v>Company Name</v>
      </c>
      <c r="B2" t="str">
        <f>[1]Reference!B2</f>
        <v>BLUEGRASS WATER UTILITY OPERATING COMPANY, LLC</v>
      </c>
    </row>
    <row r="3" spans="1:8" x14ac:dyDescent="0.45">
      <c r="A3" t="str">
        <f>[1]Reference!A3</f>
        <v>Case</v>
      </c>
      <c r="B3" t="str">
        <f>[1]Reference!B3</f>
        <v>Case No. 2020-00290</v>
      </c>
    </row>
    <row r="4" spans="1:8" x14ac:dyDescent="0.45">
      <c r="A4" t="str">
        <f>[1]Reference!A4</f>
        <v>Base Year Start</v>
      </c>
      <c r="B4" s="48">
        <f>[1]Reference!B4</f>
        <v>43830</v>
      </c>
      <c r="C4" s="48"/>
      <c r="D4" s="48"/>
      <c r="E4" s="48"/>
      <c r="F4" s="48"/>
      <c r="G4" s="48"/>
      <c r="H4" s="48"/>
    </row>
    <row r="5" spans="1:8" x14ac:dyDescent="0.45">
      <c r="A5" t="str">
        <f>[1]Reference!A5</f>
        <v>Base Year End</v>
      </c>
      <c r="B5" s="48">
        <f>[1]Reference!B5</f>
        <v>44196</v>
      </c>
      <c r="C5" s="48"/>
      <c r="D5" s="48"/>
      <c r="E5" s="48"/>
      <c r="F5" s="48"/>
      <c r="G5" s="48"/>
      <c r="H5" s="48"/>
    </row>
    <row r="6" spans="1:8" x14ac:dyDescent="0.45">
      <c r="A6" t="str">
        <f>[1]Reference!A6</f>
        <v>Forecast Year Begin</v>
      </c>
      <c r="B6" s="48">
        <f>[1]Reference!B6</f>
        <v>44316</v>
      </c>
      <c r="C6" s="48"/>
      <c r="D6" s="48"/>
      <c r="E6" s="48"/>
      <c r="F6" s="48"/>
      <c r="G6" s="48"/>
      <c r="H6" s="48"/>
    </row>
    <row r="7" spans="1:8" x14ac:dyDescent="0.45">
      <c r="A7" t="str">
        <f>[1]Reference!A7</f>
        <v>Forecast Year End</v>
      </c>
      <c r="B7" s="48">
        <f>[1]Reference!B7</f>
        <v>44681</v>
      </c>
      <c r="C7" s="48"/>
      <c r="D7" s="48"/>
      <c r="E7" s="48"/>
      <c r="F7" s="48"/>
      <c r="G7" s="48"/>
      <c r="H7" s="48"/>
    </row>
    <row r="8" spans="1:8" x14ac:dyDescent="0.45">
      <c r="A8" t="str">
        <f>[1]Reference!A8</f>
        <v>???</v>
      </c>
      <c r="B8" t="str">
        <f>[1]Reference!B8</f>
        <v>for the 12 Months ended December 31, 2019</v>
      </c>
    </row>
    <row r="9" spans="1:8" x14ac:dyDescent="0.45">
      <c r="A9" t="str">
        <f>[1]Reference!A9</f>
        <v>Base Year Period</v>
      </c>
      <c r="B9" t="str">
        <f>[1]Reference!B9</f>
        <v>Base Year for the 12 Months ended December 31, 2020</v>
      </c>
    </row>
    <row r="10" spans="1:8" x14ac:dyDescent="0.45">
      <c r="A10" t="str">
        <f>[1]Reference!A10</f>
        <v>BY Adjustment</v>
      </c>
      <c r="B10" t="str">
        <f>[1]Reference!B10</f>
        <v>Base Year Adjustment</v>
      </c>
    </row>
    <row r="11" spans="1:8" x14ac:dyDescent="0.45">
      <c r="A11" t="str">
        <f>[1]Reference!A11</f>
        <v>Forecast Year Period</v>
      </c>
      <c r="B11" t="str">
        <f>[1]Reference!B11</f>
        <v>Forecast Year for the 12 Months ended April 30, 2022</v>
      </c>
    </row>
    <row r="12" spans="1:8" x14ac:dyDescent="0.45">
      <c r="A12">
        <f>[1]Reference!A12</f>
        <v>0</v>
      </c>
      <c r="B12">
        <f>[1]Reference!B12</f>
        <v>0</v>
      </c>
    </row>
    <row r="13" spans="1:8" x14ac:dyDescent="0.45">
      <c r="A13">
        <f>[1]Reference!A13</f>
        <v>0</v>
      </c>
      <c r="B13">
        <f>[1]Reference!B13</f>
        <v>0</v>
      </c>
    </row>
    <row r="14" spans="1:8" x14ac:dyDescent="0.45">
      <c r="A14">
        <f>[1]Reference!A14</f>
        <v>0</v>
      </c>
      <c r="B14">
        <f>[1]Reference!B14</f>
        <v>0</v>
      </c>
    </row>
    <row r="15" spans="1:8" x14ac:dyDescent="0.45">
      <c r="A15">
        <f>[1]Reference!A15</f>
        <v>0</v>
      </c>
      <c r="B15">
        <f>[1]Reference!B15</f>
        <v>0</v>
      </c>
    </row>
    <row r="16" spans="1:8" x14ac:dyDescent="0.45">
      <c r="A16">
        <f>[1]Reference!A16</f>
        <v>0</v>
      </c>
      <c r="B16">
        <f>[1]Reference!B16</f>
        <v>0</v>
      </c>
    </row>
    <row r="18" spans="1:3" x14ac:dyDescent="0.45">
      <c r="B18" t="s">
        <v>115</v>
      </c>
      <c r="C18" t="s">
        <v>116</v>
      </c>
    </row>
    <row r="19" spans="1:3" x14ac:dyDescent="0.45">
      <c r="A19" t="s">
        <v>117</v>
      </c>
      <c r="B19" s="80">
        <f>'[2]Inc Statment - SCH C.1'!$E$32</f>
        <v>1329592.0699999998</v>
      </c>
      <c r="C19" s="80">
        <f>'[2]Inc Statment - SCH C.1'!$G$32</f>
        <v>2049423.9696547957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83C73-3DA8-47E2-8ADD-230672CE6F7D}">
  <dimension ref="A2:D8"/>
  <sheetViews>
    <sheetView workbookViewId="0">
      <selection activeCell="H41" sqref="H41"/>
    </sheetView>
  </sheetViews>
  <sheetFormatPr defaultRowHeight="14.25" x14ac:dyDescent="0.45"/>
  <cols>
    <col min="1" max="1" width="23.1328125" bestFit="1" customWidth="1"/>
    <col min="2" max="3" width="9.86328125" bestFit="1" customWidth="1"/>
  </cols>
  <sheetData>
    <row r="2" spans="1:4" x14ac:dyDescent="0.45">
      <c r="B2" t="s">
        <v>115</v>
      </c>
      <c r="C2" t="s">
        <v>116</v>
      </c>
    </row>
    <row r="3" spans="1:4" x14ac:dyDescent="0.45">
      <c r="A3" t="s">
        <v>132</v>
      </c>
      <c r="B3" s="85">
        <f>'BY Rate Base - Sewer B1'!H29</f>
        <v>3447389.7910504905</v>
      </c>
      <c r="C3" s="85">
        <f>'FY Rate Base - Sewer B1'!J29</f>
        <v>6907545.5616325038</v>
      </c>
      <c r="D3" t="s">
        <v>163</v>
      </c>
    </row>
    <row r="5" spans="1:4" x14ac:dyDescent="0.45">
      <c r="B5" t="s">
        <v>115</v>
      </c>
      <c r="C5" t="s">
        <v>116</v>
      </c>
    </row>
    <row r="6" spans="1:4" x14ac:dyDescent="0.45">
      <c r="A6" t="s">
        <v>159</v>
      </c>
      <c r="B6" s="85">
        <f>'Dep - BY B3.1'!J29</f>
        <v>99781.6318875</v>
      </c>
      <c r="C6" s="85">
        <f>'Dep - FY B3.1'!J29</f>
        <v>288539.70735416666</v>
      </c>
    </row>
    <row r="7" spans="1:4" x14ac:dyDescent="0.45">
      <c r="A7" t="s">
        <v>160</v>
      </c>
      <c r="B7" s="85">
        <f>SUM('CIAC WP'!O8:O9)*12</f>
        <v>7051.8690000000006</v>
      </c>
      <c r="C7" s="85">
        <f>SUM('CIAC WP'!O34:O35,'CIAC WP'!O37)*12</f>
        <v>24445.046999999999</v>
      </c>
    </row>
    <row r="8" spans="1:4" x14ac:dyDescent="0.45">
      <c r="A8" t="s">
        <v>161</v>
      </c>
      <c r="B8" s="85">
        <f>B6-B7</f>
        <v>92729.762887499994</v>
      </c>
      <c r="C8" s="85">
        <f>C6-C7</f>
        <v>264094.66035416664</v>
      </c>
      <c r="D8" t="s">
        <v>162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628CC-65CF-4041-B27A-986DEE98BD3F}">
  <sheetPr>
    <pageSetUpPr fitToPage="1"/>
  </sheetPr>
  <dimension ref="A1:N62"/>
  <sheetViews>
    <sheetView view="pageBreakPreview" zoomScaleNormal="110" zoomScaleSheetLayoutView="100" workbookViewId="0">
      <selection activeCell="H18" sqref="H18"/>
    </sheetView>
  </sheetViews>
  <sheetFormatPr defaultColWidth="9.1328125" defaultRowHeight="14.25" x14ac:dyDescent="0.45"/>
  <cols>
    <col min="1" max="1" width="4" style="1" customWidth="1"/>
    <col min="2" max="2" width="5.1328125" style="1" customWidth="1"/>
    <col min="3" max="3" width="7.73046875" style="1" customWidth="1"/>
    <col min="4" max="4" width="55.1328125" style="1" bestFit="1" customWidth="1"/>
    <col min="5" max="5" width="3.1328125" style="1" customWidth="1"/>
    <col min="6" max="6" width="14.73046875" style="1" customWidth="1"/>
    <col min="7" max="7" width="3.1328125" style="1" customWidth="1"/>
    <col min="8" max="8" width="14.73046875" style="1" customWidth="1"/>
    <col min="9" max="9" width="3.73046875" style="1" customWidth="1"/>
    <col min="10" max="10" width="14.73046875" style="1" customWidth="1"/>
    <col min="11" max="11" width="3.73046875" style="1" customWidth="1"/>
    <col min="12" max="12" width="14.73046875" style="1" customWidth="1"/>
    <col min="13" max="13" width="3.1328125" style="1" customWidth="1"/>
    <col min="14" max="14" width="26" style="2" bestFit="1" customWidth="1"/>
    <col min="15" max="16384" width="9.1328125" style="1"/>
  </cols>
  <sheetData>
    <row r="1" spans="1:14" ht="16.899999999999999" x14ac:dyDescent="0.5">
      <c r="A1" s="110" t="str">
        <f>'Constants LinkIn'!B2</f>
        <v>BLUEGRASS WATER UTILITY OPERATING COMPANY, LLC</v>
      </c>
      <c r="B1" s="110"/>
      <c r="C1" s="110"/>
      <c r="D1" s="110"/>
      <c r="E1" s="110"/>
      <c r="F1" s="110"/>
      <c r="G1" s="110"/>
      <c r="H1" s="110"/>
    </row>
    <row r="2" spans="1:14" x14ac:dyDescent="0.45">
      <c r="A2" s="111" t="str">
        <f>'Constants LinkIn'!B3</f>
        <v>Case No. 2020-00290</v>
      </c>
      <c r="B2" s="111"/>
      <c r="C2" s="111"/>
      <c r="D2" s="111"/>
      <c r="E2" s="111"/>
      <c r="F2" s="111"/>
      <c r="G2" s="111"/>
      <c r="H2" s="111"/>
      <c r="M2" s="3"/>
    </row>
    <row r="3" spans="1:14" x14ac:dyDescent="0.45">
      <c r="A3" s="111" t="s">
        <v>130</v>
      </c>
      <c r="B3" s="111"/>
      <c r="C3" s="111"/>
      <c r="D3" s="111"/>
      <c r="E3" s="111"/>
      <c r="F3" s="111"/>
      <c r="G3" s="111"/>
      <c r="H3" s="111"/>
      <c r="I3" s="47"/>
      <c r="J3" s="47"/>
      <c r="M3" s="3"/>
    </row>
    <row r="4" spans="1:14" x14ac:dyDescent="0.45">
      <c r="A4" s="111" t="str">
        <f>'Constants LinkIn'!B9</f>
        <v>Base Year for the 12 Months ended December 31, 2020</v>
      </c>
      <c r="B4" s="111"/>
      <c r="C4" s="111"/>
      <c r="D4" s="111"/>
      <c r="E4" s="111"/>
      <c r="F4" s="111"/>
      <c r="G4" s="111"/>
      <c r="H4" s="111"/>
      <c r="I4" s="47"/>
      <c r="J4" s="47"/>
      <c r="M4" s="3"/>
    </row>
    <row r="5" spans="1:14" x14ac:dyDescent="0.45">
      <c r="A5" s="111"/>
      <c r="B5" s="111"/>
      <c r="C5" s="111"/>
      <c r="D5" s="111"/>
      <c r="E5" s="111"/>
      <c r="F5" s="111"/>
      <c r="G5" s="111"/>
      <c r="H5" s="111"/>
      <c r="M5" s="3"/>
    </row>
    <row r="6" spans="1:14" x14ac:dyDescent="0.45">
      <c r="M6" s="3"/>
    </row>
    <row r="7" spans="1:14" x14ac:dyDescent="0.45">
      <c r="H7" s="75" t="s">
        <v>110</v>
      </c>
      <c r="M7" s="3"/>
    </row>
    <row r="8" spans="1:14" x14ac:dyDescent="0.45">
      <c r="A8" s="1" t="s">
        <v>14</v>
      </c>
      <c r="H8" s="76" t="str">
        <f ca="1">RIGHT(CELL("filename",$A$1),LEN(CELL("filename",$A$1))-SEARCH("/Work Papers",CELL("filename",$A$1),1))</f>
        <v>Work Papers/Rate Base/[BGUOC 2020 Rate Case - Rate Base (Sewer).xlsx]BY Rate Base - Sewer B1</v>
      </c>
      <c r="M8" s="3"/>
    </row>
    <row r="9" spans="1:14" x14ac:dyDescent="0.45">
      <c r="A9" s="1" t="s">
        <v>15</v>
      </c>
      <c r="H9" s="77" t="s">
        <v>109</v>
      </c>
      <c r="K9" s="7"/>
      <c r="L9" s="5"/>
      <c r="M9" s="3"/>
      <c r="N9" s="5"/>
    </row>
    <row r="10" spans="1:14" ht="14.65" thickBot="1" x14ac:dyDescent="0.5">
      <c r="B10" s="4"/>
      <c r="C10" s="4"/>
      <c r="D10" s="4"/>
      <c r="E10" s="4"/>
      <c r="F10" s="4"/>
      <c r="G10" s="4"/>
      <c r="H10" s="4"/>
      <c r="L10" s="10"/>
      <c r="M10" s="10"/>
      <c r="N10" s="10"/>
    </row>
    <row r="11" spans="1:14" s="11" customFormat="1" ht="42.75" x14ac:dyDescent="0.45">
      <c r="A11" s="1"/>
      <c r="B11" s="5" t="s">
        <v>0</v>
      </c>
      <c r="C11" s="5"/>
      <c r="D11" s="1"/>
      <c r="E11" s="1"/>
      <c r="F11" s="6" t="s">
        <v>1</v>
      </c>
      <c r="G11" s="7"/>
      <c r="H11" s="6" t="s">
        <v>2</v>
      </c>
      <c r="I11" s="7"/>
      <c r="J11" s="5"/>
      <c r="L11" s="13"/>
      <c r="M11" s="13"/>
      <c r="N11" s="14"/>
    </row>
    <row r="12" spans="1:14" ht="14.65" thickBot="1" x14ac:dyDescent="0.5">
      <c r="B12" s="8" t="s">
        <v>3</v>
      </c>
      <c r="C12" s="8"/>
      <c r="D12" s="8" t="s">
        <v>4</v>
      </c>
      <c r="E12" s="4"/>
      <c r="F12" s="9" t="s">
        <v>5</v>
      </c>
      <c r="G12" s="4"/>
      <c r="H12" s="9" t="s">
        <v>5</v>
      </c>
      <c r="J12" s="10"/>
    </row>
    <row r="13" spans="1:14" x14ac:dyDescent="0.45">
      <c r="A13" s="11"/>
      <c r="B13" s="65">
        <v>1</v>
      </c>
      <c r="C13" s="11"/>
      <c r="D13" s="12"/>
      <c r="E13" s="11"/>
      <c r="F13" s="13"/>
      <c r="G13" s="11"/>
      <c r="H13" s="13"/>
      <c r="I13" s="11"/>
      <c r="J13" s="13"/>
      <c r="L13" s="17"/>
      <c r="M13" s="17"/>
    </row>
    <row r="14" spans="1:14" x14ac:dyDescent="0.45">
      <c r="B14" s="65">
        <v>2</v>
      </c>
      <c r="C14" s="11"/>
      <c r="D14" s="1" t="s">
        <v>6</v>
      </c>
      <c r="F14" s="78" t="s">
        <v>118</v>
      </c>
      <c r="H14" s="17">
        <f>'UPIS - BY B2'!L31</f>
        <v>3538590.2489999998</v>
      </c>
      <c r="L14" s="17"/>
      <c r="M14" s="17"/>
    </row>
    <row r="15" spans="1:14" x14ac:dyDescent="0.45">
      <c r="B15" s="65">
        <v>3</v>
      </c>
      <c r="C15" s="15"/>
      <c r="D15" s="16"/>
      <c r="F15" s="17"/>
      <c r="H15" s="17"/>
      <c r="J15" s="17"/>
      <c r="L15" s="17"/>
      <c r="M15" s="17"/>
    </row>
    <row r="16" spans="1:14" x14ac:dyDescent="0.45">
      <c r="B16" s="65">
        <v>4</v>
      </c>
      <c r="C16" s="15"/>
      <c r="D16" s="1" t="s">
        <v>7</v>
      </c>
      <c r="F16" s="78" t="s">
        <v>119</v>
      </c>
      <c r="H16" s="17">
        <f>-'AccDep - BY B3'!H31</f>
        <v>-1104379.6755176275</v>
      </c>
      <c r="J16" s="17"/>
      <c r="L16" s="17"/>
      <c r="M16" s="17"/>
    </row>
    <row r="17" spans="1:13" x14ac:dyDescent="0.45">
      <c r="B17" s="65">
        <v>5</v>
      </c>
      <c r="C17" s="15"/>
      <c r="D17" s="20"/>
      <c r="J17" s="17"/>
      <c r="L17" s="19"/>
      <c r="M17" s="19"/>
    </row>
    <row r="18" spans="1:13" x14ac:dyDescent="0.45">
      <c r="B18" s="65">
        <v>6</v>
      </c>
      <c r="C18" s="15"/>
      <c r="D18" s="11"/>
      <c r="H18" s="21"/>
      <c r="J18" s="17"/>
    </row>
    <row r="19" spans="1:13" s="2" customFormat="1" x14ac:dyDescent="0.45">
      <c r="A19" s="1"/>
      <c r="B19" s="65">
        <v>7</v>
      </c>
      <c r="C19" s="1"/>
      <c r="D19" s="18" t="s">
        <v>8</v>
      </c>
      <c r="E19" s="1"/>
      <c r="F19" s="1"/>
      <c r="G19" s="1"/>
      <c r="H19" s="17">
        <f>SUM(H14,H16)</f>
        <v>2434210.5734823723</v>
      </c>
      <c r="I19" s="1"/>
      <c r="J19" s="19"/>
      <c r="K19" s="1"/>
      <c r="L19" s="1"/>
      <c r="M19" s="1"/>
    </row>
    <row r="20" spans="1:13" s="2" customFormat="1" x14ac:dyDescent="0.45">
      <c r="A20" s="1"/>
      <c r="B20" s="65">
        <v>8</v>
      </c>
      <c r="C20" s="1"/>
      <c r="D20" s="16"/>
      <c r="E20" s="1"/>
      <c r="F20" s="1"/>
      <c r="G20" s="1"/>
      <c r="H20" s="17"/>
      <c r="I20" s="1"/>
      <c r="J20" s="1"/>
      <c r="K20" s="1"/>
      <c r="L20" s="1"/>
      <c r="M20" s="1"/>
    </row>
    <row r="21" spans="1:13" s="2" customFormat="1" x14ac:dyDescent="0.45">
      <c r="A21" s="1"/>
      <c r="B21" s="65">
        <v>9</v>
      </c>
      <c r="C21" s="11"/>
      <c r="D21" s="16"/>
      <c r="E21" s="1"/>
      <c r="F21" s="1"/>
      <c r="G21" s="1"/>
      <c r="H21" s="17"/>
      <c r="I21" s="1"/>
      <c r="J21" s="1"/>
      <c r="K21" s="1"/>
      <c r="L21" s="17"/>
      <c r="M21" s="17"/>
    </row>
    <row r="22" spans="1:13" s="2" customFormat="1" x14ac:dyDescent="0.45">
      <c r="A22" s="1"/>
      <c r="B22" s="65">
        <v>10</v>
      </c>
      <c r="C22" s="1"/>
      <c r="D22" s="18" t="s">
        <v>9</v>
      </c>
      <c r="E22" s="1"/>
      <c r="F22" s="78" t="s">
        <v>120</v>
      </c>
      <c r="G22" s="1"/>
      <c r="H22" s="17">
        <f>'CWIP - BY B4'!N27</f>
        <v>881254.52281811822</v>
      </c>
      <c r="I22" s="1"/>
      <c r="J22" s="1"/>
      <c r="K22" s="1"/>
      <c r="L22" s="17"/>
      <c r="M22" s="17"/>
    </row>
    <row r="23" spans="1:13" s="2" customFormat="1" x14ac:dyDescent="0.45">
      <c r="A23" s="1"/>
      <c r="B23" s="65">
        <v>11</v>
      </c>
      <c r="C23" s="15"/>
      <c r="D23" s="16"/>
      <c r="E23" s="1"/>
      <c r="F23" s="1"/>
      <c r="G23" s="1"/>
      <c r="H23" s="17"/>
      <c r="I23" s="1"/>
      <c r="J23" s="17"/>
      <c r="K23" s="1"/>
      <c r="L23" s="17"/>
      <c r="M23" s="17"/>
    </row>
    <row r="24" spans="1:13" s="2" customFormat="1" x14ac:dyDescent="0.45">
      <c r="A24" s="1"/>
      <c r="B24" s="65">
        <v>12</v>
      </c>
      <c r="C24" s="15"/>
      <c r="D24" s="18" t="s">
        <v>10</v>
      </c>
      <c r="E24" s="1"/>
      <c r="F24" s="78" t="s">
        <v>121</v>
      </c>
      <c r="G24" s="1"/>
      <c r="H24" s="82">
        <f>'WC - BY B5'!I16</f>
        <v>166199.00874999998</v>
      </c>
      <c r="I24" s="1"/>
      <c r="J24" s="17"/>
      <c r="K24" s="1"/>
      <c r="L24" s="17"/>
      <c r="M24" s="17"/>
    </row>
    <row r="25" spans="1:13" s="2" customFormat="1" x14ac:dyDescent="0.45">
      <c r="A25" s="1"/>
      <c r="B25" s="65">
        <v>13</v>
      </c>
      <c r="C25" s="15"/>
      <c r="D25" s="16"/>
      <c r="E25" s="1"/>
      <c r="F25" s="1"/>
      <c r="G25" s="1"/>
      <c r="H25" s="17"/>
      <c r="I25" s="1"/>
      <c r="J25" s="17"/>
      <c r="K25" s="1"/>
      <c r="L25" s="17"/>
      <c r="M25" s="17"/>
    </row>
    <row r="26" spans="1:13" s="2" customFormat="1" x14ac:dyDescent="0.45">
      <c r="A26" s="1"/>
      <c r="B26" s="65">
        <v>14</v>
      </c>
      <c r="C26" s="15"/>
      <c r="D26" s="18" t="s">
        <v>11</v>
      </c>
      <c r="E26" s="1"/>
      <c r="F26" s="78" t="s">
        <v>131</v>
      </c>
      <c r="G26" s="1"/>
      <c r="H26" s="17">
        <f>-'CIAC - BY B6'!H14</f>
        <v>-34274.313999999984</v>
      </c>
      <c r="I26" s="1"/>
      <c r="J26" s="17"/>
      <c r="K26" s="1"/>
      <c r="L26" s="17"/>
      <c r="M26" s="17"/>
    </row>
    <row r="27" spans="1:13" s="2" customFormat="1" x14ac:dyDescent="0.45">
      <c r="A27" s="1"/>
      <c r="B27" s="65">
        <v>15</v>
      </c>
      <c r="C27" s="15"/>
      <c r="D27" s="1"/>
      <c r="E27" s="1"/>
      <c r="F27" s="1"/>
      <c r="G27" s="1"/>
      <c r="H27" s="19"/>
      <c r="I27" s="1"/>
      <c r="J27" s="17"/>
      <c r="K27" s="1"/>
      <c r="L27" s="17"/>
      <c r="M27" s="17"/>
    </row>
    <row r="28" spans="1:13" s="2" customFormat="1" x14ac:dyDescent="0.45">
      <c r="A28" s="1"/>
      <c r="B28" s="65">
        <v>16</v>
      </c>
      <c r="C28" s="15"/>
      <c r="D28" s="22"/>
      <c r="E28" s="1"/>
      <c r="F28" s="1"/>
      <c r="G28" s="1"/>
      <c r="H28" s="17"/>
      <c r="I28" s="1"/>
      <c r="J28" s="17"/>
      <c r="K28" s="1"/>
      <c r="L28" s="17"/>
      <c r="M28" s="17"/>
    </row>
    <row r="29" spans="1:13" s="2" customFormat="1" ht="14.65" thickBot="1" x14ac:dyDescent="0.5">
      <c r="A29" s="1"/>
      <c r="B29" s="65">
        <v>17</v>
      </c>
      <c r="C29" s="15"/>
      <c r="D29" s="67" t="s">
        <v>12</v>
      </c>
      <c r="E29" s="1"/>
      <c r="F29" s="1"/>
      <c r="G29" s="1"/>
      <c r="H29" s="24">
        <f>H19+SUM(H22,H24,H26)</f>
        <v>3447389.7910504905</v>
      </c>
      <c r="I29" s="1"/>
      <c r="J29" s="17"/>
      <c r="K29" s="1"/>
      <c r="L29" s="19"/>
      <c r="M29" s="19"/>
    </row>
    <row r="30" spans="1:13" s="2" customFormat="1" ht="14.65" thickTop="1" x14ac:dyDescent="0.45">
      <c r="A30" s="1"/>
      <c r="B30" s="65">
        <v>18</v>
      </c>
      <c r="C30" s="15"/>
      <c r="D30" s="22"/>
      <c r="E30" s="1"/>
      <c r="F30" s="17"/>
      <c r="G30" s="1"/>
      <c r="H30" s="17"/>
      <c r="I30" s="1"/>
      <c r="J30" s="17"/>
      <c r="K30" s="1"/>
      <c r="L30" s="1"/>
      <c r="M30" s="1"/>
    </row>
    <row r="31" spans="1:13" s="2" customFormat="1" x14ac:dyDescent="0.45">
      <c r="A31" s="1"/>
      <c r="B31" s="65">
        <v>19</v>
      </c>
      <c r="C31" s="15"/>
      <c r="D31" s="22"/>
      <c r="E31" s="1"/>
      <c r="F31" s="17"/>
      <c r="G31" s="1"/>
      <c r="H31" s="17"/>
      <c r="I31" s="1"/>
      <c r="J31" s="19"/>
      <c r="K31" s="1"/>
      <c r="L31" s="17"/>
      <c r="M31" s="17"/>
    </row>
    <row r="32" spans="1:13" s="2" customFormat="1" x14ac:dyDescent="0.45">
      <c r="A32" s="1"/>
      <c r="B32" s="65">
        <v>20</v>
      </c>
      <c r="D32" s="22"/>
      <c r="E32" s="1"/>
      <c r="F32" s="17"/>
      <c r="G32" s="1"/>
      <c r="H32" s="17"/>
      <c r="I32" s="1"/>
      <c r="J32" s="1"/>
      <c r="K32" s="1"/>
      <c r="L32" s="17"/>
      <c r="M32" s="17"/>
    </row>
    <row r="33" spans="1:13" s="2" customFormat="1" x14ac:dyDescent="0.45">
      <c r="A33" s="1"/>
      <c r="B33" s="65">
        <v>21</v>
      </c>
      <c r="C33" s="15"/>
      <c r="D33" s="22"/>
      <c r="E33" s="1"/>
      <c r="F33" s="17"/>
      <c r="G33" s="1"/>
      <c r="H33" s="17"/>
      <c r="I33" s="1"/>
      <c r="J33" s="17"/>
      <c r="K33" s="1"/>
      <c r="L33" s="17"/>
      <c r="M33" s="17"/>
    </row>
    <row r="34" spans="1:13" s="2" customFormat="1" x14ac:dyDescent="0.45">
      <c r="A34" s="1"/>
      <c r="B34" s="65">
        <v>22</v>
      </c>
      <c r="C34" s="15"/>
      <c r="D34" s="1"/>
      <c r="E34" s="1"/>
      <c r="F34" s="19"/>
      <c r="G34" s="1"/>
      <c r="H34" s="19"/>
      <c r="I34" s="1"/>
      <c r="J34" s="17"/>
      <c r="K34" s="1"/>
      <c r="L34" s="17"/>
      <c r="M34" s="17"/>
    </row>
    <row r="35" spans="1:13" s="2" customFormat="1" x14ac:dyDescent="0.45">
      <c r="A35" s="1"/>
      <c r="B35" s="65">
        <v>23</v>
      </c>
      <c r="C35" s="15"/>
      <c r="D35" s="1"/>
      <c r="E35" s="1"/>
      <c r="F35" s="1"/>
      <c r="G35" s="1"/>
      <c r="H35" s="1"/>
      <c r="I35" s="1"/>
      <c r="J35" s="17"/>
      <c r="K35" s="1"/>
      <c r="L35" s="17"/>
      <c r="M35" s="17"/>
    </row>
    <row r="36" spans="1:13" s="2" customFormat="1" x14ac:dyDescent="0.45">
      <c r="A36" s="1"/>
      <c r="B36" s="65">
        <v>24</v>
      </c>
      <c r="C36" s="15"/>
      <c r="D36" s="22"/>
      <c r="E36" s="1"/>
      <c r="F36" s="17"/>
      <c r="G36" s="1"/>
      <c r="H36" s="17"/>
      <c r="I36" s="1"/>
      <c r="J36" s="17"/>
      <c r="K36" s="1"/>
      <c r="L36" s="17"/>
      <c r="M36" s="17"/>
    </row>
    <row r="37" spans="1:13" s="2" customFormat="1" x14ac:dyDescent="0.45">
      <c r="A37" s="1"/>
      <c r="B37" s="65">
        <v>25</v>
      </c>
      <c r="C37" s="15"/>
      <c r="D37" s="22"/>
      <c r="E37" s="1"/>
      <c r="F37" s="17"/>
      <c r="G37" s="1"/>
      <c r="H37" s="17"/>
      <c r="I37" s="1"/>
      <c r="J37" s="17"/>
      <c r="K37" s="1"/>
      <c r="L37" s="17"/>
      <c r="M37" s="17"/>
    </row>
    <row r="38" spans="1:13" s="2" customFormat="1" x14ac:dyDescent="0.45">
      <c r="A38" s="1"/>
      <c r="B38" s="65">
        <v>26</v>
      </c>
      <c r="C38" s="15"/>
      <c r="D38" s="22"/>
      <c r="E38" s="1"/>
      <c r="F38" s="17"/>
      <c r="G38" s="1"/>
      <c r="H38" s="17"/>
      <c r="I38" s="1"/>
      <c r="J38" s="17"/>
      <c r="K38" s="1"/>
      <c r="L38" s="17"/>
      <c r="M38" s="17"/>
    </row>
    <row r="39" spans="1:13" s="2" customFormat="1" x14ac:dyDescent="0.45">
      <c r="A39" s="1"/>
      <c r="B39" s="65">
        <v>27</v>
      </c>
      <c r="C39" s="15"/>
      <c r="D39" s="1"/>
      <c r="E39" s="1"/>
      <c r="F39" s="1"/>
      <c r="G39" s="1"/>
      <c r="H39" s="1"/>
      <c r="I39" s="1"/>
      <c r="J39" s="17"/>
      <c r="K39" s="1"/>
      <c r="L39" s="17"/>
      <c r="M39" s="17"/>
    </row>
    <row r="40" spans="1:13" s="2" customFormat="1" x14ac:dyDescent="0.45">
      <c r="A40" s="1"/>
      <c r="B40" s="65">
        <v>28</v>
      </c>
      <c r="C40" s="15"/>
      <c r="D40" s="27"/>
      <c r="E40" s="1"/>
      <c r="F40" s="17"/>
      <c r="G40" s="1"/>
      <c r="H40" s="17"/>
      <c r="I40" s="1"/>
      <c r="J40" s="17"/>
      <c r="K40" s="1"/>
      <c r="L40" s="17"/>
      <c r="M40" s="17"/>
    </row>
    <row r="41" spans="1:13" s="2" customFormat="1" x14ac:dyDescent="0.45">
      <c r="A41" s="1"/>
      <c r="B41" s="65">
        <v>29</v>
      </c>
      <c r="C41" s="15"/>
      <c r="D41" s="1"/>
      <c r="E41" s="1"/>
      <c r="F41" s="1"/>
      <c r="G41" s="1"/>
      <c r="H41" s="1"/>
      <c r="I41" s="1"/>
      <c r="J41" s="17"/>
      <c r="K41" s="1"/>
      <c r="L41" s="19"/>
      <c r="M41" s="19"/>
    </row>
    <row r="42" spans="1:13" s="2" customFormat="1" x14ac:dyDescent="0.45">
      <c r="A42" s="1"/>
      <c r="B42" s="65">
        <v>30</v>
      </c>
      <c r="C42" s="25"/>
      <c r="D42" s="1"/>
      <c r="E42" s="1"/>
      <c r="F42" s="1"/>
      <c r="G42" s="1"/>
      <c r="H42" s="1"/>
      <c r="I42" s="1"/>
      <c r="J42" s="17"/>
      <c r="K42" s="1"/>
      <c r="L42" s="1"/>
      <c r="M42" s="1"/>
    </row>
    <row r="43" spans="1:13" s="2" customFormat="1" x14ac:dyDescent="0.45">
      <c r="A43" s="1"/>
      <c r="B43" s="65">
        <v>31</v>
      </c>
      <c r="C43" s="15"/>
      <c r="D43" s="27"/>
      <c r="E43" s="1"/>
      <c r="F43" s="17"/>
      <c r="G43" s="1"/>
      <c r="H43" s="17"/>
      <c r="I43" s="1"/>
      <c r="J43" s="19"/>
      <c r="K43" s="1"/>
      <c r="L43" s="17"/>
      <c r="M43" s="17"/>
    </row>
    <row r="44" spans="1:13" s="2" customFormat="1" x14ac:dyDescent="0.45">
      <c r="A44" s="1"/>
      <c r="B44" s="65">
        <v>32</v>
      </c>
      <c r="C44" s="26"/>
      <c r="D44" s="1"/>
      <c r="E44" s="1"/>
      <c r="F44" s="1"/>
      <c r="G44" s="1"/>
      <c r="H44" s="1"/>
      <c r="I44" s="1"/>
      <c r="J44" s="1"/>
      <c r="K44" s="1"/>
      <c r="L44" s="17"/>
      <c r="M44" s="17"/>
    </row>
    <row r="45" spans="1:13" s="2" customFormat="1" x14ac:dyDescent="0.45">
      <c r="A45" s="1"/>
      <c r="B45" s="65">
        <v>33</v>
      </c>
      <c r="C45" s="15"/>
      <c r="D45" s="1"/>
      <c r="E45" s="1"/>
      <c r="F45" s="17"/>
      <c r="G45" s="1"/>
      <c r="H45" s="17"/>
      <c r="I45" s="1"/>
      <c r="J45" s="17"/>
      <c r="K45" s="1"/>
      <c r="L45" s="17"/>
      <c r="M45" s="17"/>
    </row>
    <row r="46" spans="1:13" s="2" customFormat="1" x14ac:dyDescent="0.45">
      <c r="A46" s="1"/>
      <c r="B46" s="65">
        <v>34</v>
      </c>
      <c r="C46" s="15"/>
      <c r="D46" s="1"/>
      <c r="E46" s="1"/>
      <c r="F46" s="1"/>
      <c r="G46" s="1"/>
      <c r="H46" s="1"/>
      <c r="I46" s="1"/>
      <c r="J46" s="17"/>
      <c r="K46" s="1"/>
      <c r="L46" s="1"/>
      <c r="M46" s="1"/>
    </row>
    <row r="47" spans="1:13" s="2" customFormat="1" x14ac:dyDescent="0.45">
      <c r="A47" s="1"/>
      <c r="B47" s="65">
        <v>35</v>
      </c>
      <c r="C47" s="15"/>
      <c r="D47" s="1"/>
      <c r="E47" s="1"/>
      <c r="F47" s="19"/>
      <c r="G47" s="1"/>
      <c r="H47" s="19"/>
      <c r="I47" s="1"/>
      <c r="J47" s="17"/>
      <c r="K47" s="1"/>
      <c r="L47" s="17"/>
      <c r="M47" s="17"/>
    </row>
    <row r="48" spans="1:13" s="2" customFormat="1" x14ac:dyDescent="0.45">
      <c r="A48" s="1"/>
      <c r="B48" s="65">
        <v>36</v>
      </c>
      <c r="C48" s="26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s="2" customFormat="1" x14ac:dyDescent="0.45">
      <c r="A49" s="1"/>
      <c r="B49" s="65">
        <v>37</v>
      </c>
      <c r="C49" s="15"/>
      <c r="D49" s="1"/>
      <c r="E49" s="1"/>
      <c r="F49" s="19"/>
      <c r="G49" s="1"/>
      <c r="H49" s="19"/>
      <c r="I49" s="1"/>
      <c r="J49" s="17"/>
      <c r="K49" s="1"/>
      <c r="L49" s="1"/>
      <c r="M49" s="1"/>
    </row>
    <row r="50" spans="1:13" s="2" customFormat="1" x14ac:dyDescent="0.45">
      <c r="A50" s="1"/>
      <c r="B50" s="65">
        <v>38</v>
      </c>
      <c r="C50" s="15"/>
      <c r="D50" s="1"/>
      <c r="E50" s="1"/>
      <c r="F50" s="28"/>
      <c r="G50" s="1"/>
      <c r="H50" s="28"/>
      <c r="I50" s="1"/>
      <c r="J50" s="1"/>
      <c r="K50" s="1"/>
      <c r="L50" s="17"/>
      <c r="M50" s="17"/>
    </row>
    <row r="51" spans="1:13" s="2" customFormat="1" x14ac:dyDescent="0.45">
      <c r="A51" s="1"/>
      <c r="B51" s="65">
        <v>39</v>
      </c>
      <c r="C51" s="26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s="2" customFormat="1" x14ac:dyDescent="0.45">
      <c r="A52" s="1"/>
      <c r="B52" s="65">
        <v>40</v>
      </c>
      <c r="C52" s="15"/>
      <c r="D52" s="1"/>
      <c r="E52" s="1"/>
      <c r="F52" s="1"/>
      <c r="G52" s="1"/>
      <c r="H52" s="1"/>
      <c r="I52" s="1"/>
      <c r="J52" s="17"/>
      <c r="K52" s="1"/>
      <c r="L52" s="17"/>
      <c r="M52" s="17"/>
    </row>
    <row r="53" spans="1:13" s="2" customFormat="1" x14ac:dyDescent="0.45">
      <c r="A53" s="1"/>
      <c r="B53" s="65">
        <v>41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s="2" customFormat="1" x14ac:dyDescent="0.45">
      <c r="A54" s="1"/>
      <c r="B54" s="65">
        <v>42</v>
      </c>
      <c r="C54" s="11"/>
      <c r="D54" s="11"/>
      <c r="E54" s="1"/>
      <c r="F54" s="1"/>
      <c r="G54" s="1"/>
      <c r="H54" s="1"/>
      <c r="I54" s="1"/>
      <c r="J54" s="17"/>
      <c r="K54" s="1"/>
      <c r="L54" s="19"/>
      <c r="M54" s="19"/>
    </row>
    <row r="55" spans="1:13" s="2" customFormat="1" x14ac:dyDescent="0.45">
      <c r="A55" s="1"/>
      <c r="B55" s="65">
        <v>43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s="2" customFormat="1" x14ac:dyDescent="0.45">
      <c r="A56" s="1"/>
      <c r="B56" s="65">
        <v>44</v>
      </c>
      <c r="C56" s="11"/>
      <c r="D56" s="1"/>
      <c r="E56" s="1"/>
      <c r="F56" s="1"/>
      <c r="G56" s="1"/>
      <c r="H56" s="1"/>
      <c r="I56" s="1"/>
      <c r="J56" s="19"/>
      <c r="K56" s="1"/>
      <c r="L56" s="19"/>
      <c r="M56" s="19"/>
    </row>
    <row r="57" spans="1:13" s="2" customFormat="1" x14ac:dyDescent="0.45">
      <c r="A57" s="1"/>
      <c r="B57" s="65">
        <v>45</v>
      </c>
      <c r="C57" s="1"/>
      <c r="D57" s="1"/>
      <c r="E57" s="1"/>
      <c r="F57" s="1"/>
      <c r="G57" s="1"/>
      <c r="H57" s="1"/>
      <c r="I57" s="1"/>
      <c r="J57" s="1"/>
      <c r="K57" s="1"/>
      <c r="L57" s="29"/>
      <c r="M57" s="29"/>
    </row>
    <row r="58" spans="1:13" s="2" customFormat="1" x14ac:dyDescent="0.45">
      <c r="A58" s="1"/>
      <c r="B58" s="65">
        <v>46</v>
      </c>
      <c r="C58" s="11"/>
      <c r="D58" s="1"/>
      <c r="E58" s="1"/>
      <c r="F58" s="1"/>
      <c r="G58" s="1"/>
      <c r="H58" s="1"/>
      <c r="I58" s="1"/>
      <c r="J58" s="19"/>
      <c r="K58" s="1"/>
      <c r="L58" s="1"/>
      <c r="M58" s="1"/>
    </row>
    <row r="59" spans="1:13" s="2" customFormat="1" x14ac:dyDescent="0.45">
      <c r="A59" s="1"/>
      <c r="B59" s="65">
        <v>47</v>
      </c>
      <c r="C59" s="11"/>
      <c r="D59" s="1"/>
      <c r="E59" s="1"/>
      <c r="F59" s="1"/>
      <c r="G59" s="1"/>
      <c r="H59" s="1"/>
      <c r="I59" s="1"/>
      <c r="J59" s="29"/>
      <c r="K59" s="1"/>
      <c r="L59" s="1"/>
      <c r="M59" s="1"/>
    </row>
    <row r="60" spans="1:13" s="2" customFormat="1" x14ac:dyDescent="0.45">
      <c r="A60" s="1"/>
      <c r="B60" s="65">
        <v>48</v>
      </c>
      <c r="C60" s="1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s="2" customFormat="1" x14ac:dyDescent="0.45">
      <c r="A61" s="1"/>
      <c r="B61" s="65">
        <v>49</v>
      </c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45">
      <c r="B62" s="65">
        <v>50</v>
      </c>
      <c r="C62" s="11"/>
    </row>
  </sheetData>
  <mergeCells count="5">
    <mergeCell ref="A1:H1"/>
    <mergeCell ref="A2:H2"/>
    <mergeCell ref="A5:H5"/>
    <mergeCell ref="A3:H3"/>
    <mergeCell ref="A4:H4"/>
  </mergeCells>
  <pageMargins left="0.7" right="0.7" top="0.75" bottom="0.75" header="0.3" footer="0.3"/>
  <pageSetup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B0D65-84B9-4B2C-9FD6-01AE7F168086}">
  <sheetPr>
    <pageSetUpPr fitToPage="1"/>
  </sheetPr>
  <dimension ref="A1:P63"/>
  <sheetViews>
    <sheetView view="pageBreakPreview" zoomScaleNormal="110" zoomScaleSheetLayoutView="100" workbookViewId="0">
      <selection activeCell="H29" sqref="H29"/>
    </sheetView>
  </sheetViews>
  <sheetFormatPr defaultColWidth="9.1328125" defaultRowHeight="14.25" x14ac:dyDescent="0.45"/>
  <cols>
    <col min="1" max="1" width="4" style="1" customWidth="1"/>
    <col min="2" max="2" width="5.1328125" style="1" customWidth="1"/>
    <col min="3" max="3" width="7.73046875" style="1" customWidth="1"/>
    <col min="4" max="4" width="55.1328125" style="1" bestFit="1" customWidth="1"/>
    <col min="5" max="5" width="3.1328125" style="1" customWidth="1"/>
    <col min="6" max="6" width="14.73046875" style="1" customWidth="1"/>
    <col min="7" max="7" width="3.1328125" style="1" customWidth="1"/>
    <col min="8" max="8" width="14.73046875" style="1" customWidth="1"/>
    <col min="9" max="9" width="3.73046875" style="1" customWidth="1"/>
    <col min="10" max="10" width="14.73046875" style="1" customWidth="1"/>
    <col min="11" max="11" width="3.73046875" style="1" customWidth="1"/>
    <col min="12" max="12" width="14.73046875" style="1" customWidth="1"/>
    <col min="13" max="13" width="3.73046875" style="1" customWidth="1"/>
    <col min="14" max="14" width="14.73046875" style="1" customWidth="1"/>
    <col min="15" max="15" width="3.1328125" style="1" customWidth="1"/>
    <col min="16" max="16" width="26" style="2" bestFit="1" customWidth="1"/>
    <col min="17" max="16384" width="9.1328125" style="1"/>
  </cols>
  <sheetData>
    <row r="1" spans="1:16" ht="16.899999999999999" x14ac:dyDescent="0.5">
      <c r="A1" s="110" t="str">
        <f>'Constants LinkIn'!B2</f>
        <v>BLUEGRASS WATER UTILITY OPERATING COMPANY, LLC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6" x14ac:dyDescent="0.45">
      <c r="A2" s="111" t="str">
        <f>'Constants LinkIn'!B3</f>
        <v>Case No. 2020-00290</v>
      </c>
      <c r="B2" s="111"/>
      <c r="C2" s="111"/>
      <c r="D2" s="111"/>
      <c r="E2" s="111"/>
      <c r="F2" s="111"/>
      <c r="G2" s="111"/>
      <c r="H2" s="111"/>
      <c r="I2" s="111"/>
      <c r="J2" s="111"/>
      <c r="O2" s="3"/>
    </row>
    <row r="3" spans="1:16" x14ac:dyDescent="0.45">
      <c r="A3" s="111" t="s">
        <v>130</v>
      </c>
      <c r="B3" s="111"/>
      <c r="C3" s="111"/>
      <c r="D3" s="111"/>
      <c r="E3" s="111"/>
      <c r="F3" s="111"/>
      <c r="G3" s="111"/>
      <c r="H3" s="111"/>
      <c r="I3" s="111"/>
      <c r="J3" s="111"/>
      <c r="O3" s="3"/>
    </row>
    <row r="4" spans="1:16" x14ac:dyDescent="0.45">
      <c r="A4" s="111" t="str">
        <f>'Constants LinkIn'!B11</f>
        <v>Forecast Year for the 12 Months ended April 30, 2022</v>
      </c>
      <c r="B4" s="111"/>
      <c r="C4" s="111"/>
      <c r="D4" s="111"/>
      <c r="E4" s="111"/>
      <c r="F4" s="111"/>
      <c r="G4" s="111"/>
      <c r="H4" s="111"/>
      <c r="I4" s="111"/>
      <c r="J4" s="111"/>
      <c r="O4" s="3"/>
    </row>
    <row r="5" spans="1:16" x14ac:dyDescent="0.45">
      <c r="O5" s="3"/>
    </row>
    <row r="6" spans="1:16" x14ac:dyDescent="0.45">
      <c r="O6" s="3"/>
    </row>
    <row r="7" spans="1:16" x14ac:dyDescent="0.45">
      <c r="J7" s="75" t="s">
        <v>110</v>
      </c>
      <c r="O7" s="3"/>
    </row>
    <row r="8" spans="1:16" x14ac:dyDescent="0.45">
      <c r="A8" s="1" t="s">
        <v>33</v>
      </c>
      <c r="J8" s="76" t="str">
        <f ca="1">RIGHT(CELL("filename",$A$1),LEN(CELL("filename",$A$1))-SEARCH("/Work Papers",CELL("filename",$A$1),1))</f>
        <v>Work Papers/Rate Base/[BGUOC 2020 Rate Case - Rate Base (Sewer).xlsx]FY Rate Base - Sewer B1</v>
      </c>
      <c r="O8" s="3"/>
    </row>
    <row r="9" spans="1:16" x14ac:dyDescent="0.45">
      <c r="A9" s="1" t="s">
        <v>15</v>
      </c>
      <c r="J9" s="77" t="s">
        <v>109</v>
      </c>
      <c r="O9" s="3"/>
    </row>
    <row r="10" spans="1:16" ht="14.65" thickBot="1" x14ac:dyDescent="0.5">
      <c r="B10" s="4"/>
      <c r="C10" s="4"/>
      <c r="D10" s="4"/>
      <c r="E10" s="4"/>
      <c r="F10" s="4"/>
      <c r="G10" s="4"/>
      <c r="H10" s="4"/>
      <c r="I10" s="4"/>
      <c r="J10" s="4"/>
      <c r="O10" s="3"/>
    </row>
    <row r="11" spans="1:16" ht="42.75" x14ac:dyDescent="0.45">
      <c r="B11" s="5" t="s">
        <v>0</v>
      </c>
      <c r="C11" s="5"/>
      <c r="F11" s="6" t="s">
        <v>1</v>
      </c>
      <c r="G11" s="7"/>
      <c r="H11" s="6" t="s">
        <v>2</v>
      </c>
      <c r="I11" s="7"/>
      <c r="J11" s="6" t="s">
        <v>13</v>
      </c>
      <c r="K11" s="7"/>
      <c r="L11" s="5"/>
      <c r="M11" s="7"/>
      <c r="N11" s="5"/>
      <c r="O11" s="3"/>
      <c r="P11" s="5"/>
    </row>
    <row r="12" spans="1:16" ht="14.65" thickBot="1" x14ac:dyDescent="0.5">
      <c r="B12" s="8" t="s">
        <v>3</v>
      </c>
      <c r="C12" s="8"/>
      <c r="D12" s="8" t="s">
        <v>4</v>
      </c>
      <c r="E12" s="4"/>
      <c r="F12" s="9" t="s">
        <v>5</v>
      </c>
      <c r="G12" s="4"/>
      <c r="H12" s="9" t="s">
        <v>5</v>
      </c>
      <c r="I12" s="4"/>
      <c r="J12" s="9" t="s">
        <v>5</v>
      </c>
      <c r="L12" s="10"/>
      <c r="N12" s="10"/>
      <c r="O12" s="10"/>
      <c r="P12" s="10"/>
    </row>
    <row r="13" spans="1:16" s="11" customFormat="1" x14ac:dyDescent="0.45">
      <c r="B13" s="65">
        <v>1</v>
      </c>
      <c r="D13" s="12"/>
      <c r="F13" s="13"/>
      <c r="H13" s="13"/>
      <c r="J13" s="13"/>
      <c r="L13" s="13"/>
      <c r="N13" s="13"/>
      <c r="O13" s="13"/>
      <c r="P13" s="14"/>
    </row>
    <row r="14" spans="1:16" x14ac:dyDescent="0.45">
      <c r="B14" s="65">
        <v>2</v>
      </c>
      <c r="C14" s="11"/>
      <c r="D14" s="1" t="s">
        <v>6</v>
      </c>
      <c r="F14" s="107" t="s">
        <v>118</v>
      </c>
      <c r="H14" s="17">
        <f>'UPIS - FY B2'!L31</f>
        <v>10135289.688999999</v>
      </c>
      <c r="J14" s="17">
        <f>'UPIS - FY B2'!N31</f>
        <v>8438874.3043846153</v>
      </c>
    </row>
    <row r="15" spans="1:16" x14ac:dyDescent="0.45">
      <c r="B15" s="65">
        <v>3</v>
      </c>
      <c r="C15" s="15"/>
      <c r="D15" s="16"/>
      <c r="F15" s="17"/>
      <c r="H15" s="17"/>
      <c r="J15" s="17"/>
      <c r="L15" s="17"/>
      <c r="N15" s="17"/>
      <c r="O15" s="17"/>
    </row>
    <row r="16" spans="1:16" x14ac:dyDescent="0.45">
      <c r="B16" s="65">
        <v>4</v>
      </c>
      <c r="C16" s="15"/>
      <c r="D16" s="1" t="s">
        <v>7</v>
      </c>
      <c r="F16" s="107" t="s">
        <v>119</v>
      </c>
      <c r="H16" s="17">
        <f>-'AccDep - FY B3'!H31</f>
        <v>-2720965.6155231837</v>
      </c>
      <c r="I16" s="17"/>
      <c r="J16" s="17">
        <f>-'AccDep - FY B3'!J31</f>
        <v>-2564879.5295384079</v>
      </c>
      <c r="L16" s="17"/>
      <c r="N16" s="17"/>
      <c r="O16" s="17"/>
    </row>
    <row r="17" spans="1:15" x14ac:dyDescent="0.45">
      <c r="B17" s="65">
        <v>5</v>
      </c>
      <c r="C17" s="15"/>
      <c r="D17" s="20"/>
      <c r="L17" s="17"/>
      <c r="N17" s="17"/>
      <c r="O17" s="17"/>
    </row>
    <row r="18" spans="1:15" x14ac:dyDescent="0.45">
      <c r="B18" s="65">
        <v>6</v>
      </c>
      <c r="C18" s="15"/>
      <c r="D18" s="11"/>
      <c r="H18" s="21"/>
      <c r="J18" s="21"/>
      <c r="L18" s="17"/>
      <c r="N18" s="17"/>
      <c r="O18" s="17"/>
    </row>
    <row r="19" spans="1:15" x14ac:dyDescent="0.45">
      <c r="B19" s="65">
        <v>7</v>
      </c>
      <c r="D19" s="18" t="s">
        <v>8</v>
      </c>
      <c r="H19" s="17">
        <f>SUM(H14,H16)</f>
        <v>7414324.0734768156</v>
      </c>
      <c r="J19" s="17">
        <f>SUM(J14,J16)</f>
        <v>5873994.7748462074</v>
      </c>
      <c r="L19" s="19"/>
      <c r="N19" s="19"/>
      <c r="O19" s="19"/>
    </row>
    <row r="20" spans="1:15" x14ac:dyDescent="0.45">
      <c r="B20" s="65">
        <v>8</v>
      </c>
      <c r="D20" s="16"/>
      <c r="H20" s="17"/>
      <c r="J20" s="17"/>
    </row>
    <row r="21" spans="1:15" x14ac:dyDescent="0.45">
      <c r="B21" s="65">
        <v>9</v>
      </c>
      <c r="C21" s="11"/>
      <c r="D21" s="16"/>
      <c r="H21" s="17"/>
      <c r="J21" s="17"/>
    </row>
    <row r="22" spans="1:15" s="2" customFormat="1" x14ac:dyDescent="0.45">
      <c r="A22" s="1"/>
      <c r="B22" s="65">
        <v>10</v>
      </c>
      <c r="C22" s="1"/>
      <c r="D22" s="18" t="s">
        <v>9</v>
      </c>
      <c r="E22" s="1"/>
      <c r="F22" s="107" t="s">
        <v>120</v>
      </c>
      <c r="G22" s="1"/>
      <c r="H22" s="17">
        <v>0</v>
      </c>
      <c r="I22" s="1"/>
      <c r="J22" s="17">
        <v>877758.17403778038</v>
      </c>
      <c r="K22" s="1"/>
      <c r="L22" s="1"/>
      <c r="M22" s="1"/>
      <c r="N22" s="1"/>
      <c r="O22" s="1"/>
    </row>
    <row r="23" spans="1:15" s="2" customFormat="1" x14ac:dyDescent="0.45">
      <c r="A23" s="1"/>
      <c r="B23" s="65">
        <v>11</v>
      </c>
      <c r="C23" s="15"/>
      <c r="D23" s="16"/>
      <c r="E23" s="1"/>
      <c r="F23" s="1"/>
      <c r="G23" s="1"/>
      <c r="H23" s="17"/>
      <c r="I23" s="1"/>
      <c r="J23" s="17"/>
      <c r="K23" s="1"/>
      <c r="L23" s="17"/>
      <c r="M23" s="1"/>
      <c r="N23" s="17"/>
      <c r="O23" s="17"/>
    </row>
    <row r="24" spans="1:15" s="2" customFormat="1" x14ac:dyDescent="0.45">
      <c r="A24" s="1"/>
      <c r="B24" s="65">
        <v>12</v>
      </c>
      <c r="C24" s="15"/>
      <c r="D24" s="18" t="s">
        <v>10</v>
      </c>
      <c r="E24" s="1"/>
      <c r="F24" s="107" t="s">
        <v>121</v>
      </c>
      <c r="G24" s="1"/>
      <c r="H24" s="17">
        <f>J24</f>
        <v>256177.99620684946</v>
      </c>
      <c r="I24" s="1"/>
      <c r="J24" s="17">
        <f>'WC - FY B5'!I16</f>
        <v>256177.99620684946</v>
      </c>
      <c r="K24" s="1"/>
      <c r="L24" s="17"/>
      <c r="M24" s="1"/>
      <c r="N24" s="17"/>
      <c r="O24" s="17"/>
    </row>
    <row r="25" spans="1:15" s="2" customFormat="1" x14ac:dyDescent="0.45">
      <c r="A25" s="1"/>
      <c r="B25" s="65">
        <v>13</v>
      </c>
      <c r="C25" s="15"/>
      <c r="D25" s="16"/>
      <c r="E25" s="1"/>
      <c r="F25" s="1"/>
      <c r="G25" s="1"/>
      <c r="H25" s="17"/>
      <c r="I25" s="1"/>
      <c r="J25" s="17"/>
      <c r="K25" s="1"/>
      <c r="L25" s="17"/>
      <c r="M25" s="1"/>
      <c r="N25" s="17"/>
      <c r="O25" s="17"/>
    </row>
    <row r="26" spans="1:15" s="2" customFormat="1" x14ac:dyDescent="0.45">
      <c r="A26" s="1"/>
      <c r="B26" s="65">
        <v>14</v>
      </c>
      <c r="C26" s="15"/>
      <c r="D26" s="18" t="s">
        <v>11</v>
      </c>
      <c r="E26" s="1"/>
      <c r="F26" s="107" t="s">
        <v>131</v>
      </c>
      <c r="G26" s="1"/>
      <c r="H26" s="17">
        <f>-'CIAC - FY B6'!F14</f>
        <v>-87144.31633333335</v>
      </c>
      <c r="I26" s="1"/>
      <c r="J26" s="17">
        <f>-'CIAC - FY B6'!H14</f>
        <v>-100385.38345833335</v>
      </c>
      <c r="K26" s="1"/>
      <c r="L26" s="17"/>
      <c r="M26" s="1"/>
      <c r="N26" s="17"/>
      <c r="O26" s="17"/>
    </row>
    <row r="27" spans="1:15" s="2" customFormat="1" x14ac:dyDescent="0.45">
      <c r="A27" s="1"/>
      <c r="B27" s="65">
        <v>15</v>
      </c>
      <c r="C27" s="15"/>
      <c r="D27" s="1"/>
      <c r="E27" s="1"/>
      <c r="F27" s="1"/>
      <c r="G27" s="1"/>
      <c r="H27" s="19"/>
      <c r="I27" s="1"/>
      <c r="J27" s="19"/>
      <c r="K27" s="1"/>
      <c r="L27" s="17"/>
      <c r="M27" s="1"/>
      <c r="N27" s="17"/>
      <c r="O27" s="17"/>
    </row>
    <row r="28" spans="1:15" s="2" customFormat="1" x14ac:dyDescent="0.45">
      <c r="A28" s="1"/>
      <c r="B28" s="65">
        <v>16</v>
      </c>
      <c r="C28" s="15"/>
      <c r="D28" s="22"/>
      <c r="E28" s="1"/>
      <c r="F28" s="1"/>
      <c r="G28" s="1"/>
      <c r="H28" s="17"/>
      <c r="I28" s="1"/>
      <c r="J28" s="17"/>
      <c r="K28" s="1"/>
      <c r="L28" s="17"/>
      <c r="M28" s="1"/>
      <c r="N28" s="17"/>
      <c r="O28" s="17"/>
    </row>
    <row r="29" spans="1:15" s="2" customFormat="1" ht="14.65" thickBot="1" x14ac:dyDescent="0.5">
      <c r="A29" s="1"/>
      <c r="B29" s="65">
        <v>17</v>
      </c>
      <c r="C29" s="15"/>
      <c r="D29" s="67" t="s">
        <v>12</v>
      </c>
      <c r="E29" s="1"/>
      <c r="F29" s="1"/>
      <c r="G29" s="1"/>
      <c r="H29" s="24">
        <f>H19+SUM(H22,H24,H26)</f>
        <v>7583357.7533503314</v>
      </c>
      <c r="I29" s="1"/>
      <c r="J29" s="24">
        <f>J19+SUM(J22,J24,J26)</f>
        <v>6907545.5616325038</v>
      </c>
      <c r="K29" s="1"/>
      <c r="L29" s="17"/>
      <c r="M29" s="1"/>
      <c r="N29" s="17"/>
      <c r="O29" s="17"/>
    </row>
    <row r="30" spans="1:15" s="2" customFormat="1" ht="14.65" thickTop="1" x14ac:dyDescent="0.45">
      <c r="A30" s="1"/>
      <c r="B30" s="65">
        <v>18</v>
      </c>
      <c r="C30" s="15"/>
      <c r="D30" s="22"/>
      <c r="E30" s="1"/>
      <c r="F30" s="17"/>
      <c r="G30" s="1"/>
      <c r="H30" s="17"/>
      <c r="I30" s="1"/>
      <c r="J30" s="17"/>
      <c r="K30" s="1"/>
      <c r="L30" s="17"/>
      <c r="M30" s="1"/>
      <c r="N30" s="17"/>
      <c r="O30" s="17"/>
    </row>
    <row r="31" spans="1:15" s="2" customFormat="1" x14ac:dyDescent="0.45">
      <c r="A31" s="1"/>
      <c r="B31" s="65"/>
      <c r="C31" s="15"/>
      <c r="D31" s="22"/>
      <c r="E31" s="1"/>
      <c r="F31" s="17"/>
      <c r="G31" s="1"/>
      <c r="H31" s="17"/>
      <c r="I31" s="1"/>
      <c r="J31" s="17"/>
      <c r="K31" s="1"/>
      <c r="L31" s="19"/>
      <c r="M31" s="1"/>
      <c r="N31" s="19"/>
      <c r="O31" s="19"/>
    </row>
    <row r="32" spans="1:15" s="2" customFormat="1" x14ac:dyDescent="0.45">
      <c r="A32" s="1"/>
      <c r="B32" s="65"/>
      <c r="D32" s="22"/>
      <c r="E32" s="1"/>
      <c r="F32" s="17"/>
      <c r="G32" s="1"/>
      <c r="H32" s="17"/>
      <c r="I32" s="1"/>
      <c r="J32" s="17"/>
      <c r="K32" s="1"/>
      <c r="L32" s="1"/>
      <c r="M32" s="1"/>
      <c r="N32" s="1"/>
      <c r="O32" s="1"/>
    </row>
    <row r="33" spans="1:15" s="2" customFormat="1" x14ac:dyDescent="0.45">
      <c r="A33" s="1"/>
      <c r="B33" s="65"/>
      <c r="C33" s="15"/>
      <c r="D33" s="22"/>
      <c r="E33" s="1"/>
      <c r="F33" s="17"/>
      <c r="G33" s="1"/>
      <c r="H33" s="17"/>
      <c r="I33" s="1"/>
      <c r="J33" s="17"/>
      <c r="K33" s="1"/>
      <c r="L33" s="17"/>
      <c r="M33" s="1"/>
      <c r="N33" s="17"/>
      <c r="O33" s="17"/>
    </row>
    <row r="34" spans="1:15" s="2" customFormat="1" x14ac:dyDescent="0.45">
      <c r="A34" s="1"/>
      <c r="B34" s="65"/>
      <c r="C34" s="15"/>
      <c r="D34" s="1"/>
      <c r="E34" s="1"/>
      <c r="F34" s="19"/>
      <c r="G34" s="1"/>
      <c r="H34" s="19"/>
      <c r="I34" s="1"/>
      <c r="J34" s="19"/>
      <c r="K34" s="1"/>
      <c r="L34" s="17"/>
      <c r="M34" s="1"/>
      <c r="N34" s="17"/>
      <c r="O34" s="17"/>
    </row>
    <row r="35" spans="1:15" s="2" customFormat="1" x14ac:dyDescent="0.45">
      <c r="A35" s="1"/>
      <c r="B35" s="65"/>
      <c r="C35" s="15"/>
      <c r="D35" s="1"/>
      <c r="E35" s="1"/>
      <c r="F35" s="1"/>
      <c r="G35" s="1"/>
      <c r="H35" s="1"/>
      <c r="I35" s="1"/>
      <c r="J35" s="1"/>
      <c r="K35" s="1"/>
      <c r="L35" s="17"/>
      <c r="M35" s="1"/>
      <c r="N35" s="17"/>
      <c r="O35" s="17"/>
    </row>
    <row r="36" spans="1:15" s="2" customFormat="1" x14ac:dyDescent="0.45">
      <c r="A36" s="1"/>
      <c r="B36" s="65"/>
      <c r="C36" s="15"/>
      <c r="D36" s="22"/>
      <c r="E36" s="1"/>
      <c r="F36" s="17"/>
      <c r="G36" s="1"/>
      <c r="H36" s="17"/>
      <c r="I36" s="1"/>
      <c r="J36" s="17"/>
      <c r="K36" s="1"/>
      <c r="L36" s="17"/>
      <c r="M36" s="1"/>
      <c r="N36" s="17"/>
      <c r="O36" s="17"/>
    </row>
    <row r="37" spans="1:15" s="2" customFormat="1" x14ac:dyDescent="0.45">
      <c r="A37" s="1"/>
      <c r="B37" s="65"/>
      <c r="C37" s="15"/>
      <c r="D37" s="22"/>
      <c r="E37" s="1"/>
      <c r="F37" s="17"/>
      <c r="G37" s="1"/>
      <c r="H37" s="17"/>
      <c r="I37" s="1"/>
      <c r="J37" s="17"/>
      <c r="K37" s="1"/>
      <c r="L37" s="17"/>
      <c r="M37" s="1"/>
      <c r="N37" s="17"/>
      <c r="O37" s="17"/>
    </row>
    <row r="38" spans="1:15" s="2" customFormat="1" x14ac:dyDescent="0.45">
      <c r="A38" s="1"/>
      <c r="B38" s="65"/>
      <c r="C38" s="15"/>
      <c r="D38" s="22"/>
      <c r="E38" s="1"/>
      <c r="F38" s="17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45">
      <c r="A39" s="1"/>
      <c r="B39" s="65"/>
      <c r="C39" s="15"/>
      <c r="D39" s="1"/>
      <c r="E39" s="1"/>
      <c r="F39" s="1"/>
      <c r="G39" s="1"/>
      <c r="H39" s="1"/>
      <c r="I39" s="1"/>
      <c r="J39" s="1"/>
      <c r="K39" s="1"/>
      <c r="L39" s="17"/>
      <c r="M39" s="1"/>
      <c r="N39" s="17"/>
      <c r="O39" s="17"/>
    </row>
    <row r="40" spans="1:15" s="2" customFormat="1" x14ac:dyDescent="0.45">
      <c r="A40" s="1"/>
      <c r="B40" s="65"/>
      <c r="C40" s="15"/>
      <c r="D40" s="27"/>
      <c r="E40" s="1"/>
      <c r="F40" s="17"/>
      <c r="G40" s="1"/>
      <c r="H40" s="17"/>
      <c r="I40" s="1"/>
      <c r="J40" s="17"/>
      <c r="K40" s="1"/>
      <c r="L40" s="17"/>
      <c r="M40" s="1"/>
      <c r="N40" s="17"/>
      <c r="O40" s="17"/>
    </row>
    <row r="41" spans="1:15" s="2" customFormat="1" x14ac:dyDescent="0.45">
      <c r="A41" s="1"/>
      <c r="B41" s="65"/>
      <c r="C41" s="15"/>
      <c r="D41" s="1"/>
      <c r="E41" s="1"/>
      <c r="F41" s="1"/>
      <c r="G41" s="1"/>
      <c r="H41" s="1"/>
      <c r="I41" s="1"/>
      <c r="J41" s="1"/>
      <c r="K41" s="1"/>
      <c r="L41" s="17"/>
      <c r="M41" s="1"/>
      <c r="N41" s="17"/>
      <c r="O41" s="17"/>
    </row>
    <row r="42" spans="1:15" s="2" customFormat="1" x14ac:dyDescent="0.45">
      <c r="A42" s="1"/>
      <c r="B42" s="65"/>
      <c r="C42" s="25"/>
      <c r="D42" s="1"/>
      <c r="E42" s="1"/>
      <c r="F42" s="1"/>
      <c r="G42" s="1"/>
      <c r="H42" s="1"/>
      <c r="I42" s="1"/>
      <c r="J42" s="1"/>
      <c r="K42" s="1"/>
      <c r="L42" s="17"/>
      <c r="M42" s="1"/>
      <c r="N42" s="17"/>
      <c r="O42" s="17"/>
    </row>
    <row r="43" spans="1:15" s="2" customFormat="1" x14ac:dyDescent="0.45">
      <c r="A43" s="1"/>
      <c r="B43" s="65"/>
      <c r="C43" s="15"/>
      <c r="D43" s="27"/>
      <c r="E43" s="1"/>
      <c r="F43" s="17"/>
      <c r="G43" s="1"/>
      <c r="H43" s="17"/>
      <c r="I43" s="1"/>
      <c r="J43" s="17"/>
      <c r="K43" s="1"/>
      <c r="L43" s="19"/>
      <c r="M43" s="1"/>
      <c r="N43" s="19"/>
      <c r="O43" s="19"/>
    </row>
    <row r="44" spans="1:15" s="2" customFormat="1" x14ac:dyDescent="0.45">
      <c r="A44" s="1"/>
      <c r="B44" s="65"/>
      <c r="C44" s="2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s="2" customFormat="1" x14ac:dyDescent="0.45">
      <c r="A45" s="1"/>
      <c r="B45" s="65"/>
      <c r="C45" s="15"/>
      <c r="D45" s="1"/>
      <c r="E45" s="1"/>
      <c r="F45" s="17"/>
      <c r="G45" s="1"/>
      <c r="H45" s="17"/>
      <c r="I45" s="1"/>
      <c r="J45" s="17"/>
      <c r="K45" s="1"/>
      <c r="L45" s="17"/>
      <c r="M45" s="1"/>
      <c r="N45" s="17"/>
      <c r="O45" s="17"/>
    </row>
    <row r="46" spans="1:15" s="2" customFormat="1" x14ac:dyDescent="0.45">
      <c r="A46" s="1"/>
      <c r="B46" s="65"/>
      <c r="C46" s="15"/>
      <c r="D46" s="1"/>
      <c r="E46" s="1"/>
      <c r="F46" s="1"/>
      <c r="G46" s="1"/>
      <c r="H46" s="1"/>
      <c r="I46" s="1"/>
      <c r="J46" s="1"/>
      <c r="K46" s="1"/>
      <c r="L46" s="17"/>
      <c r="M46" s="1"/>
      <c r="N46" s="17"/>
      <c r="O46" s="17"/>
    </row>
    <row r="47" spans="1:15" s="2" customFormat="1" x14ac:dyDescent="0.45">
      <c r="A47" s="1"/>
      <c r="B47" s="65"/>
      <c r="C47" s="15"/>
      <c r="D47" s="1"/>
      <c r="E47" s="1"/>
      <c r="F47" s="19"/>
      <c r="G47" s="1"/>
      <c r="H47" s="19"/>
      <c r="I47" s="1"/>
      <c r="J47" s="19"/>
      <c r="K47" s="1"/>
      <c r="L47" s="17"/>
      <c r="M47" s="1"/>
      <c r="N47" s="17"/>
      <c r="O47" s="17"/>
    </row>
    <row r="48" spans="1:15" s="2" customFormat="1" x14ac:dyDescent="0.45">
      <c r="A48" s="1"/>
      <c r="B48" s="65"/>
      <c r="C48" s="2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s="2" customFormat="1" x14ac:dyDescent="0.45">
      <c r="A49" s="1"/>
      <c r="B49" s="65"/>
      <c r="C49" s="15"/>
      <c r="D49" s="1"/>
      <c r="E49" s="1"/>
      <c r="F49" s="19"/>
      <c r="G49" s="1"/>
      <c r="H49" s="19"/>
      <c r="I49" s="1"/>
      <c r="J49" s="19"/>
      <c r="K49" s="1"/>
      <c r="L49" s="17"/>
      <c r="M49" s="1"/>
      <c r="N49" s="17"/>
      <c r="O49" s="17"/>
    </row>
    <row r="50" spans="1:15" s="2" customFormat="1" x14ac:dyDescent="0.45">
      <c r="A50" s="1"/>
      <c r="B50" s="65"/>
      <c r="C50" s="15"/>
      <c r="D50" s="1"/>
      <c r="E50" s="1"/>
      <c r="F50" s="28"/>
      <c r="G50" s="1"/>
      <c r="H50" s="28"/>
      <c r="I50" s="1"/>
      <c r="J50" s="28"/>
      <c r="K50" s="1"/>
      <c r="L50" s="1"/>
      <c r="M50" s="1"/>
      <c r="N50" s="1"/>
      <c r="O50" s="1"/>
    </row>
    <row r="51" spans="1:15" s="2" customFormat="1" x14ac:dyDescent="0.45">
      <c r="A51" s="1"/>
      <c r="B51" s="65"/>
      <c r="C51" s="2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s="2" customFormat="1" x14ac:dyDescent="0.45">
      <c r="A52" s="1"/>
      <c r="B52" s="65"/>
      <c r="C52" s="15"/>
      <c r="D52" s="1"/>
      <c r="E52" s="1"/>
      <c r="F52" s="1"/>
      <c r="G52" s="1"/>
      <c r="H52" s="1"/>
      <c r="I52" s="1"/>
      <c r="J52" s="1"/>
      <c r="K52" s="1"/>
      <c r="L52" s="17"/>
      <c r="M52" s="1"/>
      <c r="N52" s="17"/>
      <c r="O52" s="17"/>
    </row>
    <row r="53" spans="1:15" s="2" customFormat="1" x14ac:dyDescent="0.45">
      <c r="A53" s="1"/>
      <c r="B53" s="6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2" customFormat="1" x14ac:dyDescent="0.45">
      <c r="A54" s="1"/>
      <c r="B54" s="65"/>
      <c r="C54" s="11"/>
      <c r="D54" s="11"/>
      <c r="E54" s="1"/>
      <c r="F54" s="1"/>
      <c r="G54" s="1"/>
      <c r="H54" s="1"/>
      <c r="I54" s="1"/>
      <c r="J54" s="1"/>
      <c r="K54" s="1"/>
      <c r="L54" s="17"/>
      <c r="M54" s="1"/>
      <c r="N54" s="17"/>
      <c r="O54" s="17"/>
    </row>
    <row r="55" spans="1:15" s="2" customFormat="1" x14ac:dyDescent="0.45">
      <c r="A55" s="1"/>
      <c r="B55" s="6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2" customFormat="1" x14ac:dyDescent="0.45">
      <c r="A56" s="1"/>
      <c r="B56" s="65"/>
      <c r="C56" s="11"/>
      <c r="D56" s="1"/>
      <c r="E56" s="1"/>
      <c r="F56" s="1"/>
      <c r="G56" s="1"/>
      <c r="H56" s="1"/>
      <c r="I56" s="1"/>
      <c r="J56" s="1"/>
      <c r="K56" s="1"/>
      <c r="L56" s="19"/>
      <c r="M56" s="1"/>
      <c r="N56" s="19"/>
      <c r="O56" s="19"/>
    </row>
    <row r="57" spans="1:15" s="2" customFormat="1" x14ac:dyDescent="0.45">
      <c r="A57" s="1"/>
      <c r="B57" s="6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s="2" customFormat="1" x14ac:dyDescent="0.45">
      <c r="A58" s="1"/>
      <c r="B58" s="65"/>
      <c r="C58" s="11"/>
      <c r="D58" s="1"/>
      <c r="E58" s="1"/>
      <c r="F58" s="1"/>
      <c r="G58" s="1"/>
      <c r="H58" s="1"/>
      <c r="I58" s="1"/>
      <c r="J58" s="1"/>
      <c r="K58" s="1"/>
      <c r="L58" s="19"/>
      <c r="M58" s="1"/>
      <c r="N58" s="19"/>
      <c r="O58" s="19"/>
    </row>
    <row r="59" spans="1:15" s="2" customFormat="1" x14ac:dyDescent="0.45">
      <c r="A59" s="1"/>
      <c r="B59" s="65"/>
      <c r="C59" s="11"/>
      <c r="D59" s="1"/>
      <c r="E59" s="1"/>
      <c r="F59" s="1"/>
      <c r="G59" s="1"/>
      <c r="H59" s="1"/>
      <c r="I59" s="1"/>
      <c r="J59" s="1"/>
      <c r="K59" s="1"/>
      <c r="L59" s="29"/>
      <c r="M59" s="1"/>
      <c r="N59" s="29"/>
      <c r="O59" s="29"/>
    </row>
    <row r="60" spans="1:15" s="2" customFormat="1" x14ac:dyDescent="0.45">
      <c r="A60" s="1"/>
      <c r="B60" s="65"/>
      <c r="C60" s="1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" customFormat="1" x14ac:dyDescent="0.45">
      <c r="A61" s="1"/>
      <c r="B61" s="65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2" customFormat="1" x14ac:dyDescent="0.45">
      <c r="A62" s="1"/>
      <c r="B62" s="65"/>
      <c r="C62" s="1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2" customForma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scale="95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BD64-DE0D-4105-9D47-B017D8C827F1}">
  <sheetPr>
    <pageSetUpPr fitToPage="1"/>
  </sheetPr>
  <dimension ref="A1:P62"/>
  <sheetViews>
    <sheetView tabSelected="1" view="pageBreakPreview" zoomScaleNormal="110" zoomScaleSheetLayoutView="100" workbookViewId="0">
      <selection activeCell="H18" sqref="H18"/>
    </sheetView>
  </sheetViews>
  <sheetFormatPr defaultColWidth="9.1328125" defaultRowHeight="14.25" x14ac:dyDescent="0.45"/>
  <cols>
    <col min="1" max="1" width="4" style="1" customWidth="1"/>
    <col min="2" max="2" width="5.1328125" style="1" customWidth="1"/>
    <col min="3" max="3" width="7.73046875" style="1" customWidth="1"/>
    <col min="4" max="4" width="55.1328125" style="1" bestFit="1" customWidth="1"/>
    <col min="5" max="5" width="3.1328125" style="1" customWidth="1"/>
    <col min="6" max="6" width="14.73046875" style="1" customWidth="1"/>
    <col min="7" max="7" width="3.1328125" style="1" customWidth="1"/>
    <col min="8" max="8" width="14.73046875" style="1" customWidth="1"/>
    <col min="9" max="9" width="3.73046875" style="1" customWidth="1"/>
    <col min="10" max="10" width="14.73046875" style="1" customWidth="1"/>
    <col min="11" max="11" width="3.73046875" style="1" customWidth="1"/>
    <col min="12" max="12" width="14.73046875" style="1" customWidth="1"/>
    <col min="13" max="13" width="3.73046875" style="1" customWidth="1"/>
    <col min="14" max="14" width="14.73046875" style="1" customWidth="1"/>
    <col min="15" max="15" width="3.1328125" style="1" customWidth="1"/>
    <col min="16" max="16" width="26" style="2" bestFit="1" customWidth="1"/>
    <col min="17" max="16384" width="9.1328125" style="1"/>
  </cols>
  <sheetData>
    <row r="1" spans="1:16" ht="16.899999999999999" x14ac:dyDescent="0.5">
      <c r="A1" s="110" t="str">
        <f>'Constants LinkIn'!B2</f>
        <v>BLUEGRASS WATER UTILITY OPERATING COMPANY, LLC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6" x14ac:dyDescent="0.45">
      <c r="A2" s="111" t="str">
        <f>'Constants LinkIn'!B3</f>
        <v>Case No. 2020-00290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O2" s="3"/>
    </row>
    <row r="3" spans="1:16" x14ac:dyDescent="0.45">
      <c r="A3" s="111" t="s">
        <v>140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47"/>
      <c r="N3" s="47"/>
      <c r="O3" s="3"/>
    </row>
    <row r="4" spans="1:16" x14ac:dyDescent="0.45">
      <c r="A4" s="111" t="str">
        <f>'Constants LinkIn'!B9</f>
        <v>Base Year for the 12 Months ended December 31, 2020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47"/>
      <c r="N4" s="47"/>
      <c r="O4" s="3"/>
    </row>
    <row r="5" spans="1:16" x14ac:dyDescent="0.4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O5" s="3"/>
    </row>
    <row r="6" spans="1:16" x14ac:dyDescent="0.4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75" t="s">
        <v>111</v>
      </c>
      <c r="O6" s="3"/>
    </row>
    <row r="7" spans="1:16" x14ac:dyDescent="0.45">
      <c r="A7" s="1" t="s">
        <v>14</v>
      </c>
      <c r="L7" s="76" t="str">
        <f ca="1">RIGHT(CELL("filename",$A$1),LEN(CELL("filename",$A$1))-SEARCH("/Work Papers",CELL("filename",$A$1),1))</f>
        <v>Work Papers/Rate Base/[BGUOC 2020 Rate Case - Rate Base (Sewer).xlsx]UPIS - BY B2</v>
      </c>
      <c r="O7" s="3"/>
    </row>
    <row r="8" spans="1:16" x14ac:dyDescent="0.45">
      <c r="A8" s="1" t="s">
        <v>15</v>
      </c>
      <c r="L8" s="77" t="s">
        <v>109</v>
      </c>
      <c r="O8" s="3"/>
    </row>
    <row r="9" spans="1:16" ht="14.65" thickBot="1" x14ac:dyDescent="0.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O9" s="3"/>
    </row>
    <row r="10" spans="1:16" ht="42.75" x14ac:dyDescent="0.45">
      <c r="B10" s="5" t="s">
        <v>0</v>
      </c>
      <c r="C10" s="5" t="s">
        <v>16</v>
      </c>
      <c r="F10" s="6" t="s">
        <v>17</v>
      </c>
      <c r="G10" s="7"/>
      <c r="H10" s="6" t="s">
        <v>18</v>
      </c>
      <c r="I10" s="7"/>
      <c r="J10" s="6" t="s">
        <v>19</v>
      </c>
      <c r="K10" s="7"/>
      <c r="L10" s="6" t="s">
        <v>20</v>
      </c>
      <c r="M10" s="7"/>
      <c r="N10" s="5"/>
      <c r="O10" s="3"/>
      <c r="P10" s="5"/>
    </row>
    <row r="11" spans="1:16" ht="14.65" thickBot="1" x14ac:dyDescent="0.5">
      <c r="B11" s="8" t="s">
        <v>3</v>
      </c>
      <c r="C11" s="8" t="s">
        <v>3</v>
      </c>
      <c r="D11" s="8" t="s">
        <v>21</v>
      </c>
      <c r="E11" s="4"/>
      <c r="F11" s="9" t="s">
        <v>5</v>
      </c>
      <c r="G11" s="4"/>
      <c r="H11" s="9" t="s">
        <v>5</v>
      </c>
      <c r="I11" s="4"/>
      <c r="J11" s="9" t="s">
        <v>5</v>
      </c>
      <c r="K11" s="4"/>
      <c r="L11" s="9" t="s">
        <v>5</v>
      </c>
      <c r="N11" s="10"/>
      <c r="O11" s="10"/>
      <c r="P11" s="10"/>
    </row>
    <row r="12" spans="1:16" s="11" customFormat="1" x14ac:dyDescent="0.45">
      <c r="B12" s="65">
        <v>1</v>
      </c>
      <c r="D12" s="12"/>
      <c r="F12" s="13"/>
      <c r="H12" s="13"/>
      <c r="J12" s="13"/>
      <c r="L12" s="13"/>
      <c r="N12" s="13"/>
      <c r="O12" s="13"/>
      <c r="P12" s="14"/>
    </row>
    <row r="13" spans="1:16" x14ac:dyDescent="0.45">
      <c r="B13" s="65">
        <v>2</v>
      </c>
      <c r="C13" s="11"/>
      <c r="D13" s="11"/>
    </row>
    <row r="14" spans="1:16" x14ac:dyDescent="0.45">
      <c r="B14" s="65">
        <v>3</v>
      </c>
      <c r="C14" s="18">
        <v>303</v>
      </c>
      <c r="D14" s="18" t="s">
        <v>22</v>
      </c>
      <c r="F14" s="17">
        <f>'UPIS Detail'!D5</f>
        <v>3700</v>
      </c>
      <c r="H14" s="17">
        <f>SUMIFS('UPIS Detail'!5:5,'UPIS Detail'!$2:$2,"&gt;"&amp;BY_Start,'UPIS Detail'!$2:$2,"&lt;="&amp;BY_end,'UPIS Detail'!$1:$1,H$10)</f>
        <v>0</v>
      </c>
      <c r="J14" s="17">
        <f>SUMIFS('UPIS Detail'!5:5,'UPIS Detail'!$2:$2,"&gt;"&amp;DATE(2019,12,31),'UPIS Detail'!$2:$2,"&lt;="&amp;DATE(2020,12,31),'UPIS Detail'!$1:$1,J$10)</f>
        <v>0</v>
      </c>
      <c r="L14" s="17">
        <f>F14+H14+J14</f>
        <v>3700</v>
      </c>
      <c r="N14" s="17"/>
      <c r="O14" s="17"/>
    </row>
    <row r="15" spans="1:16" x14ac:dyDescent="0.45">
      <c r="B15" s="65">
        <v>4</v>
      </c>
      <c r="C15" s="18">
        <v>310.10000000000002</v>
      </c>
      <c r="D15" s="18" t="s">
        <v>23</v>
      </c>
      <c r="F15" s="17">
        <f>'UPIS Detail'!D6</f>
        <v>50250</v>
      </c>
      <c r="H15" s="17">
        <f>SUMIFS('UPIS Detail'!6:6,'UPIS Detail'!$2:$2,"&gt;"&amp;BY_Start,'UPIS Detail'!$2:$2,"&lt;="&amp;BY_end,'UPIS Detail'!$1:$1,H$10)</f>
        <v>0</v>
      </c>
      <c r="J15" s="17">
        <f>SUMIFS('UPIS Detail'!6:6,'UPIS Detail'!$2:$2,"&gt;"&amp;DATE(2019,12,31),'UPIS Detail'!$2:$2,"&lt;="&amp;DATE(2020,12,31),'UPIS Detail'!$1:$1,J$10)</f>
        <v>0</v>
      </c>
      <c r="L15" s="17">
        <f t="shared" ref="L15:L25" si="0">F15+H15+J15</f>
        <v>50250</v>
      </c>
      <c r="N15" s="17"/>
      <c r="O15" s="17"/>
    </row>
    <row r="16" spans="1:16" x14ac:dyDescent="0.45">
      <c r="B16" s="65">
        <v>5</v>
      </c>
      <c r="C16" s="18">
        <v>311</v>
      </c>
      <c r="D16" s="18" t="s">
        <v>24</v>
      </c>
      <c r="F16" s="17">
        <f>'UPIS Detail'!D7</f>
        <v>74735.3</v>
      </c>
      <c r="H16" s="17">
        <f>SUMIFS('UPIS Detail'!7:7,'UPIS Detail'!$2:$2,"&gt;"&amp;BY_Start,'UPIS Detail'!$2:$2,"&lt;="&amp;BY_end,'UPIS Detail'!$1:$1,H$10)</f>
        <v>132676.55000000002</v>
      </c>
      <c r="J16" s="17">
        <f>SUMIFS('UPIS Detail'!7:7,'UPIS Detail'!$2:$2,"&gt;"&amp;DATE(2019,12,31),'UPIS Detail'!$2:$2,"&lt;="&amp;DATE(2020,12,31),'UPIS Detail'!$1:$1,J$10)</f>
        <v>0</v>
      </c>
      <c r="L16" s="17">
        <f t="shared" si="0"/>
        <v>207411.85000000003</v>
      </c>
      <c r="N16" s="17"/>
      <c r="O16" s="17"/>
    </row>
    <row r="17" spans="1:15" x14ac:dyDescent="0.45">
      <c r="B17" s="65">
        <v>6</v>
      </c>
      <c r="C17" s="18">
        <v>352.1</v>
      </c>
      <c r="D17" s="18" t="s">
        <v>25</v>
      </c>
      <c r="F17" s="17">
        <f>'UPIS Detail'!D8</f>
        <v>0</v>
      </c>
      <c r="H17" s="17">
        <f>SUMIFS('UPIS Detail'!8:8,'UPIS Detail'!$2:$2,"&gt;"&amp;BY_Start,'UPIS Detail'!$2:$2,"&lt;="&amp;BY_end,'UPIS Detail'!$1:$1,H$10)</f>
        <v>1384811.9000000001</v>
      </c>
      <c r="J17" s="17">
        <f>SUMIFS('UPIS Detail'!8:8,'UPIS Detail'!$2:$2,"&gt;"&amp;DATE(2019,12,31),'UPIS Detail'!$2:$2,"&lt;="&amp;DATE(2020,12,31),'UPIS Detail'!$1:$1,J$10)</f>
        <v>0</v>
      </c>
      <c r="L17" s="17">
        <f t="shared" si="0"/>
        <v>1384811.9000000001</v>
      </c>
      <c r="N17" s="17"/>
      <c r="O17" s="17"/>
    </row>
    <row r="18" spans="1:15" x14ac:dyDescent="0.45">
      <c r="B18" s="65">
        <v>7</v>
      </c>
      <c r="C18" s="18">
        <v>352.2</v>
      </c>
      <c r="D18" s="23" t="s">
        <v>26</v>
      </c>
      <c r="F18" s="17">
        <f>'UPIS Detail'!D9</f>
        <v>621063.6</v>
      </c>
      <c r="H18" s="17">
        <f>SUMIFS('UPIS Detail'!9:9,'UPIS Detail'!$2:$2,"&gt;"&amp;BY_Start,'UPIS Detail'!$2:$2,"&lt;="&amp;BY_end,'UPIS Detail'!$1:$1,H$10)</f>
        <v>0</v>
      </c>
      <c r="J18" s="17">
        <f>SUMIFS('UPIS Detail'!9:9,'UPIS Detail'!$2:$2,"&gt;"&amp;DATE(2019,12,31),'UPIS Detail'!$2:$2,"&lt;="&amp;DATE(2020,12,31),'UPIS Detail'!$1:$1,J$10)</f>
        <v>0</v>
      </c>
      <c r="L18" s="17">
        <f t="shared" si="0"/>
        <v>621063.6</v>
      </c>
      <c r="N18" s="19"/>
      <c r="O18" s="19"/>
    </row>
    <row r="19" spans="1:15" x14ac:dyDescent="0.45">
      <c r="B19" s="65">
        <v>8</v>
      </c>
      <c r="C19" s="18">
        <v>363</v>
      </c>
      <c r="D19" s="23" t="s">
        <v>27</v>
      </c>
      <c r="F19" s="17">
        <f>'UPIS Detail'!D10</f>
        <v>29587.13</v>
      </c>
      <c r="H19" s="17">
        <f>SUMIFS('UPIS Detail'!10:10,'UPIS Detail'!$2:$2,"&gt;"&amp;BY_Start,'UPIS Detail'!$2:$2,"&lt;="&amp;BY_end,'UPIS Detail'!$1:$1,H$10)</f>
        <v>63433.440000000002</v>
      </c>
      <c r="J19" s="17">
        <f>SUMIFS('UPIS Detail'!10:10,'UPIS Detail'!$2:$2,"&gt;"&amp;DATE(2019,12,31),'UPIS Detail'!$2:$2,"&lt;="&amp;DATE(2020,12,31),'UPIS Detail'!$1:$1,J$10)</f>
        <v>0</v>
      </c>
      <c r="L19" s="17">
        <f t="shared" si="0"/>
        <v>93020.57</v>
      </c>
    </row>
    <row r="20" spans="1:15" x14ac:dyDescent="0.45">
      <c r="B20" s="65">
        <v>9</v>
      </c>
      <c r="C20" s="18">
        <v>370</v>
      </c>
      <c r="D20" s="23" t="s">
        <v>23</v>
      </c>
      <c r="F20" s="17">
        <f>'UPIS Detail'!D11</f>
        <v>10756.67</v>
      </c>
      <c r="H20" s="17">
        <f>SUMIFS('UPIS Detail'!11:11,'UPIS Detail'!$2:$2,"&gt;"&amp;BY_Start,'UPIS Detail'!$2:$2,"&lt;="&amp;BY_end,'UPIS Detail'!$1:$1,H$10)</f>
        <v>0</v>
      </c>
      <c r="J20" s="17">
        <f>SUMIFS('UPIS Detail'!11:11,'UPIS Detail'!$2:$2,"&gt;"&amp;DATE(2019,12,31),'UPIS Detail'!$2:$2,"&lt;="&amp;DATE(2020,12,31),'UPIS Detail'!$1:$1,J$10)</f>
        <v>0</v>
      </c>
      <c r="L20" s="17">
        <f t="shared" si="0"/>
        <v>10756.67</v>
      </c>
    </row>
    <row r="21" spans="1:15" s="2" customFormat="1" x14ac:dyDescent="0.45">
      <c r="A21" s="1"/>
      <c r="B21" s="65">
        <v>10</v>
      </c>
      <c r="C21" s="18">
        <v>372</v>
      </c>
      <c r="D21" s="23" t="s">
        <v>28</v>
      </c>
      <c r="E21" s="1"/>
      <c r="F21" s="17">
        <f>'UPIS Detail'!D12</f>
        <v>407215</v>
      </c>
      <c r="G21" s="1"/>
      <c r="H21" s="17">
        <f>SUMIFS('UPIS Detail'!12:12,'UPIS Detail'!$2:$2,"&gt;"&amp;BY_Start,'UPIS Detail'!$2:$2,"&lt;="&amp;BY_end,'UPIS Detail'!$1:$1,H$10)</f>
        <v>0</v>
      </c>
      <c r="I21" s="1"/>
      <c r="J21" s="17">
        <f>SUMIFS('UPIS Detail'!12:12,'UPIS Detail'!$2:$2,"&gt;"&amp;DATE(2019,12,31),'UPIS Detail'!$2:$2,"&lt;="&amp;DATE(2020,12,31),'UPIS Detail'!$1:$1,J$10)</f>
        <v>0</v>
      </c>
      <c r="K21" s="1"/>
      <c r="L21" s="17">
        <f t="shared" si="0"/>
        <v>407215</v>
      </c>
      <c r="M21" s="1"/>
      <c r="N21" s="1"/>
      <c r="O21" s="1"/>
    </row>
    <row r="22" spans="1:15" s="2" customFormat="1" x14ac:dyDescent="0.45">
      <c r="A22" s="1"/>
      <c r="B22" s="65">
        <v>11</v>
      </c>
      <c r="C22" s="18">
        <v>373</v>
      </c>
      <c r="D22" s="23" t="s">
        <v>29</v>
      </c>
      <c r="E22" s="1"/>
      <c r="F22" s="17">
        <f>'UPIS Detail'!D13</f>
        <v>192288</v>
      </c>
      <c r="G22" s="1"/>
      <c r="H22" s="17">
        <f>SUMIFS('UPIS Detail'!13:13,'UPIS Detail'!$2:$2,"&gt;"&amp;BY_Start,'UPIS Detail'!$2:$2,"&lt;="&amp;BY_end,'UPIS Detail'!$1:$1,H$10)</f>
        <v>386591.57949999999</v>
      </c>
      <c r="I22" s="1"/>
      <c r="J22" s="17">
        <f>SUMIFS('UPIS Detail'!13:13,'UPIS Detail'!$2:$2,"&gt;"&amp;DATE(2019,12,31),'UPIS Detail'!$2:$2,"&lt;="&amp;DATE(2020,12,31),'UPIS Detail'!$1:$1,J$10)</f>
        <v>0</v>
      </c>
      <c r="K22" s="1"/>
      <c r="L22" s="17">
        <f t="shared" si="0"/>
        <v>578879.57949999999</v>
      </c>
      <c r="M22" s="1"/>
      <c r="N22" s="17"/>
      <c r="O22" s="17"/>
    </row>
    <row r="23" spans="1:15" s="2" customFormat="1" x14ac:dyDescent="0.45">
      <c r="A23" s="1"/>
      <c r="B23" s="65">
        <v>12</v>
      </c>
      <c r="C23" s="18">
        <v>375</v>
      </c>
      <c r="D23" s="23" t="s">
        <v>30</v>
      </c>
      <c r="E23" s="1"/>
      <c r="F23" s="17">
        <f>'UPIS Detail'!D14</f>
        <v>0</v>
      </c>
      <c r="G23" s="1"/>
      <c r="H23" s="17">
        <f>SUMIFS('UPIS Detail'!14:14,'UPIS Detail'!$2:$2,"&gt;"&amp;BY_Start,'UPIS Detail'!$2:$2,"&lt;="&amp;BY_end,'UPIS Detail'!$1:$1,H$10)</f>
        <v>4756.38</v>
      </c>
      <c r="I23" s="1"/>
      <c r="J23" s="17">
        <f>SUMIFS('UPIS Detail'!14:14,'UPIS Detail'!$2:$2,"&gt;"&amp;DATE(2019,12,31),'UPIS Detail'!$2:$2,"&lt;="&amp;DATE(2020,12,31),'UPIS Detail'!$1:$1,J$10)</f>
        <v>0</v>
      </c>
      <c r="K23" s="1"/>
      <c r="L23" s="17">
        <f t="shared" si="0"/>
        <v>4756.38</v>
      </c>
      <c r="M23" s="1"/>
      <c r="N23" s="17"/>
      <c r="O23" s="17"/>
    </row>
    <row r="24" spans="1:15" s="2" customFormat="1" x14ac:dyDescent="0.45">
      <c r="A24" s="1"/>
      <c r="B24" s="65">
        <v>13</v>
      </c>
      <c r="C24" s="18">
        <v>391.1</v>
      </c>
      <c r="D24" s="23" t="s">
        <v>31</v>
      </c>
      <c r="E24" s="1"/>
      <c r="F24" s="17">
        <f>'UPIS Detail'!D15</f>
        <v>1853</v>
      </c>
      <c r="G24" s="1"/>
      <c r="H24" s="17">
        <f>SUMIFS('UPIS Detail'!15:15,'UPIS Detail'!$2:$2,"&gt;"&amp;BY_Start,'UPIS Detail'!$2:$2,"&lt;="&amp;BY_end,'UPIS Detail'!$1:$1,H$10)</f>
        <v>0</v>
      </c>
      <c r="I24" s="1"/>
      <c r="J24" s="17">
        <f>SUMIFS('UPIS Detail'!15:15,'UPIS Detail'!$2:$2,"&gt;"&amp;DATE(2019,12,31),'UPIS Detail'!$2:$2,"&lt;="&amp;DATE(2020,12,31),'UPIS Detail'!$1:$1,J$10)</f>
        <v>0</v>
      </c>
      <c r="K24" s="1"/>
      <c r="L24" s="17">
        <f t="shared" si="0"/>
        <v>1853</v>
      </c>
      <c r="M24" s="1"/>
      <c r="N24" s="17"/>
      <c r="O24" s="17"/>
    </row>
    <row r="25" spans="1:15" s="2" customFormat="1" x14ac:dyDescent="0.45">
      <c r="A25" s="1"/>
      <c r="B25" s="65">
        <v>14</v>
      </c>
      <c r="C25" s="18">
        <v>393</v>
      </c>
      <c r="D25" s="23" t="s">
        <v>32</v>
      </c>
      <c r="E25" s="1"/>
      <c r="F25" s="17">
        <f>'UPIS Detail'!D16</f>
        <v>0</v>
      </c>
      <c r="G25" s="1"/>
      <c r="H25" s="17">
        <f>SUMIFS('UPIS Detail'!16:16,'UPIS Detail'!$2:$2,"&gt;"&amp;BY_Start,'UPIS Detail'!$2:$2,"&lt;="&amp;BY_end,'UPIS Detail'!$1:$1,H$10)</f>
        <v>116046.6995</v>
      </c>
      <c r="I25" s="1"/>
      <c r="J25" s="17">
        <f>SUMIFS('UPIS Detail'!16:16,'UPIS Detail'!$2:$2,"&gt;"&amp;DATE(2019,12,31),'UPIS Detail'!$2:$2,"&lt;="&amp;DATE(2020,12,31),'UPIS Detail'!$1:$1,J$10)</f>
        <v>0</v>
      </c>
      <c r="K25" s="1"/>
      <c r="L25" s="17">
        <f t="shared" si="0"/>
        <v>116046.6995</v>
      </c>
      <c r="M25" s="1"/>
      <c r="N25" s="17"/>
      <c r="O25" s="17"/>
    </row>
    <row r="26" spans="1:15" s="2" customFormat="1" x14ac:dyDescent="0.45">
      <c r="A26" s="1"/>
      <c r="B26" s="65">
        <v>15</v>
      </c>
      <c r="C26" s="15"/>
      <c r="D26" s="22"/>
      <c r="E26" s="1"/>
      <c r="F26" s="17"/>
      <c r="G26" s="1"/>
      <c r="H26" s="17"/>
      <c r="I26" s="1"/>
      <c r="J26" s="17"/>
      <c r="K26" s="1"/>
      <c r="L26" s="17"/>
      <c r="M26" s="1"/>
      <c r="N26" s="17"/>
      <c r="O26" s="17"/>
    </row>
    <row r="27" spans="1:15" s="2" customFormat="1" x14ac:dyDescent="0.45">
      <c r="A27" s="1"/>
      <c r="B27" s="65">
        <v>16</v>
      </c>
      <c r="C27" s="15"/>
      <c r="D27" s="97" t="s">
        <v>138</v>
      </c>
      <c r="E27" s="87"/>
      <c r="F27" s="86">
        <f>SUM(F14:F25)</f>
        <v>1391448.7000000002</v>
      </c>
      <c r="G27" s="87"/>
      <c r="H27" s="86">
        <f>SUM(H14:H25)</f>
        <v>2088316.5490000001</v>
      </c>
      <c r="I27" s="87"/>
      <c r="J27" s="86">
        <f>SUM(J14:J25)</f>
        <v>0</v>
      </c>
      <c r="K27" s="87"/>
      <c r="L27" s="86">
        <f>SUM(L14:L25)</f>
        <v>3479765.2489999998</v>
      </c>
      <c r="M27" s="1"/>
      <c r="N27" s="17"/>
      <c r="O27" s="17"/>
    </row>
    <row r="28" spans="1:15" s="2" customFormat="1" x14ac:dyDescent="0.45">
      <c r="A28" s="1"/>
      <c r="B28" s="65">
        <v>17</v>
      </c>
      <c r="C28" s="15"/>
      <c r="D28" s="22"/>
      <c r="E28" s="1"/>
      <c r="F28" s="17"/>
      <c r="G28" s="1"/>
      <c r="H28" s="17"/>
      <c r="I28" s="1"/>
      <c r="J28" s="17"/>
      <c r="K28" s="1"/>
      <c r="L28" s="17"/>
      <c r="M28" s="1"/>
      <c r="N28" s="17"/>
      <c r="O28" s="17"/>
    </row>
    <row r="29" spans="1:15" s="2" customFormat="1" x14ac:dyDescent="0.45">
      <c r="A29" s="1"/>
      <c r="B29" s="65">
        <v>18</v>
      </c>
      <c r="C29" s="15" t="s">
        <v>139</v>
      </c>
      <c r="D29" s="22" t="s">
        <v>136</v>
      </c>
      <c r="E29" s="1"/>
      <c r="F29" s="17">
        <f>'UPIS Detail'!D17</f>
        <v>0</v>
      </c>
      <c r="G29" s="1"/>
      <c r="H29" s="17">
        <f>SUMIFS('UPIS Detail'!17:17,'UPIS Detail'!$2:$2,"&gt;"&amp;BY_Start,'UPIS Detail'!$2:$2,"&lt;="&amp;BY_end,'UPIS Detail'!$1:$1,H$10)</f>
        <v>58825</v>
      </c>
      <c r="I29" s="1"/>
      <c r="J29" s="17">
        <f>SUMIFS('UPIS Detail'!17:17,'UPIS Detail'!$2:$2,"&gt;"&amp;DATE(2019,12,31),'UPIS Detail'!$2:$2,"&lt;="&amp;DATE(2020,12,31),'UPIS Detail'!$1:$1,J$10)</f>
        <v>0</v>
      </c>
      <c r="K29" s="1"/>
      <c r="L29" s="17">
        <f t="shared" ref="L29" si="1">F29+H29+J29</f>
        <v>58825</v>
      </c>
      <c r="M29" s="1"/>
      <c r="N29" s="17"/>
      <c r="O29" s="17"/>
    </row>
    <row r="30" spans="1:15" s="2" customFormat="1" x14ac:dyDescent="0.45">
      <c r="A30" s="1"/>
      <c r="B30" s="65">
        <v>19</v>
      </c>
      <c r="C30" s="15"/>
      <c r="D30" s="1"/>
      <c r="E30" s="1"/>
      <c r="F30" s="17"/>
      <c r="G30" s="1"/>
      <c r="H30" s="19"/>
      <c r="I30" s="1"/>
      <c r="J30" s="19"/>
      <c r="K30" s="1"/>
      <c r="L30" s="19"/>
      <c r="M30" s="1"/>
      <c r="N30" s="17"/>
      <c r="O30" s="19"/>
    </row>
    <row r="31" spans="1:15" s="2" customFormat="1" ht="14.65" thickBot="1" x14ac:dyDescent="0.5">
      <c r="A31" s="1"/>
      <c r="B31" s="65">
        <v>20</v>
      </c>
      <c r="D31" s="99" t="s">
        <v>144</v>
      </c>
      <c r="E31" s="98"/>
      <c r="F31" s="24">
        <f>F27+F29</f>
        <v>1391448.7000000002</v>
      </c>
      <c r="G31" s="98"/>
      <c r="H31" s="24">
        <f>H27+H29</f>
        <v>2147141.5490000001</v>
      </c>
      <c r="I31" s="98"/>
      <c r="J31" s="24">
        <f>J27+J29</f>
        <v>0</v>
      </c>
      <c r="K31" s="98"/>
      <c r="L31" s="24">
        <f>L27+L29</f>
        <v>3538590.2489999998</v>
      </c>
      <c r="M31" s="1"/>
      <c r="N31" s="17"/>
      <c r="O31" s="1"/>
    </row>
    <row r="32" spans="1:15" s="2" customFormat="1" ht="14.65" thickTop="1" x14ac:dyDescent="0.45">
      <c r="A32" s="1"/>
      <c r="B32" s="65">
        <v>21</v>
      </c>
      <c r="C32" s="15"/>
      <c r="D32" s="22"/>
      <c r="E32" s="1"/>
      <c r="F32" s="17"/>
      <c r="G32" s="1"/>
      <c r="H32" s="17"/>
      <c r="I32" s="1"/>
      <c r="J32" s="17"/>
      <c r="K32" s="1"/>
      <c r="L32" s="17"/>
      <c r="M32" s="1"/>
      <c r="N32" s="17"/>
      <c r="O32" s="17"/>
    </row>
    <row r="33" spans="1:15" s="2" customFormat="1" x14ac:dyDescent="0.45">
      <c r="A33" s="1"/>
      <c r="B33" s="65">
        <v>22</v>
      </c>
      <c r="C33" s="15"/>
      <c r="D33" s="22"/>
      <c r="E33" s="1"/>
      <c r="F33" s="17"/>
      <c r="G33" s="1"/>
      <c r="H33" s="17"/>
      <c r="I33" s="1"/>
      <c r="J33" s="17"/>
      <c r="K33" s="1"/>
      <c r="L33" s="17"/>
      <c r="M33" s="1"/>
      <c r="N33" s="17"/>
      <c r="O33" s="17"/>
    </row>
    <row r="34" spans="1:15" s="2" customFormat="1" x14ac:dyDescent="0.45">
      <c r="A34" s="1"/>
      <c r="B34" s="65">
        <v>23</v>
      </c>
      <c r="C34" s="15"/>
      <c r="D34" s="22"/>
      <c r="E34" s="1"/>
      <c r="F34" s="17"/>
      <c r="G34" s="1"/>
      <c r="H34" s="17"/>
      <c r="I34" s="1"/>
      <c r="J34" s="17"/>
      <c r="K34" s="1"/>
      <c r="L34" s="17"/>
      <c r="M34" s="1"/>
      <c r="N34" s="17"/>
      <c r="O34" s="17"/>
    </row>
    <row r="35" spans="1:15" s="2" customFormat="1" x14ac:dyDescent="0.45">
      <c r="A35" s="1"/>
      <c r="B35" s="65">
        <v>24</v>
      </c>
      <c r="C35" s="25"/>
      <c r="D35" s="22"/>
      <c r="E35" s="1"/>
      <c r="F35" s="17"/>
      <c r="G35" s="1"/>
      <c r="H35" s="17"/>
      <c r="I35" s="1"/>
      <c r="J35" s="17"/>
      <c r="K35" s="1"/>
      <c r="L35" s="17"/>
      <c r="M35" s="1"/>
      <c r="N35" s="17"/>
      <c r="O35" s="17"/>
    </row>
    <row r="36" spans="1:15" s="2" customFormat="1" x14ac:dyDescent="0.45">
      <c r="A36" s="1"/>
      <c r="B36" s="65">
        <v>25</v>
      </c>
      <c r="C36" s="15"/>
      <c r="D36" s="1"/>
      <c r="E36" s="1"/>
      <c r="F36" s="19"/>
      <c r="G36" s="1"/>
      <c r="H36" s="17"/>
      <c r="I36" s="1"/>
      <c r="J36" s="17"/>
      <c r="K36" s="1"/>
      <c r="L36" s="17"/>
      <c r="M36" s="1"/>
      <c r="N36" s="17"/>
      <c r="O36" s="17"/>
    </row>
    <row r="37" spans="1:15" s="2" customFormat="1" x14ac:dyDescent="0.45">
      <c r="A37" s="1"/>
      <c r="B37" s="65">
        <v>26</v>
      </c>
      <c r="C37" s="26"/>
      <c r="D37" s="1"/>
      <c r="E37" s="1"/>
      <c r="F37" s="1"/>
      <c r="G37" s="1"/>
      <c r="H37" s="17"/>
      <c r="I37" s="1"/>
      <c r="J37" s="17"/>
      <c r="K37" s="1"/>
      <c r="L37" s="17"/>
      <c r="M37" s="1"/>
      <c r="N37" s="17"/>
      <c r="O37" s="17"/>
    </row>
    <row r="38" spans="1:15" s="2" customFormat="1" x14ac:dyDescent="0.45">
      <c r="A38" s="1"/>
      <c r="B38" s="65">
        <v>27</v>
      </c>
      <c r="C38" s="15"/>
      <c r="D38" s="22"/>
      <c r="E38" s="1"/>
      <c r="F38" s="17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45">
      <c r="A39" s="1"/>
      <c r="B39" s="65">
        <v>28</v>
      </c>
      <c r="C39" s="15"/>
      <c r="D39" s="22"/>
      <c r="E39" s="1"/>
      <c r="F39" s="17"/>
      <c r="G39" s="1"/>
      <c r="H39" s="17"/>
      <c r="I39" s="1"/>
      <c r="J39" s="17"/>
      <c r="K39" s="1"/>
      <c r="L39" s="17"/>
      <c r="M39" s="1"/>
      <c r="N39" s="17"/>
      <c r="O39" s="17"/>
    </row>
    <row r="40" spans="1:15" s="2" customFormat="1" x14ac:dyDescent="0.45">
      <c r="A40" s="1"/>
      <c r="B40" s="65">
        <v>29</v>
      </c>
      <c r="C40" s="15"/>
      <c r="D40" s="22"/>
      <c r="E40" s="1"/>
      <c r="F40" s="17"/>
      <c r="G40" s="1"/>
      <c r="H40" s="17"/>
      <c r="I40" s="1"/>
      <c r="J40" s="17"/>
      <c r="K40" s="1"/>
      <c r="L40" s="17"/>
      <c r="M40" s="1"/>
      <c r="N40" s="17"/>
      <c r="O40" s="17"/>
    </row>
    <row r="41" spans="1:15" s="2" customFormat="1" x14ac:dyDescent="0.45">
      <c r="A41" s="1"/>
      <c r="B41" s="65">
        <v>30</v>
      </c>
      <c r="C41" s="26"/>
      <c r="D41" s="1"/>
      <c r="E41" s="1"/>
      <c r="F41" s="1"/>
      <c r="G41" s="1"/>
      <c r="H41" s="17"/>
      <c r="I41" s="1"/>
      <c r="J41" s="17"/>
      <c r="K41" s="1"/>
      <c r="L41" s="17"/>
      <c r="M41" s="1"/>
      <c r="N41" s="17"/>
      <c r="O41" s="17"/>
    </row>
    <row r="42" spans="1:15" s="2" customFormat="1" x14ac:dyDescent="0.45">
      <c r="A42" s="1"/>
      <c r="B42" s="65">
        <v>31</v>
      </c>
      <c r="C42" s="15"/>
      <c r="D42" s="27"/>
      <c r="E42" s="1"/>
      <c r="F42" s="17"/>
      <c r="G42" s="1"/>
      <c r="H42" s="19"/>
      <c r="I42" s="1"/>
      <c r="J42" s="19"/>
      <c r="K42" s="1"/>
      <c r="L42" s="19"/>
      <c r="M42" s="1"/>
      <c r="N42" s="19"/>
      <c r="O42" s="19"/>
    </row>
    <row r="43" spans="1:15" s="2" customFormat="1" x14ac:dyDescent="0.45">
      <c r="A43" s="1"/>
      <c r="B43" s="65">
        <v>32</v>
      </c>
      <c r="C43" s="1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s="2" customFormat="1" x14ac:dyDescent="0.45">
      <c r="A44" s="1"/>
      <c r="B44" s="65">
        <v>33</v>
      </c>
      <c r="C44" s="26"/>
      <c r="D44" s="1"/>
      <c r="E44" s="1"/>
      <c r="F44" s="1"/>
      <c r="G44" s="1"/>
      <c r="H44" s="17"/>
      <c r="I44" s="1"/>
      <c r="J44" s="17"/>
      <c r="K44" s="1"/>
      <c r="L44" s="17"/>
      <c r="M44" s="1"/>
      <c r="N44" s="17"/>
      <c r="O44" s="17"/>
    </row>
    <row r="45" spans="1:15" s="2" customFormat="1" x14ac:dyDescent="0.45">
      <c r="A45" s="1"/>
      <c r="B45" s="65">
        <v>34</v>
      </c>
      <c r="C45" s="15"/>
      <c r="D45" s="27"/>
      <c r="E45" s="1"/>
      <c r="F45" s="17"/>
      <c r="G45" s="1"/>
      <c r="H45" s="17"/>
      <c r="I45" s="1"/>
      <c r="J45" s="17"/>
      <c r="K45" s="1"/>
      <c r="L45" s="17"/>
      <c r="M45" s="1"/>
      <c r="N45" s="17"/>
      <c r="O45" s="17"/>
    </row>
    <row r="46" spans="1:15" s="2" customFormat="1" x14ac:dyDescent="0.45">
      <c r="A46" s="1"/>
      <c r="B46" s="65">
        <v>35</v>
      </c>
      <c r="C46" s="1"/>
      <c r="D46" s="1"/>
      <c r="E46" s="1"/>
      <c r="F46" s="1"/>
      <c r="G46" s="1"/>
      <c r="H46" s="17"/>
      <c r="I46" s="1"/>
      <c r="J46" s="17"/>
      <c r="K46" s="1"/>
      <c r="L46" s="17"/>
      <c r="M46" s="1"/>
      <c r="N46" s="17"/>
      <c r="O46" s="17"/>
    </row>
    <row r="47" spans="1:15" s="2" customFormat="1" x14ac:dyDescent="0.45">
      <c r="A47" s="1"/>
      <c r="B47" s="65">
        <v>36</v>
      </c>
      <c r="C47" s="11"/>
      <c r="D47" s="1"/>
      <c r="E47" s="1"/>
      <c r="F47" s="17"/>
      <c r="G47" s="1"/>
      <c r="H47" s="1"/>
      <c r="I47" s="1"/>
      <c r="J47" s="1"/>
      <c r="K47" s="1"/>
      <c r="L47" s="1"/>
      <c r="M47" s="1"/>
      <c r="N47" s="1"/>
      <c r="O47" s="1"/>
    </row>
    <row r="48" spans="1:15" s="2" customFormat="1" x14ac:dyDescent="0.45">
      <c r="A48" s="1"/>
      <c r="B48" s="65">
        <v>37</v>
      </c>
      <c r="C48" s="1"/>
      <c r="D48" s="1"/>
      <c r="E48" s="1"/>
      <c r="F48" s="1"/>
      <c r="G48" s="1"/>
      <c r="H48" s="17"/>
      <c r="I48" s="1"/>
      <c r="J48" s="17"/>
      <c r="K48" s="1"/>
      <c r="L48" s="17"/>
      <c r="M48" s="1"/>
      <c r="N48" s="17"/>
      <c r="O48" s="17"/>
    </row>
    <row r="49" spans="1:15" s="2" customFormat="1" x14ac:dyDescent="0.45">
      <c r="A49" s="1"/>
      <c r="B49" s="65">
        <v>38</v>
      </c>
      <c r="C49" s="11"/>
      <c r="D49" s="1"/>
      <c r="E49" s="1"/>
      <c r="F49" s="19"/>
      <c r="G49" s="1"/>
      <c r="H49" s="1"/>
      <c r="I49" s="1"/>
      <c r="J49" s="1"/>
      <c r="K49" s="1"/>
      <c r="L49" s="1"/>
      <c r="M49" s="1"/>
      <c r="N49" s="1"/>
      <c r="O49" s="1"/>
    </row>
    <row r="50" spans="1:15" s="2" customFormat="1" x14ac:dyDescent="0.45">
      <c r="A50" s="1"/>
      <c r="B50" s="65">
        <v>39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s="2" customFormat="1" x14ac:dyDescent="0.45">
      <c r="A51" s="1"/>
      <c r="B51" s="65">
        <v>40</v>
      </c>
      <c r="C51" s="11"/>
      <c r="D51" s="1"/>
      <c r="E51" s="1"/>
      <c r="F51" s="19"/>
      <c r="G51" s="1"/>
      <c r="H51" s="17"/>
      <c r="I51" s="1"/>
      <c r="J51" s="17"/>
      <c r="K51" s="1"/>
      <c r="L51" s="17"/>
      <c r="M51" s="1"/>
      <c r="N51" s="17"/>
      <c r="O51" s="17"/>
    </row>
    <row r="52" spans="1:15" s="2" customFormat="1" x14ac:dyDescent="0.45">
      <c r="A52" s="1"/>
      <c r="B52" s="65">
        <v>41</v>
      </c>
      <c r="C52" s="11"/>
      <c r="D52" s="1"/>
      <c r="E52" s="1"/>
      <c r="F52" s="28"/>
      <c r="G52" s="1"/>
      <c r="H52" s="1"/>
      <c r="I52" s="1"/>
      <c r="J52" s="1"/>
      <c r="K52" s="1"/>
      <c r="L52" s="1"/>
      <c r="M52" s="1"/>
      <c r="N52" s="1"/>
      <c r="O52" s="1"/>
    </row>
    <row r="53" spans="1:15" s="2" customFormat="1" x14ac:dyDescent="0.45">
      <c r="A53" s="1"/>
      <c r="B53" s="65">
        <v>42</v>
      </c>
      <c r="C53" s="11"/>
      <c r="D53" s="1"/>
      <c r="E53" s="1"/>
      <c r="F53" s="1"/>
      <c r="G53" s="1"/>
      <c r="H53" s="17"/>
      <c r="I53" s="1"/>
      <c r="J53" s="17"/>
      <c r="K53" s="1"/>
      <c r="L53" s="17"/>
      <c r="M53" s="1"/>
      <c r="N53" s="17"/>
      <c r="O53" s="17"/>
    </row>
    <row r="54" spans="1:15" s="2" customFormat="1" x14ac:dyDescent="0.45">
      <c r="A54" s="1"/>
      <c r="B54" s="65">
        <v>43</v>
      </c>
      <c r="C54" s="1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s="2" customFormat="1" x14ac:dyDescent="0.45">
      <c r="A55" s="1"/>
      <c r="B55" s="65">
        <v>44</v>
      </c>
      <c r="C55" s="11"/>
      <c r="D55" s="1"/>
      <c r="E55" s="1"/>
      <c r="F55" s="1"/>
      <c r="G55" s="1"/>
      <c r="H55" s="19"/>
      <c r="I55" s="1"/>
      <c r="J55" s="19"/>
      <c r="K55" s="1"/>
      <c r="L55" s="19"/>
      <c r="M55" s="1"/>
      <c r="N55" s="19"/>
      <c r="O55" s="19"/>
    </row>
    <row r="56" spans="1:15" s="2" customFormat="1" x14ac:dyDescent="0.45">
      <c r="A56" s="1"/>
      <c r="B56" s="65">
        <v>45</v>
      </c>
      <c r="C56" s="1"/>
      <c r="D56" s="1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s="2" customFormat="1" x14ac:dyDescent="0.45">
      <c r="A57" s="1"/>
      <c r="B57" s="65">
        <v>46</v>
      </c>
      <c r="C57" s="1"/>
      <c r="D57" s="1"/>
      <c r="E57" s="1"/>
      <c r="F57" s="1"/>
      <c r="G57" s="1"/>
      <c r="H57" s="19"/>
      <c r="I57" s="1"/>
      <c r="J57" s="19"/>
      <c r="K57" s="1"/>
      <c r="L57" s="19"/>
      <c r="M57" s="1"/>
      <c r="N57" s="19"/>
      <c r="O57" s="19"/>
    </row>
    <row r="58" spans="1:15" s="2" customFormat="1" x14ac:dyDescent="0.45">
      <c r="A58" s="1"/>
      <c r="B58" s="65">
        <v>47</v>
      </c>
      <c r="C58" s="1"/>
      <c r="D58" s="1"/>
      <c r="E58" s="1"/>
      <c r="F58" s="1"/>
      <c r="G58" s="1"/>
      <c r="H58" s="28"/>
      <c r="I58" s="1"/>
      <c r="J58" s="28"/>
      <c r="K58" s="1"/>
      <c r="L58" s="28"/>
      <c r="M58" s="1"/>
      <c r="N58" s="29"/>
      <c r="O58" s="29"/>
    </row>
    <row r="59" spans="1:15" s="2" customFormat="1" x14ac:dyDescent="0.45">
      <c r="A59" s="1"/>
      <c r="B59" s="65">
        <v>48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s="2" customFormat="1" x14ac:dyDescent="0.45">
      <c r="A60" s="1"/>
      <c r="B60" s="65">
        <v>49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" customFormat="1" x14ac:dyDescent="0.45">
      <c r="A61" s="1"/>
      <c r="B61" s="65">
        <v>50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2" customForma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</sheetData>
  <mergeCells count="5">
    <mergeCell ref="A1:L1"/>
    <mergeCell ref="A3:L3"/>
    <mergeCell ref="A5:L5"/>
    <mergeCell ref="A2:L2"/>
    <mergeCell ref="A4:L4"/>
  </mergeCells>
  <pageMargins left="0.7" right="0.7" top="0.75" bottom="0.75" header="0.3" footer="0.3"/>
  <pageSetup scale="83" fitToHeight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D47ED-F2B1-4E93-ADCB-287AD08F51D6}">
  <sheetPr>
    <pageSetUpPr fitToPage="1"/>
  </sheetPr>
  <dimension ref="A1:P62"/>
  <sheetViews>
    <sheetView view="pageBreakPreview" topLeftCell="A17" zoomScaleNormal="110" zoomScaleSheetLayoutView="100" workbookViewId="0">
      <selection activeCell="H18" sqref="H18"/>
    </sheetView>
  </sheetViews>
  <sheetFormatPr defaultColWidth="9.1328125" defaultRowHeight="14.25" x14ac:dyDescent="0.45"/>
  <cols>
    <col min="1" max="1" width="4" style="1" customWidth="1"/>
    <col min="2" max="2" width="5.1328125" style="1" customWidth="1"/>
    <col min="3" max="3" width="7.73046875" style="1" customWidth="1"/>
    <col min="4" max="4" width="55.1328125" style="1" bestFit="1" customWidth="1"/>
    <col min="5" max="5" width="3.1328125" style="1" customWidth="1"/>
    <col min="6" max="6" width="14.73046875" style="1" customWidth="1"/>
    <col min="7" max="7" width="3.1328125" style="1" customWidth="1"/>
    <col min="8" max="8" width="14.73046875" style="1" customWidth="1"/>
    <col min="9" max="9" width="3.73046875" style="1" customWidth="1"/>
    <col min="10" max="10" width="14.73046875" style="1" customWidth="1"/>
    <col min="11" max="11" width="3.73046875" style="1" customWidth="1"/>
    <col min="12" max="12" width="14.73046875" style="1" customWidth="1"/>
    <col min="13" max="13" width="3.73046875" style="1" customWidth="1"/>
    <col min="14" max="14" width="14.73046875" style="1" customWidth="1"/>
    <col min="15" max="15" width="3.1328125" style="1" customWidth="1"/>
    <col min="16" max="16" width="26" style="2" bestFit="1" customWidth="1"/>
    <col min="17" max="16384" width="9.1328125" style="1"/>
  </cols>
  <sheetData>
    <row r="1" spans="1:16" ht="16.899999999999999" x14ac:dyDescent="0.5">
      <c r="A1" s="110" t="str">
        <f>'Constants LinkIn'!B2</f>
        <v>BLUEGRASS WATER UTILITY OPERATING COMPANY, LLC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6" x14ac:dyDescent="0.45">
      <c r="A2" s="111" t="str">
        <f>'Constants LinkIn'!B3</f>
        <v>Case No. 2020-00290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3"/>
    </row>
    <row r="3" spans="1:16" x14ac:dyDescent="0.45">
      <c r="A3" s="111" t="s">
        <v>140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3"/>
    </row>
    <row r="4" spans="1:16" x14ac:dyDescent="0.45">
      <c r="A4" s="111" t="str">
        <f>'Constants LinkIn'!B11</f>
        <v>Forecast Year for the 12 Months ended April 30, 2022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3"/>
    </row>
    <row r="5" spans="1:16" x14ac:dyDescent="0.4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3"/>
    </row>
    <row r="6" spans="1:16" x14ac:dyDescent="0.45">
      <c r="N6" s="75" t="s">
        <v>111</v>
      </c>
      <c r="O6" s="3"/>
    </row>
    <row r="7" spans="1:16" x14ac:dyDescent="0.45">
      <c r="A7" s="1" t="s">
        <v>33</v>
      </c>
      <c r="N7" s="76" t="str">
        <f ca="1">RIGHT(CELL("filename",$A$1),LEN(CELL("filename",$A$1))-SEARCH("/Work Papers",CELL("filename",$A$1),1))</f>
        <v>Work Papers/Rate Base/[BGUOC 2020 Rate Case - Rate Base (Sewer).xlsx]UPIS - FY B2</v>
      </c>
      <c r="O7" s="3"/>
    </row>
    <row r="8" spans="1:16" x14ac:dyDescent="0.45">
      <c r="A8" s="1" t="s">
        <v>15</v>
      </c>
      <c r="N8" s="77" t="s">
        <v>109</v>
      </c>
      <c r="O8" s="3"/>
    </row>
    <row r="9" spans="1:16" ht="14.65" thickBot="1" x14ac:dyDescent="0.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3"/>
    </row>
    <row r="10" spans="1:16" ht="42.75" x14ac:dyDescent="0.45">
      <c r="B10" s="5" t="s">
        <v>0</v>
      </c>
      <c r="C10" s="5" t="s">
        <v>16</v>
      </c>
      <c r="F10" s="6" t="s">
        <v>34</v>
      </c>
      <c r="G10" s="7"/>
      <c r="H10" s="6" t="s">
        <v>18</v>
      </c>
      <c r="I10" s="7"/>
      <c r="J10" s="6" t="s">
        <v>19</v>
      </c>
      <c r="K10" s="7"/>
      <c r="L10" s="6" t="s">
        <v>35</v>
      </c>
      <c r="M10" s="7"/>
      <c r="N10" s="6" t="s">
        <v>36</v>
      </c>
      <c r="O10" s="3"/>
      <c r="P10" s="5"/>
    </row>
    <row r="11" spans="1:16" ht="14.65" thickBot="1" x14ac:dyDescent="0.5">
      <c r="B11" s="8" t="s">
        <v>3</v>
      </c>
      <c r="C11" s="8" t="s">
        <v>3</v>
      </c>
      <c r="D11" s="8" t="s">
        <v>21</v>
      </c>
      <c r="E11" s="4"/>
      <c r="F11" s="9" t="s">
        <v>5</v>
      </c>
      <c r="G11" s="4"/>
      <c r="H11" s="9" t="s">
        <v>5</v>
      </c>
      <c r="I11" s="4"/>
      <c r="J11" s="9" t="s">
        <v>5</v>
      </c>
      <c r="K11" s="4"/>
      <c r="L11" s="9" t="s">
        <v>5</v>
      </c>
      <c r="M11" s="4"/>
      <c r="N11" s="9" t="s">
        <v>5</v>
      </c>
      <c r="O11" s="3"/>
      <c r="P11" s="10"/>
    </row>
    <row r="12" spans="1:16" s="11" customFormat="1" x14ac:dyDescent="0.45">
      <c r="B12" s="65">
        <v>1</v>
      </c>
      <c r="D12" s="12"/>
      <c r="F12" s="13"/>
      <c r="H12" s="13"/>
      <c r="J12" s="13"/>
      <c r="L12" s="13"/>
      <c r="N12" s="13"/>
      <c r="O12" s="3"/>
      <c r="P12" s="14"/>
    </row>
    <row r="13" spans="1:16" x14ac:dyDescent="0.45">
      <c r="B13" s="65">
        <v>2</v>
      </c>
      <c r="C13" s="11"/>
      <c r="D13" s="11"/>
      <c r="O13" s="3"/>
    </row>
    <row r="14" spans="1:16" x14ac:dyDescent="0.45">
      <c r="B14" s="65">
        <v>3</v>
      </c>
      <c r="C14" s="18">
        <v>303</v>
      </c>
      <c r="D14" s="18" t="s">
        <v>22</v>
      </c>
      <c r="F14" s="17">
        <f>INDEX('UPIS LinkIn'!$C$5:$AE$16,MATCH('UPIS - FY B2'!$C14,'UPIS LinkIn'!$A$5:$A$16),MATCH(FY_Start,'UPIS LinkIn'!$C$2:$AE$2,0))</f>
        <v>3700</v>
      </c>
      <c r="H14" s="17">
        <f>SUMIFS('UPIS Detail'!5:5,'UPIS Detail'!$2:$2,"&gt;"&amp;FY_Start,'UPIS Detail'!$2:$2,"&lt;="&amp;FY_End,'UPIS Detail'!$1:$1,H$10)</f>
        <v>0</v>
      </c>
      <c r="J14" s="17" cm="1">
        <f t="array" ref="J14">SUMIFS('UPIS Detail'!5:5,'UPIS Detail'!$2:$2,"&gt;"&amp;FY_Start,'UPIS Detail'!$2:$2,"&lt;="&amp;FY_en,'UPIS Detail'!$1:$1,J$10)</f>
        <v>0</v>
      </c>
      <c r="L14" s="17">
        <f>F14+H14+J14</f>
        <v>3700</v>
      </c>
      <c r="N14" s="17">
        <f>AVERAGEIFS('UPIS Detail'!5:5,'UPIS Detail'!$2:$2,"&gt;="&amp;FY_Start,'UPIS Detail'!$2:$2,"&lt;="&amp;FY_End,'UPIS Detail'!$1:$1,"Balance")</f>
        <v>3700</v>
      </c>
      <c r="O14" s="17"/>
    </row>
    <row r="15" spans="1:16" x14ac:dyDescent="0.45">
      <c r="B15" s="65">
        <v>4</v>
      </c>
      <c r="C15" s="18">
        <v>310.10000000000002</v>
      </c>
      <c r="D15" s="18" t="s">
        <v>23</v>
      </c>
      <c r="F15" s="17">
        <f>INDEX('UPIS LinkIn'!$C$5:$AE$16,MATCH('UPIS - FY B2'!$C15,'UPIS LinkIn'!$A$5:$A$16),MATCH(FY_Start,'UPIS LinkIn'!$C$2:$AE$2,0))</f>
        <v>50250</v>
      </c>
      <c r="H15" s="17">
        <f>SUMIFS('UPIS Detail'!6:6,'UPIS Detail'!$2:$2,"&gt;"&amp;FY_Start,'UPIS Detail'!$2:$2,"&lt;="&amp;FY_End,'UPIS Detail'!$1:$1,H$10)</f>
        <v>0</v>
      </c>
      <c r="J15" s="17" cm="1">
        <f t="array" ref="J15">SUMIFS('UPIS Detail'!6:6,'UPIS Detail'!$2:$2,"&gt;"&amp;FY_Start,'UPIS Detail'!$2:$2,"&lt;="&amp;FY_en,'UPIS Detail'!$1:$1,J$10)</f>
        <v>0</v>
      </c>
      <c r="L15" s="17">
        <f t="shared" ref="L15:L25" si="0">F15+H15+J15</f>
        <v>50250</v>
      </c>
      <c r="N15" s="17">
        <f>AVERAGEIFS('UPIS Detail'!6:6,'UPIS Detail'!$2:$2,"&gt;="&amp;FY_Start,'UPIS Detail'!$2:$2,"&lt;="&amp;FY_End,'UPIS Detail'!$1:$1,"Balance")</f>
        <v>50250</v>
      </c>
      <c r="O15" s="17"/>
    </row>
    <row r="16" spans="1:16" x14ac:dyDescent="0.45">
      <c r="B16" s="65">
        <v>5</v>
      </c>
      <c r="C16" s="18">
        <v>311</v>
      </c>
      <c r="D16" s="18" t="s">
        <v>24</v>
      </c>
      <c r="F16" s="17">
        <f>INDEX('UPIS LinkIn'!$C$5:$AE$16,MATCH('UPIS - FY B2'!$C16,'UPIS LinkIn'!$A$5:$A$16),MATCH(FY_Start,'UPIS LinkIn'!$C$2:$AE$2,0))</f>
        <v>363411.85</v>
      </c>
      <c r="H16" s="17">
        <f>SUMIFS('UPIS Detail'!7:7,'UPIS Detail'!$2:$2,"&gt;"&amp;FY_Start,'UPIS Detail'!$2:$2,"&lt;="&amp;FY_End,'UPIS Detail'!$1:$1,H$10)</f>
        <v>249500</v>
      </c>
      <c r="J16" s="17" cm="1">
        <f t="array" ref="J16">SUMIFS('UPIS Detail'!7:7,'UPIS Detail'!$2:$2,"&gt;"&amp;FY_Start,'UPIS Detail'!$2:$2,"&lt;="&amp;FY_en,'UPIS Detail'!$1:$1,J$10)</f>
        <v>0</v>
      </c>
      <c r="L16" s="17">
        <f t="shared" si="0"/>
        <v>612911.85</v>
      </c>
      <c r="N16" s="17">
        <f>AVERAGEIFS('UPIS Detail'!7:7,'UPIS Detail'!$2:$2,"&gt;="&amp;FY_Start,'UPIS Detail'!$2:$2,"&lt;="&amp;FY_End,'UPIS Detail'!$1:$1,"Balance")</f>
        <v>424142.61923076923</v>
      </c>
      <c r="O16" s="17"/>
    </row>
    <row r="17" spans="1:15" x14ac:dyDescent="0.45">
      <c r="B17" s="65">
        <v>6</v>
      </c>
      <c r="C17" s="18">
        <v>352.1</v>
      </c>
      <c r="D17" s="18" t="s">
        <v>25</v>
      </c>
      <c r="F17" s="17">
        <f>INDEX('UPIS LinkIn'!$C$5:$AE$16,MATCH('UPIS - FY B2'!$C17,'UPIS LinkIn'!$A$5:$A$16),MATCH(FY_Start,'UPIS LinkIn'!$C$2:$AE$2,0))</f>
        <v>1621007.3400000003</v>
      </c>
      <c r="H17" s="17">
        <f>SUMIFS('UPIS Detail'!8:8,'UPIS Detail'!$2:$2,"&gt;"&amp;FY_Start,'UPIS Detail'!$2:$2,"&lt;="&amp;FY_End,'UPIS Detail'!$1:$1,H$10)</f>
        <v>262500</v>
      </c>
      <c r="J17" s="17" cm="1">
        <f t="array" ref="J17">SUMIFS('UPIS Detail'!8:8,'UPIS Detail'!$2:$2,"&gt;"&amp;FY_Start,'UPIS Detail'!$2:$2,"&lt;="&amp;FY_en,'UPIS Detail'!$1:$1,J$10)</f>
        <v>0</v>
      </c>
      <c r="L17" s="17">
        <f t="shared" si="0"/>
        <v>1883507.3400000003</v>
      </c>
      <c r="N17" s="17">
        <f>AVERAGEIFS('UPIS Detail'!8:8,'UPIS Detail'!$2:$2,"&gt;="&amp;FY_Start,'UPIS Detail'!$2:$2,"&lt;="&amp;FY_End,'UPIS Detail'!$1:$1,"Balance")</f>
        <v>1742545.8015384616</v>
      </c>
      <c r="O17" s="17"/>
    </row>
    <row r="18" spans="1:15" x14ac:dyDescent="0.45">
      <c r="B18" s="65">
        <v>7</v>
      </c>
      <c r="C18" s="18">
        <v>352.2</v>
      </c>
      <c r="D18" s="23" t="s">
        <v>26</v>
      </c>
      <c r="F18" s="17">
        <f>INDEX('UPIS LinkIn'!$C$5:$AE$16,MATCH('UPIS - FY B2'!$C18,'UPIS LinkIn'!$A$5:$A$16),MATCH(FY_Start,'UPIS LinkIn'!$C$2:$AE$2,0))</f>
        <v>855063.6</v>
      </c>
      <c r="H18" s="17">
        <f>SUMIFS('UPIS Detail'!9:9,'UPIS Detail'!$2:$2,"&gt;"&amp;FY_Start,'UPIS Detail'!$2:$2,"&lt;="&amp;FY_End,'UPIS Detail'!$1:$1,H$10)</f>
        <v>111500</v>
      </c>
      <c r="J18" s="17" cm="1">
        <f t="array" ref="J18">SUMIFS('UPIS Detail'!9:9,'UPIS Detail'!$2:$2,"&gt;"&amp;FY_Start,'UPIS Detail'!$2:$2,"&lt;="&amp;FY_en,'UPIS Detail'!$1:$1,J$10)</f>
        <v>0</v>
      </c>
      <c r="L18" s="17">
        <f t="shared" si="0"/>
        <v>966563.6</v>
      </c>
      <c r="N18" s="17">
        <f>AVERAGEIFS('UPIS Detail'!9:9,'UPIS Detail'!$2:$2,"&gt;="&amp;FY_Start,'UPIS Detail'!$2:$2,"&lt;="&amp;FY_End,'UPIS Detail'!$1:$1,"Balance")</f>
        <v>922602.06153846136</v>
      </c>
      <c r="O18" s="19"/>
    </row>
    <row r="19" spans="1:15" x14ac:dyDescent="0.45">
      <c r="B19" s="65">
        <v>8</v>
      </c>
      <c r="C19" s="18">
        <v>363</v>
      </c>
      <c r="D19" s="23" t="s">
        <v>27</v>
      </c>
      <c r="F19" s="17">
        <f>INDEX('UPIS LinkIn'!$C$5:$AE$16,MATCH('UPIS - FY B2'!$C19,'UPIS LinkIn'!$A$5:$A$16),MATCH(FY_Start,'UPIS LinkIn'!$C$2:$AE$2,0))</f>
        <v>163020.57</v>
      </c>
      <c r="H19" s="17">
        <f>SUMIFS('UPIS Detail'!10:10,'UPIS Detail'!$2:$2,"&gt;"&amp;FY_Start,'UPIS Detail'!$2:$2,"&lt;="&amp;FY_End,'UPIS Detail'!$1:$1,H$10)</f>
        <v>70000</v>
      </c>
      <c r="J19" s="17" cm="1">
        <f t="array" ref="J19">SUMIFS('UPIS Detail'!10:10,'UPIS Detail'!$2:$2,"&gt;"&amp;FY_Start,'UPIS Detail'!$2:$2,"&lt;="&amp;FY_en,'UPIS Detail'!$1:$1,J$10)</f>
        <v>0</v>
      </c>
      <c r="L19" s="17">
        <f t="shared" si="0"/>
        <v>233020.57</v>
      </c>
      <c r="N19" s="17">
        <f>AVERAGEIFS('UPIS Detail'!10:10,'UPIS Detail'!$2:$2,"&gt;="&amp;FY_Start,'UPIS Detail'!$2:$2,"&lt;="&amp;FY_End,'UPIS Detail'!$1:$1,"Balance")</f>
        <v>177174.41615384619</v>
      </c>
    </row>
    <row r="20" spans="1:15" x14ac:dyDescent="0.45">
      <c r="B20" s="65">
        <v>9</v>
      </c>
      <c r="C20" s="18">
        <v>370</v>
      </c>
      <c r="D20" s="23" t="s">
        <v>23</v>
      </c>
      <c r="F20" s="17">
        <f>INDEX('UPIS LinkIn'!$C$5:$AE$16,MATCH('UPIS - FY B2'!$C20,'UPIS LinkIn'!$A$5:$A$16),MATCH(FY_Start,'UPIS LinkIn'!$C$2:$AE$2,0))</f>
        <v>10756.67</v>
      </c>
      <c r="H20" s="17">
        <f>SUMIFS('UPIS Detail'!11:11,'UPIS Detail'!$2:$2,"&gt;"&amp;FY_Start,'UPIS Detail'!$2:$2,"&lt;="&amp;FY_End,'UPIS Detail'!$1:$1,H$10)</f>
        <v>0</v>
      </c>
      <c r="J20" s="17" cm="1">
        <f t="array" ref="J20">SUMIFS('UPIS Detail'!11:11,'UPIS Detail'!$2:$2,"&gt;"&amp;FY_Start,'UPIS Detail'!$2:$2,"&lt;="&amp;FY_en,'UPIS Detail'!$1:$1,J$10)</f>
        <v>0</v>
      </c>
      <c r="L20" s="17">
        <f t="shared" si="0"/>
        <v>10756.67</v>
      </c>
      <c r="N20" s="17">
        <f>AVERAGEIFS('UPIS Detail'!11:11,'UPIS Detail'!$2:$2,"&gt;="&amp;FY_Start,'UPIS Detail'!$2:$2,"&lt;="&amp;FY_End,'UPIS Detail'!$1:$1,"Balance")</f>
        <v>10756.67</v>
      </c>
    </row>
    <row r="21" spans="1:15" s="2" customFormat="1" x14ac:dyDescent="0.45">
      <c r="A21" s="1"/>
      <c r="B21" s="65">
        <v>10</v>
      </c>
      <c r="C21" s="18">
        <v>372</v>
      </c>
      <c r="D21" s="23" t="s">
        <v>28</v>
      </c>
      <c r="E21" s="1"/>
      <c r="F21" s="17">
        <f>INDEX('UPIS LinkIn'!$C$5:$AE$16,MATCH('UPIS - FY B2'!$C21,'UPIS LinkIn'!$A$5:$A$16),MATCH(FY_Start,'UPIS LinkIn'!$C$2:$AE$2,0))</f>
        <v>1206215</v>
      </c>
      <c r="G21" s="1"/>
      <c r="H21" s="17">
        <f>SUMIFS('UPIS Detail'!12:12,'UPIS Detail'!$2:$2,"&gt;"&amp;FY_Start,'UPIS Detail'!$2:$2,"&lt;="&amp;FY_End,'UPIS Detail'!$1:$1,H$10)</f>
        <v>1666500</v>
      </c>
      <c r="I21" s="1"/>
      <c r="J21" s="17" cm="1">
        <f t="array" ref="J21">SUMIFS('UPIS Detail'!12:12,'UPIS Detail'!$2:$2,"&gt;"&amp;FY_Start,'UPIS Detail'!$2:$2,"&lt;="&amp;FY_en,'UPIS Detail'!$1:$1,J$10)</f>
        <v>0</v>
      </c>
      <c r="K21" s="1"/>
      <c r="L21" s="17">
        <f t="shared" si="0"/>
        <v>2872715</v>
      </c>
      <c r="M21" s="1"/>
      <c r="N21" s="17">
        <f>AVERAGEIFS('UPIS Detail'!12:12,'UPIS Detail'!$2:$2,"&gt;="&amp;FY_Start,'UPIS Detail'!$2:$2,"&lt;="&amp;FY_End,'UPIS Detail'!$1:$1,"Balance")</f>
        <v>1962484.2307692308</v>
      </c>
      <c r="O21" s="1"/>
    </row>
    <row r="22" spans="1:15" s="2" customFormat="1" x14ac:dyDescent="0.45">
      <c r="A22" s="1"/>
      <c r="B22" s="65">
        <v>11</v>
      </c>
      <c r="C22" s="18">
        <v>373</v>
      </c>
      <c r="D22" s="23" t="s">
        <v>29</v>
      </c>
      <c r="E22" s="1"/>
      <c r="F22" s="17">
        <f>INDEX('UPIS LinkIn'!$C$5:$AE$16,MATCH('UPIS - FY B2'!$C22,'UPIS LinkIn'!$A$5:$A$16),MATCH(FY_Start,'UPIS LinkIn'!$C$2:$AE$2,0))</f>
        <v>593879.57949999999</v>
      </c>
      <c r="G22" s="1"/>
      <c r="H22" s="17">
        <f>SUMIFS('UPIS Detail'!13:13,'UPIS Detail'!$2:$2,"&gt;"&amp;FY_Start,'UPIS Detail'!$2:$2,"&lt;="&amp;FY_End,'UPIS Detail'!$1:$1,H$10)</f>
        <v>449700</v>
      </c>
      <c r="I22" s="1"/>
      <c r="J22" s="17" cm="1">
        <f t="array" ref="J22">SUMIFS('UPIS Detail'!13:13,'UPIS Detail'!$2:$2,"&gt;"&amp;FY_Start,'UPIS Detail'!$2:$2,"&lt;="&amp;FY_en,'UPIS Detail'!$1:$1,J$10)</f>
        <v>0</v>
      </c>
      <c r="K22" s="1"/>
      <c r="L22" s="17">
        <f t="shared" si="0"/>
        <v>1043579.5795</v>
      </c>
      <c r="M22" s="1"/>
      <c r="N22" s="17">
        <f>AVERAGEIFS('UPIS Detail'!13:13,'UPIS Detail'!$2:$2,"&gt;="&amp;FY_Start,'UPIS Detail'!$2:$2,"&lt;="&amp;FY_End,'UPIS Detail'!$1:$1,"Balance")</f>
        <v>755394.96411538473</v>
      </c>
      <c r="O22" s="17"/>
    </row>
    <row r="23" spans="1:15" s="2" customFormat="1" x14ac:dyDescent="0.45">
      <c r="A23" s="1"/>
      <c r="B23" s="65">
        <v>12</v>
      </c>
      <c r="C23" s="18">
        <v>375</v>
      </c>
      <c r="D23" s="23" t="s">
        <v>30</v>
      </c>
      <c r="E23" s="1"/>
      <c r="F23" s="17">
        <f>INDEX('UPIS LinkIn'!$C$5:$AE$16,MATCH('UPIS - FY B2'!$C23,'UPIS LinkIn'!$A$5:$A$16),MATCH(FY_Start,'UPIS LinkIn'!$C$2:$AE$2,0))</f>
        <v>8756.380000000001</v>
      </c>
      <c r="G23" s="1"/>
      <c r="H23" s="17">
        <f>SUMIFS('UPIS Detail'!14:14,'UPIS Detail'!$2:$2,"&gt;"&amp;FY_Start,'UPIS Detail'!$2:$2,"&lt;="&amp;FY_End,'UPIS Detail'!$1:$1,H$10)</f>
        <v>25000</v>
      </c>
      <c r="I23" s="1"/>
      <c r="J23" s="17" cm="1">
        <f t="array" ref="J23">SUMIFS('UPIS Detail'!14:14,'UPIS Detail'!$2:$2,"&gt;"&amp;FY_Start,'UPIS Detail'!$2:$2,"&lt;="&amp;FY_en,'UPIS Detail'!$1:$1,J$10)</f>
        <v>0</v>
      </c>
      <c r="K23" s="1"/>
      <c r="L23" s="17">
        <f t="shared" si="0"/>
        <v>33756.380000000005</v>
      </c>
      <c r="M23" s="1"/>
      <c r="N23" s="17">
        <f>AVERAGEIFS('UPIS Detail'!14:14,'UPIS Detail'!$2:$2,"&gt;="&amp;FY_Start,'UPIS Detail'!$2:$2,"&lt;="&amp;FY_End,'UPIS Detail'!$1:$1,"Balance")</f>
        <v>31833.303076923083</v>
      </c>
      <c r="O23" s="17"/>
    </row>
    <row r="24" spans="1:15" s="2" customFormat="1" x14ac:dyDescent="0.45">
      <c r="A24" s="1"/>
      <c r="B24" s="65">
        <v>13</v>
      </c>
      <c r="C24" s="18">
        <v>391.1</v>
      </c>
      <c r="D24" s="23" t="s">
        <v>31</v>
      </c>
      <c r="E24" s="1"/>
      <c r="F24" s="17">
        <f>INDEX('UPIS LinkIn'!$C$5:$AE$16,MATCH('UPIS - FY B2'!$C24,'UPIS LinkIn'!$A$5:$A$16),MATCH(FY_Start,'UPIS LinkIn'!$C$2:$AE$2,0))</f>
        <v>1853</v>
      </c>
      <c r="G24" s="1"/>
      <c r="H24" s="17">
        <f>SUMIFS('UPIS Detail'!15:15,'UPIS Detail'!$2:$2,"&gt;"&amp;FY_Start,'UPIS Detail'!$2:$2,"&lt;="&amp;FY_End,'UPIS Detail'!$1:$1,H$10)</f>
        <v>0</v>
      </c>
      <c r="I24" s="1"/>
      <c r="J24" s="17" cm="1">
        <f t="array" ref="J24">SUMIFS('UPIS Detail'!15:15,'UPIS Detail'!$2:$2,"&gt;"&amp;FY_Start,'UPIS Detail'!$2:$2,"&lt;="&amp;FY_en,'UPIS Detail'!$1:$1,J$10)</f>
        <v>0</v>
      </c>
      <c r="K24" s="1"/>
      <c r="L24" s="17">
        <f t="shared" si="0"/>
        <v>1853</v>
      </c>
      <c r="M24" s="1"/>
      <c r="N24" s="17">
        <f>AVERAGEIFS('UPIS Detail'!15:15,'UPIS Detail'!$2:$2,"&gt;="&amp;FY_Start,'UPIS Detail'!$2:$2,"&lt;="&amp;FY_End,'UPIS Detail'!$1:$1,"Balance")</f>
        <v>1853</v>
      </c>
      <c r="O24" s="17"/>
    </row>
    <row r="25" spans="1:15" s="2" customFormat="1" x14ac:dyDescent="0.45">
      <c r="A25" s="1"/>
      <c r="B25" s="65">
        <v>14</v>
      </c>
      <c r="C25" s="18">
        <v>393</v>
      </c>
      <c r="D25" s="23" t="s">
        <v>32</v>
      </c>
      <c r="E25" s="1"/>
      <c r="F25" s="17">
        <f>INDEX('UPIS LinkIn'!$C$5:$AE$16,MATCH('UPIS - FY B2'!$C25,'UPIS LinkIn'!$A$5:$A$16),MATCH(FY_Start,'UPIS LinkIn'!$C$2:$AE$2,0))</f>
        <v>124046.6995</v>
      </c>
      <c r="G25" s="1"/>
      <c r="H25" s="17">
        <f>SUMIFS('UPIS Detail'!16:16,'UPIS Detail'!$2:$2,"&gt;"&amp;FY_Start,'UPIS Detail'!$2:$2,"&lt;="&amp;FY_End,'UPIS Detail'!$1:$1,H$10)</f>
        <v>105000</v>
      </c>
      <c r="I25" s="1"/>
      <c r="J25" s="17" cm="1">
        <f t="array" ref="J25">SUMIFS('UPIS Detail'!16:16,'UPIS Detail'!$2:$2,"&gt;"&amp;FY_Start,'UPIS Detail'!$2:$2,"&lt;="&amp;FY_en,'UPIS Detail'!$1:$1,J$10)</f>
        <v>0</v>
      </c>
      <c r="K25" s="1"/>
      <c r="L25" s="17">
        <f t="shared" si="0"/>
        <v>229046.69949999999</v>
      </c>
      <c r="M25" s="1"/>
      <c r="N25" s="17">
        <f>AVERAGEIFS('UPIS Detail'!16:16,'UPIS Detail'!$2:$2,"&gt;="&amp;FY_Start,'UPIS Detail'!$2:$2,"&lt;="&amp;FY_End,'UPIS Detail'!$1:$1,"Balance")</f>
        <v>162508.23796153849</v>
      </c>
      <c r="O25" s="17"/>
    </row>
    <row r="26" spans="1:15" s="2" customFormat="1" x14ac:dyDescent="0.45">
      <c r="A26" s="1"/>
      <c r="B26" s="65">
        <v>15</v>
      </c>
      <c r="C26" s="15"/>
      <c r="D26" s="22"/>
      <c r="E26" s="1"/>
      <c r="F26" s="17"/>
      <c r="G26" s="1"/>
      <c r="H26" s="17"/>
      <c r="I26" s="1"/>
      <c r="J26" s="17"/>
      <c r="K26" s="1"/>
      <c r="L26" s="17"/>
      <c r="M26" s="1"/>
      <c r="N26" s="17"/>
      <c r="O26" s="17"/>
    </row>
    <row r="27" spans="1:15" s="2" customFormat="1" x14ac:dyDescent="0.45">
      <c r="A27" s="1"/>
      <c r="B27" s="65">
        <v>16</v>
      </c>
      <c r="C27" s="15"/>
      <c r="D27" s="97" t="s">
        <v>138</v>
      </c>
      <c r="E27" s="87"/>
      <c r="F27" s="86">
        <f>SUM(F14:F25)</f>
        <v>5001960.6890000002</v>
      </c>
      <c r="G27" s="87"/>
      <c r="H27" s="86">
        <f>SUM(H14:H25)</f>
        <v>2939700</v>
      </c>
      <c r="I27" s="87"/>
      <c r="J27" s="86">
        <f>SUM(J14:J25)</f>
        <v>0</v>
      </c>
      <c r="K27" s="87"/>
      <c r="L27" s="86">
        <f>SUM(L14:L25)</f>
        <v>7941660.6890000002</v>
      </c>
      <c r="M27" s="87"/>
      <c r="N27" s="86">
        <f>SUM(N14:N25)</f>
        <v>6245245.3043846153</v>
      </c>
      <c r="O27" s="17"/>
    </row>
    <row r="28" spans="1:15" s="2" customFormat="1" x14ac:dyDescent="0.45">
      <c r="A28" s="1"/>
      <c r="B28" s="65">
        <v>17</v>
      </c>
      <c r="C28" s="15"/>
      <c r="D28" s="22"/>
      <c r="E28" s="1"/>
      <c r="F28" s="17"/>
      <c r="G28" s="1"/>
      <c r="H28" s="17"/>
      <c r="I28" s="1"/>
      <c r="J28" s="17"/>
      <c r="K28" s="1"/>
      <c r="L28" s="17"/>
      <c r="M28" s="1"/>
      <c r="N28" s="17"/>
      <c r="O28" s="17"/>
    </row>
    <row r="29" spans="1:15" s="2" customFormat="1" x14ac:dyDescent="0.45">
      <c r="A29" s="1"/>
      <c r="B29" s="65">
        <v>18</v>
      </c>
      <c r="C29" s="15" t="s">
        <v>139</v>
      </c>
      <c r="D29" s="22" t="s">
        <v>136</v>
      </c>
      <c r="E29" s="1"/>
      <c r="F29" s="17">
        <f>INDEX('UPIS LinkIn'!$C$5:$AE$17,MATCH("ACQ",'UPIS LinkIn'!$A$5:$A$17),MATCH(FY_Start,'UPIS LinkIn'!$C$2:$AE$2,0))</f>
        <v>2193629</v>
      </c>
      <c r="G29" s="1"/>
      <c r="H29" s="17">
        <f>SUMIFS('UPIS Detail'!17:17,'UPIS Detail'!$2:$2,"&gt;"&amp;FY_Start,'UPIS Detail'!$2:$2,"&lt;="&amp;FY_End,'UPIS Detail'!$1:$1,H$10)</f>
        <v>0</v>
      </c>
      <c r="I29" s="17"/>
      <c r="J29" s="17">
        <f>SUMIFS('UPIS Detail'!17:17,'UPIS Detail'!$2:$2,"&gt;"&amp;FY_Start,'UPIS Detail'!$2:$2,"&lt;="&amp;FY_End,'UPIS Detail'!$1:$1,J$10)</f>
        <v>0</v>
      </c>
      <c r="K29" s="17"/>
      <c r="L29" s="17">
        <f t="shared" ref="L29" si="1">F29+H29+J29</f>
        <v>2193629</v>
      </c>
      <c r="M29" s="17"/>
      <c r="N29" s="17">
        <f>AVERAGEIFS('UPIS Detail'!17:17,'UPIS Detail'!$2:$2,"&gt;="&amp;FY_Start,'UPIS Detail'!$2:$2,"&lt;="&amp;FY_End,'UPIS Detail'!$1:$1,"Balance")</f>
        <v>2193629</v>
      </c>
      <c r="O29" s="17"/>
    </row>
    <row r="30" spans="1:15" s="2" customFormat="1" x14ac:dyDescent="0.45">
      <c r="A30" s="1"/>
      <c r="B30" s="65">
        <v>19</v>
      </c>
      <c r="C30" s="15"/>
      <c r="D30" s="1"/>
      <c r="E30" s="1"/>
      <c r="F30" s="19"/>
      <c r="G30" s="1"/>
      <c r="H30" s="19"/>
      <c r="I30" s="1"/>
      <c r="J30" s="19"/>
      <c r="K30" s="1"/>
      <c r="L30" s="19"/>
      <c r="M30" s="1"/>
      <c r="N30" s="19"/>
      <c r="O30" s="19"/>
    </row>
    <row r="31" spans="1:15" s="2" customFormat="1" ht="14.65" thickBot="1" x14ac:dyDescent="0.5">
      <c r="A31" s="1"/>
      <c r="B31" s="65">
        <v>20</v>
      </c>
      <c r="D31" s="99" t="s">
        <v>144</v>
      </c>
      <c r="E31" s="98"/>
      <c r="F31" s="24">
        <f>F27+F29</f>
        <v>7195589.6890000002</v>
      </c>
      <c r="G31" s="98"/>
      <c r="H31" s="24">
        <f>H27+H29</f>
        <v>2939700</v>
      </c>
      <c r="I31" s="98"/>
      <c r="J31" s="24">
        <f>J27+J29</f>
        <v>0</v>
      </c>
      <c r="K31" s="98"/>
      <c r="L31" s="24">
        <f>L27+L29</f>
        <v>10135289.688999999</v>
      </c>
      <c r="M31" s="98"/>
      <c r="N31" s="24">
        <f>N27+N29</f>
        <v>8438874.3043846153</v>
      </c>
      <c r="O31" s="1"/>
    </row>
    <row r="32" spans="1:15" s="2" customFormat="1" ht="14.65" thickTop="1" x14ac:dyDescent="0.45">
      <c r="A32" s="1"/>
      <c r="B32" s="65">
        <v>21</v>
      </c>
      <c r="C32" s="15"/>
      <c r="D32" s="22"/>
      <c r="E32" s="1"/>
      <c r="F32" s="17"/>
      <c r="G32" s="1"/>
      <c r="H32" s="17"/>
      <c r="I32" s="1"/>
      <c r="J32" s="17"/>
      <c r="K32" s="1"/>
      <c r="L32" s="17"/>
      <c r="M32" s="1"/>
      <c r="N32" s="17"/>
      <c r="O32" s="17"/>
    </row>
    <row r="33" spans="1:15" s="2" customFormat="1" x14ac:dyDescent="0.45">
      <c r="A33" s="1"/>
      <c r="B33" s="65">
        <v>22</v>
      </c>
      <c r="C33" s="15"/>
      <c r="D33" s="22"/>
      <c r="E33" s="1"/>
      <c r="F33" s="17"/>
      <c r="G33" s="1"/>
      <c r="H33" s="17"/>
      <c r="I33" s="1"/>
      <c r="J33" s="17"/>
      <c r="K33" s="1"/>
      <c r="L33" s="17"/>
      <c r="M33" s="1"/>
      <c r="N33" s="17"/>
      <c r="O33" s="17"/>
    </row>
    <row r="34" spans="1:15" s="2" customFormat="1" x14ac:dyDescent="0.45">
      <c r="A34" s="1"/>
      <c r="B34" s="65">
        <v>23</v>
      </c>
      <c r="C34" s="15"/>
      <c r="D34" s="22"/>
      <c r="E34" s="1"/>
      <c r="F34" s="17"/>
      <c r="G34" s="1"/>
      <c r="H34" s="17"/>
      <c r="I34" s="1"/>
      <c r="J34" s="17"/>
      <c r="K34" s="1"/>
      <c r="L34" s="17"/>
      <c r="M34" s="1"/>
      <c r="N34" s="17"/>
      <c r="O34" s="17"/>
    </row>
    <row r="35" spans="1:15" s="2" customFormat="1" x14ac:dyDescent="0.45">
      <c r="A35" s="1"/>
      <c r="B35" s="65">
        <v>24</v>
      </c>
      <c r="C35" s="15"/>
      <c r="D35" s="22"/>
      <c r="E35" s="1"/>
      <c r="F35" s="17"/>
      <c r="G35" s="1"/>
      <c r="H35" s="17"/>
      <c r="I35" s="1"/>
      <c r="J35" s="17"/>
      <c r="K35" s="1"/>
      <c r="L35" s="17"/>
      <c r="M35" s="1"/>
      <c r="N35" s="17"/>
      <c r="O35" s="17"/>
    </row>
    <row r="36" spans="1:15" s="2" customFormat="1" x14ac:dyDescent="0.45">
      <c r="A36" s="1"/>
      <c r="B36" s="65">
        <v>25</v>
      </c>
      <c r="C36" s="15"/>
      <c r="D36" s="22"/>
      <c r="E36" s="1"/>
      <c r="F36" s="17"/>
      <c r="G36" s="1"/>
      <c r="H36" s="17"/>
      <c r="I36" s="1"/>
      <c r="J36" s="17"/>
      <c r="K36" s="1"/>
      <c r="L36" s="17"/>
      <c r="M36" s="1"/>
      <c r="N36" s="17"/>
      <c r="O36" s="17"/>
    </row>
    <row r="37" spans="1:15" s="2" customFormat="1" x14ac:dyDescent="0.45">
      <c r="A37" s="1"/>
      <c r="B37" s="65">
        <v>26</v>
      </c>
      <c r="C37" s="15"/>
      <c r="D37" s="22"/>
      <c r="E37" s="1"/>
      <c r="F37" s="17"/>
      <c r="G37" s="1"/>
      <c r="H37" s="17"/>
      <c r="I37" s="1"/>
      <c r="J37" s="17"/>
      <c r="K37" s="1"/>
      <c r="L37" s="17"/>
      <c r="M37" s="1"/>
      <c r="N37" s="17"/>
      <c r="O37" s="17"/>
    </row>
    <row r="38" spans="1:15" s="2" customFormat="1" x14ac:dyDescent="0.45">
      <c r="A38" s="1"/>
      <c r="B38" s="65">
        <v>27</v>
      </c>
      <c r="C38" s="15"/>
      <c r="D38" s="22"/>
      <c r="E38" s="1"/>
      <c r="F38" s="17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45">
      <c r="A39" s="1"/>
      <c r="B39" s="65">
        <v>28</v>
      </c>
      <c r="C39" s="15"/>
      <c r="D39" s="22"/>
      <c r="E39" s="1"/>
      <c r="F39" s="17"/>
      <c r="G39" s="1"/>
      <c r="H39" s="17"/>
      <c r="I39" s="1"/>
      <c r="J39" s="17"/>
      <c r="K39" s="1"/>
      <c r="L39" s="17"/>
      <c r="M39" s="1"/>
      <c r="N39" s="17"/>
      <c r="O39" s="17"/>
    </row>
    <row r="40" spans="1:15" s="2" customFormat="1" x14ac:dyDescent="0.45">
      <c r="A40" s="1"/>
      <c r="B40" s="65">
        <v>29</v>
      </c>
      <c r="C40" s="15"/>
      <c r="D40" s="22"/>
      <c r="E40" s="1"/>
      <c r="F40" s="17"/>
      <c r="G40" s="1"/>
      <c r="H40" s="17"/>
      <c r="I40" s="1"/>
      <c r="J40" s="17"/>
      <c r="K40" s="1"/>
      <c r="L40" s="17"/>
      <c r="M40" s="1"/>
      <c r="N40" s="17"/>
      <c r="O40" s="17"/>
    </row>
    <row r="41" spans="1:15" s="2" customFormat="1" x14ac:dyDescent="0.45">
      <c r="A41" s="1"/>
      <c r="B41" s="65">
        <v>30</v>
      </c>
      <c r="C41" s="25"/>
      <c r="D41" s="22"/>
      <c r="E41" s="1"/>
      <c r="F41" s="17"/>
      <c r="G41" s="1"/>
      <c r="H41" s="17"/>
      <c r="I41" s="1"/>
      <c r="J41" s="17"/>
      <c r="K41" s="1"/>
      <c r="L41" s="17"/>
      <c r="M41" s="1"/>
      <c r="N41" s="17"/>
      <c r="O41" s="17"/>
    </row>
    <row r="42" spans="1:15" s="2" customFormat="1" x14ac:dyDescent="0.45">
      <c r="A42" s="1"/>
      <c r="B42" s="65">
        <v>31</v>
      </c>
      <c r="C42" s="15"/>
      <c r="D42" s="1"/>
      <c r="E42" s="1"/>
      <c r="F42" s="19"/>
      <c r="G42" s="1"/>
      <c r="H42" s="19"/>
      <c r="I42" s="1"/>
      <c r="J42" s="19"/>
      <c r="K42" s="1"/>
      <c r="L42" s="19"/>
      <c r="M42" s="1"/>
      <c r="N42" s="19"/>
      <c r="O42" s="19"/>
    </row>
    <row r="43" spans="1:15" s="2" customFormat="1" x14ac:dyDescent="0.45">
      <c r="A43" s="1"/>
      <c r="B43" s="65">
        <v>32</v>
      </c>
      <c r="C43" s="2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s="2" customFormat="1" x14ac:dyDescent="0.45">
      <c r="A44" s="1"/>
      <c r="B44" s="65">
        <v>33</v>
      </c>
      <c r="C44" s="15"/>
      <c r="D44" s="22"/>
      <c r="E44" s="1"/>
      <c r="F44" s="17"/>
      <c r="G44" s="1"/>
      <c r="H44" s="17"/>
      <c r="I44" s="1"/>
      <c r="J44" s="17"/>
      <c r="K44" s="1"/>
      <c r="L44" s="17"/>
      <c r="M44" s="1"/>
      <c r="N44" s="17"/>
      <c r="O44" s="17"/>
    </row>
    <row r="45" spans="1:15" s="2" customFormat="1" x14ac:dyDescent="0.45">
      <c r="A45" s="1"/>
      <c r="B45" s="65">
        <v>34</v>
      </c>
      <c r="C45" s="15"/>
      <c r="D45" s="22"/>
      <c r="E45" s="1"/>
      <c r="F45" s="17"/>
      <c r="G45" s="1"/>
      <c r="H45" s="17"/>
      <c r="I45" s="1"/>
      <c r="J45" s="17"/>
      <c r="K45" s="1"/>
      <c r="L45" s="17"/>
      <c r="M45" s="1"/>
      <c r="N45" s="17"/>
      <c r="O45" s="17"/>
    </row>
    <row r="46" spans="1:15" s="2" customFormat="1" x14ac:dyDescent="0.45">
      <c r="A46" s="1"/>
      <c r="B46" s="65">
        <v>35</v>
      </c>
      <c r="C46" s="15"/>
      <c r="D46" s="22"/>
      <c r="E46" s="1"/>
      <c r="F46" s="17"/>
      <c r="G46" s="1"/>
      <c r="H46" s="17"/>
      <c r="I46" s="1"/>
      <c r="J46" s="17"/>
      <c r="K46" s="1"/>
      <c r="L46" s="17"/>
      <c r="M46" s="1"/>
      <c r="N46" s="17"/>
      <c r="O46" s="17"/>
    </row>
    <row r="47" spans="1:15" s="2" customFormat="1" x14ac:dyDescent="0.45">
      <c r="A47" s="1"/>
      <c r="B47" s="65">
        <v>36</v>
      </c>
      <c r="C47" s="26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s="2" customFormat="1" x14ac:dyDescent="0.45">
      <c r="A48" s="1"/>
      <c r="B48" s="65">
        <v>37</v>
      </c>
      <c r="C48" s="15"/>
      <c r="D48" s="27"/>
      <c r="E48" s="1"/>
      <c r="F48" s="17"/>
      <c r="G48" s="1"/>
      <c r="H48" s="17"/>
      <c r="I48" s="1"/>
      <c r="J48" s="17"/>
      <c r="K48" s="1"/>
      <c r="L48" s="17"/>
      <c r="M48" s="1"/>
      <c r="N48" s="17"/>
      <c r="O48" s="17"/>
    </row>
    <row r="49" spans="1:15" s="2" customFormat="1" x14ac:dyDescent="0.45">
      <c r="A49" s="1"/>
      <c r="B49" s="65">
        <v>38</v>
      </c>
      <c r="C49" s="15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s="2" customFormat="1" x14ac:dyDescent="0.45">
      <c r="A50" s="1"/>
      <c r="B50" s="65">
        <v>39</v>
      </c>
      <c r="C50" s="26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s="2" customFormat="1" x14ac:dyDescent="0.45">
      <c r="A51" s="1"/>
      <c r="B51" s="65">
        <v>40</v>
      </c>
      <c r="C51" s="15"/>
      <c r="D51" s="27"/>
      <c r="E51" s="1"/>
      <c r="F51" s="17"/>
      <c r="G51" s="1"/>
      <c r="H51" s="17"/>
      <c r="I51" s="1"/>
      <c r="J51" s="17"/>
      <c r="K51" s="1"/>
      <c r="L51" s="17"/>
      <c r="M51" s="1"/>
      <c r="N51" s="17"/>
      <c r="O51" s="17"/>
    </row>
    <row r="52" spans="1:15" s="2" customFormat="1" x14ac:dyDescent="0.45">
      <c r="A52" s="1"/>
      <c r="B52" s="65">
        <v>41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s="2" customFormat="1" x14ac:dyDescent="0.45">
      <c r="A53" s="1"/>
      <c r="B53" s="65">
        <v>42</v>
      </c>
      <c r="C53" s="11"/>
      <c r="D53" s="1"/>
      <c r="E53" s="1"/>
      <c r="F53" s="17"/>
      <c r="G53" s="1"/>
      <c r="H53" s="17"/>
      <c r="I53" s="1"/>
      <c r="J53" s="17"/>
      <c r="K53" s="1"/>
      <c r="L53" s="17"/>
      <c r="M53" s="1"/>
      <c r="N53" s="17"/>
      <c r="O53" s="17"/>
    </row>
    <row r="54" spans="1:15" s="2" customFormat="1" x14ac:dyDescent="0.45">
      <c r="A54" s="1"/>
      <c r="B54" s="65">
        <v>43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s="2" customFormat="1" x14ac:dyDescent="0.45">
      <c r="A55" s="1"/>
      <c r="B55" s="65">
        <v>44</v>
      </c>
      <c r="C55" s="11"/>
      <c r="D55" s="1"/>
      <c r="E55" s="1"/>
      <c r="F55" s="19"/>
      <c r="G55" s="1"/>
      <c r="H55" s="19"/>
      <c r="I55" s="1"/>
      <c r="J55" s="19"/>
      <c r="K55" s="1"/>
      <c r="L55" s="19"/>
      <c r="M55" s="1"/>
      <c r="N55" s="19"/>
      <c r="O55" s="19"/>
    </row>
    <row r="56" spans="1:15" s="2" customFormat="1" x14ac:dyDescent="0.45">
      <c r="A56" s="1"/>
      <c r="B56" s="65">
        <v>45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s="2" customFormat="1" x14ac:dyDescent="0.45">
      <c r="A57" s="1"/>
      <c r="B57" s="65">
        <v>46</v>
      </c>
      <c r="C57" s="11"/>
      <c r="D57" s="1"/>
      <c r="E57" s="1"/>
      <c r="F57" s="19"/>
      <c r="G57" s="1"/>
      <c r="H57" s="19"/>
      <c r="I57" s="1"/>
      <c r="J57" s="19"/>
      <c r="K57" s="1"/>
      <c r="L57" s="19"/>
      <c r="M57" s="1"/>
      <c r="N57" s="19"/>
      <c r="O57" s="19"/>
    </row>
    <row r="58" spans="1:15" s="2" customFormat="1" x14ac:dyDescent="0.45">
      <c r="A58" s="1"/>
      <c r="B58" s="65">
        <v>47</v>
      </c>
      <c r="C58" s="11"/>
      <c r="D58" s="1"/>
      <c r="E58" s="1"/>
      <c r="F58" s="28"/>
      <c r="G58" s="1"/>
      <c r="H58" s="28"/>
      <c r="I58" s="1"/>
      <c r="J58" s="28"/>
      <c r="K58" s="1"/>
      <c r="L58" s="28"/>
      <c r="M58" s="1"/>
      <c r="N58" s="29"/>
      <c r="O58" s="29"/>
    </row>
    <row r="59" spans="1:15" s="2" customFormat="1" x14ac:dyDescent="0.45">
      <c r="A59" s="1"/>
      <c r="B59" s="65">
        <v>48</v>
      </c>
      <c r="C59" s="1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s="2" customFormat="1" x14ac:dyDescent="0.45">
      <c r="A60" s="1"/>
      <c r="B60" s="65">
        <v>49</v>
      </c>
      <c r="C60" s="1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" customFormat="1" x14ac:dyDescent="0.45">
      <c r="A61" s="1"/>
      <c r="B61" s="65">
        <v>50</v>
      </c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2" customFormat="1" x14ac:dyDescent="0.45">
      <c r="A62" s="1"/>
      <c r="B62" s="1"/>
      <c r="C62" s="1"/>
      <c r="D62" s="1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</sheetData>
  <mergeCells count="4">
    <mergeCell ref="A4:N4"/>
    <mergeCell ref="A1:N1"/>
    <mergeCell ref="A2:N2"/>
    <mergeCell ref="A3:N3"/>
  </mergeCells>
  <pageMargins left="0.7" right="0.7" top="0.75" bottom="0.75" header="0.3" footer="0.3"/>
  <pageSetup scale="74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9E64-4B98-4FFB-A19F-B6712CDA2B94}">
  <sheetPr>
    <pageSetUpPr fitToPage="1"/>
  </sheetPr>
  <dimension ref="A1:L62"/>
  <sheetViews>
    <sheetView view="pageBreakPreview" topLeftCell="A17" zoomScaleNormal="110" zoomScaleSheetLayoutView="100" workbookViewId="0">
      <selection activeCell="H18" sqref="H18"/>
    </sheetView>
  </sheetViews>
  <sheetFormatPr defaultColWidth="9.1328125" defaultRowHeight="14.25" x14ac:dyDescent="0.45"/>
  <cols>
    <col min="1" max="1" width="4" style="1" customWidth="1"/>
    <col min="2" max="2" width="5.1328125" style="1" customWidth="1"/>
    <col min="3" max="3" width="7.73046875" style="1" customWidth="1"/>
    <col min="4" max="4" width="55.1328125" style="1" bestFit="1" customWidth="1"/>
    <col min="5" max="5" width="3.1328125" style="1" customWidth="1"/>
    <col min="6" max="6" width="14.73046875" style="1" customWidth="1"/>
    <col min="7" max="7" width="3.1328125" style="1" customWidth="1"/>
    <col min="8" max="8" width="14.73046875" style="1" customWidth="1"/>
    <col min="9" max="9" width="3.73046875" style="1" customWidth="1"/>
    <col min="10" max="10" width="14.73046875" style="1" customWidth="1"/>
    <col min="11" max="11" width="3.1328125" style="1" customWidth="1"/>
    <col min="12" max="12" width="26" style="2" bestFit="1" customWidth="1"/>
    <col min="13" max="16384" width="9.1328125" style="1"/>
  </cols>
  <sheetData>
    <row r="1" spans="1:12" ht="16.899999999999999" x14ac:dyDescent="0.5">
      <c r="A1" s="110" t="str">
        <f>[1]Reference!$B$2</f>
        <v>BLUEGRASS WATER UTILITY OPERATING COMPANY, LLC</v>
      </c>
      <c r="B1" s="110"/>
      <c r="C1" s="110"/>
      <c r="D1" s="110"/>
      <c r="E1" s="110"/>
      <c r="F1" s="110"/>
      <c r="G1" s="110"/>
      <c r="H1" s="110"/>
    </row>
    <row r="2" spans="1:12" x14ac:dyDescent="0.45">
      <c r="A2" s="111" t="str">
        <f>[1]Reference!$B$3</f>
        <v>Case No. 2020-00290</v>
      </c>
      <c r="B2" s="111"/>
      <c r="C2" s="111"/>
      <c r="D2" s="111"/>
      <c r="E2" s="111"/>
      <c r="F2" s="111"/>
      <c r="G2" s="111"/>
      <c r="H2" s="111"/>
      <c r="K2" s="3"/>
    </row>
    <row r="3" spans="1:12" x14ac:dyDescent="0.45">
      <c r="A3" s="111" t="s">
        <v>7</v>
      </c>
      <c r="B3" s="111"/>
      <c r="C3" s="111"/>
      <c r="D3" s="111"/>
      <c r="E3" s="111"/>
      <c r="F3" s="111"/>
      <c r="G3" s="111"/>
      <c r="H3" s="111"/>
      <c r="K3" s="3"/>
    </row>
    <row r="4" spans="1:12" x14ac:dyDescent="0.45">
      <c r="A4" s="111" t="str">
        <f>'Constants LinkIn'!B9</f>
        <v>Base Year for the 12 Months ended December 31, 2020</v>
      </c>
      <c r="B4" s="111"/>
      <c r="C4" s="111"/>
      <c r="D4" s="111"/>
      <c r="E4" s="111"/>
      <c r="F4" s="111"/>
      <c r="G4" s="111"/>
      <c r="H4" s="111"/>
      <c r="K4" s="3"/>
    </row>
    <row r="5" spans="1:12" x14ac:dyDescent="0.45">
      <c r="A5" s="65"/>
      <c r="B5" s="65"/>
      <c r="C5" s="65"/>
      <c r="D5" s="65"/>
      <c r="E5" s="65"/>
      <c r="F5" s="65"/>
      <c r="G5" s="65"/>
      <c r="H5" s="65"/>
      <c r="K5" s="3"/>
    </row>
    <row r="6" spans="1:12" x14ac:dyDescent="0.45">
      <c r="A6" s="7"/>
      <c r="B6" s="7"/>
      <c r="C6" s="7"/>
      <c r="D6" s="7"/>
      <c r="E6" s="7"/>
      <c r="F6" s="7"/>
      <c r="G6" s="7"/>
      <c r="H6" s="75" t="s">
        <v>112</v>
      </c>
      <c r="K6" s="3"/>
    </row>
    <row r="7" spans="1:12" x14ac:dyDescent="0.45">
      <c r="A7" s="1" t="s">
        <v>14</v>
      </c>
      <c r="H7" s="76" t="str">
        <f ca="1">RIGHT(CELL("filename",$A$1),LEN(CELL("filename",$A$1))-SEARCH("/Work Papers",CELL("filename",$A$1),1))</f>
        <v>Work Papers/Rate Base/[BGUOC 2020 Rate Case - Rate Base (Sewer).xlsx]AccDep - BY B3</v>
      </c>
      <c r="K7" s="3"/>
    </row>
    <row r="8" spans="1:12" x14ac:dyDescent="0.45">
      <c r="A8" s="1" t="s">
        <v>15</v>
      </c>
      <c r="H8" s="77" t="s">
        <v>109</v>
      </c>
      <c r="K8" s="3"/>
    </row>
    <row r="9" spans="1:12" ht="14.65" thickBot="1" x14ac:dyDescent="0.5">
      <c r="B9" s="4"/>
      <c r="C9" s="4"/>
      <c r="D9" s="4"/>
      <c r="E9" s="4"/>
      <c r="F9" s="4"/>
      <c r="G9" s="4"/>
      <c r="H9" s="4"/>
      <c r="K9" s="3"/>
    </row>
    <row r="10" spans="1:12" ht="42.75" x14ac:dyDescent="0.45">
      <c r="B10" s="5" t="s">
        <v>0</v>
      </c>
      <c r="C10" s="5" t="s">
        <v>16</v>
      </c>
      <c r="F10" s="6" t="s">
        <v>37</v>
      </c>
      <c r="G10" s="7"/>
      <c r="H10" s="6" t="s">
        <v>38</v>
      </c>
      <c r="I10" s="7"/>
      <c r="J10" s="5"/>
      <c r="K10" s="3"/>
      <c r="L10" s="5"/>
    </row>
    <row r="11" spans="1:12" ht="14.65" thickBot="1" x14ac:dyDescent="0.5">
      <c r="B11" s="8" t="s">
        <v>3</v>
      </c>
      <c r="C11" s="8" t="s">
        <v>3</v>
      </c>
      <c r="D11" s="8" t="s">
        <v>21</v>
      </c>
      <c r="E11" s="4"/>
      <c r="F11" s="9" t="s">
        <v>5</v>
      </c>
      <c r="G11" s="4"/>
      <c r="H11" s="9" t="s">
        <v>5</v>
      </c>
      <c r="J11" s="10"/>
      <c r="K11" s="10"/>
      <c r="L11" s="10"/>
    </row>
    <row r="12" spans="1:12" s="11" customFormat="1" x14ac:dyDescent="0.45">
      <c r="B12" s="65">
        <v>1</v>
      </c>
      <c r="D12" s="12"/>
      <c r="F12" s="13"/>
      <c r="H12" s="13"/>
      <c r="J12" s="13"/>
      <c r="K12" s="13"/>
      <c r="L12" s="14"/>
    </row>
    <row r="13" spans="1:12" x14ac:dyDescent="0.45">
      <c r="B13" s="65">
        <v>2</v>
      </c>
      <c r="C13" s="11"/>
      <c r="D13" s="11"/>
    </row>
    <row r="14" spans="1:12" x14ac:dyDescent="0.45">
      <c r="B14" s="65">
        <v>3</v>
      </c>
      <c r="C14" s="18">
        <v>303</v>
      </c>
      <c r="D14" s="18" t="s">
        <v>22</v>
      </c>
      <c r="F14" s="17">
        <f>'UPIS - BY B2'!L14</f>
        <v>3700</v>
      </c>
      <c r="H14" s="17">
        <f>INDEX('AccDep LinkIn'!$C$5:$AE$16,MATCH($C14,'AccDep LinkIn'!$A$5:$A$16,0),MATCH(BY_end,'AccDep LinkIn'!$C$2:$AE$2,0))</f>
        <v>0</v>
      </c>
      <c r="J14" s="17"/>
      <c r="K14" s="17"/>
    </row>
    <row r="15" spans="1:12" x14ac:dyDescent="0.45">
      <c r="B15" s="65">
        <v>4</v>
      </c>
      <c r="C15" s="18">
        <v>310.10000000000002</v>
      </c>
      <c r="D15" s="18" t="s">
        <v>23</v>
      </c>
      <c r="F15" s="17">
        <f>'UPIS - BY B2'!L15</f>
        <v>50250</v>
      </c>
      <c r="H15" s="17">
        <f>INDEX('AccDep LinkIn'!$C$5:$AE$16,MATCH($C15,'AccDep LinkIn'!$A$5:$A$16,0),MATCH(BY_end,'AccDep LinkIn'!$C$2:$AE$2,0))</f>
        <v>0</v>
      </c>
      <c r="J15" s="17"/>
      <c r="K15" s="17"/>
    </row>
    <row r="16" spans="1:12" x14ac:dyDescent="0.45">
      <c r="B16" s="65">
        <v>5</v>
      </c>
      <c r="C16" s="18">
        <v>311</v>
      </c>
      <c r="D16" s="18" t="s">
        <v>24</v>
      </c>
      <c r="F16" s="17">
        <f>'UPIS - BY B2'!L16</f>
        <v>207411.85000000003</v>
      </c>
      <c r="H16" s="17">
        <f>INDEX('AccDep LinkIn'!$C$5:$AE$16,MATCH($C16,'AccDep LinkIn'!$A$5:$A$16,0),MATCH(BY_end,'AccDep LinkIn'!$C$2:$AE$2,0))</f>
        <v>44055.122946689356</v>
      </c>
      <c r="J16" s="17"/>
      <c r="K16" s="17"/>
    </row>
    <row r="17" spans="1:11" x14ac:dyDescent="0.45">
      <c r="B17" s="65">
        <v>6</v>
      </c>
      <c r="C17" s="18">
        <v>352.1</v>
      </c>
      <c r="D17" s="18" t="s">
        <v>25</v>
      </c>
      <c r="F17" s="17">
        <f>'UPIS - BY B2'!L17</f>
        <v>1384811.9000000001</v>
      </c>
      <c r="H17" s="17">
        <f>INDEX('AccDep LinkIn'!$C$5:$AE$16,MATCH($C17,'AccDep LinkIn'!$A$5:$A$16,0),MATCH(BY_end,'AccDep LinkIn'!$C$2:$AE$2,0))</f>
        <v>12322.091483333335</v>
      </c>
      <c r="J17" s="17"/>
      <c r="K17" s="17"/>
    </row>
    <row r="18" spans="1:11" x14ac:dyDescent="0.45">
      <c r="B18" s="65">
        <v>7</v>
      </c>
      <c r="C18" s="18">
        <v>352.2</v>
      </c>
      <c r="D18" s="23" t="s">
        <v>26</v>
      </c>
      <c r="F18" s="17">
        <f>'UPIS - BY B2'!L18</f>
        <v>621063.6</v>
      </c>
      <c r="H18" s="17">
        <f>INDEX('AccDep LinkIn'!$C$5:$AE$16,MATCH($C18,'AccDep LinkIn'!$A$5:$A$16,0),MATCH(BY_end,'AccDep LinkIn'!$C$2:$AE$2,0))</f>
        <v>483580.78505639796</v>
      </c>
      <c r="J18" s="19"/>
      <c r="K18" s="19"/>
    </row>
    <row r="19" spans="1:11" x14ac:dyDescent="0.45">
      <c r="B19" s="65">
        <v>8</v>
      </c>
      <c r="C19" s="18">
        <v>363</v>
      </c>
      <c r="D19" s="23" t="s">
        <v>27</v>
      </c>
      <c r="F19" s="17">
        <f>'UPIS - BY B2'!L19</f>
        <v>93020.57</v>
      </c>
      <c r="H19" s="17">
        <f>INDEX('AccDep LinkIn'!$C$5:$AE$16,MATCH($C19,'AccDep LinkIn'!$A$5:$A$16,0),MATCH(BY_end,'AccDep LinkIn'!$C$2:$AE$2,0))</f>
        <v>28962.438250000007</v>
      </c>
    </row>
    <row r="20" spans="1:11" x14ac:dyDescent="0.45">
      <c r="B20" s="65">
        <v>9</v>
      </c>
      <c r="C20" s="18">
        <v>370</v>
      </c>
      <c r="D20" s="23" t="s">
        <v>23</v>
      </c>
      <c r="F20" s="17">
        <f>'UPIS - BY B2'!L20</f>
        <v>10756.67</v>
      </c>
      <c r="H20" s="17">
        <f>INDEX('AccDep LinkIn'!$C$5:$AE$16,MATCH($C20,'AccDep LinkIn'!$A$5:$A$16,0),MATCH(BY_end,'AccDep LinkIn'!$C$2:$AE$2,0))</f>
        <v>0</v>
      </c>
    </row>
    <row r="21" spans="1:11" s="2" customFormat="1" x14ac:dyDescent="0.45">
      <c r="A21" s="1"/>
      <c r="B21" s="65">
        <v>10</v>
      </c>
      <c r="C21" s="18">
        <v>372</v>
      </c>
      <c r="D21" s="23" t="s">
        <v>28</v>
      </c>
      <c r="E21" s="1"/>
      <c r="F21" s="17">
        <f>'UPIS - BY B2'!L21</f>
        <v>407215</v>
      </c>
      <c r="G21" s="1"/>
      <c r="H21" s="17">
        <f>INDEX('AccDep LinkIn'!$C$5:$AE$16,MATCH($C21,'AccDep LinkIn'!$A$5:$A$16,0),MATCH(BY_end,'AccDep LinkIn'!$C$2:$AE$2,0))</f>
        <v>354211.25095551263</v>
      </c>
      <c r="I21" s="1"/>
      <c r="J21" s="1"/>
      <c r="K21" s="1"/>
    </row>
    <row r="22" spans="1:11" s="2" customFormat="1" x14ac:dyDescent="0.45">
      <c r="A22" s="1"/>
      <c r="B22" s="65">
        <v>11</v>
      </c>
      <c r="C22" s="18">
        <v>373</v>
      </c>
      <c r="D22" s="23" t="s">
        <v>29</v>
      </c>
      <c r="E22" s="1"/>
      <c r="F22" s="17">
        <f>'UPIS - BY B2'!L22</f>
        <v>578879.57949999999</v>
      </c>
      <c r="G22" s="1"/>
      <c r="H22" s="17">
        <f>INDEX('AccDep LinkIn'!$C$5:$AE$16,MATCH($C22,'AccDep LinkIn'!$A$5:$A$16,0),MATCH(BY_end,'AccDep LinkIn'!$C$2:$AE$2,0))</f>
        <v>175119.71359791671</v>
      </c>
      <c r="I22" s="1"/>
      <c r="J22" s="17"/>
      <c r="K22" s="17"/>
    </row>
    <row r="23" spans="1:11" s="2" customFormat="1" x14ac:dyDescent="0.45">
      <c r="A23" s="1"/>
      <c r="B23" s="65">
        <v>12</v>
      </c>
      <c r="C23" s="18">
        <v>375</v>
      </c>
      <c r="D23" s="23" t="s">
        <v>30</v>
      </c>
      <c r="E23" s="1"/>
      <c r="F23" s="17">
        <f>'UPIS - BY B2'!L23</f>
        <v>4756.38</v>
      </c>
      <c r="G23" s="1"/>
      <c r="H23" s="17">
        <f>INDEX('AccDep LinkIn'!$C$5:$AE$16,MATCH($C23,'AccDep LinkIn'!$A$5:$A$16,0),MATCH(BY_end,'AccDep LinkIn'!$C$2:$AE$2,0))</f>
        <v>47.563800000000008</v>
      </c>
      <c r="I23" s="1"/>
      <c r="J23" s="17"/>
      <c r="K23" s="17"/>
    </row>
    <row r="24" spans="1:11" s="2" customFormat="1" x14ac:dyDescent="0.45">
      <c r="A24" s="1"/>
      <c r="B24" s="65">
        <v>13</v>
      </c>
      <c r="C24" s="18">
        <v>391.1</v>
      </c>
      <c r="D24" s="23" t="s">
        <v>31</v>
      </c>
      <c r="E24" s="1"/>
      <c r="F24" s="17">
        <f>'UPIS - BY B2'!L24</f>
        <v>1853</v>
      </c>
      <c r="G24" s="1"/>
      <c r="H24" s="17">
        <f>INDEX('AccDep LinkIn'!$C$5:$AE$16,MATCH($C24,'AccDep LinkIn'!$A$5:$A$16,0),MATCH(BY_end,'AccDep LinkIn'!$C$2:$AE$2,0))</f>
        <v>1853</v>
      </c>
      <c r="I24" s="1"/>
      <c r="J24" s="17"/>
      <c r="K24" s="17"/>
    </row>
    <row r="25" spans="1:11" s="2" customFormat="1" x14ac:dyDescent="0.45">
      <c r="A25" s="1"/>
      <c r="B25" s="65">
        <v>14</v>
      </c>
      <c r="C25" s="18">
        <v>393</v>
      </c>
      <c r="D25" s="23" t="s">
        <v>32</v>
      </c>
      <c r="E25" s="1"/>
      <c r="F25" s="17">
        <f>'UPIS - BY B2'!L25</f>
        <v>116046.6995</v>
      </c>
      <c r="G25" s="1"/>
      <c r="H25" s="17">
        <f>INDEX('AccDep LinkIn'!$C$5:$AE$16,MATCH($C25,'AccDep LinkIn'!$A$5:$A$16,0),MATCH(BY_end,'AccDep LinkIn'!$C$2:$AE$2,0))</f>
        <v>3868.2233166666674</v>
      </c>
      <c r="I25" s="1"/>
      <c r="J25" s="17"/>
      <c r="K25" s="17"/>
    </row>
    <row r="26" spans="1:11" s="2" customFormat="1" x14ac:dyDescent="0.45">
      <c r="A26" s="1"/>
      <c r="B26" s="65">
        <v>15</v>
      </c>
      <c r="C26" s="15"/>
      <c r="D26" s="22"/>
      <c r="E26" s="1"/>
      <c r="F26" s="17"/>
      <c r="G26" s="1"/>
      <c r="H26" s="17"/>
      <c r="I26" s="1"/>
      <c r="J26" s="17"/>
      <c r="K26" s="17"/>
    </row>
    <row r="27" spans="1:11" s="2" customFormat="1" x14ac:dyDescent="0.45">
      <c r="A27" s="1"/>
      <c r="B27" s="65">
        <v>16</v>
      </c>
      <c r="C27" s="15"/>
      <c r="D27" s="88" t="s">
        <v>138</v>
      </c>
      <c r="E27" s="96"/>
      <c r="F27" s="89">
        <f>SUM(F14:F25)</f>
        <v>3479765.2489999998</v>
      </c>
      <c r="G27" s="96"/>
      <c r="H27" s="89">
        <f>SUM(H14:H25)</f>
        <v>1104020.1894065165</v>
      </c>
      <c r="I27" s="1"/>
      <c r="J27" s="17"/>
      <c r="K27" s="17"/>
    </row>
    <row r="28" spans="1:11" s="2" customFormat="1" x14ac:dyDescent="0.45">
      <c r="A28" s="1"/>
      <c r="B28" s="65">
        <v>17</v>
      </c>
      <c r="C28" s="15"/>
      <c r="D28" s="22"/>
      <c r="E28" s="1"/>
      <c r="F28" s="17"/>
      <c r="G28" s="1"/>
      <c r="H28" s="17"/>
      <c r="I28" s="1"/>
      <c r="J28" s="17"/>
      <c r="K28" s="17"/>
    </row>
    <row r="29" spans="1:11" s="2" customFormat="1" x14ac:dyDescent="0.45">
      <c r="A29" s="1"/>
      <c r="B29" s="65">
        <v>18</v>
      </c>
      <c r="C29" s="15" t="s">
        <v>139</v>
      </c>
      <c r="D29" s="22" t="s">
        <v>137</v>
      </c>
      <c r="E29" s="1"/>
      <c r="F29" s="17">
        <f>'UPIS - BY B2'!L29</f>
        <v>58825</v>
      </c>
      <c r="G29" s="1"/>
      <c r="H29" s="17">
        <f>INDEX('AccDep LinkIn'!$C$5:$AE$17,MATCH("ACQ",'AccDep LinkIn'!$A$5:$A$17,0),MATCH(BY_end,'AccDep LinkIn'!$C$2:$AE$2,0))</f>
        <v>359.48611111111114</v>
      </c>
      <c r="I29" s="1"/>
      <c r="J29" s="17"/>
      <c r="K29" s="17"/>
    </row>
    <row r="30" spans="1:11" s="2" customFormat="1" x14ac:dyDescent="0.45">
      <c r="A30" s="1"/>
      <c r="B30" s="65">
        <v>19</v>
      </c>
      <c r="C30" s="15"/>
      <c r="D30" s="22"/>
      <c r="E30" s="1"/>
      <c r="F30" s="17"/>
      <c r="G30" s="1"/>
      <c r="H30" s="19"/>
      <c r="I30" s="1"/>
      <c r="J30" s="19"/>
      <c r="K30" s="19"/>
    </row>
    <row r="31" spans="1:11" s="2" customFormat="1" ht="14.65" thickBot="1" x14ac:dyDescent="0.5">
      <c r="A31" s="1"/>
      <c r="B31" s="65">
        <v>20</v>
      </c>
      <c r="C31" s="15"/>
      <c r="D31" s="58" t="s">
        <v>143</v>
      </c>
      <c r="E31" s="59"/>
      <c r="F31" s="60">
        <f>F27+F29</f>
        <v>3538590.2489999998</v>
      </c>
      <c r="G31" s="59"/>
      <c r="H31" s="60">
        <f>H27+H29</f>
        <v>1104379.6755176275</v>
      </c>
      <c r="I31" s="1"/>
      <c r="J31" s="1"/>
      <c r="K31" s="1"/>
    </row>
    <row r="32" spans="1:11" s="2" customFormat="1" ht="14.65" thickTop="1" x14ac:dyDescent="0.45">
      <c r="A32" s="1"/>
      <c r="B32" s="65">
        <v>21</v>
      </c>
      <c r="C32" s="15"/>
      <c r="D32" s="22"/>
      <c r="E32" s="1"/>
      <c r="F32" s="17"/>
      <c r="G32" s="1"/>
      <c r="H32" s="17"/>
      <c r="I32" s="1"/>
      <c r="J32" s="17"/>
      <c r="K32" s="17"/>
    </row>
    <row r="33" spans="1:11" s="2" customFormat="1" x14ac:dyDescent="0.45">
      <c r="A33" s="1"/>
      <c r="B33" s="65">
        <v>22</v>
      </c>
      <c r="C33" s="15"/>
      <c r="D33" s="22"/>
      <c r="E33" s="1"/>
      <c r="F33" s="17"/>
      <c r="G33" s="1"/>
      <c r="H33" s="17"/>
      <c r="I33" s="1"/>
      <c r="J33" s="17"/>
      <c r="K33" s="17"/>
    </row>
    <row r="34" spans="1:11" s="2" customFormat="1" x14ac:dyDescent="0.45">
      <c r="A34" s="1"/>
      <c r="B34" s="65">
        <v>23</v>
      </c>
      <c r="C34" s="15"/>
      <c r="D34" s="22"/>
      <c r="E34" s="1"/>
      <c r="F34" s="17"/>
      <c r="G34" s="1"/>
      <c r="H34" s="17"/>
      <c r="I34" s="1"/>
      <c r="J34" s="17"/>
      <c r="K34" s="17"/>
    </row>
    <row r="35" spans="1:11" s="2" customFormat="1" x14ac:dyDescent="0.45">
      <c r="A35" s="1"/>
      <c r="B35" s="65">
        <v>24</v>
      </c>
      <c r="C35" s="25"/>
      <c r="D35" s="22"/>
      <c r="E35" s="1"/>
      <c r="F35" s="17"/>
      <c r="G35" s="1"/>
      <c r="H35" s="17"/>
      <c r="I35" s="1"/>
      <c r="J35" s="17"/>
      <c r="K35" s="17"/>
    </row>
    <row r="36" spans="1:11" s="2" customFormat="1" x14ac:dyDescent="0.45">
      <c r="A36" s="1"/>
      <c r="B36" s="65">
        <v>25</v>
      </c>
      <c r="C36" s="15"/>
      <c r="D36" s="1"/>
      <c r="E36" s="1"/>
      <c r="F36" s="19"/>
      <c r="G36" s="1"/>
      <c r="H36" s="17"/>
      <c r="I36" s="1"/>
      <c r="J36" s="17"/>
      <c r="K36" s="17"/>
    </row>
    <row r="37" spans="1:11" s="2" customFormat="1" x14ac:dyDescent="0.45">
      <c r="A37" s="1"/>
      <c r="B37" s="65">
        <v>26</v>
      </c>
      <c r="C37" s="26"/>
      <c r="D37" s="1"/>
      <c r="E37" s="1"/>
      <c r="F37" s="1"/>
      <c r="G37" s="1"/>
      <c r="H37" s="17"/>
      <c r="I37" s="1"/>
      <c r="J37" s="17"/>
      <c r="K37" s="17"/>
    </row>
    <row r="38" spans="1:11" s="2" customFormat="1" x14ac:dyDescent="0.45">
      <c r="A38" s="1"/>
      <c r="B38" s="65">
        <v>27</v>
      </c>
      <c r="C38" s="15"/>
      <c r="D38" s="22"/>
      <c r="E38" s="1"/>
      <c r="F38" s="17"/>
      <c r="G38" s="1"/>
      <c r="H38" s="17"/>
      <c r="I38" s="1"/>
      <c r="J38" s="17"/>
      <c r="K38" s="17"/>
    </row>
    <row r="39" spans="1:11" s="2" customFormat="1" x14ac:dyDescent="0.45">
      <c r="A39" s="1"/>
      <c r="B39" s="65">
        <v>28</v>
      </c>
      <c r="C39" s="15"/>
      <c r="D39" s="22"/>
      <c r="E39" s="1"/>
      <c r="F39" s="17"/>
      <c r="G39" s="1"/>
      <c r="H39" s="17"/>
      <c r="I39" s="1"/>
      <c r="J39" s="17"/>
      <c r="K39" s="17"/>
    </row>
    <row r="40" spans="1:11" s="2" customFormat="1" x14ac:dyDescent="0.45">
      <c r="A40" s="1"/>
      <c r="B40" s="65">
        <v>29</v>
      </c>
      <c r="C40" s="15"/>
      <c r="D40" s="22"/>
      <c r="E40" s="1"/>
      <c r="F40" s="17"/>
      <c r="G40" s="1"/>
      <c r="H40" s="17"/>
      <c r="I40" s="1"/>
      <c r="J40" s="17"/>
      <c r="K40" s="17"/>
    </row>
    <row r="41" spans="1:11" s="2" customFormat="1" x14ac:dyDescent="0.45">
      <c r="A41" s="1"/>
      <c r="B41" s="65">
        <v>30</v>
      </c>
      <c r="C41" s="26"/>
      <c r="D41" s="1"/>
      <c r="E41" s="1"/>
      <c r="F41" s="1"/>
      <c r="G41" s="1"/>
      <c r="H41" s="17"/>
      <c r="I41" s="1"/>
      <c r="J41" s="17"/>
      <c r="K41" s="17"/>
    </row>
    <row r="42" spans="1:11" s="2" customFormat="1" x14ac:dyDescent="0.45">
      <c r="A42" s="1"/>
      <c r="B42" s="65">
        <v>31</v>
      </c>
      <c r="C42" s="15"/>
      <c r="D42" s="27"/>
      <c r="E42" s="1"/>
      <c r="F42" s="17"/>
      <c r="G42" s="1"/>
      <c r="H42" s="19"/>
      <c r="I42" s="1"/>
      <c r="J42" s="19"/>
      <c r="K42" s="19"/>
    </row>
    <row r="43" spans="1:11" s="2" customFormat="1" x14ac:dyDescent="0.45">
      <c r="A43" s="1"/>
      <c r="B43" s="65">
        <v>32</v>
      </c>
      <c r="C43" s="15"/>
      <c r="D43" s="1"/>
      <c r="E43" s="1"/>
      <c r="F43" s="1"/>
      <c r="G43" s="1"/>
      <c r="H43" s="1"/>
      <c r="I43" s="1"/>
      <c r="J43" s="1"/>
      <c r="K43" s="1"/>
    </row>
    <row r="44" spans="1:11" s="2" customFormat="1" x14ac:dyDescent="0.45">
      <c r="A44" s="1"/>
      <c r="B44" s="65">
        <v>33</v>
      </c>
      <c r="C44" s="26"/>
      <c r="D44" s="1"/>
      <c r="E44" s="1"/>
      <c r="F44" s="1"/>
      <c r="G44" s="1"/>
      <c r="H44" s="17"/>
      <c r="I44" s="1"/>
      <c r="J44" s="17"/>
      <c r="K44" s="17"/>
    </row>
    <row r="45" spans="1:11" s="2" customFormat="1" x14ac:dyDescent="0.45">
      <c r="A45" s="1"/>
      <c r="B45" s="65">
        <v>34</v>
      </c>
      <c r="C45" s="15"/>
      <c r="D45" s="27"/>
      <c r="E45" s="1"/>
      <c r="F45" s="17"/>
      <c r="G45" s="1"/>
      <c r="H45" s="17"/>
      <c r="I45" s="1"/>
      <c r="J45" s="17"/>
      <c r="K45" s="17"/>
    </row>
    <row r="46" spans="1:11" s="2" customFormat="1" x14ac:dyDescent="0.45">
      <c r="A46" s="1"/>
      <c r="B46" s="65">
        <v>35</v>
      </c>
      <c r="C46" s="1"/>
      <c r="D46" s="1"/>
      <c r="E46" s="1"/>
      <c r="F46" s="1"/>
      <c r="G46" s="1"/>
      <c r="H46" s="17"/>
      <c r="I46" s="1"/>
      <c r="J46" s="17"/>
      <c r="K46" s="17"/>
    </row>
    <row r="47" spans="1:11" s="2" customFormat="1" x14ac:dyDescent="0.45">
      <c r="A47" s="1"/>
      <c r="B47" s="65">
        <v>36</v>
      </c>
      <c r="C47" s="11"/>
      <c r="D47" s="1"/>
      <c r="E47" s="1"/>
      <c r="F47" s="17"/>
      <c r="G47" s="1"/>
      <c r="H47" s="1"/>
      <c r="I47" s="1"/>
      <c r="J47" s="1"/>
      <c r="K47" s="1"/>
    </row>
    <row r="48" spans="1:11" s="2" customFormat="1" x14ac:dyDescent="0.45">
      <c r="A48" s="1"/>
      <c r="B48" s="65">
        <v>37</v>
      </c>
      <c r="C48" s="1"/>
      <c r="D48" s="1"/>
      <c r="E48" s="1"/>
      <c r="F48" s="1"/>
      <c r="G48" s="1"/>
      <c r="H48" s="17"/>
      <c r="I48" s="1"/>
      <c r="J48" s="17"/>
      <c r="K48" s="17"/>
    </row>
    <row r="49" spans="1:11" s="2" customFormat="1" x14ac:dyDescent="0.45">
      <c r="A49" s="1"/>
      <c r="B49" s="65">
        <v>38</v>
      </c>
      <c r="C49" s="11"/>
      <c r="D49" s="1"/>
      <c r="E49" s="1"/>
      <c r="F49" s="19"/>
      <c r="G49" s="1"/>
      <c r="H49" s="1"/>
      <c r="I49" s="1"/>
      <c r="J49" s="1"/>
      <c r="K49" s="1"/>
    </row>
    <row r="50" spans="1:11" s="2" customFormat="1" x14ac:dyDescent="0.45">
      <c r="A50" s="1"/>
      <c r="B50" s="65">
        <v>39</v>
      </c>
      <c r="C50" s="1"/>
      <c r="D50" s="1"/>
      <c r="E50" s="1"/>
      <c r="F50" s="1"/>
      <c r="G50" s="1"/>
      <c r="H50" s="1"/>
      <c r="I50" s="1"/>
      <c r="J50" s="1"/>
      <c r="K50" s="1"/>
    </row>
    <row r="51" spans="1:11" s="2" customFormat="1" x14ac:dyDescent="0.45">
      <c r="A51" s="1"/>
      <c r="B51" s="65">
        <v>40</v>
      </c>
      <c r="C51" s="11"/>
      <c r="D51" s="1"/>
      <c r="E51" s="1"/>
      <c r="F51" s="19"/>
      <c r="G51" s="1"/>
      <c r="H51" s="17"/>
      <c r="I51" s="1"/>
      <c r="J51" s="17"/>
      <c r="K51" s="17"/>
    </row>
    <row r="52" spans="1:11" s="2" customFormat="1" x14ac:dyDescent="0.45">
      <c r="A52" s="1"/>
      <c r="B52" s="65">
        <v>41</v>
      </c>
      <c r="C52" s="11"/>
      <c r="D52" s="1"/>
      <c r="E52" s="1"/>
      <c r="F52" s="28"/>
      <c r="G52" s="1"/>
      <c r="H52" s="1"/>
      <c r="I52" s="1"/>
      <c r="J52" s="1"/>
      <c r="K52" s="1"/>
    </row>
    <row r="53" spans="1:11" s="2" customFormat="1" x14ac:dyDescent="0.45">
      <c r="A53" s="1"/>
      <c r="B53" s="65">
        <v>42</v>
      </c>
      <c r="C53" s="11"/>
      <c r="D53" s="1"/>
      <c r="E53" s="1"/>
      <c r="F53" s="1"/>
      <c r="G53" s="1"/>
      <c r="H53" s="17"/>
      <c r="I53" s="1"/>
      <c r="J53" s="17"/>
      <c r="K53" s="17"/>
    </row>
    <row r="54" spans="1:11" s="2" customFormat="1" x14ac:dyDescent="0.45">
      <c r="A54" s="1"/>
      <c r="B54" s="65">
        <v>43</v>
      </c>
      <c r="C54" s="11"/>
      <c r="D54" s="1"/>
      <c r="E54" s="1"/>
      <c r="F54" s="1"/>
      <c r="G54" s="1"/>
      <c r="H54" s="1"/>
      <c r="I54" s="1"/>
      <c r="J54" s="1"/>
      <c r="K54" s="1"/>
    </row>
    <row r="55" spans="1:11" s="2" customFormat="1" x14ac:dyDescent="0.45">
      <c r="A55" s="1"/>
      <c r="B55" s="65">
        <v>44</v>
      </c>
      <c r="C55" s="11"/>
      <c r="D55" s="1"/>
      <c r="E55" s="1"/>
      <c r="F55" s="1"/>
      <c r="G55" s="1"/>
      <c r="H55" s="19"/>
      <c r="I55" s="1"/>
      <c r="J55" s="19"/>
      <c r="K55" s="19"/>
    </row>
    <row r="56" spans="1:11" s="2" customFormat="1" x14ac:dyDescent="0.45">
      <c r="A56" s="1"/>
      <c r="B56" s="65">
        <v>45</v>
      </c>
      <c r="C56" s="1"/>
      <c r="D56" s="11"/>
      <c r="E56" s="1"/>
      <c r="F56" s="1"/>
      <c r="G56" s="1"/>
      <c r="H56" s="1"/>
      <c r="I56" s="1"/>
      <c r="J56" s="1"/>
      <c r="K56" s="1"/>
    </row>
    <row r="57" spans="1:11" s="2" customFormat="1" x14ac:dyDescent="0.45">
      <c r="A57" s="1"/>
      <c r="B57" s="65">
        <v>46</v>
      </c>
      <c r="C57" s="1"/>
      <c r="D57" s="1"/>
      <c r="E57" s="1"/>
      <c r="F57" s="1"/>
      <c r="G57" s="1"/>
      <c r="H57" s="19"/>
      <c r="I57" s="1"/>
      <c r="J57" s="19"/>
      <c r="K57" s="19"/>
    </row>
    <row r="58" spans="1:11" s="2" customFormat="1" x14ac:dyDescent="0.45">
      <c r="A58" s="1"/>
      <c r="B58" s="65">
        <v>47</v>
      </c>
      <c r="C58" s="1"/>
      <c r="D58" s="1"/>
      <c r="E58" s="1"/>
      <c r="F58" s="1"/>
      <c r="G58" s="1"/>
      <c r="H58" s="28"/>
      <c r="I58" s="1"/>
      <c r="J58" s="29"/>
      <c r="K58" s="29"/>
    </row>
    <row r="59" spans="1:11" s="2" customFormat="1" x14ac:dyDescent="0.45">
      <c r="A59" s="1"/>
      <c r="B59" s="65">
        <v>48</v>
      </c>
      <c r="C59" s="1"/>
      <c r="D59" s="1"/>
      <c r="E59" s="1"/>
      <c r="F59" s="1"/>
      <c r="G59" s="1"/>
      <c r="H59" s="1"/>
      <c r="I59" s="1"/>
      <c r="J59" s="1"/>
      <c r="K59" s="1"/>
    </row>
    <row r="60" spans="1:11" s="2" customFormat="1" x14ac:dyDescent="0.45">
      <c r="A60" s="1"/>
      <c r="B60" s="65">
        <v>49</v>
      </c>
      <c r="C60" s="1"/>
      <c r="D60" s="1"/>
      <c r="E60" s="1"/>
      <c r="F60" s="1"/>
      <c r="G60" s="1"/>
      <c r="H60" s="1"/>
      <c r="I60" s="1"/>
      <c r="J60" s="1"/>
      <c r="K60" s="1"/>
    </row>
    <row r="61" spans="1:11" s="2" customFormat="1" x14ac:dyDescent="0.45">
      <c r="A61" s="1"/>
      <c r="B61" s="65">
        <v>50</v>
      </c>
      <c r="C61" s="1"/>
      <c r="D61" s="1"/>
      <c r="E61" s="1"/>
      <c r="F61" s="1"/>
      <c r="G61" s="1"/>
      <c r="H61" s="1"/>
      <c r="I61" s="1"/>
      <c r="J61" s="1"/>
      <c r="K61" s="1"/>
    </row>
    <row r="62" spans="1:11" s="2" customForma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fitToHeight="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F6E8B-7E28-4693-A028-D8BDC8555DC7}">
  <sheetPr>
    <pageSetUpPr fitToPage="1"/>
  </sheetPr>
  <dimension ref="A1:L62"/>
  <sheetViews>
    <sheetView view="pageBreakPreview" topLeftCell="A17" zoomScaleNormal="110" zoomScaleSheetLayoutView="100" workbookViewId="0">
      <selection activeCell="H18" sqref="H18"/>
    </sheetView>
  </sheetViews>
  <sheetFormatPr defaultColWidth="9.1328125" defaultRowHeight="14.25" x14ac:dyDescent="0.45"/>
  <cols>
    <col min="1" max="1" width="4" style="1" customWidth="1"/>
    <col min="2" max="2" width="5.1328125" style="1" customWidth="1"/>
    <col min="3" max="3" width="7.73046875" style="1" customWidth="1"/>
    <col min="4" max="4" width="55.1328125" style="1" bestFit="1" customWidth="1"/>
    <col min="5" max="5" width="3.1328125" style="1" customWidth="1"/>
    <col min="6" max="6" width="14.73046875" style="1" customWidth="1"/>
    <col min="7" max="7" width="3.1328125" style="1" customWidth="1"/>
    <col min="8" max="8" width="14.73046875" style="1" customWidth="1"/>
    <col min="9" max="9" width="3.73046875" style="1" customWidth="1"/>
    <col min="10" max="10" width="14.73046875" style="1" customWidth="1"/>
    <col min="11" max="11" width="3.1328125" style="1" customWidth="1"/>
    <col min="12" max="12" width="26" style="2" bestFit="1" customWidth="1"/>
    <col min="13" max="16384" width="9.1328125" style="1"/>
  </cols>
  <sheetData>
    <row r="1" spans="1:12" ht="16.899999999999999" x14ac:dyDescent="0.5">
      <c r="A1" s="110" t="str">
        <f>[1]Reference!$B$2</f>
        <v>BLUEGRASS WATER UTILITY OPERATING COMPANY, LLC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2" x14ac:dyDescent="0.45">
      <c r="A2" s="111" t="str">
        <f>[1]Reference!$B$3</f>
        <v>Case No. 2020-00290</v>
      </c>
      <c r="B2" s="111"/>
      <c r="C2" s="111"/>
      <c r="D2" s="111"/>
      <c r="E2" s="111"/>
      <c r="F2" s="111"/>
      <c r="G2" s="111"/>
      <c r="H2" s="111"/>
      <c r="I2" s="111"/>
      <c r="J2" s="111"/>
      <c r="K2" s="3"/>
    </row>
    <row r="3" spans="1:12" x14ac:dyDescent="0.45">
      <c r="A3" s="111" t="s">
        <v>7</v>
      </c>
      <c r="B3" s="111"/>
      <c r="C3" s="111"/>
      <c r="D3" s="111"/>
      <c r="E3" s="111"/>
      <c r="F3" s="111"/>
      <c r="G3" s="111"/>
      <c r="H3" s="111"/>
      <c r="I3" s="111"/>
      <c r="J3" s="111"/>
      <c r="K3" s="3"/>
    </row>
    <row r="4" spans="1:12" x14ac:dyDescent="0.45">
      <c r="A4" s="111" t="str">
        <f>'Constants LinkIn'!B11</f>
        <v>Forecast Year for the 12 Months ended April 30, 2022</v>
      </c>
      <c r="B4" s="111"/>
      <c r="C4" s="111"/>
      <c r="D4" s="111"/>
      <c r="E4" s="111"/>
      <c r="F4" s="111"/>
      <c r="G4" s="111"/>
      <c r="H4" s="111"/>
      <c r="I4" s="111"/>
      <c r="J4" s="111"/>
      <c r="K4" s="3"/>
    </row>
    <row r="5" spans="1:12" x14ac:dyDescent="0.45">
      <c r="A5" s="78"/>
      <c r="B5" s="78"/>
      <c r="C5" s="78"/>
      <c r="D5" s="78"/>
      <c r="E5" s="78"/>
      <c r="F5" s="78"/>
      <c r="G5" s="78"/>
      <c r="H5" s="78"/>
      <c r="K5" s="3"/>
    </row>
    <row r="6" spans="1:12" x14ac:dyDescent="0.45">
      <c r="A6" s="47"/>
      <c r="B6" s="47"/>
      <c r="C6" s="47"/>
      <c r="D6" s="47"/>
      <c r="E6" s="47"/>
      <c r="F6" s="47"/>
      <c r="G6" s="47"/>
      <c r="H6" s="47"/>
      <c r="J6" s="75" t="s">
        <v>112</v>
      </c>
      <c r="K6" s="3"/>
    </row>
    <row r="7" spans="1:12" x14ac:dyDescent="0.45">
      <c r="A7" s="1" t="s">
        <v>33</v>
      </c>
      <c r="J7" s="76" t="str">
        <f ca="1">RIGHT(CELL("filename",$A$1),LEN(CELL("filename",$A$1))-SEARCH("/Work Papers",CELL("filename",$A$1),1))</f>
        <v>Work Papers/Rate Base/[BGUOC 2020 Rate Case - Rate Base (Sewer).xlsx]AccDep - FY B3</v>
      </c>
      <c r="K7" s="3"/>
    </row>
    <row r="8" spans="1:12" x14ac:dyDescent="0.45">
      <c r="A8" s="1" t="s">
        <v>15</v>
      </c>
      <c r="J8" s="77" t="s">
        <v>109</v>
      </c>
      <c r="K8" s="3"/>
    </row>
    <row r="9" spans="1:12" ht="14.65" thickBot="1" x14ac:dyDescent="0.5">
      <c r="B9" s="4"/>
      <c r="C9" s="4"/>
      <c r="D9" s="4"/>
      <c r="E9" s="4"/>
      <c r="F9" s="4"/>
      <c r="G9" s="4"/>
      <c r="H9" s="4"/>
      <c r="I9" s="4"/>
      <c r="J9" s="4"/>
      <c r="K9" s="3"/>
    </row>
    <row r="10" spans="1:12" ht="42.75" x14ac:dyDescent="0.45">
      <c r="B10" s="5" t="s">
        <v>0</v>
      </c>
      <c r="C10" s="5" t="s">
        <v>16</v>
      </c>
      <c r="F10" s="6" t="s">
        <v>39</v>
      </c>
      <c r="G10" s="7"/>
      <c r="H10" s="6" t="s">
        <v>38</v>
      </c>
      <c r="I10" s="7"/>
      <c r="J10" s="6" t="s">
        <v>40</v>
      </c>
      <c r="K10" s="3"/>
      <c r="L10" s="5"/>
    </row>
    <row r="11" spans="1:12" ht="14.65" thickBot="1" x14ac:dyDescent="0.5">
      <c r="B11" s="8" t="s">
        <v>3</v>
      </c>
      <c r="C11" s="8" t="s">
        <v>3</v>
      </c>
      <c r="D11" s="8" t="s">
        <v>21</v>
      </c>
      <c r="E11" s="4"/>
      <c r="F11" s="9" t="s">
        <v>5</v>
      </c>
      <c r="G11" s="4"/>
      <c r="H11" s="9" t="s">
        <v>5</v>
      </c>
      <c r="I11" s="4"/>
      <c r="J11" s="9" t="s">
        <v>5</v>
      </c>
      <c r="K11" s="10"/>
      <c r="L11" s="10"/>
    </row>
    <row r="12" spans="1:12" s="11" customFormat="1" x14ac:dyDescent="0.45">
      <c r="B12" s="65">
        <v>1</v>
      </c>
      <c r="D12" s="12"/>
      <c r="F12" s="13"/>
      <c r="H12" s="13"/>
      <c r="J12" s="13"/>
      <c r="K12" s="13"/>
      <c r="L12" s="14"/>
    </row>
    <row r="13" spans="1:12" x14ac:dyDescent="0.45">
      <c r="B13" s="65">
        <v>2</v>
      </c>
      <c r="C13" s="11"/>
      <c r="D13" s="11"/>
    </row>
    <row r="14" spans="1:12" x14ac:dyDescent="0.45">
      <c r="B14" s="65">
        <v>3</v>
      </c>
      <c r="C14" s="18">
        <v>303</v>
      </c>
      <c r="D14" s="18" t="s">
        <v>22</v>
      </c>
      <c r="F14" s="17">
        <f>'UPIS - FY B2'!L14</f>
        <v>3700</v>
      </c>
      <c r="H14" s="17">
        <f>INDEX('AccDep LinkIn'!$C$5:$AE$16,MATCH($C14,'AccDep LinkIn'!$A$5:$A$16,0),MATCH(FY_End,'AccDep LinkIn'!$C$2:$AE$2,0))</f>
        <v>0</v>
      </c>
      <c r="J14" s="17">
        <f>AVERAGEIFS('AccDep LinkIn'!5:5,'AccDep LinkIn'!$2:$2,"&gt;="&amp;FY_Start,'AccDep LinkIn'!$2:$2,"&lt;="&amp;FY_End)</f>
        <v>0</v>
      </c>
      <c r="K14" s="17"/>
    </row>
    <row r="15" spans="1:12" x14ac:dyDescent="0.45">
      <c r="B15" s="65">
        <v>4</v>
      </c>
      <c r="C15" s="18">
        <v>310.10000000000002</v>
      </c>
      <c r="D15" s="18" t="s">
        <v>23</v>
      </c>
      <c r="F15" s="17">
        <f>'UPIS - FY B2'!L15</f>
        <v>50250</v>
      </c>
      <c r="H15" s="17">
        <f>INDEX('AccDep LinkIn'!$C$5:$AE$16,MATCH($C15,'AccDep LinkIn'!$A$5:$A$16,0),MATCH(FY_End,'AccDep LinkIn'!$C$2:$AE$2,0))</f>
        <v>0</v>
      </c>
      <c r="J15" s="17">
        <f>AVERAGEIFS('AccDep LinkIn'!6:6,'AccDep LinkIn'!$2:$2,"&gt;="&amp;FY_Start,'AccDep LinkIn'!$2:$2,"&lt;="&amp;FY_End)</f>
        <v>0</v>
      </c>
      <c r="K15" s="17"/>
    </row>
    <row r="16" spans="1:12" x14ac:dyDescent="0.45">
      <c r="B16" s="65">
        <v>5</v>
      </c>
      <c r="C16" s="18">
        <v>311</v>
      </c>
      <c r="D16" s="18" t="s">
        <v>24</v>
      </c>
      <c r="F16" s="17">
        <f>'UPIS - FY B2'!L16</f>
        <v>612911.85</v>
      </c>
      <c r="H16" s="17">
        <f>INDEX('AccDep LinkIn'!$C$5:$AE$16,MATCH($C16,'AccDep LinkIn'!$A$5:$A$16,0),MATCH(FY_End,'AccDep LinkIn'!$C$2:$AE$2,0))</f>
        <v>63067.06339113383</v>
      </c>
      <c r="J16" s="17">
        <f>AVERAGEIFS('AccDep LinkIn'!7:7,'AccDep LinkIn'!$2:$2,"&gt;="&amp;FY_Start,'AccDep LinkIn'!$2:$2,"&lt;="&amp;FY_End)</f>
        <v>54586.69229497997</v>
      </c>
      <c r="K16" s="17"/>
    </row>
    <row r="17" spans="1:11" x14ac:dyDescent="0.45">
      <c r="B17" s="65">
        <v>6</v>
      </c>
      <c r="C17" s="18">
        <v>352.1</v>
      </c>
      <c r="D17" s="18" t="s">
        <v>25</v>
      </c>
      <c r="F17" s="17">
        <f>'UPIS - FY B2'!L17</f>
        <v>1883507.3400000003</v>
      </c>
      <c r="H17" s="17">
        <f>INDEX('AccDep LinkIn'!$C$5:$AE$16,MATCH($C17,'AccDep LinkIn'!$A$5:$A$16,0),MATCH(FY_End,'AccDep LinkIn'!$C$2:$AE$2,0))</f>
        <v>57634.135750000009</v>
      </c>
      <c r="J17" s="17">
        <f>AVERAGEIFS('AccDep LinkIn'!8:8,'AccDep LinkIn'!$2:$2,"&gt;="&amp;FY_Start,'AccDep LinkIn'!$2:$2,"&lt;="&amp;FY_End)</f>
        <v>39646.498247435906</v>
      </c>
      <c r="K17" s="17"/>
    </row>
    <row r="18" spans="1:11" x14ac:dyDescent="0.45">
      <c r="B18" s="65">
        <v>7</v>
      </c>
      <c r="C18" s="18">
        <v>352.2</v>
      </c>
      <c r="D18" s="23" t="s">
        <v>26</v>
      </c>
      <c r="F18" s="17">
        <f>'UPIS - FY B2'!L18</f>
        <v>966563.6</v>
      </c>
      <c r="H18" s="17">
        <f>INDEX('AccDep LinkIn'!$C$5:$AE$16,MATCH($C18,'AccDep LinkIn'!$A$5:$A$16,0),MATCH(FY_End,'AccDep LinkIn'!$C$2:$AE$2,0))</f>
        <v>507429.14772306499</v>
      </c>
      <c r="J18" s="17">
        <f>AVERAGEIFS('AccDep LinkIn'!9:9,'AccDep LinkIn'!$2:$2,"&gt;="&amp;FY_Start,'AccDep LinkIn'!$2:$2,"&lt;="&amp;FY_End)</f>
        <v>498005.81941537251</v>
      </c>
      <c r="K18" s="19"/>
    </row>
    <row r="19" spans="1:11" s="2" customFormat="1" x14ac:dyDescent="0.45">
      <c r="A19" s="1"/>
      <c r="B19" s="65">
        <v>8</v>
      </c>
      <c r="C19" s="18">
        <v>363</v>
      </c>
      <c r="D19" s="23" t="s">
        <v>27</v>
      </c>
      <c r="E19" s="1"/>
      <c r="F19" s="17">
        <f>'UPIS - FY B2'!L19</f>
        <v>233020.57</v>
      </c>
      <c r="G19" s="1"/>
      <c r="H19" s="17">
        <f>INDEX('AccDep LinkIn'!$C$5:$AE$16,MATCH($C19,'AccDep LinkIn'!$A$5:$A$16,0),MATCH(FY_End,'AccDep LinkIn'!$C$2:$AE$2,0))</f>
        <v>50481.847583333343</v>
      </c>
      <c r="I19" s="1"/>
      <c r="J19" s="17">
        <f>AVERAGEIFS('AccDep LinkIn'!10:10,'AccDep LinkIn'!$2:$2,"&gt;="&amp;FY_Start,'AccDep LinkIn'!$2:$2,"&lt;="&amp;FY_End)</f>
        <v>41061.588314102577</v>
      </c>
      <c r="K19" s="1"/>
    </row>
    <row r="20" spans="1:11" s="2" customFormat="1" x14ac:dyDescent="0.45">
      <c r="A20" s="1"/>
      <c r="B20" s="65">
        <v>9</v>
      </c>
      <c r="C20" s="18">
        <v>370</v>
      </c>
      <c r="D20" s="23" t="s">
        <v>23</v>
      </c>
      <c r="E20" s="1"/>
      <c r="F20" s="17">
        <f>'UPIS - FY B2'!L20</f>
        <v>10756.67</v>
      </c>
      <c r="G20" s="1"/>
      <c r="H20" s="17">
        <f>INDEX('AccDep LinkIn'!$C$5:$AE$16,MATCH($C20,'AccDep LinkIn'!$A$5:$A$16,0),MATCH(FY_End,'AccDep LinkIn'!$C$2:$AE$2,0))</f>
        <v>0</v>
      </c>
      <c r="I20" s="1"/>
      <c r="J20" s="17">
        <f>AVERAGEIFS('AccDep LinkIn'!11:11,'AccDep LinkIn'!$2:$2,"&gt;="&amp;FY_Start,'AccDep LinkIn'!$2:$2,"&lt;="&amp;FY_End)</f>
        <v>0</v>
      </c>
      <c r="K20" s="1"/>
    </row>
    <row r="21" spans="1:11" s="2" customFormat="1" x14ac:dyDescent="0.45">
      <c r="A21" s="1"/>
      <c r="B21" s="65">
        <v>10</v>
      </c>
      <c r="C21" s="18">
        <v>372</v>
      </c>
      <c r="D21" s="23" t="s">
        <v>28</v>
      </c>
      <c r="E21" s="1"/>
      <c r="F21" s="17">
        <f>'UPIS - FY B2'!L21</f>
        <v>2872715</v>
      </c>
      <c r="G21" s="1"/>
      <c r="H21" s="17">
        <f>INDEX('AccDep LinkIn'!$C$5:$AE$16,MATCH($C21,'AccDep LinkIn'!$A$5:$A$16,0),MATCH(FY_End,'AccDep LinkIn'!$C$2:$AE$2,0))</f>
        <v>469431.83428884589</v>
      </c>
      <c r="I21" s="1"/>
      <c r="J21" s="17">
        <f>AVERAGEIFS('AccDep LinkIn'!12:12,'AccDep LinkIn'!$2:$2,"&gt;="&amp;FY_Start,'AccDep LinkIn'!$2:$2,"&lt;="&amp;FY_End)</f>
        <v>416193.76698115369</v>
      </c>
      <c r="K21" s="1"/>
    </row>
    <row r="22" spans="1:11" s="2" customFormat="1" x14ac:dyDescent="0.45">
      <c r="A22" s="1"/>
      <c r="B22" s="65">
        <v>11</v>
      </c>
      <c r="C22" s="18">
        <v>373</v>
      </c>
      <c r="D22" s="23" t="s">
        <v>29</v>
      </c>
      <c r="E22" s="1"/>
      <c r="F22" s="17">
        <f>'UPIS - FY B2'!L22</f>
        <v>1043579.5795</v>
      </c>
      <c r="G22" s="1"/>
      <c r="H22" s="17">
        <f>INDEX('AccDep LinkIn'!$C$5:$AE$16,MATCH($C22,'AccDep LinkIn'!$A$5:$A$16,0),MATCH(FY_End,'AccDep LinkIn'!$C$2:$AE$2,0))</f>
        <v>199227.57458125026</v>
      </c>
      <c r="I22" s="1"/>
      <c r="J22" s="17">
        <f>AVERAGEIFS('AccDep LinkIn'!13:13,'AccDep LinkIn'!$2:$2,"&gt;="&amp;FY_Start,'AccDep LinkIn'!$2:$2,"&lt;="&amp;FY_End)</f>
        <v>188418.5990682694</v>
      </c>
      <c r="K22" s="17"/>
    </row>
    <row r="23" spans="1:11" s="2" customFormat="1" x14ac:dyDescent="0.45">
      <c r="A23" s="1"/>
      <c r="B23" s="65">
        <v>12</v>
      </c>
      <c r="C23" s="18">
        <v>375</v>
      </c>
      <c r="D23" s="23" t="s">
        <v>30</v>
      </c>
      <c r="E23" s="1"/>
      <c r="F23" s="17">
        <f>'UPIS - FY B2'!L23</f>
        <v>33756.380000000005</v>
      </c>
      <c r="G23" s="1"/>
      <c r="H23" s="17">
        <f>INDEX('AccDep LinkIn'!$C$5:$AE$16,MATCH($C23,'AccDep LinkIn'!$A$5:$A$16,0),MATCH(FY_End,'AccDep LinkIn'!$C$2:$AE$2,0))</f>
        <v>761.06726666666657</v>
      </c>
      <c r="I23" s="1"/>
      <c r="J23" s="17">
        <f>AVERAGEIFS('AccDep LinkIn'!14:14,'AccDep LinkIn'!$2:$2,"&gt;="&amp;FY_Start,'AccDep LinkIn'!$2:$2,"&lt;="&amp;FY_End)</f>
        <v>423.50346666666667</v>
      </c>
      <c r="K23" s="17"/>
    </row>
    <row r="24" spans="1:11" s="2" customFormat="1" x14ac:dyDescent="0.45">
      <c r="A24" s="1"/>
      <c r="B24" s="65">
        <v>13</v>
      </c>
      <c r="C24" s="18">
        <v>391.1</v>
      </c>
      <c r="D24" s="23" t="s">
        <v>31</v>
      </c>
      <c r="E24" s="1"/>
      <c r="F24" s="17">
        <f>'UPIS - FY B2'!L24</f>
        <v>1853</v>
      </c>
      <c r="G24" s="1"/>
      <c r="H24" s="17">
        <f>INDEX('AccDep LinkIn'!$C$5:$AE$16,MATCH($C24,'AccDep LinkIn'!$A$5:$A$16,0),MATCH(FY_End,'AccDep LinkIn'!$C$2:$AE$2,0))</f>
        <v>1853</v>
      </c>
      <c r="I24" s="1"/>
      <c r="J24" s="17">
        <f>AVERAGEIFS('AccDep LinkIn'!15:15,'AccDep LinkIn'!$2:$2,"&gt;="&amp;FY_Start,'AccDep LinkIn'!$2:$2,"&lt;="&amp;FY_End)</f>
        <v>1853</v>
      </c>
      <c r="K24" s="17"/>
    </row>
    <row r="25" spans="1:11" s="2" customFormat="1" x14ac:dyDescent="0.45">
      <c r="A25" s="1"/>
      <c r="B25" s="65">
        <v>14</v>
      </c>
      <c r="C25" s="18">
        <v>393</v>
      </c>
      <c r="D25" s="23" t="s">
        <v>32</v>
      </c>
      <c r="E25" s="1"/>
      <c r="F25" s="17">
        <f>'UPIS - FY B2'!L25</f>
        <v>229046.69949999999</v>
      </c>
      <c r="G25" s="1"/>
      <c r="H25" s="17">
        <f>INDEX('AccDep LinkIn'!$C$5:$AE$16,MATCH($C25,'AccDep LinkIn'!$A$5:$A$16,0),MATCH(FY_End,'AccDep LinkIn'!$C$2:$AE$2,0))</f>
        <v>17672.374383333328</v>
      </c>
      <c r="I25" s="1"/>
      <c r="J25" s="17">
        <f>AVERAGEIFS('AccDep LinkIn'!16:16,'AccDep LinkIn'!$2:$2,"&gt;="&amp;FY_Start,'AccDep LinkIn'!$2:$2,"&lt;="&amp;FY_End)</f>
        <v>11499.022861538459</v>
      </c>
      <c r="K25" s="17"/>
    </row>
    <row r="26" spans="1:11" s="2" customFormat="1" x14ac:dyDescent="0.45">
      <c r="A26" s="1"/>
      <c r="B26" s="65">
        <v>15</v>
      </c>
      <c r="C26" s="15"/>
      <c r="D26" s="22"/>
      <c r="E26" s="1"/>
      <c r="F26" s="17"/>
      <c r="G26" s="1"/>
      <c r="H26" s="17"/>
      <c r="I26" s="1"/>
      <c r="J26" s="17"/>
      <c r="K26" s="17"/>
    </row>
    <row r="27" spans="1:11" s="2" customFormat="1" x14ac:dyDescent="0.45">
      <c r="A27" s="1"/>
      <c r="B27" s="65">
        <v>16</v>
      </c>
      <c r="C27" s="15"/>
      <c r="D27" s="88" t="s">
        <v>138</v>
      </c>
      <c r="E27" s="96"/>
      <c r="F27" s="89">
        <f>SUM(F14:F25)</f>
        <v>7941660.6890000002</v>
      </c>
      <c r="G27" s="96"/>
      <c r="H27" s="89">
        <f>SUM(H14:H25)</f>
        <v>1367558.0449676283</v>
      </c>
      <c r="I27" s="96"/>
      <c r="J27" s="89">
        <f>SUM(J14:J25)</f>
        <v>1251688.4906495193</v>
      </c>
      <c r="K27" s="17"/>
    </row>
    <row r="28" spans="1:11" s="2" customFormat="1" x14ac:dyDescent="0.45">
      <c r="A28" s="1"/>
      <c r="B28" s="65">
        <v>17</v>
      </c>
      <c r="C28" s="15"/>
      <c r="D28" s="22"/>
      <c r="E28" s="1"/>
      <c r="F28" s="17"/>
      <c r="G28" s="1"/>
      <c r="H28" s="17"/>
      <c r="I28" s="1"/>
      <c r="J28" s="17"/>
      <c r="K28" s="17"/>
    </row>
    <row r="29" spans="1:11" s="2" customFormat="1" x14ac:dyDescent="0.45">
      <c r="A29" s="1"/>
      <c r="B29" s="65">
        <v>18</v>
      </c>
      <c r="C29" s="15" t="s">
        <v>139</v>
      </c>
      <c r="D29" s="22" t="s">
        <v>137</v>
      </c>
      <c r="E29" s="1"/>
      <c r="F29" s="17">
        <f>'UPIS - FY B2'!L29</f>
        <v>2193629</v>
      </c>
      <c r="G29" s="1"/>
      <c r="H29" s="17">
        <f>INDEX('AccDep LinkIn'!$C$5:$AE$17,MATCH("ACQ",'AccDep LinkIn'!$A$5:$A$17,0),MATCH(FY_End,'AccDep LinkIn'!$C$2:$AE$2,0))</f>
        <v>1353407.5705555556</v>
      </c>
      <c r="I29" s="1"/>
      <c r="J29" s="17">
        <f>AVERAGEIFS('AccDep LinkIn'!17:17,'AccDep LinkIn'!$2:$2,"&gt;="&amp;FY_Start,'AccDep LinkIn'!$2:$2,"&lt;="&amp;FY_End)</f>
        <v>1313191.0388888889</v>
      </c>
      <c r="K29" s="17"/>
    </row>
    <row r="30" spans="1:11" s="2" customFormat="1" x14ac:dyDescent="0.45">
      <c r="A30" s="1"/>
      <c r="B30" s="65">
        <v>19</v>
      </c>
      <c r="C30" s="15"/>
      <c r="D30" s="22"/>
      <c r="E30" s="1"/>
      <c r="F30" s="17"/>
      <c r="G30" s="1"/>
      <c r="H30" s="19"/>
      <c r="I30" s="1"/>
      <c r="J30" s="19"/>
      <c r="K30" s="19"/>
    </row>
    <row r="31" spans="1:11" s="2" customFormat="1" ht="14.65" thickBot="1" x14ac:dyDescent="0.5">
      <c r="A31" s="1"/>
      <c r="B31" s="65">
        <v>20</v>
      </c>
      <c r="C31" s="15"/>
      <c r="D31" s="58" t="s">
        <v>143</v>
      </c>
      <c r="E31" s="59"/>
      <c r="F31" s="60">
        <f>F27+F29</f>
        <v>10135289.688999999</v>
      </c>
      <c r="G31" s="59"/>
      <c r="H31" s="60">
        <f>H27+H29</f>
        <v>2720965.6155231837</v>
      </c>
      <c r="I31" s="59"/>
      <c r="J31" s="60">
        <f>J27+J29</f>
        <v>2564879.5295384079</v>
      </c>
      <c r="K31" s="1"/>
    </row>
    <row r="32" spans="1:11" s="2" customFormat="1" ht="14.65" thickTop="1" x14ac:dyDescent="0.45">
      <c r="A32" s="1"/>
      <c r="B32" s="65">
        <v>21</v>
      </c>
      <c r="C32" s="15"/>
      <c r="D32" s="22"/>
      <c r="E32" s="1"/>
      <c r="F32" s="17"/>
      <c r="G32" s="1"/>
      <c r="H32" s="17"/>
      <c r="I32" s="1"/>
      <c r="J32" s="17"/>
      <c r="K32" s="17"/>
    </row>
    <row r="33" spans="1:11" s="2" customFormat="1" x14ac:dyDescent="0.45">
      <c r="A33" s="1"/>
      <c r="B33" s="65">
        <v>22</v>
      </c>
      <c r="C33" s="15"/>
      <c r="D33" s="22"/>
      <c r="E33" s="1"/>
      <c r="F33" s="17"/>
      <c r="G33" s="1"/>
      <c r="H33" s="17"/>
      <c r="I33" s="1"/>
      <c r="J33" s="17"/>
      <c r="K33" s="17"/>
    </row>
    <row r="34" spans="1:11" s="2" customFormat="1" x14ac:dyDescent="0.45">
      <c r="A34" s="1"/>
      <c r="B34" s="65">
        <v>23</v>
      </c>
      <c r="C34" s="15"/>
      <c r="D34" s="22"/>
      <c r="E34" s="1"/>
      <c r="F34" s="17"/>
      <c r="G34" s="1"/>
      <c r="H34" s="17"/>
      <c r="I34" s="1"/>
      <c r="J34" s="17"/>
      <c r="K34" s="17"/>
    </row>
    <row r="35" spans="1:11" s="2" customFormat="1" x14ac:dyDescent="0.45">
      <c r="A35" s="1"/>
      <c r="B35" s="65">
        <v>24</v>
      </c>
      <c r="C35" s="25"/>
      <c r="D35" s="22"/>
      <c r="E35" s="1"/>
      <c r="F35" s="17"/>
      <c r="G35" s="1"/>
      <c r="H35" s="17"/>
      <c r="I35" s="1"/>
      <c r="J35" s="17"/>
      <c r="K35" s="17"/>
    </row>
    <row r="36" spans="1:11" s="2" customFormat="1" x14ac:dyDescent="0.45">
      <c r="A36" s="1"/>
      <c r="B36" s="65">
        <v>25</v>
      </c>
      <c r="C36" s="15"/>
      <c r="D36" s="1"/>
      <c r="E36" s="1"/>
      <c r="F36" s="19"/>
      <c r="G36" s="1"/>
      <c r="H36" s="17"/>
      <c r="I36" s="1"/>
      <c r="J36" s="17"/>
      <c r="K36" s="17"/>
    </row>
    <row r="37" spans="1:11" s="2" customFormat="1" x14ac:dyDescent="0.45">
      <c r="A37" s="1"/>
      <c r="B37" s="65">
        <v>26</v>
      </c>
      <c r="C37" s="26"/>
      <c r="D37" s="1"/>
      <c r="E37" s="1"/>
      <c r="F37" s="1"/>
      <c r="G37" s="1"/>
      <c r="H37" s="17"/>
      <c r="I37" s="1"/>
      <c r="J37" s="17"/>
      <c r="K37" s="17"/>
    </row>
    <row r="38" spans="1:11" s="2" customFormat="1" x14ac:dyDescent="0.45">
      <c r="A38" s="1"/>
      <c r="B38" s="65">
        <v>27</v>
      </c>
      <c r="C38" s="15"/>
      <c r="D38" s="22"/>
      <c r="E38" s="1"/>
      <c r="F38" s="17"/>
      <c r="G38" s="1"/>
      <c r="H38" s="17"/>
      <c r="I38" s="1"/>
      <c r="J38" s="17"/>
      <c r="K38" s="17"/>
    </row>
    <row r="39" spans="1:11" s="2" customFormat="1" x14ac:dyDescent="0.45">
      <c r="A39" s="1"/>
      <c r="B39" s="65">
        <v>28</v>
      </c>
      <c r="C39" s="15"/>
      <c r="D39" s="22"/>
      <c r="E39" s="1"/>
      <c r="F39" s="17"/>
      <c r="G39" s="1"/>
      <c r="H39" s="17"/>
      <c r="I39" s="1"/>
      <c r="J39" s="17"/>
      <c r="K39" s="17"/>
    </row>
    <row r="40" spans="1:11" s="2" customFormat="1" x14ac:dyDescent="0.45">
      <c r="A40" s="1"/>
      <c r="B40" s="65">
        <v>29</v>
      </c>
      <c r="C40" s="15"/>
      <c r="D40" s="22"/>
      <c r="E40" s="1"/>
      <c r="F40" s="17"/>
      <c r="G40" s="1"/>
      <c r="H40" s="17"/>
      <c r="I40" s="1"/>
      <c r="J40" s="17"/>
      <c r="K40" s="17"/>
    </row>
    <row r="41" spans="1:11" s="2" customFormat="1" x14ac:dyDescent="0.45">
      <c r="A41" s="1"/>
      <c r="B41" s="65">
        <v>30</v>
      </c>
      <c r="C41" s="26"/>
      <c r="D41" s="1"/>
      <c r="E41" s="1"/>
      <c r="F41" s="1"/>
      <c r="G41" s="1"/>
      <c r="H41" s="17"/>
      <c r="I41" s="1"/>
      <c r="J41" s="17"/>
      <c r="K41" s="17"/>
    </row>
    <row r="42" spans="1:11" s="2" customFormat="1" x14ac:dyDescent="0.45">
      <c r="A42" s="1"/>
      <c r="B42" s="65">
        <v>31</v>
      </c>
      <c r="C42" s="15"/>
      <c r="D42" s="27"/>
      <c r="E42" s="1"/>
      <c r="F42" s="17"/>
      <c r="G42" s="1"/>
      <c r="H42" s="19"/>
      <c r="I42" s="1"/>
      <c r="J42" s="19"/>
      <c r="K42" s="19"/>
    </row>
    <row r="43" spans="1:11" s="2" customFormat="1" x14ac:dyDescent="0.45">
      <c r="A43" s="1"/>
      <c r="B43" s="65">
        <v>32</v>
      </c>
      <c r="C43" s="15"/>
      <c r="D43" s="1"/>
      <c r="E43" s="1"/>
      <c r="F43" s="1"/>
      <c r="G43" s="1"/>
      <c r="H43" s="1"/>
      <c r="I43" s="1"/>
      <c r="J43" s="1"/>
      <c r="K43" s="1"/>
    </row>
    <row r="44" spans="1:11" s="2" customFormat="1" x14ac:dyDescent="0.45">
      <c r="A44" s="1"/>
      <c r="B44" s="65">
        <v>33</v>
      </c>
      <c r="C44" s="26"/>
      <c r="D44" s="1"/>
      <c r="E44" s="1"/>
      <c r="F44" s="1"/>
      <c r="G44" s="1"/>
      <c r="H44" s="17"/>
      <c r="I44" s="1"/>
      <c r="J44" s="17"/>
      <c r="K44" s="17"/>
    </row>
    <row r="45" spans="1:11" s="2" customFormat="1" x14ac:dyDescent="0.45">
      <c r="A45" s="1"/>
      <c r="B45" s="65">
        <v>34</v>
      </c>
      <c r="C45" s="15"/>
      <c r="D45" s="27"/>
      <c r="E45" s="1"/>
      <c r="F45" s="17"/>
      <c r="G45" s="1"/>
      <c r="H45" s="17"/>
      <c r="I45" s="1"/>
      <c r="J45" s="17"/>
      <c r="K45" s="17"/>
    </row>
    <row r="46" spans="1:11" s="2" customFormat="1" x14ac:dyDescent="0.45">
      <c r="A46" s="1"/>
      <c r="B46" s="65">
        <v>35</v>
      </c>
      <c r="C46" s="1"/>
      <c r="D46" s="1"/>
      <c r="E46" s="1"/>
      <c r="F46" s="1"/>
      <c r="G46" s="1"/>
      <c r="H46" s="17"/>
      <c r="I46" s="1"/>
      <c r="J46" s="17"/>
      <c r="K46" s="17"/>
    </row>
    <row r="47" spans="1:11" s="2" customFormat="1" x14ac:dyDescent="0.45">
      <c r="A47" s="1"/>
      <c r="B47" s="65">
        <v>36</v>
      </c>
      <c r="C47" s="11"/>
      <c r="D47" s="1"/>
      <c r="E47" s="1"/>
      <c r="F47" s="17"/>
      <c r="G47" s="1"/>
      <c r="H47" s="1"/>
      <c r="I47" s="1"/>
      <c r="J47" s="1"/>
      <c r="K47" s="1"/>
    </row>
    <row r="48" spans="1:11" s="2" customFormat="1" x14ac:dyDescent="0.45">
      <c r="A48" s="1"/>
      <c r="B48" s="65">
        <v>37</v>
      </c>
      <c r="C48" s="1"/>
      <c r="D48" s="1"/>
      <c r="E48" s="1"/>
      <c r="F48" s="1"/>
      <c r="G48" s="1"/>
      <c r="H48" s="17"/>
      <c r="I48" s="1"/>
      <c r="J48" s="17"/>
      <c r="K48" s="17"/>
    </row>
    <row r="49" spans="1:11" s="2" customFormat="1" x14ac:dyDescent="0.45">
      <c r="A49" s="1"/>
      <c r="B49" s="65">
        <v>38</v>
      </c>
      <c r="C49" s="11"/>
      <c r="D49" s="1"/>
      <c r="E49" s="1"/>
      <c r="F49" s="19"/>
      <c r="G49" s="1"/>
      <c r="H49" s="1"/>
      <c r="I49" s="1"/>
      <c r="J49" s="1"/>
      <c r="K49" s="1"/>
    </row>
    <row r="50" spans="1:11" s="2" customFormat="1" x14ac:dyDescent="0.45">
      <c r="A50" s="1"/>
      <c r="B50" s="65">
        <v>39</v>
      </c>
      <c r="C50" s="1"/>
      <c r="D50" s="1"/>
      <c r="E50" s="1"/>
      <c r="F50" s="1"/>
      <c r="G50" s="1"/>
      <c r="H50" s="1"/>
      <c r="I50" s="1"/>
      <c r="J50" s="1"/>
      <c r="K50" s="1"/>
    </row>
    <row r="51" spans="1:11" s="2" customFormat="1" x14ac:dyDescent="0.45">
      <c r="A51" s="1"/>
      <c r="B51" s="65">
        <v>40</v>
      </c>
      <c r="C51" s="11"/>
      <c r="D51" s="1"/>
      <c r="E51" s="1"/>
      <c r="F51" s="19"/>
      <c r="G51" s="1"/>
      <c r="H51" s="17"/>
      <c r="I51" s="1"/>
      <c r="J51" s="17"/>
      <c r="K51" s="17"/>
    </row>
    <row r="52" spans="1:11" s="2" customFormat="1" x14ac:dyDescent="0.45">
      <c r="A52" s="1"/>
      <c r="B52" s="65">
        <v>41</v>
      </c>
      <c r="C52" s="11"/>
      <c r="D52" s="1"/>
      <c r="E52" s="1"/>
      <c r="F52" s="28"/>
      <c r="G52" s="1"/>
      <c r="H52" s="1"/>
      <c r="I52" s="1"/>
      <c r="J52" s="1"/>
      <c r="K52" s="1"/>
    </row>
    <row r="53" spans="1:11" s="2" customFormat="1" x14ac:dyDescent="0.45">
      <c r="A53" s="1"/>
      <c r="B53" s="65">
        <v>42</v>
      </c>
      <c r="C53" s="11"/>
      <c r="D53" s="1"/>
      <c r="E53" s="1"/>
      <c r="F53" s="1"/>
      <c r="G53" s="1"/>
      <c r="H53" s="17"/>
      <c r="I53" s="1"/>
      <c r="J53" s="17"/>
      <c r="K53" s="17"/>
    </row>
    <row r="54" spans="1:11" s="2" customFormat="1" x14ac:dyDescent="0.45">
      <c r="A54" s="1"/>
      <c r="B54" s="65">
        <v>43</v>
      </c>
      <c r="C54" s="11"/>
      <c r="D54" s="1"/>
      <c r="E54" s="1"/>
      <c r="F54" s="1"/>
      <c r="G54" s="1"/>
      <c r="H54" s="1"/>
      <c r="I54" s="1"/>
      <c r="J54" s="1"/>
      <c r="K54" s="1"/>
    </row>
    <row r="55" spans="1:11" s="2" customFormat="1" x14ac:dyDescent="0.45">
      <c r="A55" s="1"/>
      <c r="B55" s="65">
        <v>44</v>
      </c>
      <c r="C55" s="11"/>
      <c r="D55" s="1"/>
      <c r="E55" s="1"/>
      <c r="F55" s="1"/>
      <c r="G55" s="1"/>
      <c r="H55" s="19"/>
      <c r="I55" s="1"/>
      <c r="J55" s="19"/>
      <c r="K55" s="19"/>
    </row>
    <row r="56" spans="1:11" s="2" customFormat="1" x14ac:dyDescent="0.45">
      <c r="A56" s="1"/>
      <c r="B56" s="65">
        <v>45</v>
      </c>
      <c r="C56" s="1"/>
      <c r="D56" s="11"/>
      <c r="E56" s="1"/>
      <c r="F56" s="1"/>
      <c r="G56" s="1"/>
      <c r="H56" s="1"/>
      <c r="I56" s="1"/>
      <c r="J56" s="1"/>
      <c r="K56" s="1"/>
    </row>
    <row r="57" spans="1:11" s="2" customFormat="1" x14ac:dyDescent="0.45">
      <c r="A57" s="1"/>
      <c r="B57" s="65">
        <v>46</v>
      </c>
      <c r="C57" s="1"/>
      <c r="D57" s="1"/>
      <c r="E57" s="1"/>
      <c r="F57" s="1"/>
      <c r="G57" s="1"/>
      <c r="H57" s="19"/>
      <c r="I57" s="1"/>
      <c r="J57" s="19"/>
      <c r="K57" s="19"/>
    </row>
    <row r="58" spans="1:11" s="2" customFormat="1" x14ac:dyDescent="0.45">
      <c r="A58" s="1"/>
      <c r="B58" s="65">
        <v>47</v>
      </c>
      <c r="C58" s="1"/>
      <c r="D58" s="1"/>
      <c r="E58" s="1"/>
      <c r="F58" s="1"/>
      <c r="G58" s="1"/>
      <c r="H58" s="28"/>
      <c r="I58" s="1"/>
      <c r="J58" s="29"/>
      <c r="K58" s="29"/>
    </row>
    <row r="59" spans="1:11" s="2" customFormat="1" x14ac:dyDescent="0.45">
      <c r="A59" s="1"/>
      <c r="B59" s="65">
        <v>48</v>
      </c>
      <c r="C59" s="1"/>
      <c r="D59" s="1"/>
      <c r="E59" s="1"/>
      <c r="F59" s="1"/>
      <c r="G59" s="1"/>
      <c r="H59" s="1"/>
      <c r="I59" s="1"/>
      <c r="J59" s="1"/>
      <c r="K59" s="1"/>
    </row>
    <row r="60" spans="1:11" s="2" customFormat="1" x14ac:dyDescent="0.45">
      <c r="A60" s="1"/>
      <c r="B60" s="65">
        <v>49</v>
      </c>
      <c r="C60" s="1"/>
      <c r="D60" s="1"/>
      <c r="E60" s="1"/>
      <c r="F60" s="1"/>
      <c r="G60" s="1"/>
      <c r="H60" s="1"/>
      <c r="I60" s="1"/>
      <c r="J60" s="1"/>
      <c r="K60" s="1"/>
    </row>
    <row r="61" spans="1:11" s="2" customFormat="1" x14ac:dyDescent="0.45">
      <c r="A61" s="1"/>
      <c r="B61" s="65">
        <v>50</v>
      </c>
      <c r="C61" s="1"/>
      <c r="D61" s="1"/>
      <c r="E61" s="1"/>
      <c r="F61" s="1"/>
      <c r="G61" s="1"/>
      <c r="H61" s="1"/>
      <c r="I61" s="1"/>
      <c r="J61" s="1"/>
      <c r="K61" s="1"/>
    </row>
    <row r="62" spans="1:11" s="2" customForma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scale="95" fitToHeight="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EDDC-3F6E-4C64-BA8D-4C280384AC34}">
  <sheetPr>
    <pageSetUpPr fitToPage="1"/>
  </sheetPr>
  <dimension ref="A1:N62"/>
  <sheetViews>
    <sheetView view="pageBreakPreview" topLeftCell="A5" zoomScaleNormal="110" zoomScaleSheetLayoutView="100" workbookViewId="0">
      <selection activeCell="H18" sqref="H18"/>
    </sheetView>
  </sheetViews>
  <sheetFormatPr defaultColWidth="9.1328125" defaultRowHeight="14.25" x14ac:dyDescent="0.45"/>
  <cols>
    <col min="1" max="1" width="4" style="1" customWidth="1"/>
    <col min="2" max="2" width="5.1328125" style="1" customWidth="1"/>
    <col min="3" max="3" width="7.73046875" style="1" customWidth="1"/>
    <col min="4" max="4" width="55.1328125" style="1" bestFit="1" customWidth="1"/>
    <col min="5" max="5" width="3.1328125" style="1" customWidth="1"/>
    <col min="6" max="7" width="14.73046875" style="1" customWidth="1"/>
    <col min="8" max="8" width="3.73046875" style="1" customWidth="1"/>
    <col min="9" max="10" width="14" style="1" customWidth="1"/>
    <col min="11" max="11" width="3.1328125" style="1" customWidth="1"/>
    <col min="12" max="12" width="14" style="2" customWidth="1"/>
    <col min="13" max="13" width="11.265625" style="1" customWidth="1"/>
    <col min="14" max="14" width="3.3984375" style="1" customWidth="1"/>
    <col min="15" max="16384" width="9.1328125" style="1"/>
  </cols>
  <sheetData>
    <row r="1" spans="1:14" ht="16.899999999999999" x14ac:dyDescent="0.5">
      <c r="A1" s="110" t="str">
        <f>[1]Reference!$B$2</f>
        <v>BLUEGRASS WATER UTILITY OPERATING COMPANY, LLC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4" x14ac:dyDescent="0.45">
      <c r="A2" s="111" t="str">
        <f>[1]Reference!$B$3</f>
        <v>Case No. 2020-00290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4" x14ac:dyDescent="0.45">
      <c r="A3" s="111" t="s">
        <v>41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4" x14ac:dyDescent="0.45">
      <c r="A4" s="111" t="str">
        <f>'Constants LinkIn'!B9</f>
        <v>Base Year for the 12 Months ended December 31, 2020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47"/>
    </row>
    <row r="5" spans="1:14" x14ac:dyDescent="0.45">
      <c r="A5" s="78"/>
      <c r="B5" s="78"/>
      <c r="C5" s="78"/>
      <c r="D5" s="78"/>
      <c r="E5" s="78"/>
      <c r="F5" s="78"/>
      <c r="G5" s="78"/>
      <c r="K5" s="3"/>
    </row>
    <row r="6" spans="1:14" x14ac:dyDescent="0.45">
      <c r="A6" s="111"/>
      <c r="B6" s="111"/>
      <c r="C6" s="111"/>
      <c r="D6" s="111"/>
      <c r="E6" s="111"/>
      <c r="F6" s="111"/>
      <c r="G6" s="111"/>
      <c r="K6" s="3"/>
      <c r="M6" s="75" t="s">
        <v>113</v>
      </c>
    </row>
    <row r="7" spans="1:14" x14ac:dyDescent="0.45">
      <c r="A7" s="1" t="s">
        <v>14</v>
      </c>
      <c r="K7" s="3"/>
      <c r="M7" s="76" t="str">
        <f ca="1">RIGHT(CELL("filename",$A$1),LEN(CELL("filename",$A$1))-SEARCH("/Work Papers",CELL("filename",$A$1),1))</f>
        <v>Work Papers/Rate Base/[BGUOC 2020 Rate Case - Rate Base (Sewer).xlsx]Dep - BY B3.1</v>
      </c>
    </row>
    <row r="8" spans="1:14" x14ac:dyDescent="0.45">
      <c r="A8" s="1" t="s">
        <v>15</v>
      </c>
      <c r="K8" s="3"/>
      <c r="M8" s="77" t="s">
        <v>109</v>
      </c>
    </row>
    <row r="9" spans="1:14" ht="14.65" thickBot="1" x14ac:dyDescent="0.5">
      <c r="B9" s="4"/>
      <c r="C9" s="4"/>
      <c r="D9" s="4"/>
      <c r="E9" s="51"/>
      <c r="F9" s="4"/>
      <c r="G9" s="4"/>
      <c r="H9" s="51"/>
      <c r="I9" s="4"/>
      <c r="J9" s="4"/>
      <c r="K9" s="51"/>
      <c r="L9" s="4"/>
      <c r="M9" s="4"/>
    </row>
    <row r="10" spans="1:14" ht="42.75" x14ac:dyDescent="0.45">
      <c r="B10" s="5" t="s">
        <v>0</v>
      </c>
      <c r="C10" s="5" t="s">
        <v>16</v>
      </c>
      <c r="E10" s="51"/>
      <c r="F10" s="6" t="s">
        <v>42</v>
      </c>
      <c r="G10" s="6" t="s">
        <v>43</v>
      </c>
      <c r="H10" s="53"/>
      <c r="I10" s="6" t="s">
        <v>44</v>
      </c>
      <c r="J10" s="6" t="s">
        <v>45</v>
      </c>
      <c r="K10" s="49"/>
      <c r="L10" s="6" t="s">
        <v>46</v>
      </c>
      <c r="M10" s="6" t="s">
        <v>47</v>
      </c>
    </row>
    <row r="11" spans="1:14" ht="14.65" thickBot="1" x14ac:dyDescent="0.5">
      <c r="B11" s="8" t="s">
        <v>3</v>
      </c>
      <c r="C11" s="8" t="s">
        <v>3</v>
      </c>
      <c r="D11" s="8" t="s">
        <v>21</v>
      </c>
      <c r="E11" s="51"/>
      <c r="F11" s="9" t="s">
        <v>5</v>
      </c>
      <c r="G11" s="9" t="s">
        <v>5</v>
      </c>
      <c r="H11" s="50"/>
      <c r="I11" s="9" t="s">
        <v>5</v>
      </c>
      <c r="J11" s="9" t="s">
        <v>5</v>
      </c>
      <c r="K11" s="50"/>
      <c r="L11" s="9" t="s">
        <v>5</v>
      </c>
      <c r="M11" s="9" t="s">
        <v>5</v>
      </c>
    </row>
    <row r="12" spans="1:14" s="11" customFormat="1" x14ac:dyDescent="0.45">
      <c r="B12" s="65">
        <v>1</v>
      </c>
      <c r="D12" s="12"/>
      <c r="E12" s="54"/>
      <c r="F12" s="13"/>
      <c r="G12" s="13"/>
      <c r="H12" s="54"/>
      <c r="I12" s="13"/>
      <c r="J12" s="13"/>
      <c r="K12" s="52"/>
      <c r="L12" s="14"/>
    </row>
    <row r="13" spans="1:14" x14ac:dyDescent="0.45">
      <c r="B13" s="65">
        <v>2</v>
      </c>
      <c r="C13" s="11"/>
      <c r="D13" s="11"/>
      <c r="E13" s="51"/>
      <c r="H13" s="51"/>
      <c r="K13" s="51"/>
    </row>
    <row r="14" spans="1:14" x14ac:dyDescent="0.45">
      <c r="B14" s="65">
        <v>3</v>
      </c>
      <c r="C14" s="18">
        <v>303</v>
      </c>
      <c r="D14" s="18" t="s">
        <v>22</v>
      </c>
      <c r="E14" s="51"/>
      <c r="F14" s="17">
        <f>'UPIS - BY B2'!L14</f>
        <v>3700</v>
      </c>
      <c r="G14" s="17">
        <f>INDEX('AccDep LinkIn'!$C$5:$AE$16,MATCH($C14,'AccDep LinkIn'!$A$5:$A$16,0),MATCH(BY_end,'AccDep LinkIn'!$C$2:$AE$2,0))</f>
        <v>0</v>
      </c>
      <c r="H14" s="51"/>
      <c r="I14" s="17"/>
      <c r="J14" s="17"/>
      <c r="K14" s="17"/>
    </row>
    <row r="15" spans="1:14" x14ac:dyDescent="0.45">
      <c r="B15" s="65">
        <v>4</v>
      </c>
      <c r="C15" s="18">
        <v>310.10000000000002</v>
      </c>
      <c r="D15" s="18" t="s">
        <v>23</v>
      </c>
      <c r="E15" s="51"/>
      <c r="F15" s="17">
        <f>'UPIS - BY B2'!L15</f>
        <v>50250</v>
      </c>
      <c r="G15" s="17">
        <f>INDEX('AccDep LinkIn'!$C$5:$AE$16,MATCH($C15,'AccDep LinkIn'!$A$5:$A$16,0),MATCH(BY_end,'AccDep LinkIn'!$C$2:$AE$2,0))</f>
        <v>0</v>
      </c>
      <c r="I15" s="17"/>
      <c r="J15" s="17"/>
      <c r="K15" s="17"/>
    </row>
    <row r="16" spans="1:14" x14ac:dyDescent="0.45">
      <c r="B16" s="65">
        <v>5</v>
      </c>
      <c r="C16" s="18">
        <v>311</v>
      </c>
      <c r="D16" s="18" t="s">
        <v>24</v>
      </c>
      <c r="E16" s="51"/>
      <c r="F16" s="17">
        <f>'UPIS - BY B2'!L16</f>
        <v>207411.85000000003</v>
      </c>
      <c r="G16" s="17">
        <f>INDEX('AccDep LinkIn'!$C$5:$AE$16,MATCH($C16,'AccDep LinkIn'!$A$5:$A$16,0),MATCH(BY_end,'AccDep LinkIn'!$C$2:$AE$2,0))</f>
        <v>44055.122946689356</v>
      </c>
      <c r="I16" s="56">
        <v>3.6666666666666667E-2</v>
      </c>
      <c r="J16" s="17">
        <f>F16*I16</f>
        <v>7605.1011666666682</v>
      </c>
      <c r="K16" s="17"/>
      <c r="L16" s="55">
        <v>-0.1</v>
      </c>
      <c r="M16" s="1">
        <v>30</v>
      </c>
    </row>
    <row r="17" spans="1:13" x14ac:dyDescent="0.45">
      <c r="B17" s="65">
        <v>6</v>
      </c>
      <c r="C17" s="18">
        <v>352.1</v>
      </c>
      <c r="D17" s="18" t="s">
        <v>25</v>
      </c>
      <c r="E17" s="51"/>
      <c r="F17" s="17">
        <f>'UPIS - BY B2'!L17</f>
        <v>1384811.9000000001</v>
      </c>
      <c r="G17" s="17">
        <f>INDEX('AccDep LinkIn'!$C$5:$AE$16,MATCH($C17,'AccDep LinkIn'!$A$5:$A$16,0),MATCH(BY_end,'AccDep LinkIn'!$C$2:$AE$2,0))</f>
        <v>12322.091483333335</v>
      </c>
      <c r="I17" s="56">
        <v>0.02</v>
      </c>
      <c r="J17" s="17">
        <f t="shared" ref="J17:J25" si="0">F17*I17</f>
        <v>27696.238000000005</v>
      </c>
      <c r="K17" s="17"/>
      <c r="L17" s="55">
        <v>0</v>
      </c>
      <c r="M17" s="1">
        <v>50</v>
      </c>
    </row>
    <row r="18" spans="1:13" x14ac:dyDescent="0.45">
      <c r="B18" s="65">
        <v>7</v>
      </c>
      <c r="C18" s="18">
        <v>352.2</v>
      </c>
      <c r="D18" s="23" t="s">
        <v>26</v>
      </c>
      <c r="E18" s="51"/>
      <c r="F18" s="17">
        <f>'UPIS - BY B2'!L18</f>
        <v>621063.6</v>
      </c>
      <c r="G18" s="17">
        <f>INDEX('AccDep LinkIn'!$C$5:$AE$16,MATCH($C18,'AccDep LinkIn'!$A$5:$A$16,0),MATCH(BY_end,'AccDep LinkIn'!$C$2:$AE$2,0))</f>
        <v>483580.78505639796</v>
      </c>
      <c r="I18" s="56">
        <v>0.02</v>
      </c>
      <c r="J18" s="17">
        <f t="shared" si="0"/>
        <v>12421.271999999999</v>
      </c>
      <c r="K18" s="19"/>
      <c r="L18" s="55">
        <v>0</v>
      </c>
      <c r="M18" s="1">
        <v>50</v>
      </c>
    </row>
    <row r="19" spans="1:13" x14ac:dyDescent="0.45">
      <c r="B19" s="65">
        <v>8</v>
      </c>
      <c r="C19" s="18">
        <v>363</v>
      </c>
      <c r="D19" s="23" t="s">
        <v>27</v>
      </c>
      <c r="E19" s="51"/>
      <c r="F19" s="17">
        <f>'UPIS - BY B2'!L19</f>
        <v>93020.57</v>
      </c>
      <c r="G19" s="17">
        <f>INDEX('AccDep LinkIn'!$C$5:$AE$16,MATCH($C19,'AccDep LinkIn'!$A$5:$A$16,0),MATCH(BY_end,'AccDep LinkIn'!$C$2:$AE$2,0))</f>
        <v>28962.438250000007</v>
      </c>
      <c r="I19" s="56">
        <v>0.1</v>
      </c>
      <c r="J19" s="17">
        <f t="shared" si="0"/>
        <v>9302.0570000000007</v>
      </c>
      <c r="L19" s="55">
        <v>0</v>
      </c>
      <c r="M19" s="1">
        <v>10</v>
      </c>
    </row>
    <row r="20" spans="1:13" x14ac:dyDescent="0.45">
      <c r="B20" s="65">
        <v>9</v>
      </c>
      <c r="C20" s="18">
        <v>370</v>
      </c>
      <c r="D20" s="23" t="s">
        <v>23</v>
      </c>
      <c r="E20" s="51"/>
      <c r="F20" s="17">
        <f>'UPIS - BY B2'!L20</f>
        <v>10756.67</v>
      </c>
      <c r="G20" s="17">
        <f>INDEX('AccDep LinkIn'!$C$5:$AE$16,MATCH($C20,'AccDep LinkIn'!$A$5:$A$16,0),MATCH(BY_end,'AccDep LinkIn'!$C$2:$AE$2,0))</f>
        <v>0</v>
      </c>
      <c r="I20" s="56"/>
      <c r="J20" s="17">
        <f t="shared" si="0"/>
        <v>0</v>
      </c>
      <c r="L20" s="55"/>
    </row>
    <row r="21" spans="1:13" s="2" customFormat="1" x14ac:dyDescent="0.45">
      <c r="A21" s="1"/>
      <c r="B21" s="65">
        <v>10</v>
      </c>
      <c r="C21" s="18">
        <v>372</v>
      </c>
      <c r="D21" s="23" t="s">
        <v>28</v>
      </c>
      <c r="E21" s="51"/>
      <c r="F21" s="17">
        <f>'UPIS - BY B2'!L21</f>
        <v>407215</v>
      </c>
      <c r="G21" s="17">
        <f>INDEX('AccDep LinkIn'!$C$5:$AE$16,MATCH($C21,'AccDep LinkIn'!$A$5:$A$16,0),MATCH(BY_end,'AccDep LinkIn'!$C$2:$AE$2,0))</f>
        <v>354211.25095551263</v>
      </c>
      <c r="H21" s="1"/>
      <c r="I21" s="56">
        <v>0.05</v>
      </c>
      <c r="J21" s="17">
        <f t="shared" si="0"/>
        <v>20360.75</v>
      </c>
      <c r="K21" s="1"/>
      <c r="L21" s="55">
        <v>-0.1</v>
      </c>
      <c r="M21" s="1">
        <v>22</v>
      </c>
    </row>
    <row r="22" spans="1:13" s="2" customFormat="1" x14ac:dyDescent="0.45">
      <c r="A22" s="1"/>
      <c r="B22" s="65">
        <v>11</v>
      </c>
      <c r="C22" s="18">
        <v>373</v>
      </c>
      <c r="D22" s="23" t="s">
        <v>29</v>
      </c>
      <c r="E22" s="51"/>
      <c r="F22" s="17">
        <f>'UPIS - BY B2'!L22</f>
        <v>578879.57949999999</v>
      </c>
      <c r="G22" s="17">
        <f>INDEX('AccDep LinkIn'!$C$5:$AE$16,MATCH($C22,'AccDep LinkIn'!$A$5:$A$16,0),MATCH(BY_end,'AccDep LinkIn'!$C$2:$AE$2,0))</f>
        <v>175119.71359791671</v>
      </c>
      <c r="H22" s="1"/>
      <c r="I22" s="56">
        <v>2.5000000000000001E-2</v>
      </c>
      <c r="J22" s="17">
        <f t="shared" si="0"/>
        <v>14471.989487500001</v>
      </c>
      <c r="K22" s="17"/>
      <c r="L22" s="55">
        <v>0</v>
      </c>
      <c r="M22" s="1">
        <v>40</v>
      </c>
    </row>
    <row r="23" spans="1:13" s="2" customFormat="1" x14ac:dyDescent="0.45">
      <c r="A23" s="1"/>
      <c r="B23" s="65">
        <v>12</v>
      </c>
      <c r="C23" s="18">
        <v>375</v>
      </c>
      <c r="D23" s="23" t="s">
        <v>30</v>
      </c>
      <c r="E23" s="51"/>
      <c r="F23" s="17">
        <f>'UPIS - BY B2'!L23</f>
        <v>4756.38</v>
      </c>
      <c r="G23" s="17">
        <f>INDEX('AccDep LinkIn'!$C$5:$AE$16,MATCH($C23,'AccDep LinkIn'!$A$5:$A$16,0),MATCH(BY_end,'AccDep LinkIn'!$C$2:$AE$2,0))</f>
        <v>47.563800000000008</v>
      </c>
      <c r="H23" s="1"/>
      <c r="I23" s="56">
        <v>0.02</v>
      </c>
      <c r="J23" s="17">
        <f t="shared" si="0"/>
        <v>95.127600000000001</v>
      </c>
      <c r="K23" s="17"/>
      <c r="L23" s="55">
        <v>0</v>
      </c>
      <c r="M23" s="1">
        <v>50</v>
      </c>
    </row>
    <row r="24" spans="1:13" s="2" customFormat="1" x14ac:dyDescent="0.45">
      <c r="A24" s="1"/>
      <c r="B24" s="65">
        <v>13</v>
      </c>
      <c r="C24" s="18">
        <v>391.1</v>
      </c>
      <c r="D24" s="23" t="s">
        <v>31</v>
      </c>
      <c r="E24" s="51"/>
      <c r="F24" s="17">
        <f>'UPIS - BY B2'!L24</f>
        <v>1853</v>
      </c>
      <c r="G24" s="17">
        <f>INDEX('AccDep LinkIn'!$C$5:$AE$16,MATCH($C24,'AccDep LinkIn'!$A$5:$A$16,0),MATCH(BY_end,'AccDep LinkIn'!$C$2:$AE$2,0))</f>
        <v>1853</v>
      </c>
      <c r="H24" s="1"/>
      <c r="I24" s="56">
        <v>0.05</v>
      </c>
      <c r="J24" s="17">
        <f t="shared" si="0"/>
        <v>92.65</v>
      </c>
      <c r="K24" s="17"/>
      <c r="L24" s="55">
        <v>0</v>
      </c>
      <c r="M24" s="1">
        <v>20</v>
      </c>
    </row>
    <row r="25" spans="1:13" s="2" customFormat="1" x14ac:dyDescent="0.45">
      <c r="A25" s="1"/>
      <c r="B25" s="65">
        <v>14</v>
      </c>
      <c r="C25" s="18">
        <v>393</v>
      </c>
      <c r="D25" s="23" t="s">
        <v>32</v>
      </c>
      <c r="E25" s="51"/>
      <c r="F25" s="17">
        <f>'UPIS - BY B2'!L25</f>
        <v>116046.6995</v>
      </c>
      <c r="G25" s="17">
        <f>INDEX('AccDep LinkIn'!$C$5:$AE$16,MATCH($C25,'AccDep LinkIn'!$A$5:$A$16,0),MATCH(BY_end,'AccDep LinkIn'!$C$2:$AE$2,0))</f>
        <v>3868.2233166666674</v>
      </c>
      <c r="H25" s="1"/>
      <c r="I25" s="56">
        <v>6.6666666666666666E-2</v>
      </c>
      <c r="J25" s="17">
        <f t="shared" si="0"/>
        <v>7736.446633333333</v>
      </c>
      <c r="K25" s="17"/>
      <c r="L25" s="55">
        <v>0</v>
      </c>
      <c r="M25" s="1">
        <v>15</v>
      </c>
    </row>
    <row r="26" spans="1:13" s="2" customFormat="1" x14ac:dyDescent="0.45">
      <c r="A26" s="1"/>
      <c r="B26" s="65">
        <v>15</v>
      </c>
      <c r="C26" s="15"/>
      <c r="D26" s="22"/>
      <c r="E26" s="51"/>
      <c r="F26" s="17"/>
      <c r="G26" s="17"/>
      <c r="H26" s="1"/>
      <c r="I26" s="17"/>
      <c r="J26" s="17"/>
      <c r="K26" s="17"/>
    </row>
    <row r="27" spans="1:13" s="2" customFormat="1" x14ac:dyDescent="0.45">
      <c r="A27" s="1"/>
      <c r="B27" s="65">
        <v>16</v>
      </c>
      <c r="C27" s="15" t="s">
        <v>139</v>
      </c>
      <c r="D27" s="22" t="s">
        <v>137</v>
      </c>
      <c r="E27" s="51"/>
      <c r="F27" s="21">
        <f>'UPIS - BY B2'!L29</f>
        <v>58825</v>
      </c>
      <c r="G27" s="21">
        <f>INDEX('AccDep LinkIn'!$C$5:$AE$17,MATCH("ACQ",'AccDep LinkIn'!$A$5:$A$17,0),MATCH(BY_end,'AccDep LinkIn'!$C$2:$AE$2,0))</f>
        <v>359.48611111111114</v>
      </c>
      <c r="H27" s="1"/>
      <c r="I27" s="90">
        <f>MEDIAN(I16:I25)</f>
        <v>3.6666666666666667E-2</v>
      </c>
      <c r="J27" s="21">
        <f t="shared" ref="J27" si="1">F27*I27</f>
        <v>2156.9166666666665</v>
      </c>
      <c r="K27" s="17"/>
      <c r="L27" s="27" t="s">
        <v>142</v>
      </c>
    </row>
    <row r="28" spans="1:13" s="2" customFormat="1" x14ac:dyDescent="0.45">
      <c r="A28" s="1"/>
      <c r="B28" s="65">
        <v>17</v>
      </c>
      <c r="C28" s="15"/>
      <c r="D28" s="94"/>
      <c r="E28" s="51"/>
      <c r="F28" s="17"/>
      <c r="G28" s="17"/>
      <c r="H28" s="1"/>
      <c r="I28" s="90"/>
      <c r="J28" s="95"/>
      <c r="K28" s="17"/>
    </row>
    <row r="29" spans="1:13" s="2" customFormat="1" ht="14.65" thickBot="1" x14ac:dyDescent="0.5">
      <c r="A29" s="1"/>
      <c r="B29" s="65">
        <v>18</v>
      </c>
      <c r="C29" s="15"/>
      <c r="D29" s="93" t="s">
        <v>48</v>
      </c>
      <c r="E29" s="54"/>
      <c r="F29" s="92">
        <f>SUM(F14:F25)</f>
        <v>3479765.2489999998</v>
      </c>
      <c r="G29" s="92">
        <f>SUM(G14:G25)</f>
        <v>1104020.1894065165</v>
      </c>
      <c r="H29" s="11"/>
      <c r="I29" s="19"/>
      <c r="J29" s="92">
        <f>SUM(J14:J25)</f>
        <v>99781.6318875</v>
      </c>
      <c r="K29" s="17"/>
    </row>
    <row r="30" spans="1:13" s="2" customFormat="1" ht="14.65" thickTop="1" x14ac:dyDescent="0.45">
      <c r="A30" s="1"/>
      <c r="B30" s="65">
        <v>19</v>
      </c>
      <c r="C30" s="15"/>
      <c r="D30" s="22"/>
      <c r="E30" s="1"/>
      <c r="F30" s="17"/>
      <c r="G30" s="19"/>
      <c r="H30" s="1"/>
      <c r="I30" s="19"/>
      <c r="J30" s="19"/>
      <c r="K30" s="19"/>
    </row>
    <row r="31" spans="1:13" s="2" customFormat="1" x14ac:dyDescent="0.45">
      <c r="A31" s="1"/>
      <c r="B31" s="65">
        <v>20</v>
      </c>
      <c r="C31" s="15"/>
      <c r="D31" s="22"/>
      <c r="E31" s="1"/>
      <c r="F31" s="17"/>
      <c r="G31" s="1"/>
      <c r="H31" s="1"/>
      <c r="I31" s="1"/>
      <c r="J31" s="1"/>
      <c r="K31" s="1"/>
    </row>
    <row r="32" spans="1:13" s="2" customFormat="1" x14ac:dyDescent="0.45">
      <c r="A32" s="1"/>
      <c r="B32" s="65">
        <v>21</v>
      </c>
      <c r="C32" s="15"/>
      <c r="D32" s="22"/>
      <c r="E32" s="1"/>
      <c r="F32" s="17"/>
      <c r="G32" s="17"/>
      <c r="H32" s="1"/>
      <c r="I32" s="17"/>
      <c r="J32" s="17"/>
      <c r="K32" s="17"/>
    </row>
    <row r="33" spans="1:11" s="2" customFormat="1" x14ac:dyDescent="0.45">
      <c r="A33" s="1"/>
      <c r="B33" s="65">
        <v>22</v>
      </c>
      <c r="C33" s="15"/>
      <c r="D33" s="22"/>
      <c r="E33" s="1"/>
      <c r="F33" s="17"/>
      <c r="G33" s="17"/>
      <c r="H33" s="1"/>
      <c r="I33" s="17"/>
      <c r="J33" s="17"/>
      <c r="K33" s="17"/>
    </row>
    <row r="34" spans="1:11" s="2" customFormat="1" x14ac:dyDescent="0.45">
      <c r="A34" s="1"/>
      <c r="B34" s="65">
        <v>23</v>
      </c>
      <c r="C34" s="15"/>
      <c r="D34" s="22"/>
      <c r="E34" s="1"/>
      <c r="F34" s="17"/>
      <c r="G34" s="17"/>
      <c r="H34" s="1"/>
      <c r="I34" s="17"/>
      <c r="J34" s="17"/>
      <c r="K34" s="17"/>
    </row>
    <row r="35" spans="1:11" s="2" customFormat="1" x14ac:dyDescent="0.45">
      <c r="A35" s="1"/>
      <c r="B35" s="65">
        <v>24</v>
      </c>
      <c r="C35" s="25"/>
      <c r="D35" s="22"/>
      <c r="E35" s="1"/>
      <c r="F35" s="17"/>
      <c r="G35" s="17"/>
      <c r="H35" s="1"/>
      <c r="I35" s="17"/>
      <c r="J35" s="17"/>
      <c r="K35" s="17"/>
    </row>
    <row r="36" spans="1:11" s="2" customFormat="1" x14ac:dyDescent="0.45">
      <c r="A36" s="1"/>
      <c r="B36" s="65">
        <v>25</v>
      </c>
      <c r="C36" s="15"/>
      <c r="D36" s="1"/>
      <c r="E36" s="1"/>
      <c r="F36" s="19"/>
      <c r="G36" s="17"/>
      <c r="H36" s="1"/>
      <c r="I36" s="17"/>
      <c r="J36" s="17"/>
      <c r="K36" s="17"/>
    </row>
    <row r="37" spans="1:11" s="2" customFormat="1" x14ac:dyDescent="0.45">
      <c r="A37" s="1"/>
      <c r="B37" s="65">
        <v>26</v>
      </c>
      <c r="C37" s="26"/>
      <c r="D37" s="1"/>
      <c r="E37" s="1"/>
      <c r="F37" s="1"/>
      <c r="G37" s="17"/>
      <c r="H37" s="1"/>
      <c r="I37" s="17"/>
      <c r="J37" s="17"/>
      <c r="K37" s="17"/>
    </row>
    <row r="38" spans="1:11" s="2" customFormat="1" x14ac:dyDescent="0.45">
      <c r="A38" s="1"/>
      <c r="B38" s="65">
        <v>27</v>
      </c>
      <c r="C38" s="15"/>
      <c r="D38" s="22"/>
      <c r="E38" s="1"/>
      <c r="F38" s="17"/>
      <c r="G38" s="17"/>
      <c r="H38" s="1"/>
      <c r="I38" s="17"/>
      <c r="J38" s="17"/>
      <c r="K38" s="17"/>
    </row>
    <row r="39" spans="1:11" s="2" customFormat="1" x14ac:dyDescent="0.45">
      <c r="A39" s="1"/>
      <c r="B39" s="65">
        <v>28</v>
      </c>
      <c r="C39" s="15"/>
      <c r="D39" s="22"/>
      <c r="E39" s="1"/>
      <c r="F39" s="17"/>
      <c r="G39" s="17"/>
      <c r="H39" s="1"/>
      <c r="I39" s="17"/>
      <c r="J39" s="17"/>
      <c r="K39" s="17"/>
    </row>
    <row r="40" spans="1:11" s="2" customFormat="1" x14ac:dyDescent="0.45">
      <c r="A40" s="1"/>
      <c r="B40" s="65">
        <v>29</v>
      </c>
      <c r="C40" s="15"/>
      <c r="D40" s="22"/>
      <c r="E40" s="1"/>
      <c r="F40" s="17"/>
      <c r="G40" s="17"/>
      <c r="H40" s="1"/>
      <c r="I40" s="17"/>
      <c r="J40" s="17"/>
      <c r="K40" s="17"/>
    </row>
    <row r="41" spans="1:11" s="2" customFormat="1" x14ac:dyDescent="0.45">
      <c r="A41" s="1"/>
      <c r="B41" s="65">
        <v>30</v>
      </c>
      <c r="C41" s="26"/>
      <c r="D41" s="1"/>
      <c r="E41" s="1"/>
      <c r="F41" s="1"/>
      <c r="G41" s="17"/>
      <c r="H41" s="1"/>
      <c r="I41" s="17"/>
      <c r="J41" s="17"/>
      <c r="K41" s="17"/>
    </row>
    <row r="42" spans="1:11" s="2" customFormat="1" x14ac:dyDescent="0.45">
      <c r="A42" s="1"/>
      <c r="B42" s="65">
        <v>31</v>
      </c>
      <c r="C42" s="15"/>
      <c r="D42" s="27"/>
      <c r="E42" s="1"/>
      <c r="F42" s="17"/>
      <c r="G42" s="19"/>
      <c r="H42" s="1"/>
      <c r="I42" s="19"/>
      <c r="J42" s="19"/>
      <c r="K42" s="19"/>
    </row>
    <row r="43" spans="1:11" s="2" customFormat="1" x14ac:dyDescent="0.45">
      <c r="A43" s="1"/>
      <c r="B43" s="65">
        <v>32</v>
      </c>
      <c r="C43" s="15"/>
      <c r="D43" s="1"/>
      <c r="E43" s="1"/>
      <c r="F43" s="1"/>
      <c r="G43" s="1"/>
      <c r="H43" s="1"/>
      <c r="I43" s="1"/>
      <c r="J43" s="1"/>
      <c r="K43" s="1"/>
    </row>
    <row r="44" spans="1:11" s="2" customFormat="1" x14ac:dyDescent="0.45">
      <c r="A44" s="1"/>
      <c r="B44" s="65">
        <v>33</v>
      </c>
      <c r="C44" s="26"/>
      <c r="D44" s="1"/>
      <c r="E44" s="1"/>
      <c r="F44" s="1"/>
      <c r="G44" s="17"/>
      <c r="H44" s="1"/>
      <c r="I44" s="17"/>
      <c r="J44" s="17"/>
      <c r="K44" s="17"/>
    </row>
    <row r="45" spans="1:11" s="2" customFormat="1" x14ac:dyDescent="0.45">
      <c r="A45" s="1"/>
      <c r="B45" s="65">
        <v>34</v>
      </c>
      <c r="C45" s="15"/>
      <c r="D45" s="27"/>
      <c r="E45" s="1"/>
      <c r="F45" s="17"/>
      <c r="G45" s="17"/>
      <c r="H45" s="1"/>
      <c r="I45" s="17"/>
      <c r="J45" s="17"/>
      <c r="K45" s="17"/>
    </row>
    <row r="46" spans="1:11" s="2" customFormat="1" x14ac:dyDescent="0.45">
      <c r="A46" s="1"/>
      <c r="B46" s="65">
        <v>35</v>
      </c>
      <c r="C46" s="1"/>
      <c r="D46" s="1"/>
      <c r="E46" s="1"/>
      <c r="F46" s="1"/>
      <c r="G46" s="17"/>
      <c r="H46" s="1"/>
      <c r="I46" s="17"/>
      <c r="J46" s="17"/>
      <c r="K46" s="17"/>
    </row>
    <row r="47" spans="1:11" s="2" customFormat="1" x14ac:dyDescent="0.45">
      <c r="A47" s="1"/>
      <c r="B47" s="65">
        <v>36</v>
      </c>
      <c r="C47" s="11"/>
      <c r="D47" s="1"/>
      <c r="E47" s="1"/>
      <c r="F47" s="17"/>
      <c r="G47" s="1"/>
      <c r="H47" s="1"/>
      <c r="I47" s="1"/>
      <c r="J47" s="1"/>
      <c r="K47" s="1"/>
    </row>
    <row r="48" spans="1:11" s="2" customFormat="1" x14ac:dyDescent="0.45">
      <c r="A48" s="1"/>
      <c r="B48" s="65">
        <v>37</v>
      </c>
      <c r="C48" s="1"/>
      <c r="D48" s="1"/>
      <c r="E48" s="1"/>
      <c r="F48" s="1"/>
      <c r="G48" s="17"/>
      <c r="H48" s="1"/>
      <c r="I48" s="17"/>
      <c r="J48" s="17"/>
      <c r="K48" s="17"/>
    </row>
    <row r="49" spans="1:11" s="2" customFormat="1" x14ac:dyDescent="0.45">
      <c r="A49" s="1"/>
      <c r="B49" s="65">
        <v>38</v>
      </c>
      <c r="C49" s="11"/>
      <c r="D49" s="1"/>
      <c r="E49" s="1"/>
      <c r="F49" s="19"/>
      <c r="G49" s="1"/>
      <c r="H49" s="1"/>
      <c r="I49" s="1"/>
      <c r="J49" s="1"/>
      <c r="K49" s="1"/>
    </row>
    <row r="50" spans="1:11" s="2" customFormat="1" x14ac:dyDescent="0.45">
      <c r="A50" s="1"/>
      <c r="B50" s="65">
        <v>39</v>
      </c>
      <c r="C50" s="1"/>
      <c r="D50" s="1"/>
      <c r="E50" s="1"/>
      <c r="F50" s="1"/>
      <c r="G50" s="1"/>
      <c r="H50" s="1"/>
      <c r="I50" s="1"/>
      <c r="J50" s="1"/>
      <c r="K50" s="1"/>
    </row>
    <row r="51" spans="1:11" s="2" customFormat="1" x14ac:dyDescent="0.45">
      <c r="A51" s="1"/>
      <c r="B51" s="65">
        <v>40</v>
      </c>
      <c r="C51" s="11"/>
      <c r="D51" s="1"/>
      <c r="E51" s="1"/>
      <c r="F51" s="19"/>
      <c r="G51" s="17"/>
      <c r="H51" s="1"/>
      <c r="I51" s="17"/>
      <c r="J51" s="17"/>
      <c r="K51" s="17"/>
    </row>
    <row r="52" spans="1:11" s="2" customFormat="1" x14ac:dyDescent="0.45">
      <c r="A52" s="1"/>
      <c r="B52" s="65">
        <v>41</v>
      </c>
      <c r="C52" s="11"/>
      <c r="D52" s="1"/>
      <c r="E52" s="1"/>
      <c r="F52" s="28"/>
      <c r="G52" s="1"/>
      <c r="H52" s="1"/>
      <c r="I52" s="1"/>
      <c r="J52" s="1"/>
      <c r="K52" s="1"/>
    </row>
    <row r="53" spans="1:11" s="2" customFormat="1" x14ac:dyDescent="0.45">
      <c r="A53" s="1"/>
      <c r="B53" s="65">
        <v>42</v>
      </c>
      <c r="C53" s="11"/>
      <c r="D53" s="1"/>
      <c r="E53" s="1"/>
      <c r="F53" s="1"/>
      <c r="G53" s="17"/>
      <c r="H53" s="1"/>
      <c r="I53" s="17"/>
      <c r="J53" s="17"/>
      <c r="K53" s="17"/>
    </row>
    <row r="54" spans="1:11" s="2" customFormat="1" x14ac:dyDescent="0.45">
      <c r="A54" s="1"/>
      <c r="B54" s="65">
        <v>43</v>
      </c>
      <c r="C54" s="11"/>
      <c r="D54" s="1"/>
      <c r="E54" s="1"/>
      <c r="F54" s="1"/>
      <c r="G54" s="1"/>
      <c r="H54" s="1"/>
      <c r="I54" s="1"/>
      <c r="J54" s="1"/>
      <c r="K54" s="1"/>
    </row>
    <row r="55" spans="1:11" s="2" customFormat="1" x14ac:dyDescent="0.45">
      <c r="A55" s="1"/>
      <c r="B55" s="65">
        <v>44</v>
      </c>
      <c r="C55" s="11"/>
      <c r="D55" s="1"/>
      <c r="E55" s="1"/>
      <c r="F55" s="1"/>
      <c r="G55" s="19"/>
      <c r="H55" s="1"/>
      <c r="I55" s="19"/>
      <c r="J55" s="19"/>
      <c r="K55" s="19"/>
    </row>
    <row r="56" spans="1:11" s="2" customFormat="1" x14ac:dyDescent="0.45">
      <c r="A56" s="1"/>
      <c r="B56" s="65">
        <v>45</v>
      </c>
      <c r="C56" s="1"/>
      <c r="D56" s="11"/>
      <c r="E56" s="1"/>
      <c r="F56" s="1"/>
      <c r="G56" s="1"/>
      <c r="H56" s="1"/>
      <c r="I56" s="1"/>
      <c r="J56" s="1"/>
      <c r="K56" s="1"/>
    </row>
    <row r="57" spans="1:11" s="2" customFormat="1" x14ac:dyDescent="0.45">
      <c r="A57" s="1"/>
      <c r="B57" s="65">
        <v>46</v>
      </c>
      <c r="C57" s="1"/>
      <c r="D57" s="1"/>
      <c r="E57" s="1"/>
      <c r="F57" s="1"/>
      <c r="G57" s="19"/>
      <c r="H57" s="1"/>
      <c r="I57" s="19"/>
      <c r="J57" s="19"/>
      <c r="K57" s="19"/>
    </row>
    <row r="58" spans="1:11" s="2" customFormat="1" x14ac:dyDescent="0.45">
      <c r="A58" s="1"/>
      <c r="B58" s="65">
        <v>47</v>
      </c>
      <c r="C58" s="1"/>
      <c r="D58" s="1"/>
      <c r="E58" s="1"/>
      <c r="F58" s="1"/>
      <c r="G58" s="28"/>
      <c r="H58" s="1"/>
      <c r="I58" s="29"/>
      <c r="J58" s="29"/>
      <c r="K58" s="29"/>
    </row>
    <row r="59" spans="1:11" s="2" customFormat="1" x14ac:dyDescent="0.45">
      <c r="A59" s="1"/>
      <c r="B59" s="65">
        <v>48</v>
      </c>
      <c r="C59" s="1"/>
      <c r="D59" s="1"/>
      <c r="E59" s="1"/>
      <c r="F59" s="1"/>
      <c r="G59" s="1"/>
      <c r="H59" s="1"/>
      <c r="I59" s="1"/>
      <c r="J59" s="1"/>
      <c r="K59" s="1"/>
    </row>
    <row r="60" spans="1:11" s="2" customFormat="1" x14ac:dyDescent="0.45">
      <c r="A60" s="1"/>
      <c r="B60" s="65">
        <v>49</v>
      </c>
      <c r="C60" s="1"/>
      <c r="D60" s="1"/>
      <c r="E60" s="1"/>
      <c r="F60" s="1"/>
      <c r="G60" s="1"/>
      <c r="H60" s="1"/>
      <c r="I60" s="1"/>
      <c r="J60" s="1"/>
      <c r="K60" s="1"/>
    </row>
    <row r="61" spans="1:11" s="2" customFormat="1" x14ac:dyDescent="0.45">
      <c r="A61" s="1"/>
      <c r="B61" s="65">
        <v>50</v>
      </c>
      <c r="C61" s="1"/>
      <c r="D61" s="1"/>
      <c r="E61" s="1"/>
      <c r="F61" s="1"/>
      <c r="G61" s="1"/>
      <c r="H61" s="1"/>
      <c r="I61" s="1"/>
      <c r="J61" s="1"/>
      <c r="K61" s="1"/>
    </row>
    <row r="62" spans="1:11" s="2" customForma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5">
    <mergeCell ref="A6:G6"/>
    <mergeCell ref="A1:M1"/>
    <mergeCell ref="A2:M2"/>
    <mergeCell ref="A3:M3"/>
    <mergeCell ref="A4:M4"/>
  </mergeCells>
  <pageMargins left="0.7" right="0.7" top="0.75" bottom="0.75" header="0.3" footer="0.3"/>
  <pageSetup scale="73" fitToHeight="0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C38ED-C498-4FE4-9AB1-868FF98493C7}">
  <sheetPr>
    <pageSetUpPr fitToPage="1"/>
  </sheetPr>
  <dimension ref="A1:M63"/>
  <sheetViews>
    <sheetView view="pageBreakPreview" topLeftCell="A20" zoomScaleNormal="110" zoomScaleSheetLayoutView="100" workbookViewId="0">
      <selection activeCell="H18" sqref="H18"/>
    </sheetView>
  </sheetViews>
  <sheetFormatPr defaultColWidth="9.1328125" defaultRowHeight="14.25" x14ac:dyDescent="0.45"/>
  <cols>
    <col min="1" max="1" width="4" style="1" customWidth="1"/>
    <col min="2" max="2" width="5.1328125" style="1" customWidth="1"/>
    <col min="3" max="3" width="7.73046875" style="1" customWidth="1"/>
    <col min="4" max="4" width="55.1328125" style="1" bestFit="1" customWidth="1"/>
    <col min="5" max="5" width="3.1328125" style="1" customWidth="1"/>
    <col min="6" max="7" width="14.73046875" style="1" customWidth="1"/>
    <col min="8" max="8" width="3.73046875" style="1" customWidth="1"/>
    <col min="9" max="10" width="14" style="1" customWidth="1"/>
    <col min="11" max="11" width="3.1328125" style="1" customWidth="1"/>
    <col min="12" max="12" width="14" style="2" customWidth="1"/>
    <col min="13" max="13" width="9.1328125" style="1"/>
    <col min="14" max="14" width="3.86328125" style="1" customWidth="1"/>
    <col min="15" max="16384" width="9.1328125" style="1"/>
  </cols>
  <sheetData>
    <row r="1" spans="1:13" ht="16.899999999999999" x14ac:dyDescent="0.5">
      <c r="A1" s="110" t="str">
        <f>[1]Reference!$B$2</f>
        <v>BLUEGRASS WATER UTILITY OPERATING COMPANY, LLC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x14ac:dyDescent="0.45">
      <c r="A2" s="111" t="str">
        <f>[1]Reference!$B$3</f>
        <v>Case No. 2020-00290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x14ac:dyDescent="0.45">
      <c r="A3" s="111" t="s">
        <v>41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3" x14ac:dyDescent="0.45">
      <c r="A4" s="111" t="str">
        <f>'Constants LinkIn'!B11</f>
        <v>Forecast Year for the 12 Months ended April 30, 2022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13" x14ac:dyDescent="0.4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x14ac:dyDescent="0.45">
      <c r="A6" s="111"/>
      <c r="B6" s="111"/>
      <c r="C6" s="111"/>
      <c r="D6" s="111"/>
      <c r="E6" s="111"/>
      <c r="F6" s="111"/>
      <c r="G6" s="111"/>
      <c r="K6" s="3"/>
      <c r="M6" s="75" t="s">
        <v>113</v>
      </c>
    </row>
    <row r="7" spans="1:13" x14ac:dyDescent="0.45">
      <c r="A7" s="1" t="s">
        <v>33</v>
      </c>
      <c r="K7" s="3"/>
      <c r="M7" s="76" t="str">
        <f ca="1">RIGHT(CELL("filename",$A$1),LEN(CELL("filename",$A$1))-SEARCH("/Work Papers",CELL("filename",$A$1),1))</f>
        <v>Work Papers/Rate Base/[BGUOC 2020 Rate Case - Rate Base (Sewer).xlsx]Dep - FY B3.1</v>
      </c>
    </row>
    <row r="8" spans="1:13" x14ac:dyDescent="0.45">
      <c r="A8" s="1" t="s">
        <v>15</v>
      </c>
      <c r="K8" s="3"/>
      <c r="M8" s="77" t="s">
        <v>109</v>
      </c>
    </row>
    <row r="9" spans="1:13" ht="14.65" thickBot="1" x14ac:dyDescent="0.5">
      <c r="B9" s="4"/>
      <c r="C9" s="4"/>
      <c r="D9" s="4"/>
      <c r="E9" s="51"/>
      <c r="F9" s="4"/>
      <c r="G9" s="4"/>
      <c r="H9" s="51"/>
      <c r="I9" s="4"/>
      <c r="J9" s="4"/>
      <c r="K9" s="51"/>
      <c r="L9" s="4"/>
      <c r="M9" s="4"/>
    </row>
    <row r="10" spans="1:13" ht="42.75" x14ac:dyDescent="0.45">
      <c r="B10" s="5" t="s">
        <v>0</v>
      </c>
      <c r="C10" s="5" t="s">
        <v>16</v>
      </c>
      <c r="E10" s="51"/>
      <c r="F10" s="6" t="s">
        <v>42</v>
      </c>
      <c r="G10" s="6" t="s">
        <v>43</v>
      </c>
      <c r="H10" s="53"/>
      <c r="I10" s="6" t="s">
        <v>44</v>
      </c>
      <c r="J10" s="6" t="s">
        <v>45</v>
      </c>
      <c r="K10" s="49"/>
      <c r="L10" s="6" t="s">
        <v>46</v>
      </c>
      <c r="M10" s="6" t="s">
        <v>47</v>
      </c>
    </row>
    <row r="11" spans="1:13" ht="14.65" thickBot="1" x14ac:dyDescent="0.5">
      <c r="B11" s="8" t="s">
        <v>3</v>
      </c>
      <c r="C11" s="8" t="s">
        <v>3</v>
      </c>
      <c r="D11" s="8" t="s">
        <v>21</v>
      </c>
      <c r="E11" s="51"/>
      <c r="F11" s="9" t="s">
        <v>5</v>
      </c>
      <c r="G11" s="9" t="s">
        <v>5</v>
      </c>
      <c r="H11" s="50"/>
      <c r="I11" s="9" t="s">
        <v>5</v>
      </c>
      <c r="J11" s="9" t="s">
        <v>5</v>
      </c>
      <c r="K11" s="50"/>
      <c r="L11" s="9" t="s">
        <v>5</v>
      </c>
      <c r="M11" s="9" t="s">
        <v>5</v>
      </c>
    </row>
    <row r="12" spans="1:13" s="11" customFormat="1" x14ac:dyDescent="0.45">
      <c r="B12" s="65">
        <v>1</v>
      </c>
      <c r="D12" s="12"/>
      <c r="E12" s="54"/>
      <c r="F12" s="13"/>
      <c r="G12" s="13"/>
      <c r="H12" s="54"/>
      <c r="I12" s="13"/>
      <c r="J12" s="13"/>
      <c r="K12" s="52"/>
      <c r="L12" s="14"/>
    </row>
    <row r="13" spans="1:13" x14ac:dyDescent="0.45">
      <c r="B13" s="65">
        <v>2</v>
      </c>
      <c r="C13" s="11"/>
      <c r="D13" s="11"/>
      <c r="E13" s="51"/>
      <c r="H13" s="51"/>
      <c r="K13" s="51"/>
    </row>
    <row r="14" spans="1:13" x14ac:dyDescent="0.45">
      <c r="B14" s="65">
        <v>3</v>
      </c>
      <c r="C14" s="18">
        <v>303</v>
      </c>
      <c r="D14" s="18" t="s">
        <v>22</v>
      </c>
      <c r="E14" s="51"/>
      <c r="F14" s="17">
        <f>'UPIS - FY B2'!L14</f>
        <v>3700</v>
      </c>
      <c r="G14" s="17">
        <f>INDEX('AccDep LinkIn'!$C$5:$AE$16,MATCH($C14,'AccDep LinkIn'!$A$5:$A$16,0),MATCH(FY_End,'AccDep LinkIn'!$C$2:$AE$2,0))</f>
        <v>0</v>
      </c>
      <c r="H14" s="51"/>
      <c r="I14" s="17"/>
      <c r="J14" s="17"/>
      <c r="K14" s="17"/>
    </row>
    <row r="15" spans="1:13" x14ac:dyDescent="0.45">
      <c r="B15" s="65">
        <v>4</v>
      </c>
      <c r="C15" s="18">
        <v>310.10000000000002</v>
      </c>
      <c r="D15" s="18" t="s">
        <v>23</v>
      </c>
      <c r="E15" s="51"/>
      <c r="F15" s="17">
        <f>'UPIS - FY B2'!L15</f>
        <v>50250</v>
      </c>
      <c r="G15" s="17">
        <f>INDEX('AccDep LinkIn'!$C$5:$AE$16,MATCH($C15,'AccDep LinkIn'!$A$5:$A$16,0),MATCH(FY_End,'AccDep LinkIn'!$C$2:$AE$2,0))</f>
        <v>0</v>
      </c>
      <c r="I15" s="17"/>
      <c r="J15" s="17"/>
      <c r="K15" s="17"/>
    </row>
    <row r="16" spans="1:13" x14ac:dyDescent="0.45">
      <c r="B16" s="65">
        <v>5</v>
      </c>
      <c r="C16" s="18">
        <v>311</v>
      </c>
      <c r="D16" s="18" t="s">
        <v>24</v>
      </c>
      <c r="E16" s="51"/>
      <c r="F16" s="17">
        <f>'UPIS - FY B2'!L16</f>
        <v>612911.85</v>
      </c>
      <c r="G16" s="17">
        <f>INDEX('AccDep LinkIn'!$C$5:$AE$16,MATCH($C16,'AccDep LinkIn'!$A$5:$A$16,0),MATCH(FY_End,'AccDep LinkIn'!$C$2:$AE$2,0))</f>
        <v>63067.06339113383</v>
      </c>
      <c r="I16" s="57">
        <f>(1-L16)/M16</f>
        <v>3.6666666666666667E-2</v>
      </c>
      <c r="J16" s="17">
        <f>F16*I16</f>
        <v>22473.434499999999</v>
      </c>
      <c r="K16" s="17"/>
      <c r="L16" s="55">
        <v>-0.1</v>
      </c>
      <c r="M16" s="1">
        <v>30</v>
      </c>
    </row>
    <row r="17" spans="1:13" x14ac:dyDescent="0.45">
      <c r="B17" s="65">
        <v>6</v>
      </c>
      <c r="C17" s="18">
        <v>352.1</v>
      </c>
      <c r="D17" s="18" t="s">
        <v>25</v>
      </c>
      <c r="E17" s="51"/>
      <c r="F17" s="17">
        <f>'UPIS - FY B2'!L17</f>
        <v>1883507.3400000003</v>
      </c>
      <c r="G17" s="17">
        <f>INDEX('AccDep LinkIn'!$C$5:$AE$16,MATCH($C17,'AccDep LinkIn'!$A$5:$A$16,0),MATCH(FY_End,'AccDep LinkIn'!$C$2:$AE$2,0))</f>
        <v>57634.135750000009</v>
      </c>
      <c r="I17" s="57">
        <f t="shared" ref="I17:I19" si="0">(1-L17)/M17</f>
        <v>0.02</v>
      </c>
      <c r="J17" s="17">
        <f t="shared" ref="J17:J25" si="1">F17*I17</f>
        <v>37670.14680000001</v>
      </c>
      <c r="K17" s="17"/>
      <c r="L17" s="55">
        <v>0</v>
      </c>
      <c r="M17" s="1">
        <v>50</v>
      </c>
    </row>
    <row r="18" spans="1:13" x14ac:dyDescent="0.45">
      <c r="B18" s="65">
        <v>7</v>
      </c>
      <c r="C18" s="18">
        <v>352.2</v>
      </c>
      <c r="D18" s="23" t="s">
        <v>26</v>
      </c>
      <c r="E18" s="51"/>
      <c r="F18" s="17">
        <f>'UPIS - FY B2'!L18</f>
        <v>966563.6</v>
      </c>
      <c r="G18" s="17">
        <f>INDEX('AccDep LinkIn'!$C$5:$AE$16,MATCH($C18,'AccDep LinkIn'!$A$5:$A$16,0),MATCH(FY_End,'AccDep LinkIn'!$C$2:$AE$2,0))</f>
        <v>507429.14772306499</v>
      </c>
      <c r="I18" s="57">
        <f t="shared" si="0"/>
        <v>0.02</v>
      </c>
      <c r="J18" s="17">
        <f t="shared" si="1"/>
        <v>19331.272000000001</v>
      </c>
      <c r="K18" s="19"/>
      <c r="L18" s="55">
        <v>0</v>
      </c>
      <c r="M18" s="1">
        <v>50</v>
      </c>
    </row>
    <row r="19" spans="1:13" x14ac:dyDescent="0.45">
      <c r="B19" s="65">
        <v>8</v>
      </c>
      <c r="C19" s="18">
        <v>363</v>
      </c>
      <c r="D19" s="23" t="s">
        <v>27</v>
      </c>
      <c r="E19" s="51"/>
      <c r="F19" s="17">
        <f>'UPIS - FY B2'!L19</f>
        <v>233020.57</v>
      </c>
      <c r="G19" s="17">
        <f>INDEX('AccDep LinkIn'!$C$5:$AE$16,MATCH($C19,'AccDep LinkIn'!$A$5:$A$16,0),MATCH(FY_End,'AccDep LinkIn'!$C$2:$AE$2,0))</f>
        <v>50481.847583333343</v>
      </c>
      <c r="I19" s="57">
        <f t="shared" si="0"/>
        <v>0.1</v>
      </c>
      <c r="J19" s="17">
        <f t="shared" si="1"/>
        <v>23302.057000000001</v>
      </c>
      <c r="L19" s="55">
        <v>0</v>
      </c>
      <c r="M19" s="1">
        <v>10</v>
      </c>
    </row>
    <row r="20" spans="1:13" x14ac:dyDescent="0.45">
      <c r="B20" s="65">
        <v>9</v>
      </c>
      <c r="C20" s="18">
        <v>370</v>
      </c>
      <c r="D20" s="23" t="s">
        <v>23</v>
      </c>
      <c r="E20" s="51"/>
      <c r="F20" s="17">
        <f>'UPIS - FY B2'!L20</f>
        <v>10756.67</v>
      </c>
      <c r="G20" s="17">
        <f>INDEX('AccDep LinkIn'!$C$5:$AE$16,MATCH($C20,'AccDep LinkIn'!$A$5:$A$16,0),MATCH(FY_End,'AccDep LinkIn'!$C$2:$AE$2,0))</f>
        <v>0</v>
      </c>
      <c r="I20" s="57"/>
      <c r="J20" s="17">
        <f t="shared" si="1"/>
        <v>0</v>
      </c>
      <c r="L20" s="55"/>
    </row>
    <row r="21" spans="1:13" s="2" customFormat="1" x14ac:dyDescent="0.45">
      <c r="A21" s="1"/>
      <c r="B21" s="65">
        <v>10</v>
      </c>
      <c r="C21" s="18">
        <v>372</v>
      </c>
      <c r="D21" s="23" t="s">
        <v>28</v>
      </c>
      <c r="E21" s="51"/>
      <c r="F21" s="17">
        <f>'UPIS - FY B2'!L21</f>
        <v>2872715</v>
      </c>
      <c r="G21" s="17">
        <f>INDEX('AccDep LinkIn'!$C$5:$AE$16,MATCH($C21,'AccDep LinkIn'!$A$5:$A$16,0),MATCH(FY_End,'AccDep LinkIn'!$C$2:$AE$2,0))</f>
        <v>469431.83428884589</v>
      </c>
      <c r="H21" s="1"/>
      <c r="I21" s="57">
        <f>(1-L21)/M21</f>
        <v>0.05</v>
      </c>
      <c r="J21" s="17">
        <f t="shared" si="1"/>
        <v>143635.75</v>
      </c>
      <c r="K21" s="1"/>
      <c r="L21" s="55">
        <v>-0.1</v>
      </c>
      <c r="M21" s="1">
        <v>22</v>
      </c>
    </row>
    <row r="22" spans="1:13" s="2" customFormat="1" x14ac:dyDescent="0.45">
      <c r="A22" s="1"/>
      <c r="B22" s="65">
        <v>11</v>
      </c>
      <c r="C22" s="18">
        <v>373</v>
      </c>
      <c r="D22" s="23" t="s">
        <v>29</v>
      </c>
      <c r="E22" s="51"/>
      <c r="F22" s="17">
        <f>'UPIS - FY B2'!L22</f>
        <v>1043579.5795</v>
      </c>
      <c r="G22" s="17">
        <f>INDEX('AccDep LinkIn'!$C$5:$AE$16,MATCH($C22,'AccDep LinkIn'!$A$5:$A$16,0),MATCH(FY_End,'AccDep LinkIn'!$C$2:$AE$2,0))</f>
        <v>199227.57458125026</v>
      </c>
      <c r="H22" s="1"/>
      <c r="I22" s="57">
        <f t="shared" ref="I22:I25" si="2">(1-L22)/M22</f>
        <v>2.5000000000000001E-2</v>
      </c>
      <c r="J22" s="17">
        <f t="shared" si="1"/>
        <v>26089.489487500003</v>
      </c>
      <c r="K22" s="17"/>
      <c r="L22" s="55">
        <v>0</v>
      </c>
      <c r="M22" s="1">
        <v>40</v>
      </c>
    </row>
    <row r="23" spans="1:13" s="2" customFormat="1" x14ac:dyDescent="0.45">
      <c r="A23" s="1"/>
      <c r="B23" s="65">
        <v>12</v>
      </c>
      <c r="C23" s="18">
        <v>375</v>
      </c>
      <c r="D23" s="23" t="s">
        <v>30</v>
      </c>
      <c r="E23" s="51"/>
      <c r="F23" s="17">
        <f>'UPIS - FY B2'!L23</f>
        <v>33756.380000000005</v>
      </c>
      <c r="G23" s="17">
        <f>INDEX('AccDep LinkIn'!$C$5:$AE$16,MATCH($C23,'AccDep LinkIn'!$A$5:$A$16,0),MATCH(FY_End,'AccDep LinkIn'!$C$2:$AE$2,0))</f>
        <v>761.06726666666657</v>
      </c>
      <c r="H23" s="1"/>
      <c r="I23" s="57">
        <f t="shared" si="2"/>
        <v>0.02</v>
      </c>
      <c r="J23" s="17">
        <f t="shared" si="1"/>
        <v>675.12760000000014</v>
      </c>
      <c r="K23" s="17"/>
      <c r="L23" s="55">
        <v>0</v>
      </c>
      <c r="M23" s="1">
        <v>50</v>
      </c>
    </row>
    <row r="24" spans="1:13" s="2" customFormat="1" x14ac:dyDescent="0.45">
      <c r="A24" s="1"/>
      <c r="B24" s="65">
        <v>13</v>
      </c>
      <c r="C24" s="18">
        <v>391.1</v>
      </c>
      <c r="D24" s="23" t="s">
        <v>31</v>
      </c>
      <c r="E24" s="51"/>
      <c r="F24" s="17">
        <f>'UPIS - FY B2'!L24</f>
        <v>1853</v>
      </c>
      <c r="G24" s="17">
        <f>INDEX('AccDep LinkIn'!$C$5:$AE$16,MATCH($C24,'AccDep LinkIn'!$A$5:$A$16,0),MATCH(FY_End,'AccDep LinkIn'!$C$2:$AE$2,0))</f>
        <v>1853</v>
      </c>
      <c r="H24" s="1"/>
      <c r="I24" s="57">
        <f t="shared" si="2"/>
        <v>0.05</v>
      </c>
      <c r="J24" s="17">
        <f t="shared" si="1"/>
        <v>92.65</v>
      </c>
      <c r="K24" s="17"/>
      <c r="L24" s="55">
        <v>0</v>
      </c>
      <c r="M24" s="1">
        <v>20</v>
      </c>
    </row>
    <row r="25" spans="1:13" s="2" customFormat="1" x14ac:dyDescent="0.45">
      <c r="A25" s="1"/>
      <c r="B25" s="65">
        <v>14</v>
      </c>
      <c r="C25" s="18">
        <v>393</v>
      </c>
      <c r="D25" s="23" t="s">
        <v>32</v>
      </c>
      <c r="E25" s="51"/>
      <c r="F25" s="17">
        <f>'UPIS - FY B2'!L25</f>
        <v>229046.69949999999</v>
      </c>
      <c r="G25" s="17">
        <f>INDEX('AccDep LinkIn'!$C$5:$AE$16,MATCH($C25,'AccDep LinkIn'!$A$5:$A$16,0),MATCH(FY_End,'AccDep LinkIn'!$C$2:$AE$2,0))</f>
        <v>17672.374383333328</v>
      </c>
      <c r="H25" s="1"/>
      <c r="I25" s="57">
        <f t="shared" si="2"/>
        <v>6.6666666666666666E-2</v>
      </c>
      <c r="J25" s="17">
        <f t="shared" si="1"/>
        <v>15269.779966666665</v>
      </c>
      <c r="K25" s="17"/>
      <c r="L25" s="55">
        <v>0</v>
      </c>
      <c r="M25" s="1">
        <v>15</v>
      </c>
    </row>
    <row r="26" spans="1:13" s="2" customFormat="1" x14ac:dyDescent="0.45">
      <c r="A26" s="1"/>
      <c r="B26" s="65">
        <v>15</v>
      </c>
      <c r="C26" s="15"/>
      <c r="D26" s="22"/>
      <c r="E26" s="51"/>
      <c r="F26" s="17"/>
      <c r="G26" s="17"/>
      <c r="H26" s="1"/>
      <c r="I26" s="17"/>
      <c r="J26" s="17"/>
      <c r="K26" s="17"/>
    </row>
    <row r="27" spans="1:13" s="2" customFormat="1" x14ac:dyDescent="0.45">
      <c r="A27" s="1"/>
      <c r="B27" s="65">
        <v>16</v>
      </c>
      <c r="C27" s="15" t="s">
        <v>139</v>
      </c>
      <c r="D27" s="22" t="s">
        <v>137</v>
      </c>
      <c r="E27" s="51"/>
      <c r="F27" s="21">
        <f>'UPIS - FY B2'!L29</f>
        <v>2193629</v>
      </c>
      <c r="G27" s="21">
        <f>INDEX('AccDep LinkIn'!$C$5:$AE$17,MATCH("ACQ",'AccDep LinkIn'!$A$5:$A$17,0),MATCH(FY_End,'AccDep LinkIn'!$C$2:$AE$2,0))</f>
        <v>1353407.5705555556</v>
      </c>
      <c r="H27" s="1"/>
      <c r="I27" s="90">
        <f>MEDIAN(I16:I25)</f>
        <v>3.6666666666666667E-2</v>
      </c>
      <c r="J27" s="21">
        <f t="shared" ref="J27" si="3">F27*I27</f>
        <v>80433.063333333339</v>
      </c>
      <c r="K27" s="17"/>
      <c r="L27" s="27" t="s">
        <v>142</v>
      </c>
    </row>
    <row r="28" spans="1:13" s="2" customFormat="1" x14ac:dyDescent="0.45">
      <c r="A28" s="1"/>
      <c r="B28" s="65">
        <v>17</v>
      </c>
      <c r="C28" s="15"/>
      <c r="D28" s="94"/>
      <c r="E28" s="51"/>
      <c r="F28" s="17"/>
      <c r="G28" s="17"/>
      <c r="H28" s="1"/>
      <c r="I28" s="90"/>
      <c r="J28" s="95"/>
      <c r="K28" s="17"/>
    </row>
    <row r="29" spans="1:13" s="2" customFormat="1" ht="14.65" thickBot="1" x14ac:dyDescent="0.5">
      <c r="A29" s="1"/>
      <c r="B29" s="65">
        <v>18</v>
      </c>
      <c r="C29" s="15"/>
      <c r="D29" s="93" t="s">
        <v>48</v>
      </c>
      <c r="E29" s="54"/>
      <c r="F29" s="92">
        <f>SUM(F14:F25)</f>
        <v>7941660.6890000002</v>
      </c>
      <c r="G29" s="92">
        <f>SUM(G14:G25)</f>
        <v>1367558.0449676283</v>
      </c>
      <c r="H29" s="11"/>
      <c r="I29" s="19"/>
      <c r="J29" s="92">
        <f>SUM(J14:J25)</f>
        <v>288539.70735416666</v>
      </c>
      <c r="K29" s="17"/>
    </row>
    <row r="30" spans="1:13" s="2" customFormat="1" ht="14.65" thickTop="1" x14ac:dyDescent="0.45">
      <c r="A30" s="1"/>
      <c r="B30" s="65">
        <v>19</v>
      </c>
      <c r="C30" s="15"/>
      <c r="D30" s="22"/>
      <c r="E30" s="51"/>
      <c r="F30" s="17"/>
      <c r="G30" s="17"/>
      <c r="H30" s="1"/>
      <c r="I30" s="17"/>
      <c r="J30" s="17"/>
      <c r="K30" s="17"/>
    </row>
    <row r="31" spans="1:13" s="2" customFormat="1" x14ac:dyDescent="0.45">
      <c r="A31" s="1"/>
      <c r="B31" s="65"/>
      <c r="C31" s="15"/>
      <c r="D31" s="22"/>
      <c r="E31" s="1"/>
      <c r="F31" s="17"/>
      <c r="G31" s="19"/>
      <c r="H31" s="1"/>
      <c r="I31" s="19"/>
      <c r="J31" s="19"/>
      <c r="K31" s="19"/>
    </row>
    <row r="32" spans="1:13" s="2" customFormat="1" x14ac:dyDescent="0.45">
      <c r="A32" s="1"/>
      <c r="B32" s="65"/>
      <c r="C32" s="15"/>
      <c r="D32" s="22"/>
      <c r="E32" s="1"/>
      <c r="F32" s="17"/>
      <c r="G32" s="1"/>
      <c r="H32" s="1"/>
      <c r="I32" s="1"/>
      <c r="J32" s="1"/>
      <c r="K32" s="1"/>
    </row>
    <row r="33" spans="1:11" s="2" customFormat="1" x14ac:dyDescent="0.45">
      <c r="A33" s="1"/>
      <c r="B33" s="65"/>
      <c r="C33" s="15"/>
      <c r="D33" s="22"/>
      <c r="E33" s="1"/>
      <c r="F33" s="17"/>
      <c r="G33" s="17"/>
      <c r="H33" s="1"/>
      <c r="I33" s="17"/>
      <c r="J33" s="17"/>
      <c r="K33" s="17"/>
    </row>
    <row r="34" spans="1:11" s="2" customFormat="1" x14ac:dyDescent="0.45">
      <c r="A34" s="1"/>
      <c r="B34" s="65"/>
      <c r="C34" s="15"/>
      <c r="D34" s="22"/>
      <c r="E34" s="1"/>
      <c r="F34" s="17"/>
      <c r="G34" s="17"/>
      <c r="H34" s="1"/>
      <c r="I34" s="17"/>
      <c r="J34" s="17"/>
      <c r="K34" s="17"/>
    </row>
    <row r="35" spans="1:11" s="2" customFormat="1" x14ac:dyDescent="0.45">
      <c r="A35" s="1"/>
      <c r="B35" s="65"/>
      <c r="C35" s="15"/>
      <c r="D35" s="22"/>
      <c r="E35" s="1"/>
      <c r="F35" s="17"/>
      <c r="G35" s="17"/>
      <c r="H35" s="1"/>
      <c r="I35" s="17"/>
      <c r="J35" s="17"/>
      <c r="K35" s="17"/>
    </row>
    <row r="36" spans="1:11" s="2" customFormat="1" x14ac:dyDescent="0.45">
      <c r="A36" s="1"/>
      <c r="B36" s="65"/>
      <c r="C36" s="25"/>
      <c r="D36" s="22"/>
      <c r="E36" s="1"/>
      <c r="F36" s="17"/>
      <c r="G36" s="17"/>
      <c r="H36" s="1"/>
      <c r="I36" s="17"/>
      <c r="J36" s="17"/>
      <c r="K36" s="17"/>
    </row>
    <row r="37" spans="1:11" s="2" customFormat="1" x14ac:dyDescent="0.45">
      <c r="A37" s="1"/>
      <c r="B37" s="65"/>
      <c r="C37" s="15"/>
      <c r="D37" s="1"/>
      <c r="E37" s="1"/>
      <c r="F37" s="19"/>
      <c r="G37" s="17"/>
      <c r="H37" s="1"/>
      <c r="I37" s="17"/>
      <c r="J37" s="17"/>
      <c r="K37" s="17"/>
    </row>
    <row r="38" spans="1:11" s="2" customFormat="1" x14ac:dyDescent="0.45">
      <c r="A38" s="1"/>
      <c r="B38" s="65"/>
      <c r="C38" s="26"/>
      <c r="D38" s="1"/>
      <c r="E38" s="1"/>
      <c r="F38" s="1"/>
      <c r="G38" s="17"/>
      <c r="H38" s="1"/>
      <c r="I38" s="17"/>
      <c r="J38" s="17"/>
      <c r="K38" s="17"/>
    </row>
    <row r="39" spans="1:11" s="2" customFormat="1" x14ac:dyDescent="0.45">
      <c r="A39" s="1"/>
      <c r="B39" s="65"/>
      <c r="C39" s="15"/>
      <c r="D39" s="22"/>
      <c r="E39" s="1"/>
      <c r="F39" s="17"/>
      <c r="G39" s="17"/>
      <c r="H39" s="1"/>
      <c r="I39" s="17"/>
      <c r="J39" s="17"/>
      <c r="K39" s="17"/>
    </row>
    <row r="40" spans="1:11" s="2" customFormat="1" x14ac:dyDescent="0.45">
      <c r="A40" s="1"/>
      <c r="B40" s="65"/>
      <c r="C40" s="15"/>
      <c r="D40" s="22"/>
      <c r="E40" s="1"/>
      <c r="F40" s="17"/>
      <c r="G40" s="17"/>
      <c r="H40" s="1"/>
      <c r="I40" s="17"/>
      <c r="J40" s="17"/>
      <c r="K40" s="17"/>
    </row>
    <row r="41" spans="1:11" s="2" customFormat="1" x14ac:dyDescent="0.45">
      <c r="A41" s="1"/>
      <c r="B41" s="65"/>
      <c r="C41" s="15"/>
      <c r="D41" s="22"/>
      <c r="E41" s="1"/>
      <c r="F41" s="17"/>
      <c r="G41" s="17"/>
      <c r="H41" s="1"/>
      <c r="I41" s="17"/>
      <c r="J41" s="17"/>
      <c r="K41" s="17"/>
    </row>
    <row r="42" spans="1:11" s="2" customFormat="1" x14ac:dyDescent="0.45">
      <c r="A42" s="1"/>
      <c r="B42" s="65"/>
      <c r="C42" s="26"/>
      <c r="D42" s="1"/>
      <c r="E42" s="1"/>
      <c r="F42" s="1"/>
      <c r="G42" s="17"/>
      <c r="H42" s="1"/>
      <c r="I42" s="17"/>
      <c r="J42" s="17"/>
      <c r="K42" s="17"/>
    </row>
    <row r="43" spans="1:11" s="2" customFormat="1" x14ac:dyDescent="0.45">
      <c r="A43" s="1"/>
      <c r="B43" s="65"/>
      <c r="C43" s="15"/>
      <c r="D43" s="27"/>
      <c r="E43" s="1"/>
      <c r="F43" s="17"/>
      <c r="G43" s="19"/>
      <c r="H43" s="1"/>
      <c r="I43" s="19"/>
      <c r="J43" s="19"/>
      <c r="K43" s="19"/>
    </row>
    <row r="44" spans="1:11" s="2" customFormat="1" x14ac:dyDescent="0.45">
      <c r="A44" s="1"/>
      <c r="B44" s="65"/>
      <c r="C44" s="15"/>
      <c r="D44" s="1"/>
      <c r="E44" s="1"/>
      <c r="F44" s="1"/>
      <c r="G44" s="1"/>
      <c r="H44" s="1"/>
      <c r="I44" s="1"/>
      <c r="J44" s="1"/>
      <c r="K44" s="1"/>
    </row>
    <row r="45" spans="1:11" s="2" customFormat="1" x14ac:dyDescent="0.45">
      <c r="A45" s="1"/>
      <c r="B45" s="65"/>
      <c r="C45" s="26"/>
      <c r="D45" s="1"/>
      <c r="E45" s="1"/>
      <c r="F45" s="1"/>
      <c r="G45" s="17"/>
      <c r="H45" s="1"/>
      <c r="I45" s="17"/>
      <c r="J45" s="17"/>
      <c r="K45" s="17"/>
    </row>
    <row r="46" spans="1:11" s="2" customFormat="1" x14ac:dyDescent="0.45">
      <c r="A46" s="1"/>
      <c r="B46" s="65"/>
      <c r="C46" s="15"/>
      <c r="D46" s="27"/>
      <c r="E46" s="1"/>
      <c r="F46" s="17"/>
      <c r="G46" s="17"/>
      <c r="H46" s="1"/>
      <c r="I46" s="17"/>
      <c r="J46" s="17"/>
      <c r="K46" s="17"/>
    </row>
    <row r="47" spans="1:11" s="2" customFormat="1" x14ac:dyDescent="0.45">
      <c r="A47" s="1"/>
      <c r="B47" s="65"/>
      <c r="C47" s="1"/>
      <c r="D47" s="1"/>
      <c r="E47" s="1"/>
      <c r="F47" s="1"/>
      <c r="G47" s="17"/>
      <c r="H47" s="1"/>
      <c r="I47" s="17"/>
      <c r="J47" s="17"/>
      <c r="K47" s="17"/>
    </row>
    <row r="48" spans="1:11" s="2" customFormat="1" x14ac:dyDescent="0.45">
      <c r="A48" s="1"/>
      <c r="B48" s="65"/>
      <c r="C48" s="11"/>
      <c r="D48" s="1"/>
      <c r="E48" s="1"/>
      <c r="F48" s="17"/>
      <c r="G48" s="1"/>
      <c r="H48" s="1"/>
      <c r="I48" s="1"/>
      <c r="J48" s="1"/>
      <c r="K48" s="1"/>
    </row>
    <row r="49" spans="1:13" s="2" customFormat="1" x14ac:dyDescent="0.45">
      <c r="A49" s="1"/>
      <c r="B49" s="65"/>
      <c r="C49" s="1"/>
      <c r="D49" s="1"/>
      <c r="E49" s="1"/>
      <c r="F49" s="1"/>
      <c r="G49" s="17"/>
      <c r="H49" s="1"/>
      <c r="I49" s="17"/>
      <c r="J49" s="17"/>
      <c r="K49" s="17"/>
    </row>
    <row r="50" spans="1:13" s="2" customFormat="1" x14ac:dyDescent="0.45">
      <c r="A50" s="1"/>
      <c r="B50" s="65"/>
      <c r="C50" s="11"/>
      <c r="D50" s="1"/>
      <c r="E50" s="1"/>
      <c r="F50" s="19"/>
      <c r="G50" s="1"/>
      <c r="H50" s="1"/>
      <c r="I50" s="1"/>
      <c r="J50" s="1"/>
      <c r="K50" s="1"/>
    </row>
    <row r="51" spans="1:13" s="2" customFormat="1" x14ac:dyDescent="0.45">
      <c r="A51" s="1"/>
      <c r="B51" s="65"/>
      <c r="C51" s="1"/>
      <c r="D51" s="1"/>
      <c r="E51" s="1"/>
      <c r="F51" s="1"/>
      <c r="G51" s="1"/>
      <c r="H51" s="1"/>
      <c r="I51" s="1"/>
      <c r="J51" s="1"/>
      <c r="K51" s="1"/>
    </row>
    <row r="52" spans="1:13" s="2" customFormat="1" x14ac:dyDescent="0.45">
      <c r="A52" s="1"/>
      <c r="B52" s="65"/>
      <c r="C52" s="11"/>
      <c r="D52" s="1"/>
      <c r="E52" s="1"/>
      <c r="F52" s="19"/>
      <c r="G52" s="17"/>
      <c r="H52" s="1"/>
      <c r="I52" s="17"/>
      <c r="J52" s="17"/>
      <c r="K52" s="17"/>
    </row>
    <row r="53" spans="1:13" s="2" customFormat="1" x14ac:dyDescent="0.45">
      <c r="A53" s="1"/>
      <c r="B53" s="65"/>
      <c r="C53" s="11"/>
      <c r="D53" s="1"/>
      <c r="E53" s="1"/>
      <c r="F53" s="28"/>
      <c r="G53" s="1"/>
      <c r="H53" s="1"/>
      <c r="I53" s="1"/>
      <c r="J53" s="1"/>
      <c r="K53" s="1"/>
    </row>
    <row r="54" spans="1:13" s="2" customFormat="1" x14ac:dyDescent="0.45">
      <c r="A54" s="1"/>
      <c r="B54" s="65"/>
      <c r="C54" s="11"/>
      <c r="D54" s="1"/>
      <c r="E54" s="1"/>
      <c r="F54" s="1"/>
      <c r="G54" s="17"/>
      <c r="H54" s="1"/>
      <c r="I54" s="17"/>
      <c r="J54" s="17"/>
      <c r="K54" s="17"/>
    </row>
    <row r="55" spans="1:13" s="2" customFormat="1" x14ac:dyDescent="0.45">
      <c r="A55" s="1"/>
      <c r="B55" s="65"/>
      <c r="C55" s="11"/>
      <c r="D55" s="1"/>
      <c r="E55" s="1"/>
      <c r="F55" s="1"/>
      <c r="G55" s="1"/>
      <c r="H55" s="1"/>
      <c r="I55" s="1"/>
      <c r="J55" s="1"/>
      <c r="K55" s="1"/>
    </row>
    <row r="56" spans="1:13" s="2" customFormat="1" x14ac:dyDescent="0.45">
      <c r="A56" s="1"/>
      <c r="B56" s="65"/>
      <c r="C56" s="11"/>
      <c r="D56" s="1"/>
      <c r="E56" s="1"/>
      <c r="F56" s="1"/>
      <c r="G56" s="19"/>
      <c r="H56" s="1"/>
      <c r="I56" s="19"/>
      <c r="J56" s="19"/>
      <c r="K56" s="19"/>
    </row>
    <row r="57" spans="1:13" s="2" customFormat="1" x14ac:dyDescent="0.45">
      <c r="A57" s="1"/>
      <c r="B57" s="65"/>
      <c r="C57" s="1"/>
      <c r="D57" s="11"/>
      <c r="E57" s="1"/>
      <c r="F57" s="1"/>
      <c r="G57" s="1"/>
      <c r="H57" s="1"/>
      <c r="I57" s="1"/>
      <c r="J57" s="1"/>
      <c r="K57" s="1"/>
    </row>
    <row r="58" spans="1:13" s="2" customFormat="1" x14ac:dyDescent="0.45">
      <c r="A58" s="1"/>
      <c r="B58" s="65"/>
      <c r="C58" s="1"/>
      <c r="D58" s="1"/>
      <c r="E58" s="1"/>
      <c r="F58" s="1"/>
      <c r="G58" s="19"/>
      <c r="H58" s="1"/>
      <c r="I58" s="19"/>
      <c r="J58" s="19"/>
      <c r="K58" s="19"/>
    </row>
    <row r="59" spans="1:13" s="2" customFormat="1" x14ac:dyDescent="0.45">
      <c r="A59" s="1"/>
      <c r="B59" s="65"/>
      <c r="C59" s="1"/>
      <c r="D59" s="1"/>
      <c r="E59" s="1"/>
      <c r="F59" s="1"/>
      <c r="G59" s="28"/>
      <c r="H59" s="1"/>
      <c r="I59" s="29"/>
      <c r="J59" s="29"/>
      <c r="K59" s="29"/>
    </row>
    <row r="60" spans="1:13" s="2" customFormat="1" x14ac:dyDescent="0.45">
      <c r="A60" s="1"/>
      <c r="B60" s="65"/>
      <c r="C60" s="1"/>
      <c r="D60" s="1"/>
      <c r="E60" s="1"/>
      <c r="F60" s="1"/>
      <c r="G60" s="1"/>
      <c r="H60" s="1"/>
      <c r="I60" s="1"/>
      <c r="J60" s="1"/>
      <c r="K60" s="1"/>
    </row>
    <row r="61" spans="1:13" s="2" customFormat="1" x14ac:dyDescent="0.45">
      <c r="A61" s="1"/>
      <c r="B61" s="65"/>
      <c r="C61" s="1"/>
      <c r="D61" s="1"/>
      <c r="E61" s="1"/>
      <c r="F61" s="1"/>
      <c r="G61" s="1"/>
      <c r="H61" s="1"/>
      <c r="I61" s="1"/>
      <c r="J61" s="1"/>
      <c r="K61" s="1"/>
    </row>
    <row r="62" spans="1:13" s="2" customForma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3" x14ac:dyDescent="0.45">
      <c r="M63" s="2"/>
    </row>
  </sheetData>
  <mergeCells count="5">
    <mergeCell ref="A6:G6"/>
    <mergeCell ref="A1:M1"/>
    <mergeCell ref="A2:M2"/>
    <mergeCell ref="A3:M3"/>
    <mergeCell ref="A4:M4"/>
  </mergeCells>
  <pageMargins left="0.7" right="0.7" top="0.75" bottom="0.75" header="0.3" footer="0.3"/>
  <pageSetup scale="74" fitToHeight="0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673B3-A455-4204-BB18-8CFF69CB1932}">
  <sheetPr>
    <pageSetUpPr fitToPage="1"/>
  </sheetPr>
  <dimension ref="A1:N62"/>
  <sheetViews>
    <sheetView view="pageBreakPreview" topLeftCell="A11" zoomScaleNormal="110" zoomScaleSheetLayoutView="100" workbookViewId="0">
      <selection activeCell="H18" sqref="H18"/>
    </sheetView>
  </sheetViews>
  <sheetFormatPr defaultColWidth="9.1328125" defaultRowHeight="14.25" x14ac:dyDescent="0.45"/>
  <cols>
    <col min="1" max="1" width="4" style="1" customWidth="1"/>
    <col min="2" max="2" width="5.1328125" style="1" customWidth="1"/>
    <col min="3" max="3" width="50.59765625" style="1" bestFit="1" customWidth="1"/>
    <col min="4" max="4" width="23.73046875" style="1" customWidth="1"/>
    <col min="5" max="5" width="2.86328125" style="1" customWidth="1"/>
    <col min="6" max="7" width="13.59765625" style="1" customWidth="1"/>
    <col min="8" max="8" width="2.86328125" style="1" customWidth="1"/>
    <col min="9" max="9" width="13.59765625" style="1" customWidth="1"/>
    <col min="10" max="10" width="2.86328125" style="1" customWidth="1"/>
    <col min="11" max="11" width="13.59765625" style="1" customWidth="1"/>
    <col min="12" max="12" width="13.59765625" style="2" customWidth="1"/>
    <col min="13" max="13" width="2.86328125" style="2" customWidth="1"/>
    <col min="14" max="14" width="13.59765625" style="1" customWidth="1"/>
    <col min="15" max="16384" width="9.1328125" style="1"/>
  </cols>
  <sheetData>
    <row r="1" spans="1:14" ht="16.899999999999999" x14ac:dyDescent="0.5">
      <c r="A1" s="110" t="str">
        <f>[1]Reference!$B$2</f>
        <v>BLUEGRASS WATER UTILITY OPERATING COMPANY, LLC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x14ac:dyDescent="0.45">
      <c r="A2" s="111" t="str">
        <f>[1]Reference!$B$3</f>
        <v>Case No. 2020-00290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45">
      <c r="A3" s="111" t="s">
        <v>49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14" x14ac:dyDescent="0.45">
      <c r="A4" s="111" t="str">
        <f>'Constants LinkIn'!B9</f>
        <v>Base Year for the 12 Months ended December 31, 2020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4" x14ac:dyDescent="0.4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x14ac:dyDescent="0.45">
      <c r="A6" s="111"/>
      <c r="B6" s="111"/>
      <c r="C6" s="111"/>
      <c r="D6" s="111"/>
      <c r="E6" s="111"/>
      <c r="F6" s="111"/>
      <c r="G6" s="111"/>
      <c r="J6" s="3"/>
      <c r="N6" s="75" t="s">
        <v>114</v>
      </c>
    </row>
    <row r="7" spans="1:14" x14ac:dyDescent="0.45">
      <c r="A7" s="1" t="s">
        <v>14</v>
      </c>
      <c r="J7" s="3"/>
      <c r="N7" s="76" t="str">
        <f ca="1">RIGHT(CELL("filename",$A$1),LEN(CELL("filename",$A$1))-SEARCH("/Work Papers",CELL("filename",$A$1),1))</f>
        <v>Work Papers/Rate Base/[BGUOC 2020 Rate Case - Rate Base (Sewer).xlsx]CWIP - BY B4</v>
      </c>
    </row>
    <row r="8" spans="1:14" x14ac:dyDescent="0.45">
      <c r="A8" s="1" t="s">
        <v>15</v>
      </c>
      <c r="J8" s="3"/>
      <c r="N8" s="77" t="s">
        <v>109</v>
      </c>
    </row>
    <row r="9" spans="1:14" ht="14.65" thickBot="1" x14ac:dyDescent="0.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42.75" x14ac:dyDescent="0.45">
      <c r="B10" s="5" t="s">
        <v>0</v>
      </c>
      <c r="C10" s="5"/>
      <c r="E10" s="51"/>
      <c r="F10" s="6" t="s">
        <v>50</v>
      </c>
      <c r="G10" s="6" t="s">
        <v>51</v>
      </c>
      <c r="H10" s="53"/>
      <c r="I10" s="6" t="s">
        <v>52</v>
      </c>
      <c r="J10" s="49"/>
      <c r="K10" s="6" t="s">
        <v>53</v>
      </c>
      <c r="L10" s="6" t="s">
        <v>54</v>
      </c>
      <c r="M10" s="6"/>
      <c r="N10" s="6" t="s">
        <v>55</v>
      </c>
    </row>
    <row r="11" spans="1:14" ht="14.65" thickBot="1" x14ac:dyDescent="0.5">
      <c r="B11" s="8" t="s">
        <v>3</v>
      </c>
      <c r="C11" s="8" t="s">
        <v>56</v>
      </c>
      <c r="D11" s="8" t="s">
        <v>57</v>
      </c>
      <c r="E11" s="4"/>
      <c r="F11" s="9" t="s">
        <v>5</v>
      </c>
      <c r="G11" s="9" t="s">
        <v>5</v>
      </c>
      <c r="H11" s="9"/>
      <c r="I11" s="9" t="s">
        <v>5</v>
      </c>
      <c r="J11" s="9"/>
      <c r="K11" s="9" t="s">
        <v>5</v>
      </c>
      <c r="L11" s="9" t="s">
        <v>5</v>
      </c>
      <c r="M11" s="9"/>
      <c r="N11" s="9" t="s">
        <v>5</v>
      </c>
    </row>
    <row r="12" spans="1:14" s="11" customFormat="1" x14ac:dyDescent="0.45">
      <c r="B12" s="65">
        <v>1</v>
      </c>
      <c r="D12" s="12"/>
      <c r="E12" s="54"/>
      <c r="F12" s="13"/>
      <c r="G12" s="13"/>
      <c r="H12" s="54"/>
      <c r="I12" s="13"/>
      <c r="J12" s="52"/>
      <c r="K12" s="13"/>
      <c r="L12" s="14"/>
      <c r="M12" s="14"/>
    </row>
    <row r="13" spans="1:14" x14ac:dyDescent="0.45">
      <c r="B13" s="65">
        <v>2</v>
      </c>
      <c r="C13" s="1" t="s">
        <v>82</v>
      </c>
      <c r="D13" s="18" t="s">
        <v>58</v>
      </c>
      <c r="E13" s="51"/>
      <c r="F13" s="61">
        <v>44104.333333333336</v>
      </c>
      <c r="G13" s="61">
        <v>44258.70833332176</v>
      </c>
      <c r="H13" s="51"/>
      <c r="I13" s="63">
        <f>(BY_end-F13)/(G13-F13)</f>
        <v>0.59379217278405183</v>
      </c>
      <c r="J13" s="17"/>
      <c r="K13" s="17">
        <v>230000</v>
      </c>
      <c r="L13" s="17">
        <v>230000</v>
      </c>
      <c r="N13" s="64">
        <f>L13*I13</f>
        <v>136572.19974033191</v>
      </c>
    </row>
    <row r="14" spans="1:14" x14ac:dyDescent="0.45">
      <c r="B14" s="65">
        <v>3</v>
      </c>
      <c r="C14" s="1" t="s">
        <v>83</v>
      </c>
      <c r="D14" s="18" t="s">
        <v>59</v>
      </c>
      <c r="E14" s="51"/>
      <c r="F14" s="61">
        <v>44104.333333333336</v>
      </c>
      <c r="G14" s="61">
        <v>44320.70833332176</v>
      </c>
      <c r="I14" s="63">
        <f t="shared" ref="I14:I22" si="0">(BY_end-F14)/(G14-F14)</f>
        <v>0.42364721743070316</v>
      </c>
      <c r="J14" s="17"/>
      <c r="K14" s="17">
        <v>650000</v>
      </c>
      <c r="L14" s="17">
        <v>650000</v>
      </c>
      <c r="N14" s="64">
        <f t="shared" ref="N14:N21" si="1">L14*I14</f>
        <v>275370.69132995704</v>
      </c>
    </row>
    <row r="15" spans="1:14" x14ac:dyDescent="0.45">
      <c r="B15" s="65">
        <v>4</v>
      </c>
      <c r="C15" s="1" t="s">
        <v>84</v>
      </c>
      <c r="D15" s="18" t="s">
        <v>60</v>
      </c>
      <c r="E15" s="51"/>
      <c r="F15" s="61">
        <v>44104.333333333336</v>
      </c>
      <c r="G15" s="61">
        <v>44277.70833332176</v>
      </c>
      <c r="I15" s="63">
        <f t="shared" si="0"/>
        <v>0.52871905795405749</v>
      </c>
      <c r="J15" s="17"/>
      <c r="K15" s="17">
        <v>105000</v>
      </c>
      <c r="L15" s="17">
        <v>105000</v>
      </c>
      <c r="M15" s="55"/>
      <c r="N15" s="64">
        <f t="shared" si="1"/>
        <v>55515.501085176038</v>
      </c>
    </row>
    <row r="16" spans="1:14" x14ac:dyDescent="0.45">
      <c r="B16" s="65">
        <v>5</v>
      </c>
      <c r="C16" s="18" t="s">
        <v>81</v>
      </c>
      <c r="D16" s="18" t="s">
        <v>61</v>
      </c>
      <c r="E16" s="51"/>
      <c r="F16" s="61">
        <v>44104.333333333336</v>
      </c>
      <c r="G16" s="61">
        <v>44291.70833332176</v>
      </c>
      <c r="I16" s="63">
        <f t="shared" si="0"/>
        <v>0.48921503227392887</v>
      </c>
      <c r="J16" s="17"/>
      <c r="K16" s="17">
        <v>15000</v>
      </c>
      <c r="L16" s="17">
        <v>15000</v>
      </c>
      <c r="M16" s="55"/>
      <c r="N16" s="64">
        <f t="shared" si="1"/>
        <v>7338.2254841089334</v>
      </c>
    </row>
    <row r="17" spans="1:14" x14ac:dyDescent="0.45">
      <c r="B17" s="65">
        <v>6</v>
      </c>
      <c r="C17" s="18" t="s">
        <v>80</v>
      </c>
      <c r="D17" s="18" t="s">
        <v>62</v>
      </c>
      <c r="E17" s="51"/>
      <c r="F17" s="61">
        <v>44104.333333333336</v>
      </c>
      <c r="G17" s="61">
        <v>44287.70833332176</v>
      </c>
      <c r="I17" s="63">
        <f t="shared" si="0"/>
        <v>0.49988638948848507</v>
      </c>
      <c r="J17" s="19"/>
      <c r="K17" s="17">
        <v>155000</v>
      </c>
      <c r="L17" s="17">
        <v>155000</v>
      </c>
      <c r="M17" s="55"/>
      <c r="N17" s="64">
        <f t="shared" si="1"/>
        <v>77482.390370715191</v>
      </c>
    </row>
    <row r="18" spans="1:14" x14ac:dyDescent="0.45">
      <c r="B18" s="65">
        <v>7</v>
      </c>
      <c r="C18" s="18" t="s">
        <v>81</v>
      </c>
      <c r="D18" s="18" t="s">
        <v>63</v>
      </c>
      <c r="E18" s="51"/>
      <c r="F18" s="61">
        <v>44104.333333333336</v>
      </c>
      <c r="G18" s="61">
        <v>44208.70833332176</v>
      </c>
      <c r="I18" s="63">
        <f t="shared" si="0"/>
        <v>0.87824351307143311</v>
      </c>
      <c r="K18" s="17">
        <v>36500</v>
      </c>
      <c r="L18" s="17">
        <v>36500</v>
      </c>
      <c r="M18" s="55"/>
      <c r="N18" s="64">
        <f t="shared" si="1"/>
        <v>32055.888227107309</v>
      </c>
    </row>
    <row r="19" spans="1:14" x14ac:dyDescent="0.45">
      <c r="B19" s="65">
        <v>8</v>
      </c>
      <c r="C19" s="1" t="s">
        <v>85</v>
      </c>
      <c r="D19" s="18" t="s">
        <v>64</v>
      </c>
      <c r="E19" s="51"/>
      <c r="F19" s="61">
        <v>44104.333333333336</v>
      </c>
      <c r="G19" s="61">
        <v>44300.70833332176</v>
      </c>
      <c r="I19" s="63">
        <f t="shared" si="0"/>
        <v>0.46679397414165691</v>
      </c>
      <c r="K19" s="17">
        <v>136500</v>
      </c>
      <c r="L19" s="17">
        <v>136500</v>
      </c>
      <c r="M19" s="55"/>
      <c r="N19" s="64">
        <f t="shared" si="1"/>
        <v>63717.377470336171</v>
      </c>
    </row>
    <row r="20" spans="1:14" x14ac:dyDescent="0.45">
      <c r="B20" s="65">
        <v>9</v>
      </c>
      <c r="C20" s="1" t="s">
        <v>86</v>
      </c>
      <c r="D20" s="18" t="s">
        <v>65</v>
      </c>
      <c r="E20" s="51"/>
      <c r="F20" s="61">
        <v>44104.333333333336</v>
      </c>
      <c r="G20" s="61">
        <v>44285.70833332176</v>
      </c>
      <c r="I20" s="63">
        <f t="shared" si="0"/>
        <v>0.50539857572716618</v>
      </c>
      <c r="K20" s="17">
        <v>46000</v>
      </c>
      <c r="L20" s="17">
        <v>46000</v>
      </c>
      <c r="M20" s="55"/>
      <c r="N20" s="64">
        <f t="shared" si="1"/>
        <v>23248.334483449646</v>
      </c>
    </row>
    <row r="21" spans="1:14" s="2" customFormat="1" x14ac:dyDescent="0.45">
      <c r="A21" s="1"/>
      <c r="B21" s="65">
        <v>10</v>
      </c>
      <c r="C21" s="18" t="s">
        <v>88</v>
      </c>
      <c r="D21" s="18" t="s">
        <v>66</v>
      </c>
      <c r="E21" s="51"/>
      <c r="F21" s="61">
        <v>43952.333333333336</v>
      </c>
      <c r="G21" s="61">
        <v>44285.70833332176</v>
      </c>
      <c r="H21" s="1"/>
      <c r="I21" s="63">
        <f t="shared" si="0"/>
        <v>0.73090863644582005</v>
      </c>
      <c r="J21" s="17"/>
      <c r="K21" s="17">
        <v>145500</v>
      </c>
      <c r="L21" s="17">
        <v>145500</v>
      </c>
      <c r="M21" s="55"/>
      <c r="N21" s="64">
        <f t="shared" si="1"/>
        <v>106347.20660286682</v>
      </c>
    </row>
    <row r="22" spans="1:14" s="2" customFormat="1" x14ac:dyDescent="0.45">
      <c r="A22" s="1"/>
      <c r="B22" s="65">
        <v>11</v>
      </c>
      <c r="C22" s="18" t="s">
        <v>87</v>
      </c>
      <c r="D22" s="18" t="s">
        <v>67</v>
      </c>
      <c r="E22" s="51"/>
      <c r="F22" s="61">
        <v>44104.333333333336</v>
      </c>
      <c r="G22" s="61">
        <v>44285.70833332176</v>
      </c>
      <c r="H22" s="1"/>
      <c r="I22" s="63">
        <f t="shared" si="0"/>
        <v>0.50539857572716618</v>
      </c>
      <c r="J22" s="17"/>
      <c r="K22" s="17">
        <v>205000</v>
      </c>
      <c r="L22" s="17">
        <v>205000</v>
      </c>
      <c r="M22" s="55"/>
      <c r="N22" s="64">
        <f t="shared" ref="N22" si="2">L22*I22</f>
        <v>103606.70802406907</v>
      </c>
    </row>
    <row r="23" spans="1:14" s="2" customFormat="1" x14ac:dyDescent="0.45">
      <c r="A23" s="1"/>
      <c r="B23" s="65">
        <v>12</v>
      </c>
      <c r="C23" s="30"/>
      <c r="D23" s="30"/>
      <c r="E23" s="51"/>
      <c r="F23" s="61"/>
      <c r="G23" s="61"/>
      <c r="H23" s="1"/>
      <c r="I23" s="63"/>
      <c r="J23" s="17"/>
      <c r="K23" s="17"/>
      <c r="L23" s="17"/>
      <c r="M23" s="55"/>
      <c r="N23" s="64"/>
    </row>
    <row r="24" spans="1:14" s="2" customFormat="1" x14ac:dyDescent="0.45">
      <c r="A24" s="1"/>
      <c r="B24" s="65">
        <v>13</v>
      </c>
      <c r="C24" s="18"/>
      <c r="D24" s="67"/>
      <c r="E24" s="51"/>
      <c r="F24" s="61"/>
      <c r="G24" s="61"/>
      <c r="H24" s="1"/>
      <c r="I24" s="63"/>
      <c r="J24" s="17"/>
      <c r="K24" s="17"/>
      <c r="L24" s="17"/>
      <c r="M24" s="55"/>
      <c r="N24" s="64"/>
    </row>
    <row r="25" spans="1:14" s="2" customFormat="1" x14ac:dyDescent="0.45">
      <c r="A25" s="1"/>
      <c r="B25" s="65">
        <v>14</v>
      </c>
      <c r="C25" s="18"/>
      <c r="D25" s="67"/>
      <c r="E25" s="51"/>
      <c r="F25" s="61"/>
      <c r="G25" s="61"/>
      <c r="H25" s="1"/>
      <c r="I25" s="63"/>
      <c r="J25" s="17"/>
      <c r="K25" s="17"/>
      <c r="L25" s="17"/>
      <c r="N25" s="64"/>
    </row>
    <row r="26" spans="1:14" s="2" customFormat="1" x14ac:dyDescent="0.45">
      <c r="A26" s="1"/>
      <c r="B26" s="65">
        <v>15</v>
      </c>
      <c r="C26" s="18"/>
      <c r="D26" s="67"/>
      <c r="E26" s="51"/>
      <c r="F26" s="61"/>
      <c r="G26" s="61"/>
      <c r="H26" s="1"/>
      <c r="I26" s="63"/>
      <c r="J26" s="17"/>
      <c r="K26" s="17"/>
      <c r="L26" s="17"/>
      <c r="N26" s="64"/>
    </row>
    <row r="27" spans="1:14" s="2" customFormat="1" ht="14.65" thickBot="1" x14ac:dyDescent="0.5">
      <c r="A27" s="1"/>
      <c r="B27" s="65">
        <v>16</v>
      </c>
      <c r="C27" s="18"/>
      <c r="D27" s="18"/>
      <c r="E27" s="51"/>
      <c r="F27" s="61"/>
      <c r="G27" s="61"/>
      <c r="H27" s="1"/>
      <c r="I27" s="63"/>
      <c r="J27" s="17"/>
      <c r="K27" s="24">
        <f>SUM(K13:K22)</f>
        <v>1724500</v>
      </c>
      <c r="L27" s="24">
        <f>SUM(L13:L22)</f>
        <v>1724500</v>
      </c>
      <c r="N27" s="24">
        <f>SUM(N13:N22)</f>
        <v>881254.52281811822</v>
      </c>
    </row>
    <row r="28" spans="1:14" s="2" customFormat="1" ht="14.65" thickTop="1" x14ac:dyDescent="0.45">
      <c r="A28" s="1"/>
      <c r="B28" s="65">
        <v>17</v>
      </c>
      <c r="C28" s="18"/>
      <c r="D28" s="18"/>
      <c r="E28" s="1"/>
      <c r="F28" s="61"/>
      <c r="G28" s="62"/>
      <c r="H28" s="1"/>
      <c r="I28" s="63"/>
      <c r="J28" s="19"/>
      <c r="K28" s="17"/>
      <c r="L28" s="17"/>
      <c r="N28" s="64"/>
    </row>
    <row r="29" spans="1:14" s="2" customFormat="1" x14ac:dyDescent="0.45">
      <c r="A29" s="1"/>
      <c r="B29" s="65">
        <v>18</v>
      </c>
      <c r="C29" s="18"/>
      <c r="D29" s="18"/>
      <c r="E29" s="1"/>
      <c r="F29" s="61"/>
      <c r="G29" s="61"/>
      <c r="H29" s="1"/>
      <c r="I29" s="63"/>
      <c r="J29" s="1"/>
      <c r="K29" s="17"/>
      <c r="L29" s="17"/>
      <c r="N29" s="64"/>
    </row>
    <row r="30" spans="1:14" s="2" customFormat="1" x14ac:dyDescent="0.45">
      <c r="A30" s="1"/>
      <c r="B30" s="65">
        <v>19</v>
      </c>
      <c r="C30" s="18"/>
      <c r="D30" s="18"/>
      <c r="E30" s="1"/>
      <c r="F30" s="61"/>
      <c r="G30" s="61"/>
      <c r="H30" s="1"/>
      <c r="I30" s="63"/>
      <c r="J30" s="17"/>
      <c r="K30" s="17"/>
      <c r="L30" s="17"/>
      <c r="N30" s="64"/>
    </row>
    <row r="31" spans="1:14" s="2" customFormat="1" x14ac:dyDescent="0.45">
      <c r="A31" s="1"/>
      <c r="B31" s="65">
        <v>20</v>
      </c>
      <c r="C31" s="18"/>
      <c r="D31" s="18"/>
      <c r="E31" s="1"/>
      <c r="F31" s="17"/>
      <c r="G31" s="17"/>
      <c r="H31" s="1"/>
      <c r="I31" s="17"/>
      <c r="J31" s="17"/>
      <c r="K31" s="17"/>
    </row>
    <row r="32" spans="1:14" s="2" customFormat="1" x14ac:dyDescent="0.45">
      <c r="A32" s="1"/>
      <c r="B32" s="65">
        <v>21</v>
      </c>
      <c r="C32" s="18"/>
      <c r="D32" s="18"/>
      <c r="E32" s="1"/>
      <c r="F32" s="17"/>
      <c r="G32" s="17"/>
      <c r="H32" s="1"/>
      <c r="I32" s="17"/>
      <c r="J32" s="17"/>
      <c r="K32" s="17"/>
    </row>
    <row r="33" spans="1:11" s="2" customFormat="1" x14ac:dyDescent="0.45">
      <c r="A33" s="1"/>
      <c r="B33" s="65">
        <v>22</v>
      </c>
      <c r="C33" s="18"/>
      <c r="D33" s="18"/>
      <c r="E33" s="1"/>
      <c r="F33" s="17"/>
      <c r="G33" s="17"/>
      <c r="H33" s="1"/>
      <c r="I33" s="17"/>
      <c r="J33" s="17"/>
      <c r="K33" s="17"/>
    </row>
    <row r="34" spans="1:11" s="2" customFormat="1" x14ac:dyDescent="0.45">
      <c r="A34" s="1"/>
      <c r="B34" s="65">
        <v>23</v>
      </c>
      <c r="C34" s="18"/>
      <c r="D34" s="18"/>
      <c r="E34" s="1"/>
      <c r="F34" s="19"/>
      <c r="G34" s="17"/>
      <c r="H34" s="1"/>
      <c r="I34" s="17"/>
      <c r="J34" s="17"/>
      <c r="K34" s="17"/>
    </row>
    <row r="35" spans="1:11" s="2" customFormat="1" x14ac:dyDescent="0.45">
      <c r="A35" s="1"/>
      <c r="B35" s="65">
        <v>24</v>
      </c>
      <c r="C35" s="26"/>
      <c r="D35" s="1"/>
      <c r="E35" s="1"/>
      <c r="F35" s="1"/>
      <c r="G35" s="17"/>
      <c r="H35" s="1"/>
      <c r="I35" s="17"/>
      <c r="J35" s="17"/>
      <c r="K35" s="17"/>
    </row>
    <row r="36" spans="1:11" s="2" customFormat="1" x14ac:dyDescent="0.45">
      <c r="A36" s="1"/>
      <c r="B36" s="65">
        <v>25</v>
      </c>
      <c r="C36" s="15"/>
      <c r="D36" s="22"/>
      <c r="E36" s="1"/>
      <c r="F36" s="17"/>
      <c r="G36" s="17"/>
      <c r="H36" s="1"/>
      <c r="I36" s="17"/>
      <c r="J36" s="17"/>
      <c r="K36" s="17"/>
    </row>
    <row r="37" spans="1:11" s="2" customFormat="1" x14ac:dyDescent="0.45">
      <c r="A37" s="1"/>
      <c r="B37" s="65">
        <v>26</v>
      </c>
      <c r="C37" s="15"/>
      <c r="D37" s="22"/>
      <c r="E37" s="1"/>
      <c r="F37" s="17"/>
      <c r="G37" s="17"/>
      <c r="H37" s="1"/>
      <c r="I37" s="17"/>
      <c r="J37" s="17"/>
      <c r="K37" s="17"/>
    </row>
    <row r="38" spans="1:11" s="2" customFormat="1" x14ac:dyDescent="0.45">
      <c r="A38" s="1"/>
      <c r="B38" s="65">
        <v>27</v>
      </c>
      <c r="C38" s="15"/>
      <c r="D38" s="22"/>
      <c r="E38" s="1"/>
      <c r="F38" s="17"/>
      <c r="G38" s="17"/>
      <c r="H38" s="1"/>
      <c r="I38" s="17"/>
      <c r="J38" s="17"/>
      <c r="K38" s="17"/>
    </row>
    <row r="39" spans="1:11" s="2" customFormat="1" x14ac:dyDescent="0.45">
      <c r="A39" s="1"/>
      <c r="B39" s="65">
        <v>28</v>
      </c>
      <c r="C39" s="26"/>
      <c r="D39" s="1"/>
      <c r="E39" s="1"/>
      <c r="F39" s="1"/>
      <c r="G39" s="17"/>
      <c r="H39" s="1"/>
      <c r="I39" s="17"/>
      <c r="J39" s="17"/>
      <c r="K39" s="17"/>
    </row>
    <row r="40" spans="1:11" s="2" customFormat="1" x14ac:dyDescent="0.45">
      <c r="A40" s="1"/>
      <c r="B40" s="65">
        <v>29</v>
      </c>
      <c r="C40" s="15"/>
      <c r="D40" s="27"/>
      <c r="E40" s="1"/>
      <c r="F40" s="17"/>
      <c r="G40" s="19"/>
      <c r="H40" s="1"/>
      <c r="I40" s="19"/>
      <c r="J40" s="19"/>
      <c r="K40" s="19"/>
    </row>
    <row r="41" spans="1:11" s="2" customFormat="1" x14ac:dyDescent="0.45">
      <c r="A41" s="1"/>
      <c r="B41" s="65">
        <v>30</v>
      </c>
      <c r="C41" s="15"/>
      <c r="D41" s="1"/>
      <c r="E41" s="1"/>
      <c r="F41" s="1"/>
      <c r="G41" s="1"/>
      <c r="H41" s="1"/>
      <c r="I41" s="1"/>
      <c r="J41" s="1"/>
      <c r="K41" s="1"/>
    </row>
    <row r="42" spans="1:11" s="2" customFormat="1" x14ac:dyDescent="0.45">
      <c r="A42" s="1"/>
      <c r="B42" s="65">
        <v>31</v>
      </c>
      <c r="C42" s="26"/>
      <c r="D42" s="1"/>
      <c r="E42" s="1"/>
      <c r="F42" s="1"/>
      <c r="G42" s="17"/>
      <c r="H42" s="1"/>
      <c r="I42" s="17"/>
      <c r="J42" s="17"/>
      <c r="K42" s="17"/>
    </row>
    <row r="43" spans="1:11" s="2" customFormat="1" x14ac:dyDescent="0.45">
      <c r="A43" s="1"/>
      <c r="B43" s="65">
        <v>32</v>
      </c>
      <c r="C43" s="15"/>
      <c r="D43" s="27"/>
      <c r="E43" s="1"/>
      <c r="F43" s="17"/>
      <c r="G43" s="17"/>
      <c r="H43" s="1"/>
      <c r="I43" s="17"/>
      <c r="J43" s="17"/>
      <c r="K43" s="17"/>
    </row>
    <row r="44" spans="1:11" s="2" customFormat="1" x14ac:dyDescent="0.45">
      <c r="A44" s="1"/>
      <c r="B44" s="65">
        <v>33</v>
      </c>
      <c r="C44" s="1"/>
      <c r="D44" s="1"/>
      <c r="E44" s="1"/>
      <c r="F44" s="1"/>
      <c r="G44" s="17"/>
      <c r="H44" s="1"/>
      <c r="I44" s="17"/>
      <c r="J44" s="17"/>
      <c r="K44" s="17"/>
    </row>
    <row r="45" spans="1:11" s="2" customFormat="1" x14ac:dyDescent="0.45">
      <c r="A45" s="1"/>
      <c r="B45" s="65">
        <v>34</v>
      </c>
      <c r="C45" s="11"/>
      <c r="D45" s="1"/>
      <c r="E45" s="1"/>
      <c r="F45" s="17"/>
      <c r="G45" s="1"/>
      <c r="H45" s="1"/>
      <c r="I45" s="1"/>
      <c r="J45" s="1"/>
      <c r="K45" s="1"/>
    </row>
    <row r="46" spans="1:11" s="2" customFormat="1" x14ac:dyDescent="0.45">
      <c r="A46" s="1"/>
      <c r="B46" s="65">
        <v>35</v>
      </c>
      <c r="C46" s="1"/>
      <c r="D46" s="1"/>
      <c r="E46" s="1"/>
      <c r="F46" s="1"/>
      <c r="G46" s="17"/>
      <c r="H46" s="1"/>
      <c r="I46" s="17"/>
      <c r="J46" s="17"/>
      <c r="K46" s="17"/>
    </row>
    <row r="47" spans="1:11" s="2" customFormat="1" x14ac:dyDescent="0.45">
      <c r="A47" s="1"/>
      <c r="B47" s="65">
        <v>36</v>
      </c>
      <c r="C47" s="11"/>
      <c r="D47" s="1"/>
      <c r="E47" s="1"/>
      <c r="F47" s="19"/>
      <c r="G47" s="1"/>
      <c r="H47" s="1"/>
      <c r="I47" s="1"/>
      <c r="J47" s="1"/>
      <c r="K47" s="1"/>
    </row>
    <row r="48" spans="1:11" s="2" customFormat="1" x14ac:dyDescent="0.45">
      <c r="A48" s="1"/>
      <c r="B48" s="65">
        <v>37</v>
      </c>
      <c r="C48" s="1"/>
      <c r="D48" s="1"/>
      <c r="E48" s="1"/>
      <c r="F48" s="1"/>
      <c r="G48" s="1"/>
      <c r="H48" s="1"/>
      <c r="I48" s="1"/>
      <c r="J48" s="1"/>
      <c r="K48" s="1"/>
    </row>
    <row r="49" spans="1:14" s="2" customFormat="1" x14ac:dyDescent="0.45">
      <c r="A49" s="1"/>
      <c r="B49" s="65">
        <v>38</v>
      </c>
      <c r="C49" s="11"/>
      <c r="D49" s="1"/>
      <c r="E49" s="1"/>
      <c r="F49" s="19"/>
      <c r="G49" s="17"/>
      <c r="H49" s="1"/>
      <c r="I49" s="17"/>
      <c r="J49" s="17"/>
      <c r="K49" s="17"/>
    </row>
    <row r="50" spans="1:14" s="2" customFormat="1" x14ac:dyDescent="0.45">
      <c r="A50" s="1"/>
      <c r="B50" s="65">
        <v>39</v>
      </c>
      <c r="C50" s="11"/>
      <c r="D50" s="1"/>
      <c r="E50" s="1"/>
      <c r="F50" s="28"/>
      <c r="G50" s="1"/>
      <c r="H50" s="1"/>
      <c r="I50" s="1"/>
      <c r="J50" s="1"/>
      <c r="K50" s="1"/>
    </row>
    <row r="51" spans="1:14" s="2" customFormat="1" x14ac:dyDescent="0.45">
      <c r="A51" s="1"/>
      <c r="B51" s="65">
        <v>40</v>
      </c>
      <c r="C51" s="11"/>
      <c r="D51" s="1"/>
      <c r="E51" s="1"/>
      <c r="F51" s="1"/>
      <c r="G51" s="17"/>
      <c r="H51" s="1"/>
      <c r="I51" s="17"/>
      <c r="J51" s="17"/>
      <c r="K51" s="17"/>
    </row>
    <row r="52" spans="1:14" s="2" customFormat="1" x14ac:dyDescent="0.45">
      <c r="A52" s="1"/>
      <c r="B52" s="65">
        <v>41</v>
      </c>
      <c r="C52" s="11"/>
      <c r="D52" s="1"/>
      <c r="E52" s="1"/>
      <c r="F52" s="1"/>
      <c r="G52" s="1"/>
      <c r="H52" s="1"/>
      <c r="I52" s="1"/>
      <c r="J52" s="1"/>
      <c r="K52" s="1"/>
    </row>
    <row r="53" spans="1:14" s="2" customFormat="1" x14ac:dyDescent="0.45">
      <c r="A53" s="1"/>
      <c r="B53" s="65">
        <v>42</v>
      </c>
      <c r="C53" s="11"/>
      <c r="D53" s="1"/>
      <c r="E53" s="1"/>
      <c r="F53" s="1"/>
      <c r="G53" s="19"/>
      <c r="H53" s="1"/>
      <c r="I53" s="19"/>
      <c r="J53" s="19"/>
      <c r="K53" s="19"/>
    </row>
    <row r="54" spans="1:14" s="2" customFormat="1" x14ac:dyDescent="0.45">
      <c r="A54" s="1"/>
      <c r="B54" s="65">
        <v>43</v>
      </c>
      <c r="C54" s="1"/>
      <c r="D54" s="11"/>
      <c r="E54" s="1"/>
      <c r="F54" s="1"/>
      <c r="G54" s="1"/>
      <c r="H54" s="1"/>
      <c r="I54" s="1"/>
      <c r="J54" s="1"/>
      <c r="K54" s="1"/>
    </row>
    <row r="55" spans="1:14" s="2" customFormat="1" x14ac:dyDescent="0.45">
      <c r="A55" s="1"/>
      <c r="B55" s="65">
        <v>44</v>
      </c>
      <c r="C55" s="1"/>
      <c r="D55" s="1"/>
      <c r="E55" s="1"/>
      <c r="F55" s="1"/>
      <c r="G55" s="19"/>
      <c r="H55" s="1"/>
      <c r="I55" s="19"/>
      <c r="J55" s="19"/>
      <c r="K55" s="19"/>
    </row>
    <row r="56" spans="1:14" s="2" customFormat="1" x14ac:dyDescent="0.45">
      <c r="A56" s="1"/>
      <c r="B56" s="65">
        <v>45</v>
      </c>
      <c r="C56" s="1"/>
      <c r="D56" s="1"/>
      <c r="E56" s="1"/>
      <c r="F56" s="1"/>
      <c r="G56" s="28"/>
      <c r="H56" s="1"/>
      <c r="I56" s="29"/>
      <c r="J56" s="29"/>
      <c r="K56" s="29"/>
    </row>
    <row r="57" spans="1:14" s="2" customFormat="1" x14ac:dyDescent="0.45">
      <c r="A57" s="1"/>
      <c r="B57" s="65">
        <v>46</v>
      </c>
      <c r="C57" s="1"/>
      <c r="D57" s="1"/>
      <c r="E57" s="1"/>
      <c r="F57" s="1"/>
      <c r="G57" s="1"/>
      <c r="H57" s="1"/>
      <c r="I57" s="1"/>
      <c r="J57" s="1"/>
      <c r="K57" s="1"/>
    </row>
    <row r="58" spans="1:14" s="2" customFormat="1" x14ac:dyDescent="0.45">
      <c r="A58" s="1"/>
      <c r="B58" s="65">
        <v>47</v>
      </c>
      <c r="C58" s="1"/>
      <c r="D58" s="1"/>
      <c r="E58" s="1"/>
      <c r="F58" s="1"/>
      <c r="G58" s="1"/>
      <c r="H58" s="1"/>
      <c r="I58" s="1"/>
      <c r="J58" s="1"/>
      <c r="K58" s="1"/>
    </row>
    <row r="59" spans="1:14" s="2" customFormat="1" x14ac:dyDescent="0.45">
      <c r="A59" s="1"/>
      <c r="B59" s="65">
        <v>48</v>
      </c>
      <c r="C59" s="1"/>
      <c r="D59" s="1"/>
      <c r="E59" s="1"/>
      <c r="F59" s="1"/>
      <c r="G59" s="1"/>
      <c r="H59" s="1"/>
      <c r="I59" s="1"/>
      <c r="J59" s="1"/>
      <c r="K59" s="1"/>
    </row>
    <row r="60" spans="1:14" s="2" customFormat="1" x14ac:dyDescent="0.45">
      <c r="A60" s="1"/>
      <c r="B60" s="65">
        <v>49</v>
      </c>
      <c r="C60" s="1"/>
      <c r="D60" s="1"/>
      <c r="E60" s="1"/>
      <c r="F60" s="1"/>
      <c r="G60" s="1"/>
      <c r="H60" s="1"/>
      <c r="I60" s="1"/>
      <c r="J60" s="1"/>
      <c r="K60" s="1"/>
    </row>
    <row r="61" spans="1:14" s="2" customFormat="1" x14ac:dyDescent="0.45">
      <c r="A61" s="1"/>
      <c r="B61" s="65">
        <v>50</v>
      </c>
      <c r="C61" s="1"/>
      <c r="D61" s="1"/>
      <c r="E61" s="1"/>
      <c r="F61" s="1"/>
      <c r="G61" s="1"/>
      <c r="H61" s="1"/>
      <c r="I61" s="1"/>
      <c r="J61" s="1"/>
      <c r="K61" s="1"/>
      <c r="N61" s="1"/>
    </row>
    <row r="62" spans="1:14" s="2" customForma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N62" s="1"/>
    </row>
  </sheetData>
  <mergeCells count="5">
    <mergeCell ref="A6:G6"/>
    <mergeCell ref="A4:N4"/>
    <mergeCell ref="A1:N1"/>
    <mergeCell ref="A2:N2"/>
    <mergeCell ref="A3:N3"/>
  </mergeCells>
  <pageMargins left="0.7" right="0.7" top="0.75" bottom="0.75" header="0.3" footer="0.3"/>
  <pageSetup scale="70" fitToHeight="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C75B0-B57E-4BFB-9BA1-0BE7329B6E33}">
  <sheetPr>
    <pageSetUpPr fitToPage="1"/>
  </sheetPr>
  <dimension ref="A1:N62"/>
  <sheetViews>
    <sheetView view="pageBreakPreview" topLeftCell="A11" zoomScaleNormal="110" zoomScaleSheetLayoutView="100" workbookViewId="0">
      <selection activeCell="H18" sqref="H18"/>
    </sheetView>
  </sheetViews>
  <sheetFormatPr defaultColWidth="9.1328125" defaultRowHeight="14.25" x14ac:dyDescent="0.45"/>
  <cols>
    <col min="1" max="1" width="4" style="1" customWidth="1"/>
    <col min="2" max="2" width="5.1328125" style="1" customWidth="1"/>
    <col min="3" max="3" width="35" style="1" bestFit="1" customWidth="1"/>
    <col min="4" max="4" width="26.1328125" style="1" bestFit="1" customWidth="1"/>
    <col min="5" max="5" width="3.1328125" style="1" customWidth="1"/>
    <col min="6" max="7" width="14.73046875" style="1" customWidth="1"/>
    <col min="8" max="8" width="3.73046875" style="1" customWidth="1"/>
    <col min="9" max="9" width="14" style="1" customWidth="1"/>
    <col min="10" max="10" width="3.1328125" style="1" customWidth="1"/>
    <col min="11" max="11" width="14" style="1" customWidth="1"/>
    <col min="12" max="12" width="14" style="2" customWidth="1"/>
    <col min="13" max="13" width="4" style="2" customWidth="1"/>
    <col min="14" max="14" width="14" style="1" customWidth="1"/>
    <col min="15" max="16384" width="9.1328125" style="1"/>
  </cols>
  <sheetData>
    <row r="1" spans="1:14" ht="16.899999999999999" x14ac:dyDescent="0.5">
      <c r="A1" s="110" t="str">
        <f>[1]Reference!$B$2</f>
        <v>BLUEGRASS WATER UTILITY OPERATING COMPANY, LLC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x14ac:dyDescent="0.45">
      <c r="A2" s="111" t="str">
        <f>[1]Reference!$B$3</f>
        <v>Case No. 2020-00290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45">
      <c r="A3" s="111" t="s">
        <v>49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14" x14ac:dyDescent="0.45">
      <c r="A4" s="112" t="str">
        <f>'Constants LinkIn'!B11</f>
        <v>Forecast Year for the 12 Months ended April 30, 2022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4" x14ac:dyDescent="0.4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x14ac:dyDescent="0.45">
      <c r="A6" s="111"/>
      <c r="B6" s="111"/>
      <c r="C6" s="111"/>
      <c r="D6" s="111"/>
      <c r="E6" s="111"/>
      <c r="F6" s="111"/>
      <c r="G6" s="111"/>
      <c r="J6" s="3"/>
      <c r="N6" s="75" t="s">
        <v>114</v>
      </c>
    </row>
    <row r="7" spans="1:14" x14ac:dyDescent="0.45">
      <c r="A7" s="1" t="s">
        <v>33</v>
      </c>
      <c r="J7" s="3"/>
      <c r="N7" s="76" t="str">
        <f ca="1">RIGHT(CELL("filename",$A$1),LEN(CELL("filename",$A$1))-SEARCH("/Work Papers",CELL("filename",$A$1),1))</f>
        <v>Work Papers/Rate Base/[BGUOC 2020 Rate Case - Rate Base (Sewer).xlsx]CWIP - FY B4</v>
      </c>
    </row>
    <row r="8" spans="1:14" x14ac:dyDescent="0.45">
      <c r="A8" s="1" t="s">
        <v>15</v>
      </c>
      <c r="J8" s="3"/>
      <c r="N8" s="77" t="s">
        <v>109</v>
      </c>
    </row>
    <row r="9" spans="1:14" ht="14.65" thickBot="1" x14ac:dyDescent="0.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42.75" x14ac:dyDescent="0.45">
      <c r="B10" s="5" t="s">
        <v>0</v>
      </c>
      <c r="C10" s="5"/>
      <c r="E10" s="51"/>
      <c r="F10" s="6" t="s">
        <v>50</v>
      </c>
      <c r="G10" s="6" t="s">
        <v>51</v>
      </c>
      <c r="H10" s="53"/>
      <c r="I10" s="6" t="s">
        <v>52</v>
      </c>
      <c r="J10" s="49"/>
      <c r="K10" s="6" t="s">
        <v>53</v>
      </c>
      <c r="L10" s="6" t="s">
        <v>54</v>
      </c>
      <c r="M10" s="6"/>
      <c r="N10" s="6" t="s">
        <v>55</v>
      </c>
    </row>
    <row r="11" spans="1:14" ht="14.65" thickBot="1" x14ac:dyDescent="0.5">
      <c r="B11" s="8" t="s">
        <v>3</v>
      </c>
      <c r="C11" s="8" t="s">
        <v>56</v>
      </c>
      <c r="D11" s="8" t="s">
        <v>57</v>
      </c>
      <c r="E11" s="4"/>
      <c r="F11" s="9" t="s">
        <v>5</v>
      </c>
      <c r="G11" s="9" t="s">
        <v>5</v>
      </c>
      <c r="H11" s="9"/>
      <c r="I11" s="9" t="s">
        <v>5</v>
      </c>
      <c r="J11" s="9"/>
      <c r="K11" s="9" t="s">
        <v>5</v>
      </c>
      <c r="L11" s="9" t="s">
        <v>5</v>
      </c>
      <c r="M11" s="9"/>
      <c r="N11" s="9" t="s">
        <v>5</v>
      </c>
    </row>
    <row r="12" spans="1:14" s="11" customFormat="1" x14ac:dyDescent="0.45">
      <c r="B12" s="65">
        <v>1</v>
      </c>
      <c r="D12" s="12"/>
      <c r="E12" s="54"/>
      <c r="F12" s="13"/>
      <c r="G12" s="13"/>
      <c r="H12" s="54"/>
      <c r="I12" s="13"/>
      <c r="J12" s="52"/>
      <c r="K12" s="13"/>
      <c r="L12" s="14"/>
      <c r="M12" s="14"/>
    </row>
    <row r="13" spans="1:14" x14ac:dyDescent="0.45">
      <c r="B13" s="65">
        <v>2</v>
      </c>
      <c r="C13" s="30" t="s">
        <v>72</v>
      </c>
      <c r="D13" s="30" t="s">
        <v>74</v>
      </c>
      <c r="E13" s="66"/>
      <c r="F13" s="68">
        <v>44227</v>
      </c>
      <c r="G13" s="61">
        <v>44680</v>
      </c>
      <c r="H13" s="51"/>
      <c r="I13" s="63">
        <v>1</v>
      </c>
      <c r="J13" s="51"/>
      <c r="K13" s="17">
        <v>897000</v>
      </c>
      <c r="L13" s="17">
        <v>897000</v>
      </c>
      <c r="N13" s="64">
        <f>L13*I13</f>
        <v>897000</v>
      </c>
    </row>
    <row r="14" spans="1:14" x14ac:dyDescent="0.45">
      <c r="B14" s="65">
        <v>3</v>
      </c>
      <c r="C14" s="18" t="s">
        <v>78</v>
      </c>
      <c r="D14" s="67" t="s">
        <v>75</v>
      </c>
      <c r="E14" s="66"/>
      <c r="F14" s="68">
        <v>44227</v>
      </c>
      <c r="G14" s="61">
        <v>44680</v>
      </c>
      <c r="H14" s="51"/>
      <c r="I14" s="63">
        <v>1</v>
      </c>
      <c r="J14" s="17"/>
      <c r="K14" s="17">
        <v>172200</v>
      </c>
      <c r="L14" s="17">
        <v>172200</v>
      </c>
      <c r="N14" s="64">
        <f t="shared" ref="N14:N16" si="0">L14*I14</f>
        <v>172200</v>
      </c>
    </row>
    <row r="15" spans="1:14" x14ac:dyDescent="0.45">
      <c r="B15" s="65">
        <v>4</v>
      </c>
      <c r="C15" s="18" t="s">
        <v>73</v>
      </c>
      <c r="D15" s="67" t="s">
        <v>76</v>
      </c>
      <c r="E15" s="66"/>
      <c r="F15" s="68">
        <v>44227</v>
      </c>
      <c r="G15" s="61">
        <v>44680</v>
      </c>
      <c r="I15" s="63">
        <v>1</v>
      </c>
      <c r="J15" s="17"/>
      <c r="K15" s="17">
        <v>76000</v>
      </c>
      <c r="L15" s="17">
        <v>76000</v>
      </c>
      <c r="N15" s="64">
        <f t="shared" si="0"/>
        <v>76000</v>
      </c>
    </row>
    <row r="16" spans="1:14" x14ac:dyDescent="0.45">
      <c r="B16" s="65">
        <v>5</v>
      </c>
      <c r="C16" s="18" t="s">
        <v>79</v>
      </c>
      <c r="D16" s="67" t="s">
        <v>77</v>
      </c>
      <c r="E16" s="66"/>
      <c r="F16" s="68">
        <v>44227</v>
      </c>
      <c r="G16" s="61">
        <v>44680</v>
      </c>
      <c r="I16" s="63">
        <v>1</v>
      </c>
      <c r="J16" s="17"/>
      <c r="K16" s="17">
        <v>375500</v>
      </c>
      <c r="L16" s="17">
        <v>375500</v>
      </c>
      <c r="M16" s="55"/>
      <c r="N16" s="64">
        <f t="shared" si="0"/>
        <v>375500</v>
      </c>
    </row>
    <row r="17" spans="1:14" x14ac:dyDescent="0.45">
      <c r="B17" s="65">
        <v>6</v>
      </c>
      <c r="C17" s="18"/>
      <c r="D17" s="18"/>
      <c r="E17" s="51"/>
      <c r="F17" s="61"/>
      <c r="G17" s="61"/>
      <c r="I17" s="63"/>
      <c r="J17" s="17"/>
      <c r="K17" s="17"/>
      <c r="L17" s="17"/>
      <c r="M17" s="55"/>
      <c r="N17" s="64"/>
    </row>
    <row r="18" spans="1:14" x14ac:dyDescent="0.45">
      <c r="B18" s="65">
        <v>7</v>
      </c>
      <c r="C18" s="18"/>
      <c r="D18" s="18"/>
      <c r="E18" s="51"/>
      <c r="F18" s="61"/>
      <c r="G18" s="61"/>
      <c r="I18" s="63"/>
      <c r="J18" s="19"/>
      <c r="K18" s="17"/>
      <c r="L18" s="17"/>
      <c r="M18" s="55"/>
      <c r="N18" s="64"/>
    </row>
    <row r="19" spans="1:14" x14ac:dyDescent="0.45">
      <c r="B19" s="65">
        <v>8</v>
      </c>
      <c r="C19" s="18"/>
      <c r="D19" s="18"/>
      <c r="E19" s="51"/>
      <c r="F19" s="61"/>
      <c r="G19" s="61"/>
      <c r="I19" s="63"/>
      <c r="K19" s="17"/>
      <c r="L19" s="17"/>
      <c r="M19" s="55"/>
      <c r="N19" s="64"/>
    </row>
    <row r="20" spans="1:14" x14ac:dyDescent="0.45">
      <c r="B20" s="65">
        <v>9</v>
      </c>
      <c r="C20" s="18"/>
      <c r="D20" s="18"/>
      <c r="E20" s="51"/>
      <c r="F20" s="61"/>
      <c r="G20" s="61"/>
      <c r="I20" s="63"/>
      <c r="K20" s="17"/>
      <c r="L20" s="17"/>
      <c r="M20" s="55"/>
      <c r="N20" s="64"/>
    </row>
    <row r="21" spans="1:14" s="2" customFormat="1" x14ac:dyDescent="0.45">
      <c r="A21" s="1"/>
      <c r="B21" s="65">
        <v>10</v>
      </c>
      <c r="C21" s="18"/>
      <c r="D21" s="18"/>
      <c r="E21" s="51"/>
      <c r="F21" s="61"/>
      <c r="G21" s="61"/>
      <c r="H21" s="1"/>
      <c r="I21" s="63"/>
      <c r="J21" s="1"/>
      <c r="K21" s="17"/>
      <c r="L21" s="17"/>
      <c r="M21" s="55"/>
      <c r="N21" s="64"/>
    </row>
    <row r="22" spans="1:14" s="2" customFormat="1" x14ac:dyDescent="0.45">
      <c r="A22" s="1"/>
      <c r="B22" s="65">
        <v>11</v>
      </c>
      <c r="C22" s="18"/>
      <c r="D22" s="18"/>
      <c r="E22" s="51"/>
      <c r="F22" s="61"/>
      <c r="G22" s="61"/>
      <c r="H22" s="1"/>
      <c r="I22" s="63"/>
      <c r="J22" s="17"/>
      <c r="K22" s="17"/>
      <c r="L22" s="17"/>
      <c r="M22" s="55"/>
      <c r="N22" s="64"/>
    </row>
    <row r="23" spans="1:14" s="2" customFormat="1" x14ac:dyDescent="0.45">
      <c r="A23" s="1"/>
      <c r="B23" s="65">
        <v>12</v>
      </c>
      <c r="C23" s="18"/>
      <c r="D23" s="18"/>
      <c r="E23" s="51"/>
      <c r="F23" s="61"/>
      <c r="G23" s="61"/>
      <c r="H23" s="1"/>
      <c r="I23" s="63"/>
      <c r="J23" s="17"/>
      <c r="K23" s="17"/>
      <c r="L23" s="17"/>
      <c r="M23" s="55"/>
      <c r="N23" s="64"/>
    </row>
    <row r="24" spans="1:14" s="2" customFormat="1" x14ac:dyDescent="0.45">
      <c r="A24" s="1"/>
      <c r="B24" s="65">
        <v>13</v>
      </c>
      <c r="C24" s="18"/>
      <c r="D24" s="18"/>
      <c r="E24" s="51"/>
      <c r="F24" s="61"/>
      <c r="G24" s="61"/>
      <c r="H24" s="1"/>
      <c r="I24" s="63"/>
      <c r="J24" s="17"/>
      <c r="K24" s="17"/>
      <c r="L24" s="17"/>
      <c r="M24" s="55"/>
      <c r="N24" s="64"/>
    </row>
    <row r="25" spans="1:14" s="2" customFormat="1" x14ac:dyDescent="0.45">
      <c r="A25" s="1"/>
      <c r="B25" s="65">
        <v>14</v>
      </c>
      <c r="C25" s="18"/>
      <c r="D25" s="18"/>
      <c r="E25" s="51"/>
      <c r="F25" s="61"/>
      <c r="G25" s="61"/>
      <c r="H25" s="1"/>
      <c r="I25" s="63"/>
      <c r="J25" s="17"/>
      <c r="K25" s="17"/>
      <c r="L25" s="17"/>
      <c r="M25" s="55"/>
      <c r="N25" s="64"/>
    </row>
    <row r="26" spans="1:14" s="2" customFormat="1" x14ac:dyDescent="0.45">
      <c r="A26" s="1"/>
      <c r="B26" s="65">
        <v>15</v>
      </c>
      <c r="C26" s="18"/>
      <c r="D26" s="18"/>
      <c r="E26" s="51"/>
      <c r="F26" s="61"/>
      <c r="G26" s="61"/>
      <c r="H26" s="1"/>
      <c r="I26" s="63"/>
      <c r="J26" s="17"/>
      <c r="K26" s="17"/>
      <c r="L26" s="17"/>
      <c r="N26" s="64"/>
    </row>
    <row r="27" spans="1:14" s="2" customFormat="1" x14ac:dyDescent="0.45">
      <c r="A27" s="1"/>
      <c r="B27" s="65">
        <v>16</v>
      </c>
      <c r="C27" s="18"/>
      <c r="D27" s="18"/>
      <c r="E27" s="51"/>
      <c r="F27" s="61"/>
      <c r="G27" s="61"/>
      <c r="H27" s="1"/>
      <c r="I27" s="63"/>
      <c r="J27" s="17"/>
      <c r="K27" s="17"/>
      <c r="L27" s="17"/>
      <c r="N27" s="64"/>
    </row>
    <row r="28" spans="1:14" s="2" customFormat="1" ht="14.65" thickBot="1" x14ac:dyDescent="0.5">
      <c r="A28" s="1"/>
      <c r="B28" s="65">
        <v>17</v>
      </c>
      <c r="C28" s="18"/>
      <c r="D28" s="18"/>
      <c r="E28" s="51"/>
      <c r="F28" s="61"/>
      <c r="G28" s="61"/>
      <c r="H28" s="1"/>
      <c r="I28" s="63"/>
      <c r="J28" s="17"/>
      <c r="K28" s="24">
        <f>SUM(K13:K22)</f>
        <v>1520700</v>
      </c>
      <c r="L28" s="24">
        <f>SUM(L13:L22)</f>
        <v>1520700</v>
      </c>
      <c r="N28" s="24">
        <f>SUM(N13:N22)</f>
        <v>1520700</v>
      </c>
    </row>
    <row r="29" spans="1:14" s="2" customFormat="1" ht="14.65" thickTop="1" x14ac:dyDescent="0.45">
      <c r="A29" s="1"/>
      <c r="B29" s="65">
        <v>18</v>
      </c>
      <c r="C29" s="18"/>
      <c r="D29" s="18"/>
      <c r="E29" s="1"/>
      <c r="F29" s="61"/>
      <c r="G29" s="62"/>
      <c r="H29" s="1"/>
      <c r="I29" s="63"/>
      <c r="J29" s="19"/>
      <c r="K29" s="17"/>
      <c r="L29" s="17"/>
      <c r="N29" s="64"/>
    </row>
    <row r="30" spans="1:14" s="2" customFormat="1" x14ac:dyDescent="0.45">
      <c r="A30" s="1"/>
      <c r="B30" s="65">
        <v>19</v>
      </c>
      <c r="C30" s="18"/>
      <c r="D30" s="18"/>
      <c r="E30" s="1"/>
      <c r="F30" s="61"/>
      <c r="G30" s="61"/>
      <c r="H30" s="1"/>
      <c r="I30" s="63"/>
      <c r="J30" s="1"/>
      <c r="K30" s="17"/>
      <c r="L30" s="17"/>
      <c r="N30" s="64"/>
    </row>
    <row r="31" spans="1:14" s="2" customFormat="1" x14ac:dyDescent="0.45">
      <c r="A31" s="1"/>
      <c r="B31" s="65">
        <v>20</v>
      </c>
      <c r="C31" s="18"/>
      <c r="D31" s="18"/>
      <c r="E31" s="1"/>
      <c r="F31" s="61"/>
      <c r="G31" s="61"/>
      <c r="H31" s="1"/>
      <c r="I31" s="63"/>
      <c r="J31" s="17"/>
      <c r="K31" s="17"/>
      <c r="L31" s="17"/>
      <c r="N31" s="64"/>
    </row>
    <row r="32" spans="1:14" s="2" customFormat="1" x14ac:dyDescent="0.45">
      <c r="A32" s="1"/>
      <c r="B32" s="65">
        <v>21</v>
      </c>
      <c r="C32" s="18"/>
      <c r="D32" s="18"/>
      <c r="E32" s="1"/>
      <c r="F32" s="17"/>
      <c r="G32" s="17"/>
      <c r="H32" s="1"/>
      <c r="I32" s="17"/>
      <c r="J32" s="17"/>
      <c r="K32" s="17"/>
    </row>
    <row r="33" spans="1:11" s="2" customFormat="1" x14ac:dyDescent="0.45">
      <c r="A33" s="1"/>
      <c r="B33" s="65"/>
      <c r="C33" s="18"/>
      <c r="D33" s="18"/>
      <c r="E33" s="1"/>
      <c r="F33" s="17"/>
      <c r="G33" s="17"/>
      <c r="H33" s="1"/>
      <c r="I33" s="17"/>
      <c r="J33" s="17"/>
      <c r="K33" s="17"/>
    </row>
    <row r="34" spans="1:11" s="2" customFormat="1" x14ac:dyDescent="0.45">
      <c r="A34" s="1"/>
      <c r="B34" s="65"/>
      <c r="C34" s="18"/>
      <c r="D34" s="18"/>
      <c r="E34" s="1"/>
      <c r="F34" s="17"/>
      <c r="G34" s="17"/>
      <c r="H34" s="1"/>
      <c r="I34" s="17"/>
      <c r="J34" s="17"/>
      <c r="K34" s="17"/>
    </row>
    <row r="35" spans="1:11" s="2" customFormat="1" x14ac:dyDescent="0.45">
      <c r="A35" s="1"/>
      <c r="B35" s="65"/>
      <c r="C35" s="18"/>
      <c r="D35" s="18"/>
      <c r="E35" s="1"/>
      <c r="F35" s="19"/>
      <c r="G35" s="17"/>
      <c r="H35" s="1"/>
      <c r="I35" s="17"/>
      <c r="J35" s="17"/>
      <c r="K35" s="17"/>
    </row>
    <row r="36" spans="1:11" s="2" customFormat="1" x14ac:dyDescent="0.45">
      <c r="A36" s="1"/>
      <c r="B36" s="65"/>
      <c r="C36" s="26"/>
      <c r="D36" s="1"/>
      <c r="E36" s="1"/>
      <c r="F36" s="1"/>
      <c r="G36" s="17"/>
      <c r="H36" s="1"/>
      <c r="I36" s="17"/>
      <c r="J36" s="17"/>
      <c r="K36" s="17"/>
    </row>
    <row r="37" spans="1:11" s="2" customFormat="1" x14ac:dyDescent="0.45">
      <c r="A37" s="1"/>
      <c r="B37" s="65"/>
      <c r="C37" s="15"/>
      <c r="D37" s="22"/>
      <c r="E37" s="1"/>
      <c r="F37" s="17"/>
      <c r="G37" s="17"/>
      <c r="H37" s="1"/>
      <c r="I37" s="17"/>
      <c r="J37" s="17"/>
      <c r="K37" s="17"/>
    </row>
    <row r="38" spans="1:11" s="2" customFormat="1" x14ac:dyDescent="0.45">
      <c r="A38" s="1"/>
      <c r="B38" s="65"/>
      <c r="C38" s="15"/>
      <c r="D38" s="22"/>
      <c r="E38" s="1"/>
      <c r="F38" s="17"/>
      <c r="G38" s="17"/>
      <c r="H38" s="1"/>
      <c r="I38" s="17"/>
      <c r="J38" s="17"/>
      <c r="K38" s="17"/>
    </row>
    <row r="39" spans="1:11" s="2" customFormat="1" x14ac:dyDescent="0.45">
      <c r="A39" s="1"/>
      <c r="B39" s="65"/>
      <c r="C39" s="15"/>
      <c r="D39" s="22"/>
      <c r="E39" s="1"/>
      <c r="F39" s="17"/>
      <c r="G39" s="17"/>
      <c r="H39" s="1"/>
      <c r="I39" s="17"/>
      <c r="J39" s="17"/>
      <c r="K39" s="17"/>
    </row>
    <row r="40" spans="1:11" s="2" customFormat="1" x14ac:dyDescent="0.45">
      <c r="A40" s="1"/>
      <c r="B40" s="65"/>
      <c r="C40" s="26"/>
      <c r="D40" s="1"/>
      <c r="E40" s="1"/>
      <c r="F40" s="1"/>
      <c r="G40" s="17"/>
      <c r="H40" s="1"/>
      <c r="I40" s="17"/>
      <c r="J40" s="17"/>
      <c r="K40" s="17"/>
    </row>
    <row r="41" spans="1:11" s="2" customFormat="1" x14ac:dyDescent="0.45">
      <c r="A41" s="1"/>
      <c r="B41" s="65"/>
      <c r="C41" s="15"/>
      <c r="D41" s="27"/>
      <c r="E41" s="1"/>
      <c r="F41" s="17"/>
      <c r="G41" s="19"/>
      <c r="H41" s="1"/>
      <c r="I41" s="19"/>
      <c r="J41" s="19"/>
      <c r="K41" s="19"/>
    </row>
    <row r="42" spans="1:11" s="2" customFormat="1" x14ac:dyDescent="0.45">
      <c r="A42" s="1"/>
      <c r="B42" s="65"/>
      <c r="C42" s="15"/>
      <c r="D42" s="1"/>
      <c r="E42" s="1"/>
      <c r="F42" s="1"/>
      <c r="G42" s="1"/>
      <c r="H42" s="1"/>
      <c r="I42" s="1"/>
      <c r="J42" s="1"/>
      <c r="K42" s="1"/>
    </row>
    <row r="43" spans="1:11" s="2" customFormat="1" x14ac:dyDescent="0.45">
      <c r="A43" s="1"/>
      <c r="B43" s="65"/>
      <c r="C43" s="26"/>
      <c r="D43" s="1"/>
      <c r="E43" s="1"/>
      <c r="F43" s="1"/>
      <c r="G43" s="17"/>
      <c r="H43" s="1"/>
      <c r="I43" s="17"/>
      <c r="J43" s="17"/>
      <c r="K43" s="17"/>
    </row>
    <row r="44" spans="1:11" s="2" customFormat="1" x14ac:dyDescent="0.45">
      <c r="A44" s="1"/>
      <c r="B44" s="65"/>
      <c r="C44" s="15"/>
      <c r="D44" s="27"/>
      <c r="E44" s="1"/>
      <c r="F44" s="17"/>
      <c r="G44" s="17"/>
      <c r="H44" s="1"/>
      <c r="I44" s="17"/>
      <c r="J44" s="17"/>
      <c r="K44" s="17"/>
    </row>
    <row r="45" spans="1:11" s="2" customFormat="1" x14ac:dyDescent="0.45">
      <c r="A45" s="1"/>
      <c r="B45" s="65"/>
      <c r="C45" s="1"/>
      <c r="D45" s="1"/>
      <c r="E45" s="1"/>
      <c r="F45" s="1"/>
      <c r="G45" s="17"/>
      <c r="H45" s="1"/>
      <c r="I45" s="17"/>
      <c r="J45" s="17"/>
      <c r="K45" s="17"/>
    </row>
    <row r="46" spans="1:11" s="2" customFormat="1" x14ac:dyDescent="0.45">
      <c r="A46" s="1"/>
      <c r="B46" s="65"/>
      <c r="C46" s="11"/>
      <c r="D46" s="1"/>
      <c r="E46" s="1"/>
      <c r="F46" s="17"/>
      <c r="G46" s="1"/>
      <c r="H46" s="1"/>
      <c r="I46" s="1"/>
      <c r="J46" s="1"/>
      <c r="K46" s="1"/>
    </row>
    <row r="47" spans="1:11" s="2" customFormat="1" x14ac:dyDescent="0.45">
      <c r="A47" s="1"/>
      <c r="B47" s="65"/>
      <c r="C47" s="1"/>
      <c r="D47" s="1"/>
      <c r="E47" s="1"/>
      <c r="F47" s="1"/>
      <c r="G47" s="17"/>
      <c r="H47" s="1"/>
      <c r="I47" s="17"/>
      <c r="J47" s="17"/>
      <c r="K47" s="17"/>
    </row>
    <row r="48" spans="1:11" s="2" customFormat="1" x14ac:dyDescent="0.45">
      <c r="A48" s="1"/>
      <c r="B48" s="65"/>
      <c r="C48" s="11"/>
      <c r="D48" s="1"/>
      <c r="E48" s="1"/>
      <c r="F48" s="19"/>
      <c r="G48" s="1"/>
      <c r="H48" s="1"/>
      <c r="I48" s="1"/>
      <c r="J48" s="1"/>
      <c r="K48" s="1"/>
    </row>
    <row r="49" spans="1:14" s="2" customFormat="1" x14ac:dyDescent="0.45">
      <c r="A49" s="1"/>
      <c r="B49" s="65"/>
      <c r="C49" s="1"/>
      <c r="D49" s="1"/>
      <c r="E49" s="1"/>
      <c r="F49" s="1"/>
      <c r="G49" s="1"/>
      <c r="H49" s="1"/>
      <c r="I49" s="1"/>
      <c r="J49" s="1"/>
      <c r="K49" s="1"/>
    </row>
    <row r="50" spans="1:14" s="2" customFormat="1" x14ac:dyDescent="0.45">
      <c r="A50" s="1"/>
      <c r="B50" s="65"/>
      <c r="C50" s="11"/>
      <c r="D50" s="1"/>
      <c r="E50" s="1"/>
      <c r="F50" s="19"/>
      <c r="G50" s="17"/>
      <c r="H50" s="1"/>
      <c r="I50" s="17"/>
      <c r="J50" s="17"/>
      <c r="K50" s="17"/>
    </row>
    <row r="51" spans="1:14" s="2" customFormat="1" x14ac:dyDescent="0.45">
      <c r="A51" s="1"/>
      <c r="B51" s="65"/>
      <c r="C51" s="11"/>
      <c r="D51" s="1"/>
      <c r="E51" s="1"/>
      <c r="F51" s="28"/>
      <c r="G51" s="1"/>
      <c r="H51" s="1"/>
      <c r="I51" s="1"/>
      <c r="J51" s="1"/>
      <c r="K51" s="1"/>
    </row>
    <row r="52" spans="1:14" s="2" customFormat="1" x14ac:dyDescent="0.45">
      <c r="A52" s="1"/>
      <c r="B52" s="65"/>
      <c r="C52" s="11"/>
      <c r="D52" s="1"/>
      <c r="E52" s="1"/>
      <c r="F52" s="1"/>
      <c r="G52" s="17"/>
      <c r="H52" s="1"/>
      <c r="I52" s="17"/>
      <c r="J52" s="17"/>
      <c r="K52" s="17"/>
    </row>
    <row r="53" spans="1:14" s="2" customFormat="1" x14ac:dyDescent="0.45">
      <c r="A53" s="1"/>
      <c r="B53" s="65"/>
      <c r="C53" s="11"/>
      <c r="D53" s="1"/>
      <c r="E53" s="1"/>
      <c r="F53" s="1"/>
      <c r="G53" s="1"/>
      <c r="H53" s="1"/>
      <c r="I53" s="1"/>
      <c r="J53" s="1"/>
      <c r="K53" s="1"/>
    </row>
    <row r="54" spans="1:14" s="2" customFormat="1" x14ac:dyDescent="0.45">
      <c r="A54" s="1"/>
      <c r="B54" s="65"/>
      <c r="C54" s="11"/>
      <c r="D54" s="1"/>
      <c r="E54" s="1"/>
      <c r="F54" s="1"/>
      <c r="G54" s="19"/>
      <c r="H54" s="1"/>
      <c r="I54" s="19"/>
      <c r="J54" s="19"/>
      <c r="K54" s="19"/>
    </row>
    <row r="55" spans="1:14" s="2" customFormat="1" x14ac:dyDescent="0.45">
      <c r="A55" s="1"/>
      <c r="B55" s="65"/>
      <c r="C55" s="1"/>
      <c r="D55" s="11"/>
      <c r="E55" s="1"/>
      <c r="F55" s="1"/>
      <c r="G55" s="1"/>
      <c r="H55" s="1"/>
      <c r="I55" s="1"/>
      <c r="J55" s="1"/>
      <c r="K55" s="1"/>
    </row>
    <row r="56" spans="1:14" s="2" customFormat="1" x14ac:dyDescent="0.45">
      <c r="A56" s="1"/>
      <c r="B56" s="65"/>
      <c r="C56" s="1"/>
      <c r="D56" s="1"/>
      <c r="E56" s="1"/>
      <c r="F56" s="1"/>
      <c r="G56" s="19"/>
      <c r="H56" s="1"/>
      <c r="I56" s="19"/>
      <c r="J56" s="19"/>
      <c r="K56" s="19"/>
    </row>
    <row r="57" spans="1:14" s="2" customFormat="1" x14ac:dyDescent="0.45">
      <c r="A57" s="1"/>
      <c r="B57" s="65"/>
      <c r="C57" s="1"/>
      <c r="D57" s="1"/>
      <c r="E57" s="1"/>
      <c r="F57" s="1"/>
      <c r="G57" s="28"/>
      <c r="H57" s="1"/>
      <c r="I57" s="29"/>
      <c r="J57" s="29"/>
      <c r="K57" s="29"/>
    </row>
    <row r="58" spans="1:14" s="2" customFormat="1" x14ac:dyDescent="0.45">
      <c r="A58" s="1"/>
      <c r="B58" s="65"/>
      <c r="C58" s="1"/>
      <c r="D58" s="1"/>
      <c r="E58" s="1"/>
      <c r="F58" s="1"/>
      <c r="G58" s="1"/>
      <c r="H58" s="1"/>
      <c r="I58" s="1"/>
      <c r="J58" s="1"/>
      <c r="K58" s="1"/>
    </row>
    <row r="59" spans="1:14" s="2" customFormat="1" x14ac:dyDescent="0.45">
      <c r="A59" s="1"/>
      <c r="B59" s="65"/>
      <c r="C59" s="1"/>
      <c r="D59" s="1"/>
      <c r="E59" s="1"/>
      <c r="F59" s="1"/>
      <c r="G59" s="1"/>
      <c r="H59" s="1"/>
      <c r="I59" s="1"/>
      <c r="J59" s="1"/>
      <c r="K59" s="1"/>
    </row>
    <row r="60" spans="1:14" s="2" customFormat="1" x14ac:dyDescent="0.45">
      <c r="A60" s="1"/>
      <c r="B60" s="65"/>
      <c r="C60" s="1"/>
      <c r="D60" s="1"/>
      <c r="E60" s="1"/>
      <c r="F60" s="1"/>
      <c r="G60" s="1"/>
      <c r="H60" s="1"/>
      <c r="I60" s="1"/>
      <c r="J60" s="1"/>
      <c r="K60" s="1"/>
    </row>
    <row r="61" spans="1:14" s="2" customFormat="1" x14ac:dyDescent="0.45">
      <c r="A61" s="1"/>
      <c r="B61" s="65"/>
      <c r="C61" s="1"/>
      <c r="D61" s="1"/>
      <c r="E61" s="1"/>
      <c r="F61" s="1"/>
      <c r="G61" s="1"/>
      <c r="H61" s="1"/>
      <c r="I61" s="1"/>
      <c r="J61" s="1"/>
      <c r="K61" s="1"/>
    </row>
    <row r="62" spans="1:14" s="2" customForma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N62" s="1"/>
    </row>
  </sheetData>
  <mergeCells count="5">
    <mergeCell ref="A1:N1"/>
    <mergeCell ref="A2:N2"/>
    <mergeCell ref="A3:N3"/>
    <mergeCell ref="A4:N4"/>
    <mergeCell ref="A6:G6"/>
  </mergeCells>
  <pageMargins left="0.7" right="0.7" top="0.75" bottom="0.75" header="0.3" footer="0.3"/>
  <pageSetup scale="72" fitToHeight="0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1D785-2FFB-4112-A2E2-0B3ED0DCBA56}">
  <sheetPr>
    <pageSetUpPr fitToPage="1"/>
  </sheetPr>
  <dimension ref="A1:M62"/>
  <sheetViews>
    <sheetView view="pageBreakPreview" topLeftCell="A13" zoomScaleNormal="110" zoomScaleSheetLayoutView="100" workbookViewId="0">
      <selection activeCell="H18" sqref="H18"/>
    </sheetView>
  </sheetViews>
  <sheetFormatPr defaultColWidth="9.1328125" defaultRowHeight="14.25" x14ac:dyDescent="0.45"/>
  <cols>
    <col min="1" max="1" width="4" style="1" customWidth="1"/>
    <col min="2" max="2" width="5.1328125" style="1" customWidth="1"/>
    <col min="3" max="3" width="55.1328125" style="1" bestFit="1" customWidth="1"/>
    <col min="4" max="4" width="3.3984375" style="1" customWidth="1"/>
    <col min="5" max="5" width="14" style="1" customWidth="1"/>
    <col min="6" max="6" width="3.1328125" style="1" customWidth="1"/>
    <col min="7" max="7" width="14.73046875" style="1" customWidth="1"/>
    <col min="8" max="8" width="3.1328125" style="1" customWidth="1"/>
    <col min="9" max="9" width="14.73046875" style="1" customWidth="1"/>
    <col min="10" max="10" width="3.73046875" style="1" customWidth="1"/>
    <col min="11" max="11" width="14.73046875" style="1" customWidth="1"/>
    <col min="12" max="12" width="3.1328125" style="1" customWidth="1"/>
    <col min="13" max="13" width="26" style="2" bestFit="1" customWidth="1"/>
    <col min="14" max="16384" width="9.1328125" style="1"/>
  </cols>
  <sheetData>
    <row r="1" spans="1:13" ht="16.899999999999999" x14ac:dyDescent="0.5">
      <c r="A1" s="110" t="str">
        <f>[1]Reference!$B$2</f>
        <v>BLUEGRASS WATER UTILITY OPERATING COMPANY, LLC</v>
      </c>
      <c r="B1" s="110"/>
      <c r="C1" s="110"/>
      <c r="D1" s="110"/>
      <c r="E1" s="110"/>
      <c r="F1" s="110"/>
      <c r="G1" s="110"/>
      <c r="H1" s="110"/>
      <c r="I1" s="110"/>
    </row>
    <row r="2" spans="1:13" x14ac:dyDescent="0.45">
      <c r="A2" s="111" t="str">
        <f>[1]Reference!$B$3</f>
        <v>Case No. 2020-00290</v>
      </c>
      <c r="B2" s="111"/>
      <c r="C2" s="111"/>
      <c r="D2" s="111"/>
      <c r="E2" s="111"/>
      <c r="F2" s="111"/>
      <c r="G2" s="111"/>
      <c r="H2" s="111"/>
      <c r="I2" s="111"/>
      <c r="L2" s="3"/>
    </row>
    <row r="3" spans="1:13" x14ac:dyDescent="0.45">
      <c r="A3" s="111" t="s">
        <v>122</v>
      </c>
      <c r="B3" s="111"/>
      <c r="C3" s="111"/>
      <c r="D3" s="111"/>
      <c r="E3" s="111"/>
      <c r="F3" s="111"/>
      <c r="G3" s="111"/>
      <c r="H3" s="111"/>
      <c r="I3" s="111"/>
      <c r="L3" s="3"/>
    </row>
    <row r="4" spans="1:13" x14ac:dyDescent="0.45">
      <c r="A4" s="111" t="str">
        <f>'Constants LinkIn'!B9</f>
        <v>Base Year for the 12 Months ended December 31, 2020</v>
      </c>
      <c r="B4" s="111"/>
      <c r="C4" s="111"/>
      <c r="D4" s="111"/>
      <c r="E4" s="111"/>
      <c r="F4" s="111"/>
      <c r="G4" s="111"/>
      <c r="H4" s="111"/>
      <c r="I4" s="111"/>
      <c r="L4" s="3"/>
    </row>
    <row r="5" spans="1:13" x14ac:dyDescent="0.45">
      <c r="A5" s="78"/>
      <c r="B5" s="78"/>
      <c r="C5" s="78"/>
      <c r="D5" s="78"/>
      <c r="E5" s="78"/>
      <c r="F5" s="78"/>
      <c r="G5" s="78"/>
      <c r="H5" s="78"/>
      <c r="I5" s="78"/>
      <c r="L5" s="3"/>
    </row>
    <row r="6" spans="1:13" x14ac:dyDescent="0.45">
      <c r="A6" s="7"/>
      <c r="B6" s="7"/>
      <c r="C6" s="7"/>
      <c r="D6" s="7"/>
      <c r="E6" s="7"/>
      <c r="F6" s="7"/>
      <c r="G6" s="7"/>
      <c r="H6" s="7"/>
      <c r="I6" s="75" t="s">
        <v>127</v>
      </c>
      <c r="L6" s="3"/>
    </row>
    <row r="7" spans="1:13" x14ac:dyDescent="0.45">
      <c r="A7" s="1" t="s">
        <v>14</v>
      </c>
      <c r="I7" s="76" t="str">
        <f ca="1">RIGHT(CELL("filename",$A$1),LEN(CELL("filename",$A$1))-SEARCH("/Work Papers",CELL("filename",$A$1),1))</f>
        <v>Work Papers/Rate Base/[BGUOC 2020 Rate Case - Rate Base (Sewer).xlsx]WC - BY B5</v>
      </c>
      <c r="L7" s="3"/>
    </row>
    <row r="8" spans="1:13" x14ac:dyDescent="0.45">
      <c r="A8" s="1" t="s">
        <v>15</v>
      </c>
      <c r="I8" s="77" t="s">
        <v>109</v>
      </c>
      <c r="L8" s="3"/>
    </row>
    <row r="9" spans="1:13" ht="14.65" thickBot="1" x14ac:dyDescent="0.5">
      <c r="B9" s="4"/>
      <c r="C9" s="4"/>
      <c r="D9" s="4"/>
      <c r="E9" s="4"/>
      <c r="F9" s="4"/>
      <c r="G9" s="4"/>
      <c r="H9" s="4"/>
      <c r="I9" s="4"/>
      <c r="L9" s="3"/>
    </row>
    <row r="10" spans="1:13" x14ac:dyDescent="0.45">
      <c r="B10" s="5" t="s">
        <v>0</v>
      </c>
      <c r="K10" s="5"/>
      <c r="L10" s="3"/>
      <c r="M10" s="5"/>
    </row>
    <row r="11" spans="1:13" ht="14.65" thickBot="1" x14ac:dyDescent="0.5">
      <c r="B11" s="8" t="s">
        <v>3</v>
      </c>
      <c r="C11" s="8" t="s">
        <v>129</v>
      </c>
      <c r="D11" s="4"/>
      <c r="E11" s="81" t="s">
        <v>126</v>
      </c>
      <c r="F11" s="4"/>
      <c r="G11" s="9" t="s">
        <v>123</v>
      </c>
      <c r="H11" s="81"/>
      <c r="I11" s="81" t="s">
        <v>124</v>
      </c>
      <c r="K11" s="10"/>
      <c r="L11" s="10"/>
      <c r="M11" s="10"/>
    </row>
    <row r="12" spans="1:13" s="11" customFormat="1" x14ac:dyDescent="0.45">
      <c r="B12" s="78">
        <v>1</v>
      </c>
      <c r="C12" s="12"/>
      <c r="G12" s="13"/>
      <c r="I12" s="13"/>
      <c r="K12" s="13"/>
      <c r="L12" s="13"/>
      <c r="M12" s="14"/>
    </row>
    <row r="13" spans="1:13" x14ac:dyDescent="0.45">
      <c r="B13" s="78">
        <v>2</v>
      </c>
      <c r="C13" s="11"/>
    </row>
    <row r="14" spans="1:13" x14ac:dyDescent="0.45">
      <c r="B14" s="78">
        <v>3</v>
      </c>
      <c r="C14" s="18" t="s">
        <v>125</v>
      </c>
      <c r="E14" s="82">
        <f>'Constants LinkIn'!B19</f>
        <v>1329592.0699999998</v>
      </c>
      <c r="G14" s="17">
        <v>45</v>
      </c>
      <c r="I14" s="82">
        <f>G14/360*E14</f>
        <v>166199.00874999998</v>
      </c>
      <c r="K14" s="17"/>
      <c r="L14" s="17"/>
    </row>
    <row r="15" spans="1:13" x14ac:dyDescent="0.45">
      <c r="B15" s="78">
        <v>4</v>
      </c>
      <c r="C15" s="22"/>
      <c r="G15" s="17"/>
      <c r="K15" s="17"/>
      <c r="L15" s="17"/>
    </row>
    <row r="16" spans="1:13" ht="14.65" thickBot="1" x14ac:dyDescent="0.5">
      <c r="B16" s="78">
        <v>5</v>
      </c>
      <c r="C16" s="83" t="s">
        <v>128</v>
      </c>
      <c r="D16" s="59"/>
      <c r="E16" s="84">
        <f>E14</f>
        <v>1329592.0699999998</v>
      </c>
      <c r="F16" s="59"/>
      <c r="G16" s="60">
        <f>SUM(G14:G14)</f>
        <v>45</v>
      </c>
      <c r="H16" s="59"/>
      <c r="I16" s="84">
        <f>SUM(I14:I14)</f>
        <v>166199.00874999998</v>
      </c>
      <c r="K16" s="17"/>
      <c r="L16" s="17"/>
    </row>
    <row r="17" spans="1:12" ht="14.65" thickTop="1" x14ac:dyDescent="0.45">
      <c r="B17" s="78">
        <v>6</v>
      </c>
      <c r="C17" s="22"/>
      <c r="G17" s="17"/>
      <c r="I17" s="17"/>
      <c r="K17" s="17"/>
      <c r="L17" s="17"/>
    </row>
    <row r="18" spans="1:12" s="2" customFormat="1" x14ac:dyDescent="0.45">
      <c r="A18" s="1"/>
      <c r="B18" s="78">
        <v>7</v>
      </c>
      <c r="C18" s="22"/>
      <c r="D18" s="1"/>
      <c r="E18" s="1"/>
      <c r="F18" s="1"/>
      <c r="G18" s="17"/>
      <c r="H18" s="1"/>
      <c r="I18" s="17"/>
      <c r="J18" s="1"/>
      <c r="K18" s="19"/>
      <c r="L18" s="19"/>
    </row>
    <row r="19" spans="1:12" s="2" customFormat="1" x14ac:dyDescent="0.45">
      <c r="A19" s="1"/>
      <c r="B19" s="78">
        <v>8</v>
      </c>
      <c r="C19" s="22"/>
      <c r="D19" s="1"/>
      <c r="E19" s="1"/>
      <c r="F19" s="1"/>
      <c r="G19" s="17"/>
      <c r="H19" s="1"/>
      <c r="I19" s="19"/>
      <c r="J19" s="1"/>
      <c r="K19" s="1"/>
      <c r="L19" s="1"/>
    </row>
    <row r="20" spans="1:12" s="2" customFormat="1" x14ac:dyDescent="0.45">
      <c r="A20" s="1"/>
      <c r="B20" s="78">
        <v>9</v>
      </c>
      <c r="C20" s="22"/>
      <c r="D20" s="1"/>
      <c r="E20" s="1"/>
      <c r="F20" s="1"/>
      <c r="G20" s="17"/>
      <c r="H20" s="1"/>
      <c r="I20" s="1"/>
      <c r="J20" s="1"/>
      <c r="K20" s="1"/>
      <c r="L20" s="1"/>
    </row>
    <row r="21" spans="1:12" s="2" customFormat="1" x14ac:dyDescent="0.45">
      <c r="A21" s="1"/>
      <c r="B21" s="78">
        <v>10</v>
      </c>
      <c r="C21" s="22"/>
      <c r="D21" s="1"/>
      <c r="E21" s="1"/>
      <c r="F21" s="1"/>
      <c r="G21" s="17"/>
      <c r="H21" s="1"/>
      <c r="I21" s="17"/>
      <c r="J21" s="1"/>
      <c r="K21" s="1"/>
      <c r="L21" s="1"/>
    </row>
    <row r="22" spans="1:12" s="2" customFormat="1" x14ac:dyDescent="0.45">
      <c r="A22" s="1"/>
      <c r="B22" s="78">
        <v>11</v>
      </c>
      <c r="C22" s="22"/>
      <c r="D22" s="1"/>
      <c r="E22" s="1"/>
      <c r="F22" s="1"/>
      <c r="G22" s="17"/>
      <c r="H22" s="1"/>
      <c r="I22" s="17"/>
      <c r="J22" s="1"/>
      <c r="K22" s="17"/>
      <c r="L22" s="17"/>
    </row>
    <row r="23" spans="1:12" s="2" customFormat="1" x14ac:dyDescent="0.45">
      <c r="A23" s="1"/>
      <c r="B23" s="78">
        <v>12</v>
      </c>
      <c r="C23" s="22"/>
      <c r="D23" s="1"/>
      <c r="E23" s="1"/>
      <c r="F23" s="1"/>
      <c r="G23" s="17"/>
      <c r="H23" s="1"/>
      <c r="I23" s="17"/>
      <c r="J23" s="1"/>
      <c r="K23" s="17"/>
      <c r="L23" s="17"/>
    </row>
    <row r="24" spans="1:12" s="2" customFormat="1" x14ac:dyDescent="0.45">
      <c r="A24" s="1"/>
      <c r="B24" s="78">
        <v>13</v>
      </c>
      <c r="C24" s="22"/>
      <c r="D24" s="1"/>
      <c r="E24" s="1"/>
      <c r="F24" s="1"/>
      <c r="G24" s="17"/>
      <c r="H24" s="1"/>
      <c r="I24" s="17"/>
      <c r="J24" s="1"/>
      <c r="K24" s="17"/>
      <c r="L24" s="17"/>
    </row>
    <row r="25" spans="1:12" s="2" customFormat="1" x14ac:dyDescent="0.45">
      <c r="A25" s="1"/>
      <c r="B25" s="78">
        <v>14</v>
      </c>
      <c r="C25" s="1"/>
      <c r="D25" s="1"/>
      <c r="E25" s="1"/>
      <c r="F25" s="1"/>
      <c r="G25" s="19"/>
      <c r="H25" s="1"/>
      <c r="I25" s="17"/>
      <c r="J25" s="1"/>
      <c r="K25" s="17"/>
      <c r="L25" s="17"/>
    </row>
    <row r="26" spans="1:12" s="2" customFormat="1" x14ac:dyDescent="0.45">
      <c r="A26" s="1"/>
      <c r="B26" s="78">
        <v>15</v>
      </c>
      <c r="C26" s="1"/>
      <c r="D26" s="1"/>
      <c r="E26" s="1"/>
      <c r="F26" s="1"/>
      <c r="G26" s="1"/>
      <c r="H26" s="1"/>
      <c r="I26" s="17"/>
      <c r="J26" s="1"/>
      <c r="K26" s="17"/>
      <c r="L26" s="17"/>
    </row>
    <row r="27" spans="1:12" s="2" customFormat="1" x14ac:dyDescent="0.45">
      <c r="A27" s="1"/>
      <c r="B27" s="78">
        <v>16</v>
      </c>
      <c r="C27" s="22"/>
      <c r="D27" s="1"/>
      <c r="E27" s="1"/>
      <c r="F27" s="1"/>
      <c r="G27" s="17"/>
      <c r="H27" s="1"/>
      <c r="I27" s="17"/>
      <c r="J27" s="1"/>
      <c r="K27" s="17"/>
      <c r="L27" s="17"/>
    </row>
    <row r="28" spans="1:12" s="2" customFormat="1" x14ac:dyDescent="0.45">
      <c r="A28" s="1"/>
      <c r="B28" s="78">
        <v>17</v>
      </c>
      <c r="C28" s="22"/>
      <c r="D28" s="1"/>
      <c r="E28" s="1"/>
      <c r="F28" s="1"/>
      <c r="G28" s="17"/>
      <c r="H28" s="1"/>
      <c r="I28" s="17"/>
      <c r="J28" s="1"/>
      <c r="K28" s="17"/>
      <c r="L28" s="17"/>
    </row>
    <row r="29" spans="1:12" s="2" customFormat="1" x14ac:dyDescent="0.45">
      <c r="A29" s="1"/>
      <c r="B29" s="78">
        <v>18</v>
      </c>
      <c r="C29" s="22"/>
      <c r="D29" s="1"/>
      <c r="E29" s="1"/>
      <c r="F29" s="1"/>
      <c r="G29" s="17"/>
      <c r="H29" s="1"/>
      <c r="I29" s="17"/>
      <c r="J29" s="1"/>
      <c r="K29" s="17"/>
      <c r="L29" s="17"/>
    </row>
    <row r="30" spans="1:12" s="2" customFormat="1" x14ac:dyDescent="0.45">
      <c r="A30" s="1"/>
      <c r="B30" s="78">
        <v>19</v>
      </c>
      <c r="C30" s="1"/>
      <c r="D30" s="1"/>
      <c r="E30" s="1"/>
      <c r="F30" s="1"/>
      <c r="G30" s="1"/>
      <c r="H30" s="1"/>
      <c r="I30" s="17"/>
      <c r="J30" s="1"/>
      <c r="K30" s="19"/>
      <c r="L30" s="19"/>
    </row>
    <row r="31" spans="1:12" s="2" customFormat="1" x14ac:dyDescent="0.45">
      <c r="A31" s="1"/>
      <c r="B31" s="78">
        <v>20</v>
      </c>
      <c r="C31" s="27"/>
      <c r="D31" s="1"/>
      <c r="E31" s="1"/>
      <c r="F31" s="1"/>
      <c r="G31" s="17"/>
      <c r="H31" s="1"/>
      <c r="I31" s="19"/>
      <c r="J31" s="1"/>
      <c r="K31" s="1"/>
      <c r="L31" s="1"/>
    </row>
    <row r="32" spans="1:12" s="2" customFormat="1" x14ac:dyDescent="0.45">
      <c r="A32" s="1"/>
      <c r="B32" s="78">
        <v>21</v>
      </c>
      <c r="C32" s="1"/>
      <c r="D32" s="1"/>
      <c r="E32" s="1"/>
      <c r="F32" s="1"/>
      <c r="G32" s="1"/>
      <c r="H32" s="1"/>
      <c r="I32" s="1"/>
      <c r="J32" s="1"/>
      <c r="K32" s="17"/>
      <c r="L32" s="17"/>
    </row>
    <row r="33" spans="1:12" s="2" customFormat="1" x14ac:dyDescent="0.45">
      <c r="A33" s="1"/>
      <c r="B33" s="78">
        <v>22</v>
      </c>
      <c r="C33" s="1"/>
      <c r="D33" s="1"/>
      <c r="E33" s="1"/>
      <c r="F33" s="1"/>
      <c r="G33" s="1"/>
      <c r="H33" s="1"/>
      <c r="I33" s="17"/>
      <c r="J33" s="1"/>
      <c r="K33" s="17"/>
      <c r="L33" s="17"/>
    </row>
    <row r="34" spans="1:12" s="2" customFormat="1" x14ac:dyDescent="0.45">
      <c r="A34" s="1"/>
      <c r="B34" s="78">
        <v>23</v>
      </c>
      <c r="C34" s="27"/>
      <c r="D34" s="1"/>
      <c r="E34" s="1"/>
      <c r="F34" s="1"/>
      <c r="G34" s="17"/>
      <c r="H34" s="1"/>
      <c r="I34" s="17"/>
      <c r="J34" s="1"/>
      <c r="K34" s="17"/>
      <c r="L34" s="17"/>
    </row>
    <row r="35" spans="1:12" s="2" customFormat="1" x14ac:dyDescent="0.45">
      <c r="A35" s="1"/>
      <c r="B35" s="78">
        <v>24</v>
      </c>
      <c r="C35" s="1"/>
      <c r="D35" s="1"/>
      <c r="E35" s="1"/>
      <c r="F35" s="1"/>
      <c r="G35" s="1"/>
      <c r="H35" s="1"/>
      <c r="I35" s="17"/>
      <c r="J35" s="1"/>
      <c r="K35" s="17"/>
      <c r="L35" s="17"/>
    </row>
    <row r="36" spans="1:12" s="2" customFormat="1" x14ac:dyDescent="0.45">
      <c r="A36" s="1"/>
      <c r="B36" s="78">
        <v>25</v>
      </c>
      <c r="C36" s="1"/>
      <c r="D36" s="1"/>
      <c r="E36" s="1"/>
      <c r="F36" s="1"/>
      <c r="G36" s="17"/>
      <c r="H36" s="1"/>
      <c r="I36" s="1"/>
      <c r="J36" s="1"/>
      <c r="K36" s="17"/>
      <c r="L36" s="17"/>
    </row>
    <row r="37" spans="1:12" s="2" customFormat="1" x14ac:dyDescent="0.45">
      <c r="A37" s="1"/>
      <c r="B37" s="78">
        <v>26</v>
      </c>
      <c r="C37" s="1"/>
      <c r="D37" s="1"/>
      <c r="E37" s="1"/>
      <c r="F37" s="1"/>
      <c r="G37" s="1"/>
      <c r="H37" s="1"/>
      <c r="I37" s="17"/>
      <c r="J37" s="1"/>
      <c r="K37" s="17"/>
      <c r="L37" s="17"/>
    </row>
    <row r="38" spans="1:12" s="2" customFormat="1" x14ac:dyDescent="0.45">
      <c r="A38" s="1"/>
      <c r="B38" s="78">
        <v>27</v>
      </c>
      <c r="C38" s="1"/>
      <c r="D38" s="1"/>
      <c r="E38" s="1"/>
      <c r="F38" s="1"/>
      <c r="G38" s="19"/>
      <c r="H38" s="1"/>
      <c r="I38" s="1"/>
      <c r="J38" s="1"/>
      <c r="K38" s="17"/>
      <c r="L38" s="17"/>
    </row>
    <row r="39" spans="1:12" s="2" customFormat="1" x14ac:dyDescent="0.45">
      <c r="A39" s="1"/>
      <c r="B39" s="78">
        <v>28</v>
      </c>
      <c r="C39" s="1"/>
      <c r="D39" s="1"/>
      <c r="E39" s="1"/>
      <c r="F39" s="1"/>
      <c r="G39" s="1"/>
      <c r="H39" s="1"/>
      <c r="I39" s="1"/>
      <c r="J39" s="1"/>
      <c r="K39" s="17"/>
      <c r="L39" s="17"/>
    </row>
    <row r="40" spans="1:12" s="2" customFormat="1" x14ac:dyDescent="0.45">
      <c r="A40" s="1"/>
      <c r="B40" s="78">
        <v>29</v>
      </c>
      <c r="C40" s="1"/>
      <c r="D40" s="1"/>
      <c r="E40" s="1"/>
      <c r="F40" s="1"/>
      <c r="G40" s="19"/>
      <c r="H40" s="1"/>
      <c r="I40" s="17"/>
      <c r="J40" s="1"/>
      <c r="K40" s="17"/>
      <c r="L40" s="17"/>
    </row>
    <row r="41" spans="1:12" s="2" customFormat="1" x14ac:dyDescent="0.45">
      <c r="A41" s="1"/>
      <c r="B41" s="78">
        <v>30</v>
      </c>
      <c r="C41" s="1"/>
      <c r="D41" s="1"/>
      <c r="E41" s="1"/>
      <c r="F41" s="1"/>
      <c r="G41" s="28"/>
      <c r="H41" s="1"/>
      <c r="I41" s="1"/>
      <c r="J41" s="1"/>
      <c r="K41" s="17"/>
      <c r="L41" s="17"/>
    </row>
    <row r="42" spans="1:12" s="2" customFormat="1" x14ac:dyDescent="0.45">
      <c r="A42" s="1"/>
      <c r="B42" s="78">
        <v>31</v>
      </c>
      <c r="C42" s="1"/>
      <c r="D42" s="1"/>
      <c r="E42" s="1"/>
      <c r="F42" s="1"/>
      <c r="G42" s="1"/>
      <c r="H42" s="1"/>
      <c r="I42" s="17"/>
      <c r="J42" s="1"/>
      <c r="K42" s="19"/>
      <c r="L42" s="19"/>
    </row>
    <row r="43" spans="1:12" s="2" customFormat="1" x14ac:dyDescent="0.45">
      <c r="A43" s="1"/>
      <c r="B43" s="78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s="2" customFormat="1" x14ac:dyDescent="0.45">
      <c r="A44" s="1"/>
      <c r="B44" s="78">
        <v>33</v>
      </c>
      <c r="C44" s="1"/>
      <c r="D44" s="1"/>
      <c r="E44" s="1"/>
      <c r="F44" s="1"/>
      <c r="G44" s="1"/>
      <c r="H44" s="1"/>
      <c r="I44" s="19"/>
      <c r="J44" s="1"/>
      <c r="K44" s="17"/>
      <c r="L44" s="17"/>
    </row>
    <row r="45" spans="1:12" s="2" customFormat="1" x14ac:dyDescent="0.45">
      <c r="A45" s="1"/>
      <c r="B45" s="78">
        <v>34</v>
      </c>
      <c r="C45" s="11"/>
      <c r="D45" s="1"/>
      <c r="E45" s="1"/>
      <c r="F45" s="1"/>
      <c r="G45" s="1"/>
      <c r="H45" s="1"/>
      <c r="I45" s="1"/>
      <c r="J45" s="1"/>
      <c r="K45" s="17"/>
      <c r="L45" s="17"/>
    </row>
    <row r="46" spans="1:12" s="2" customFormat="1" x14ac:dyDescent="0.45">
      <c r="A46" s="1"/>
      <c r="B46" s="78">
        <v>35</v>
      </c>
      <c r="C46" s="1"/>
      <c r="D46" s="1"/>
      <c r="E46" s="1"/>
      <c r="F46" s="1"/>
      <c r="G46" s="1"/>
      <c r="H46" s="1"/>
      <c r="I46" s="19"/>
      <c r="J46" s="1"/>
      <c r="K46" s="17"/>
      <c r="L46" s="17"/>
    </row>
    <row r="47" spans="1:12" s="2" customFormat="1" x14ac:dyDescent="0.45">
      <c r="A47" s="1"/>
      <c r="B47" s="78">
        <v>36</v>
      </c>
      <c r="C47" s="1"/>
      <c r="D47" s="1"/>
      <c r="E47" s="1"/>
      <c r="F47" s="1"/>
      <c r="G47" s="1"/>
      <c r="H47" s="1"/>
      <c r="I47" s="28"/>
      <c r="J47" s="1"/>
      <c r="K47" s="1"/>
      <c r="L47" s="1"/>
    </row>
    <row r="48" spans="1:12" s="2" customFormat="1" x14ac:dyDescent="0.45">
      <c r="A48" s="1"/>
      <c r="B48" s="78">
        <v>37</v>
      </c>
      <c r="C48" s="1"/>
      <c r="D48" s="1"/>
      <c r="E48" s="1"/>
      <c r="F48" s="1"/>
      <c r="G48" s="1"/>
      <c r="H48" s="1"/>
      <c r="I48" s="1"/>
      <c r="J48" s="1"/>
      <c r="K48" s="17"/>
      <c r="L48" s="17"/>
    </row>
    <row r="49" spans="1:12" s="2" customFormat="1" x14ac:dyDescent="0.45">
      <c r="A49" s="1"/>
      <c r="B49" s="78">
        <v>38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s="2" customFormat="1" x14ac:dyDescent="0.45">
      <c r="A50" s="1"/>
      <c r="B50" s="78">
        <v>39</v>
      </c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s="2" customFormat="1" x14ac:dyDescent="0.45">
      <c r="A51" s="1"/>
      <c r="B51" s="78">
        <v>40</v>
      </c>
      <c r="C51" s="1"/>
      <c r="D51" s="1"/>
      <c r="E51" s="1"/>
      <c r="F51" s="1"/>
      <c r="G51" s="1"/>
      <c r="H51" s="1"/>
      <c r="I51" s="1"/>
      <c r="J51" s="1"/>
      <c r="K51" s="17"/>
      <c r="L51" s="17"/>
    </row>
    <row r="52" spans="1:12" s="2" customFormat="1" x14ac:dyDescent="0.45">
      <c r="A52" s="1"/>
      <c r="B52" s="78">
        <v>41</v>
      </c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s="2" customFormat="1" x14ac:dyDescent="0.45">
      <c r="A53" s="1"/>
      <c r="B53" s="78">
        <v>42</v>
      </c>
      <c r="C53" s="1"/>
      <c r="D53" s="1"/>
      <c r="E53" s="1"/>
      <c r="F53" s="1"/>
      <c r="G53" s="1"/>
      <c r="H53" s="1"/>
      <c r="I53" s="1"/>
      <c r="J53" s="1"/>
      <c r="K53" s="17"/>
      <c r="L53" s="17"/>
    </row>
    <row r="54" spans="1:12" s="2" customFormat="1" x14ac:dyDescent="0.45">
      <c r="A54" s="1"/>
      <c r="B54" s="78">
        <v>43</v>
      </c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s="2" customFormat="1" x14ac:dyDescent="0.45">
      <c r="A55" s="1"/>
      <c r="B55" s="78">
        <v>44</v>
      </c>
      <c r="C55" s="1"/>
      <c r="D55" s="1"/>
      <c r="E55" s="1"/>
      <c r="F55" s="1"/>
      <c r="G55" s="1"/>
      <c r="H55" s="1"/>
      <c r="I55" s="1"/>
      <c r="J55" s="1"/>
      <c r="K55" s="19"/>
      <c r="L55" s="19"/>
    </row>
    <row r="56" spans="1:12" s="2" customFormat="1" x14ac:dyDescent="0.45">
      <c r="A56" s="1"/>
      <c r="B56" s="78">
        <v>45</v>
      </c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s="2" customFormat="1" x14ac:dyDescent="0.45">
      <c r="A57" s="1"/>
      <c r="B57" s="78">
        <v>46</v>
      </c>
      <c r="C57" s="1"/>
      <c r="D57" s="1"/>
      <c r="E57" s="1"/>
      <c r="F57" s="1"/>
      <c r="G57" s="1"/>
      <c r="H57" s="1"/>
      <c r="I57" s="1"/>
      <c r="J57" s="1"/>
      <c r="K57" s="19"/>
      <c r="L57" s="19"/>
    </row>
    <row r="58" spans="1:12" s="2" customFormat="1" x14ac:dyDescent="0.45">
      <c r="A58" s="1"/>
      <c r="B58" s="78">
        <v>47</v>
      </c>
      <c r="C58" s="1"/>
      <c r="D58" s="1"/>
      <c r="E58" s="1"/>
      <c r="F58" s="1"/>
      <c r="G58" s="1"/>
      <c r="H58" s="1"/>
      <c r="I58" s="1"/>
      <c r="J58" s="1"/>
      <c r="K58" s="29"/>
      <c r="L58" s="29"/>
    </row>
    <row r="59" spans="1:12" s="2" customFormat="1" x14ac:dyDescent="0.45">
      <c r="A59" s="1"/>
      <c r="B59" s="78">
        <v>48</v>
      </c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s="2" customFormat="1" x14ac:dyDescent="0.45">
      <c r="A60" s="1"/>
      <c r="B60" s="78">
        <v>49</v>
      </c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s="2" customFormat="1" x14ac:dyDescent="0.45">
      <c r="A61" s="1"/>
      <c r="B61" s="78">
        <v>50</v>
      </c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s="2" customForma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fitToHeight="0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C0CED-3BD2-40FC-A138-070B2DBC8871}">
  <sheetPr>
    <pageSetUpPr fitToPage="1"/>
  </sheetPr>
  <dimension ref="A1:M62"/>
  <sheetViews>
    <sheetView view="pageBreakPreview" topLeftCell="A13" zoomScaleNormal="110" zoomScaleSheetLayoutView="100" workbookViewId="0">
      <selection activeCell="H18" sqref="H18"/>
    </sheetView>
  </sheetViews>
  <sheetFormatPr defaultColWidth="9.1328125" defaultRowHeight="14.25" x14ac:dyDescent="0.45"/>
  <cols>
    <col min="1" max="1" width="4" style="1" customWidth="1"/>
    <col min="2" max="2" width="5.1328125" style="1" customWidth="1"/>
    <col min="3" max="3" width="55.1328125" style="1" bestFit="1" customWidth="1"/>
    <col min="4" max="4" width="3.3984375" style="1" customWidth="1"/>
    <col min="5" max="5" width="10.86328125" style="1" bestFit="1" customWidth="1"/>
    <col min="6" max="6" width="3.1328125" style="1" customWidth="1"/>
    <col min="7" max="7" width="14.73046875" style="1" customWidth="1"/>
    <col min="8" max="8" width="3.1328125" style="1" customWidth="1"/>
    <col min="9" max="9" width="14.73046875" style="1" customWidth="1"/>
    <col min="10" max="10" width="3.73046875" style="1" customWidth="1"/>
    <col min="11" max="11" width="14.73046875" style="1" customWidth="1"/>
    <col min="12" max="12" width="3.1328125" style="1" customWidth="1"/>
    <col min="13" max="13" width="26" style="2" bestFit="1" customWidth="1"/>
    <col min="14" max="16384" width="9.1328125" style="1"/>
  </cols>
  <sheetData>
    <row r="1" spans="1:13" ht="16.899999999999999" x14ac:dyDescent="0.5">
      <c r="A1" s="110" t="str">
        <f>[1]Reference!$B$2</f>
        <v>BLUEGRASS WATER UTILITY OPERATING COMPANY, LLC</v>
      </c>
      <c r="B1" s="110"/>
      <c r="C1" s="110"/>
      <c r="D1" s="110"/>
      <c r="E1" s="110"/>
      <c r="F1" s="110"/>
      <c r="G1" s="110"/>
      <c r="H1" s="110"/>
      <c r="I1" s="110"/>
    </row>
    <row r="2" spans="1:13" x14ac:dyDescent="0.45">
      <c r="A2" s="111" t="str">
        <f>[1]Reference!$B$3</f>
        <v>Case No. 2020-00290</v>
      </c>
      <c r="B2" s="111"/>
      <c r="C2" s="111"/>
      <c r="D2" s="111"/>
      <c r="E2" s="111"/>
      <c r="F2" s="111"/>
      <c r="G2" s="111"/>
      <c r="H2" s="111"/>
      <c r="I2" s="111"/>
      <c r="L2" s="3"/>
    </row>
    <row r="3" spans="1:13" x14ac:dyDescent="0.45">
      <c r="A3" s="111" t="s">
        <v>122</v>
      </c>
      <c r="B3" s="111"/>
      <c r="C3" s="111"/>
      <c r="D3" s="111"/>
      <c r="E3" s="111"/>
      <c r="F3" s="111"/>
      <c r="G3" s="111"/>
      <c r="H3" s="111"/>
      <c r="I3" s="111"/>
      <c r="L3" s="3"/>
    </row>
    <row r="4" spans="1:13" x14ac:dyDescent="0.45">
      <c r="A4" s="111" t="str">
        <f>'Constants LinkIn'!B11</f>
        <v>Forecast Year for the 12 Months ended April 30, 2022</v>
      </c>
      <c r="B4" s="111"/>
      <c r="C4" s="111"/>
      <c r="D4" s="111"/>
      <c r="E4" s="111"/>
      <c r="F4" s="111"/>
      <c r="G4" s="111"/>
      <c r="H4" s="111"/>
      <c r="I4" s="111"/>
      <c r="L4" s="3"/>
    </row>
    <row r="5" spans="1:13" x14ac:dyDescent="0.45">
      <c r="A5" s="78"/>
      <c r="B5" s="78"/>
      <c r="C5" s="78"/>
      <c r="D5" s="78"/>
      <c r="E5" s="78"/>
      <c r="F5" s="78"/>
      <c r="G5" s="78"/>
      <c r="H5" s="78"/>
      <c r="I5" s="78"/>
      <c r="L5" s="3"/>
    </row>
    <row r="6" spans="1:13" x14ac:dyDescent="0.45">
      <c r="A6" s="7"/>
      <c r="B6" s="7"/>
      <c r="C6" s="7"/>
      <c r="D6" s="7"/>
      <c r="E6" s="7"/>
      <c r="F6" s="7"/>
      <c r="G6" s="7"/>
      <c r="H6" s="7"/>
      <c r="I6" s="75" t="s">
        <v>127</v>
      </c>
      <c r="L6" s="3"/>
    </row>
    <row r="7" spans="1:13" x14ac:dyDescent="0.45">
      <c r="A7" s="1" t="s">
        <v>33</v>
      </c>
      <c r="I7" s="76" t="str">
        <f ca="1">RIGHT(CELL("filename",$A$1),LEN(CELL("filename",$A$1))-SEARCH("/Work Papers",CELL("filename",$A$1),1))</f>
        <v>Work Papers/Rate Base/[BGUOC 2020 Rate Case - Rate Base (Sewer).xlsx]WC - FY B5</v>
      </c>
      <c r="L7" s="3"/>
    </row>
    <row r="8" spans="1:13" x14ac:dyDescent="0.45">
      <c r="A8" s="1" t="s">
        <v>15</v>
      </c>
      <c r="I8" s="77" t="s">
        <v>109</v>
      </c>
      <c r="L8" s="3"/>
    </row>
    <row r="9" spans="1:13" ht="14.65" thickBot="1" x14ac:dyDescent="0.5">
      <c r="B9" s="4"/>
      <c r="C9" s="4"/>
      <c r="D9" s="4"/>
      <c r="E9" s="4"/>
      <c r="F9" s="4"/>
      <c r="G9" s="4"/>
      <c r="H9" s="4"/>
      <c r="I9" s="4"/>
      <c r="L9" s="3"/>
    </row>
    <row r="10" spans="1:13" x14ac:dyDescent="0.45">
      <c r="B10" s="5" t="s">
        <v>0</v>
      </c>
      <c r="K10" s="5"/>
      <c r="L10" s="3"/>
      <c r="M10" s="5"/>
    </row>
    <row r="11" spans="1:13" ht="14.65" thickBot="1" x14ac:dyDescent="0.5">
      <c r="B11" s="8" t="s">
        <v>3</v>
      </c>
      <c r="C11" s="8" t="s">
        <v>129</v>
      </c>
      <c r="D11" s="4"/>
      <c r="E11" s="81" t="s">
        <v>126</v>
      </c>
      <c r="F11" s="4"/>
      <c r="G11" s="9" t="s">
        <v>123</v>
      </c>
      <c r="H11" s="81"/>
      <c r="I11" s="81" t="s">
        <v>124</v>
      </c>
      <c r="K11" s="10"/>
      <c r="L11" s="10"/>
      <c r="M11" s="10"/>
    </row>
    <row r="12" spans="1:13" s="11" customFormat="1" x14ac:dyDescent="0.45">
      <c r="B12" s="78">
        <v>1</v>
      </c>
      <c r="C12" s="12"/>
      <c r="G12" s="13"/>
      <c r="I12" s="13"/>
      <c r="K12" s="13"/>
      <c r="L12" s="13"/>
      <c r="M12" s="14"/>
    </row>
    <row r="13" spans="1:13" x14ac:dyDescent="0.45">
      <c r="B13" s="78">
        <v>2</v>
      </c>
      <c r="C13" s="11"/>
    </row>
    <row r="14" spans="1:13" x14ac:dyDescent="0.45">
      <c r="B14" s="78">
        <v>3</v>
      </c>
      <c r="C14" s="18" t="s">
        <v>125</v>
      </c>
      <c r="E14" s="82">
        <f>'Constants LinkIn'!C19</f>
        <v>2049423.9696547957</v>
      </c>
      <c r="G14" s="17">
        <v>45</v>
      </c>
      <c r="I14" s="82">
        <f>G14/360*E14</f>
        <v>256177.99620684946</v>
      </c>
      <c r="K14" s="17"/>
      <c r="L14" s="17"/>
    </row>
    <row r="15" spans="1:13" x14ac:dyDescent="0.45">
      <c r="B15" s="78">
        <v>4</v>
      </c>
      <c r="C15" s="22"/>
      <c r="G15" s="17"/>
      <c r="K15" s="17"/>
      <c r="L15" s="17"/>
    </row>
    <row r="16" spans="1:13" ht="14.65" thickBot="1" x14ac:dyDescent="0.5">
      <c r="B16" s="78">
        <v>5</v>
      </c>
      <c r="C16" s="83" t="s">
        <v>128</v>
      </c>
      <c r="D16" s="59"/>
      <c r="E16" s="84">
        <f>E14</f>
        <v>2049423.9696547957</v>
      </c>
      <c r="F16" s="59"/>
      <c r="G16" s="60">
        <f>SUM(G14:G14)</f>
        <v>45</v>
      </c>
      <c r="H16" s="59"/>
      <c r="I16" s="84">
        <f>SUM(I14:I14)</f>
        <v>256177.99620684946</v>
      </c>
      <c r="K16" s="17"/>
      <c r="L16" s="17"/>
    </row>
    <row r="17" spans="1:12" ht="14.65" thickTop="1" x14ac:dyDescent="0.45">
      <c r="B17" s="78">
        <v>6</v>
      </c>
      <c r="C17" s="22"/>
      <c r="G17" s="17"/>
      <c r="I17" s="17"/>
      <c r="K17" s="17"/>
      <c r="L17" s="17"/>
    </row>
    <row r="18" spans="1:12" s="2" customFormat="1" x14ac:dyDescent="0.45">
      <c r="A18" s="1"/>
      <c r="B18" s="78">
        <v>7</v>
      </c>
      <c r="C18" s="22"/>
      <c r="D18" s="1"/>
      <c r="E18" s="1"/>
      <c r="F18" s="1"/>
      <c r="G18" s="17"/>
      <c r="H18" s="1"/>
      <c r="I18" s="17"/>
      <c r="J18" s="1"/>
      <c r="K18" s="19"/>
      <c r="L18" s="19"/>
    </row>
    <row r="19" spans="1:12" s="2" customFormat="1" x14ac:dyDescent="0.45">
      <c r="A19" s="1"/>
      <c r="B19" s="78">
        <v>8</v>
      </c>
      <c r="C19" s="22"/>
      <c r="D19" s="1"/>
      <c r="E19" s="1"/>
      <c r="F19" s="1"/>
      <c r="G19" s="17"/>
      <c r="H19" s="1"/>
      <c r="I19" s="19"/>
      <c r="J19" s="1"/>
      <c r="K19" s="1"/>
      <c r="L19" s="1"/>
    </row>
    <row r="20" spans="1:12" s="2" customFormat="1" x14ac:dyDescent="0.45">
      <c r="A20" s="1"/>
      <c r="B20" s="78">
        <v>9</v>
      </c>
      <c r="C20" s="22"/>
      <c r="D20" s="1"/>
      <c r="E20" s="1"/>
      <c r="F20" s="1"/>
      <c r="G20" s="17"/>
      <c r="H20" s="1"/>
      <c r="I20" s="1"/>
      <c r="J20" s="1"/>
      <c r="K20" s="1"/>
      <c r="L20" s="1"/>
    </row>
    <row r="21" spans="1:12" s="2" customFormat="1" x14ac:dyDescent="0.45">
      <c r="A21" s="1"/>
      <c r="B21" s="78">
        <v>10</v>
      </c>
      <c r="C21" s="22"/>
      <c r="D21" s="1"/>
      <c r="E21" s="1"/>
      <c r="F21" s="1"/>
      <c r="G21" s="17"/>
      <c r="H21" s="1"/>
      <c r="I21" s="17"/>
      <c r="J21" s="1"/>
      <c r="K21" s="1"/>
      <c r="L21" s="1"/>
    </row>
    <row r="22" spans="1:12" s="2" customFormat="1" x14ac:dyDescent="0.45">
      <c r="A22" s="1"/>
      <c r="B22" s="78">
        <v>11</v>
      </c>
      <c r="C22" s="22"/>
      <c r="D22" s="1"/>
      <c r="E22" s="1"/>
      <c r="F22" s="1"/>
      <c r="G22" s="17"/>
      <c r="H22" s="1"/>
      <c r="I22" s="17"/>
      <c r="J22" s="1"/>
      <c r="K22" s="17"/>
      <c r="L22" s="17"/>
    </row>
    <row r="23" spans="1:12" s="2" customFormat="1" x14ac:dyDescent="0.45">
      <c r="A23" s="1"/>
      <c r="B23" s="78">
        <v>12</v>
      </c>
      <c r="C23" s="22"/>
      <c r="D23" s="1"/>
      <c r="E23" s="1"/>
      <c r="F23" s="1"/>
      <c r="G23" s="17"/>
      <c r="H23" s="1"/>
      <c r="I23" s="17"/>
      <c r="J23" s="1"/>
      <c r="K23" s="17"/>
      <c r="L23" s="17"/>
    </row>
    <row r="24" spans="1:12" s="2" customFormat="1" x14ac:dyDescent="0.45">
      <c r="A24" s="1"/>
      <c r="B24" s="78">
        <v>13</v>
      </c>
      <c r="C24" s="22"/>
      <c r="D24" s="1"/>
      <c r="E24" s="1"/>
      <c r="F24" s="1"/>
      <c r="G24" s="17"/>
      <c r="H24" s="1"/>
      <c r="I24" s="17"/>
      <c r="J24" s="1"/>
      <c r="K24" s="17"/>
      <c r="L24" s="17"/>
    </row>
    <row r="25" spans="1:12" s="2" customFormat="1" x14ac:dyDescent="0.45">
      <c r="A25" s="1"/>
      <c r="B25" s="78">
        <v>14</v>
      </c>
      <c r="C25" s="1"/>
      <c r="D25" s="1"/>
      <c r="E25" s="1"/>
      <c r="F25" s="1"/>
      <c r="G25" s="19"/>
      <c r="H25" s="1"/>
      <c r="I25" s="17"/>
      <c r="J25" s="1"/>
      <c r="K25" s="17"/>
      <c r="L25" s="17"/>
    </row>
    <row r="26" spans="1:12" s="2" customFormat="1" x14ac:dyDescent="0.45">
      <c r="A26" s="1"/>
      <c r="B26" s="78">
        <v>15</v>
      </c>
      <c r="C26" s="1"/>
      <c r="D26" s="1"/>
      <c r="E26" s="1"/>
      <c r="F26" s="1"/>
      <c r="G26" s="1"/>
      <c r="H26" s="1"/>
      <c r="I26" s="17"/>
      <c r="J26" s="1"/>
      <c r="K26" s="17"/>
      <c r="L26" s="17"/>
    </row>
    <row r="27" spans="1:12" s="2" customFormat="1" x14ac:dyDescent="0.45">
      <c r="A27" s="1"/>
      <c r="B27" s="78">
        <v>16</v>
      </c>
      <c r="C27" s="22"/>
      <c r="D27" s="1"/>
      <c r="E27" s="1"/>
      <c r="F27" s="1"/>
      <c r="G27" s="17"/>
      <c r="H27" s="1"/>
      <c r="I27" s="17"/>
      <c r="J27" s="1"/>
      <c r="K27" s="17"/>
      <c r="L27" s="17"/>
    </row>
    <row r="28" spans="1:12" s="2" customFormat="1" x14ac:dyDescent="0.45">
      <c r="A28" s="1"/>
      <c r="B28" s="78">
        <v>17</v>
      </c>
      <c r="C28" s="22"/>
      <c r="D28" s="1"/>
      <c r="E28" s="1"/>
      <c r="F28" s="1"/>
      <c r="G28" s="17"/>
      <c r="H28" s="1"/>
      <c r="I28" s="17"/>
      <c r="J28" s="1"/>
      <c r="K28" s="17"/>
      <c r="L28" s="17"/>
    </row>
    <row r="29" spans="1:12" s="2" customFormat="1" x14ac:dyDescent="0.45">
      <c r="A29" s="1"/>
      <c r="B29" s="78">
        <v>18</v>
      </c>
      <c r="C29" s="22"/>
      <c r="D29" s="1"/>
      <c r="E29" s="1"/>
      <c r="F29" s="1"/>
      <c r="G29" s="17"/>
      <c r="H29" s="1"/>
      <c r="I29" s="17"/>
      <c r="J29" s="1"/>
      <c r="K29" s="17"/>
      <c r="L29" s="17"/>
    </row>
    <row r="30" spans="1:12" s="2" customFormat="1" x14ac:dyDescent="0.45">
      <c r="A30" s="1"/>
      <c r="B30" s="78">
        <v>19</v>
      </c>
      <c r="C30" s="1"/>
      <c r="D30" s="1"/>
      <c r="E30" s="1"/>
      <c r="F30" s="1"/>
      <c r="G30" s="1"/>
      <c r="H30" s="1"/>
      <c r="I30" s="17"/>
      <c r="J30" s="1"/>
      <c r="K30" s="19"/>
      <c r="L30" s="19"/>
    </row>
    <row r="31" spans="1:12" s="2" customFormat="1" x14ac:dyDescent="0.45">
      <c r="A31" s="1"/>
      <c r="B31" s="78">
        <v>20</v>
      </c>
      <c r="C31" s="27"/>
      <c r="D31" s="1"/>
      <c r="E31" s="1"/>
      <c r="F31" s="1"/>
      <c r="G31" s="17"/>
      <c r="H31" s="1"/>
      <c r="I31" s="19"/>
      <c r="J31" s="1"/>
      <c r="K31" s="1"/>
      <c r="L31" s="1"/>
    </row>
    <row r="32" spans="1:12" s="2" customFormat="1" x14ac:dyDescent="0.45">
      <c r="A32" s="1"/>
      <c r="B32" s="78">
        <v>21</v>
      </c>
      <c r="C32" s="1"/>
      <c r="D32" s="1"/>
      <c r="E32" s="1"/>
      <c r="F32" s="1"/>
      <c r="G32" s="1"/>
      <c r="H32" s="1"/>
      <c r="I32" s="1"/>
      <c r="J32" s="1"/>
      <c r="K32" s="17"/>
      <c r="L32" s="17"/>
    </row>
    <row r="33" spans="1:12" s="2" customFormat="1" x14ac:dyDescent="0.45">
      <c r="A33" s="1"/>
      <c r="B33" s="78">
        <v>22</v>
      </c>
      <c r="C33" s="1"/>
      <c r="D33" s="1"/>
      <c r="E33" s="1"/>
      <c r="F33" s="1"/>
      <c r="G33" s="1"/>
      <c r="H33" s="1"/>
      <c r="I33" s="17"/>
      <c r="J33" s="1"/>
      <c r="K33" s="17"/>
      <c r="L33" s="17"/>
    </row>
    <row r="34" spans="1:12" s="2" customFormat="1" x14ac:dyDescent="0.45">
      <c r="A34" s="1"/>
      <c r="B34" s="78">
        <v>23</v>
      </c>
      <c r="C34" s="27"/>
      <c r="D34" s="1"/>
      <c r="E34" s="1"/>
      <c r="F34" s="1"/>
      <c r="G34" s="17"/>
      <c r="H34" s="1"/>
      <c r="I34" s="17"/>
      <c r="J34" s="1"/>
      <c r="K34" s="17"/>
      <c r="L34" s="17"/>
    </row>
    <row r="35" spans="1:12" s="2" customFormat="1" x14ac:dyDescent="0.45">
      <c r="A35" s="1"/>
      <c r="B35" s="78">
        <v>24</v>
      </c>
      <c r="C35" s="1"/>
      <c r="D35" s="1"/>
      <c r="E35" s="1"/>
      <c r="F35" s="1"/>
      <c r="G35" s="1"/>
      <c r="H35" s="1"/>
      <c r="I35" s="17"/>
      <c r="J35" s="1"/>
      <c r="K35" s="17"/>
      <c r="L35" s="17"/>
    </row>
    <row r="36" spans="1:12" s="2" customFormat="1" x14ac:dyDescent="0.45">
      <c r="A36" s="1"/>
      <c r="B36" s="78">
        <v>25</v>
      </c>
      <c r="C36" s="1"/>
      <c r="D36" s="1"/>
      <c r="E36" s="1"/>
      <c r="F36" s="1"/>
      <c r="G36" s="17"/>
      <c r="H36" s="1"/>
      <c r="I36" s="1"/>
      <c r="J36" s="1"/>
      <c r="K36" s="17"/>
      <c r="L36" s="17"/>
    </row>
    <row r="37" spans="1:12" s="2" customFormat="1" x14ac:dyDescent="0.45">
      <c r="A37" s="1"/>
      <c r="B37" s="78">
        <v>26</v>
      </c>
      <c r="C37" s="1"/>
      <c r="D37" s="1"/>
      <c r="E37" s="1"/>
      <c r="F37" s="1"/>
      <c r="G37" s="1"/>
      <c r="H37" s="1"/>
      <c r="I37" s="17"/>
      <c r="J37" s="1"/>
      <c r="K37" s="17"/>
      <c r="L37" s="17"/>
    </row>
    <row r="38" spans="1:12" s="2" customFormat="1" x14ac:dyDescent="0.45">
      <c r="A38" s="1"/>
      <c r="B38" s="78">
        <v>27</v>
      </c>
      <c r="C38" s="1"/>
      <c r="D38" s="1"/>
      <c r="E38" s="1"/>
      <c r="F38" s="1"/>
      <c r="G38" s="19"/>
      <c r="H38" s="1"/>
      <c r="I38" s="1"/>
      <c r="J38" s="1"/>
      <c r="K38" s="17"/>
      <c r="L38" s="17"/>
    </row>
    <row r="39" spans="1:12" s="2" customFormat="1" x14ac:dyDescent="0.45">
      <c r="A39" s="1"/>
      <c r="B39" s="78">
        <v>28</v>
      </c>
      <c r="C39" s="1"/>
      <c r="D39" s="1"/>
      <c r="E39" s="1"/>
      <c r="F39" s="1"/>
      <c r="G39" s="1"/>
      <c r="H39" s="1"/>
      <c r="I39" s="1"/>
      <c r="J39" s="1"/>
      <c r="K39" s="17"/>
      <c r="L39" s="17"/>
    </row>
    <row r="40" spans="1:12" s="2" customFormat="1" x14ac:dyDescent="0.45">
      <c r="A40" s="1"/>
      <c r="B40" s="78">
        <v>29</v>
      </c>
      <c r="C40" s="1"/>
      <c r="D40" s="1"/>
      <c r="E40" s="1"/>
      <c r="F40" s="1"/>
      <c r="G40" s="19"/>
      <c r="H40" s="1"/>
      <c r="I40" s="17"/>
      <c r="J40" s="1"/>
      <c r="K40" s="17"/>
      <c r="L40" s="17"/>
    </row>
    <row r="41" spans="1:12" s="2" customFormat="1" x14ac:dyDescent="0.45">
      <c r="A41" s="1"/>
      <c r="B41" s="78">
        <v>30</v>
      </c>
      <c r="C41" s="1"/>
      <c r="D41" s="1"/>
      <c r="E41" s="1"/>
      <c r="F41" s="1"/>
      <c r="G41" s="28"/>
      <c r="H41" s="1"/>
      <c r="I41" s="1"/>
      <c r="J41" s="1"/>
      <c r="K41" s="17"/>
      <c r="L41" s="17"/>
    </row>
    <row r="42" spans="1:12" s="2" customFormat="1" x14ac:dyDescent="0.45">
      <c r="A42" s="1"/>
      <c r="B42" s="78">
        <v>31</v>
      </c>
      <c r="C42" s="1"/>
      <c r="D42" s="1"/>
      <c r="E42" s="1"/>
      <c r="F42" s="1"/>
      <c r="G42" s="1"/>
      <c r="H42" s="1"/>
      <c r="I42" s="17"/>
      <c r="J42" s="1"/>
      <c r="K42" s="19"/>
      <c r="L42" s="19"/>
    </row>
    <row r="43" spans="1:12" s="2" customFormat="1" x14ac:dyDescent="0.45">
      <c r="A43" s="1"/>
      <c r="B43" s="78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s="2" customFormat="1" x14ac:dyDescent="0.45">
      <c r="A44" s="1"/>
      <c r="B44" s="78">
        <v>33</v>
      </c>
      <c r="C44" s="1"/>
      <c r="D44" s="1"/>
      <c r="E44" s="1"/>
      <c r="F44" s="1"/>
      <c r="G44" s="1"/>
      <c r="H44" s="1"/>
      <c r="I44" s="19"/>
      <c r="J44" s="1"/>
      <c r="K44" s="17"/>
      <c r="L44" s="17"/>
    </row>
    <row r="45" spans="1:12" s="2" customFormat="1" x14ac:dyDescent="0.45">
      <c r="A45" s="1"/>
      <c r="B45" s="78">
        <v>34</v>
      </c>
      <c r="C45" s="11"/>
      <c r="D45" s="1"/>
      <c r="E45" s="1"/>
      <c r="F45" s="1"/>
      <c r="G45" s="1"/>
      <c r="H45" s="1"/>
      <c r="I45" s="1"/>
      <c r="J45" s="1"/>
      <c r="K45" s="17"/>
      <c r="L45" s="17"/>
    </row>
    <row r="46" spans="1:12" s="2" customFormat="1" x14ac:dyDescent="0.45">
      <c r="A46" s="1"/>
      <c r="B46" s="78">
        <v>35</v>
      </c>
      <c r="C46" s="1"/>
      <c r="D46" s="1"/>
      <c r="E46" s="1"/>
      <c r="F46" s="1"/>
      <c r="G46" s="1"/>
      <c r="H46" s="1"/>
      <c r="I46" s="19"/>
      <c r="J46" s="1"/>
      <c r="K46" s="17"/>
      <c r="L46" s="17"/>
    </row>
    <row r="47" spans="1:12" s="2" customFormat="1" x14ac:dyDescent="0.45">
      <c r="A47" s="1"/>
      <c r="B47" s="78">
        <v>36</v>
      </c>
      <c r="C47" s="1"/>
      <c r="D47" s="1"/>
      <c r="E47" s="1"/>
      <c r="F47" s="1"/>
      <c r="G47" s="1"/>
      <c r="H47" s="1"/>
      <c r="I47" s="28"/>
      <c r="J47" s="1"/>
      <c r="K47" s="1"/>
      <c r="L47" s="1"/>
    </row>
    <row r="48" spans="1:12" s="2" customFormat="1" x14ac:dyDescent="0.45">
      <c r="A48" s="1"/>
      <c r="B48" s="78">
        <v>37</v>
      </c>
      <c r="C48" s="1"/>
      <c r="D48" s="1"/>
      <c r="E48" s="1"/>
      <c r="F48" s="1"/>
      <c r="G48" s="1"/>
      <c r="H48" s="1"/>
      <c r="I48" s="1"/>
      <c r="J48" s="1"/>
      <c r="K48" s="17"/>
      <c r="L48" s="17"/>
    </row>
    <row r="49" spans="1:12" s="2" customFormat="1" x14ac:dyDescent="0.45">
      <c r="A49" s="1"/>
      <c r="B49" s="78">
        <v>38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s="2" customFormat="1" x14ac:dyDescent="0.45">
      <c r="A50" s="1"/>
      <c r="B50" s="78">
        <v>39</v>
      </c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s="2" customFormat="1" x14ac:dyDescent="0.45">
      <c r="A51" s="1"/>
      <c r="B51" s="78">
        <v>40</v>
      </c>
      <c r="C51" s="1"/>
      <c r="D51" s="1"/>
      <c r="E51" s="1"/>
      <c r="F51" s="1"/>
      <c r="G51" s="1"/>
      <c r="H51" s="1"/>
      <c r="I51" s="1"/>
      <c r="J51" s="1"/>
      <c r="K51" s="17"/>
      <c r="L51" s="17"/>
    </row>
    <row r="52" spans="1:12" s="2" customFormat="1" x14ac:dyDescent="0.45">
      <c r="A52" s="1"/>
      <c r="B52" s="78">
        <v>41</v>
      </c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s="2" customFormat="1" x14ac:dyDescent="0.45">
      <c r="A53" s="1"/>
      <c r="B53" s="78">
        <v>42</v>
      </c>
      <c r="C53" s="1"/>
      <c r="D53" s="1"/>
      <c r="E53" s="1"/>
      <c r="F53" s="1"/>
      <c r="G53" s="1"/>
      <c r="H53" s="1"/>
      <c r="I53" s="1"/>
      <c r="J53" s="1"/>
      <c r="K53" s="17"/>
      <c r="L53" s="17"/>
    </row>
    <row r="54" spans="1:12" s="2" customFormat="1" x14ac:dyDescent="0.45">
      <c r="A54" s="1"/>
      <c r="B54" s="78">
        <v>43</v>
      </c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s="2" customFormat="1" x14ac:dyDescent="0.45">
      <c r="A55" s="1"/>
      <c r="B55" s="78">
        <v>44</v>
      </c>
      <c r="C55" s="1"/>
      <c r="D55" s="1"/>
      <c r="E55" s="1"/>
      <c r="F55" s="1"/>
      <c r="G55" s="1"/>
      <c r="H55" s="1"/>
      <c r="I55" s="1"/>
      <c r="J55" s="1"/>
      <c r="K55" s="19"/>
      <c r="L55" s="19"/>
    </row>
    <row r="56" spans="1:12" s="2" customFormat="1" x14ac:dyDescent="0.45">
      <c r="A56" s="1"/>
      <c r="B56" s="78">
        <v>45</v>
      </c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s="2" customFormat="1" x14ac:dyDescent="0.45">
      <c r="A57" s="1"/>
      <c r="B57" s="78">
        <v>46</v>
      </c>
      <c r="C57" s="1"/>
      <c r="D57" s="1"/>
      <c r="E57" s="1"/>
      <c r="F57" s="1"/>
      <c r="G57" s="1"/>
      <c r="H57" s="1"/>
      <c r="I57" s="1"/>
      <c r="J57" s="1"/>
      <c r="K57" s="19"/>
      <c r="L57" s="19"/>
    </row>
    <row r="58" spans="1:12" s="2" customFormat="1" x14ac:dyDescent="0.45">
      <c r="A58" s="1"/>
      <c r="B58" s="78">
        <v>47</v>
      </c>
      <c r="C58" s="1"/>
      <c r="D58" s="1"/>
      <c r="E58" s="1"/>
      <c r="F58" s="1"/>
      <c r="G58" s="1"/>
      <c r="H58" s="1"/>
      <c r="I58" s="1"/>
      <c r="J58" s="1"/>
      <c r="K58" s="29"/>
      <c r="L58" s="29"/>
    </row>
    <row r="59" spans="1:12" s="2" customFormat="1" x14ac:dyDescent="0.45">
      <c r="A59" s="1"/>
      <c r="B59" s="78">
        <v>48</v>
      </c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s="2" customFormat="1" x14ac:dyDescent="0.45">
      <c r="A60" s="1"/>
      <c r="B60" s="78">
        <v>49</v>
      </c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s="2" customFormat="1" x14ac:dyDescent="0.45">
      <c r="A61" s="1"/>
      <c r="B61" s="78">
        <v>50</v>
      </c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s="2" customForma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fitToHeight="0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35A6-FC5C-4BA2-ABD3-9B14A3C72DB8}">
  <sheetPr>
    <pageSetUpPr fitToPage="1"/>
  </sheetPr>
  <dimension ref="A1:L62"/>
  <sheetViews>
    <sheetView view="pageBreakPreview" topLeftCell="A14" zoomScaleNormal="110" zoomScaleSheetLayoutView="100" workbookViewId="0">
      <selection activeCell="H18" sqref="H18"/>
    </sheetView>
  </sheetViews>
  <sheetFormatPr defaultColWidth="9.1328125" defaultRowHeight="14.25" x14ac:dyDescent="0.45"/>
  <cols>
    <col min="1" max="1" width="4" style="1" customWidth="1"/>
    <col min="2" max="2" width="5.1328125" style="1" customWidth="1"/>
    <col min="3" max="3" width="7.73046875" style="1" customWidth="1"/>
    <col min="4" max="4" width="37.3984375" style="1" customWidth="1"/>
    <col min="5" max="5" width="3.1328125" style="1" customWidth="1"/>
    <col min="6" max="6" width="14.3984375" style="1" customWidth="1"/>
    <col min="7" max="7" width="3.1328125" style="1" customWidth="1"/>
    <col min="8" max="8" width="14.73046875" style="1" customWidth="1"/>
    <col min="9" max="9" width="3.73046875" style="1" customWidth="1"/>
    <col min="10" max="10" width="14.73046875" style="1" customWidth="1"/>
    <col min="11" max="11" width="3.1328125" style="1" customWidth="1"/>
    <col min="12" max="12" width="26" style="2" bestFit="1" customWidth="1"/>
    <col min="13" max="16384" width="9.1328125" style="1"/>
  </cols>
  <sheetData>
    <row r="1" spans="1:12" ht="16.899999999999999" x14ac:dyDescent="0.5">
      <c r="A1" s="110" t="str">
        <f>[1]Reference!$B$2</f>
        <v>BLUEGRASS WATER UTILITY OPERATING COMPANY, LLC</v>
      </c>
      <c r="B1" s="110"/>
      <c r="C1" s="110"/>
      <c r="D1" s="110"/>
      <c r="E1" s="110"/>
      <c r="F1" s="110"/>
      <c r="G1" s="110"/>
      <c r="H1" s="110"/>
    </row>
    <row r="2" spans="1:12" x14ac:dyDescent="0.45">
      <c r="A2" s="111" t="str">
        <f>[1]Reference!$B$3</f>
        <v>Case No. 2020-00290</v>
      </c>
      <c r="B2" s="111"/>
      <c r="C2" s="111"/>
      <c r="D2" s="111"/>
      <c r="E2" s="111"/>
      <c r="F2" s="111"/>
      <c r="G2" s="111"/>
      <c r="H2" s="111"/>
      <c r="K2" s="3"/>
    </row>
    <row r="3" spans="1:12" x14ac:dyDescent="0.45">
      <c r="A3" s="111" t="s">
        <v>11</v>
      </c>
      <c r="B3" s="111"/>
      <c r="C3" s="111"/>
      <c r="D3" s="111"/>
      <c r="E3" s="111"/>
      <c r="F3" s="111"/>
      <c r="G3" s="111"/>
      <c r="H3" s="111"/>
      <c r="K3" s="3"/>
    </row>
    <row r="4" spans="1:12" x14ac:dyDescent="0.45">
      <c r="A4" s="111" t="str">
        <f>'Constants LinkIn'!B9</f>
        <v>Base Year for the 12 Months ended December 31, 2020</v>
      </c>
      <c r="B4" s="111"/>
      <c r="C4" s="111"/>
      <c r="D4" s="111"/>
      <c r="E4" s="111"/>
      <c r="F4" s="111"/>
      <c r="G4" s="111"/>
      <c r="H4" s="111"/>
      <c r="K4" s="3"/>
    </row>
    <row r="5" spans="1:12" x14ac:dyDescent="0.45">
      <c r="A5" s="79"/>
      <c r="B5" s="79"/>
      <c r="C5" s="79"/>
      <c r="D5" s="79"/>
      <c r="E5" s="79"/>
      <c r="F5" s="79"/>
      <c r="G5" s="79"/>
      <c r="H5" s="79"/>
      <c r="K5" s="3"/>
    </row>
    <row r="6" spans="1:12" x14ac:dyDescent="0.45">
      <c r="A6" s="7"/>
      <c r="B6" s="7"/>
      <c r="C6" s="7"/>
      <c r="D6" s="7"/>
      <c r="E6" s="7"/>
      <c r="F6" s="7"/>
      <c r="G6" s="7"/>
      <c r="H6" s="75" t="s">
        <v>145</v>
      </c>
      <c r="K6" s="3"/>
    </row>
    <row r="7" spans="1:12" x14ac:dyDescent="0.45">
      <c r="A7" s="1" t="s">
        <v>14</v>
      </c>
      <c r="H7" s="76" t="str">
        <f ca="1">RIGHT(CELL("filename",$A$1),LEN(CELL("filename",$A$1))-SEARCH("/Work Papers",CELL("filename",$A$1),1))</f>
        <v>Work Papers/Rate Base/[BGUOC 2020 Rate Case - Rate Base (Sewer).xlsx]CIAC - BY B6</v>
      </c>
      <c r="K7" s="3"/>
    </row>
    <row r="8" spans="1:12" x14ac:dyDescent="0.45">
      <c r="A8" s="1" t="s">
        <v>15</v>
      </c>
      <c r="H8" s="77" t="s">
        <v>109</v>
      </c>
      <c r="K8" s="3"/>
    </row>
    <row r="9" spans="1:12" ht="14.65" thickBot="1" x14ac:dyDescent="0.5">
      <c r="B9" s="4"/>
      <c r="C9" s="4"/>
      <c r="D9" s="4"/>
      <c r="E9" s="4"/>
      <c r="F9" s="4"/>
      <c r="G9" s="4"/>
      <c r="H9" s="4"/>
      <c r="K9" s="3"/>
    </row>
    <row r="10" spans="1:12" ht="28.5" x14ac:dyDescent="0.45">
      <c r="B10" s="5" t="s">
        <v>0</v>
      </c>
      <c r="C10" s="5" t="s">
        <v>16</v>
      </c>
      <c r="F10" s="79" t="s">
        <v>156</v>
      </c>
      <c r="H10" s="6" t="s">
        <v>154</v>
      </c>
      <c r="I10" s="3"/>
      <c r="J10" s="5"/>
      <c r="L10" s="1"/>
    </row>
    <row r="11" spans="1:12" ht="14.65" thickBot="1" x14ac:dyDescent="0.5">
      <c r="B11" s="8" t="s">
        <v>3</v>
      </c>
      <c r="C11" s="8" t="s">
        <v>3</v>
      </c>
      <c r="D11" s="8" t="s">
        <v>21</v>
      </c>
      <c r="E11" s="4"/>
      <c r="F11" s="81" t="s">
        <v>157</v>
      </c>
      <c r="G11" s="4"/>
      <c r="H11" s="9" t="s">
        <v>5</v>
      </c>
      <c r="I11" s="10"/>
      <c r="J11" s="10"/>
      <c r="L11" s="1"/>
    </row>
    <row r="12" spans="1:12" s="11" customFormat="1" x14ac:dyDescent="0.45">
      <c r="B12" s="79">
        <v>1</v>
      </c>
      <c r="D12" s="12"/>
      <c r="F12" s="3"/>
      <c r="H12" s="13"/>
      <c r="I12" s="13"/>
      <c r="J12" s="14"/>
    </row>
    <row r="13" spans="1:12" x14ac:dyDescent="0.45">
      <c r="B13" s="79">
        <v>2</v>
      </c>
      <c r="C13" s="11"/>
      <c r="D13" s="11"/>
      <c r="F13" s="79"/>
      <c r="J13" s="2"/>
      <c r="L13" s="1"/>
    </row>
    <row r="14" spans="1:12" x14ac:dyDescent="0.45">
      <c r="B14" s="79">
        <v>3</v>
      </c>
      <c r="C14" s="18">
        <v>271</v>
      </c>
      <c r="D14" s="18" t="s">
        <v>11</v>
      </c>
      <c r="F14" s="79" t="s">
        <v>158</v>
      </c>
      <c r="H14" s="17">
        <f>SUMIFS('CIAC WP'!R8:R10,'CIAC WP'!C8:C10,"Sewer")</f>
        <v>34274.313999999984</v>
      </c>
      <c r="I14" s="17"/>
      <c r="J14" s="2"/>
      <c r="L14" s="1"/>
    </row>
    <row r="15" spans="1:12" x14ac:dyDescent="0.45">
      <c r="B15" s="79">
        <v>4</v>
      </c>
      <c r="C15" s="100"/>
      <c r="D15" s="100"/>
      <c r="E15" s="51"/>
      <c r="F15" s="51"/>
      <c r="G15" s="51"/>
      <c r="H15" s="95"/>
      <c r="I15" s="17"/>
      <c r="J15" s="2"/>
      <c r="L15" s="1"/>
    </row>
    <row r="16" spans="1:12" x14ac:dyDescent="0.45">
      <c r="B16" s="79">
        <v>5</v>
      </c>
      <c r="C16" s="100"/>
      <c r="D16" s="100"/>
      <c r="E16" s="51"/>
      <c r="F16" s="51"/>
      <c r="G16" s="51"/>
      <c r="H16" s="95"/>
      <c r="I16" s="17"/>
      <c r="J16" s="2"/>
      <c r="L16" s="1"/>
    </row>
    <row r="17" spans="1:11" x14ac:dyDescent="0.45">
      <c r="B17" s="79"/>
      <c r="C17" s="18"/>
      <c r="D17" s="18"/>
      <c r="H17" s="17"/>
      <c r="J17" s="17"/>
      <c r="K17" s="17"/>
    </row>
    <row r="18" spans="1:11" x14ac:dyDescent="0.45">
      <c r="B18" s="79"/>
      <c r="C18" s="18"/>
      <c r="D18" s="23"/>
      <c r="H18" s="17"/>
      <c r="J18" s="19"/>
      <c r="K18" s="19"/>
    </row>
    <row r="19" spans="1:11" x14ac:dyDescent="0.45">
      <c r="B19" s="79"/>
      <c r="C19" s="18"/>
      <c r="D19" s="23"/>
      <c r="H19" s="17"/>
    </row>
    <row r="20" spans="1:11" x14ac:dyDescent="0.45">
      <c r="B20" s="79"/>
      <c r="C20" s="18"/>
      <c r="D20" s="23"/>
      <c r="H20" s="17"/>
    </row>
    <row r="21" spans="1:11" s="2" customFormat="1" x14ac:dyDescent="0.45">
      <c r="A21" s="1"/>
      <c r="B21" s="79"/>
      <c r="C21" s="18"/>
      <c r="D21" s="23"/>
      <c r="E21" s="1"/>
      <c r="F21" s="1"/>
      <c r="G21" s="1"/>
      <c r="H21" s="17"/>
      <c r="I21" s="1"/>
      <c r="J21" s="1"/>
      <c r="K21" s="1"/>
    </row>
    <row r="22" spans="1:11" s="2" customFormat="1" x14ac:dyDescent="0.45">
      <c r="A22" s="1"/>
      <c r="B22" s="79"/>
      <c r="C22" s="100"/>
      <c r="D22" s="101"/>
      <c r="E22" s="51"/>
      <c r="F22" s="51"/>
      <c r="G22" s="51"/>
      <c r="H22" s="95"/>
      <c r="I22" s="51"/>
      <c r="J22" s="95"/>
      <c r="K22" s="17"/>
    </row>
    <row r="23" spans="1:11" s="2" customFormat="1" x14ac:dyDescent="0.45">
      <c r="A23" s="1"/>
      <c r="B23" s="79"/>
      <c r="C23" s="100"/>
      <c r="D23" s="101"/>
      <c r="E23" s="51"/>
      <c r="F23" s="51"/>
      <c r="G23" s="51"/>
      <c r="H23" s="95"/>
      <c r="I23" s="51"/>
      <c r="J23" s="95"/>
      <c r="K23" s="17"/>
    </row>
    <row r="24" spans="1:11" s="2" customFormat="1" x14ac:dyDescent="0.45">
      <c r="A24" s="1"/>
      <c r="B24" s="79"/>
      <c r="C24" s="100"/>
      <c r="D24" s="101"/>
      <c r="E24" s="51"/>
      <c r="F24" s="51"/>
      <c r="G24" s="51"/>
      <c r="H24" s="95"/>
      <c r="I24" s="51"/>
      <c r="J24" s="95"/>
      <c r="K24" s="17"/>
    </row>
    <row r="25" spans="1:11" s="2" customFormat="1" x14ac:dyDescent="0.45">
      <c r="A25" s="1"/>
      <c r="B25" s="79"/>
      <c r="C25" s="100"/>
      <c r="D25" s="101"/>
      <c r="E25" s="51"/>
      <c r="F25" s="51"/>
      <c r="G25" s="51"/>
      <c r="H25" s="95"/>
      <c r="I25" s="51"/>
      <c r="J25" s="95"/>
      <c r="K25" s="17"/>
    </row>
    <row r="26" spans="1:11" s="2" customFormat="1" x14ac:dyDescent="0.45">
      <c r="A26" s="1"/>
      <c r="B26" s="79"/>
      <c r="C26" s="102"/>
      <c r="D26" s="94"/>
      <c r="E26" s="51"/>
      <c r="F26" s="51"/>
      <c r="G26" s="51"/>
      <c r="H26" s="95"/>
      <c r="I26" s="51"/>
      <c r="J26" s="95"/>
      <c r="K26" s="17"/>
    </row>
    <row r="27" spans="1:11" s="2" customFormat="1" x14ac:dyDescent="0.45">
      <c r="A27" s="1"/>
      <c r="B27" s="79"/>
      <c r="C27" s="102"/>
      <c r="D27" s="103"/>
      <c r="E27" s="54"/>
      <c r="F27" s="54"/>
      <c r="G27" s="54"/>
      <c r="H27" s="91"/>
      <c r="I27" s="51"/>
      <c r="J27" s="95"/>
      <c r="K27" s="17"/>
    </row>
    <row r="28" spans="1:11" s="2" customFormat="1" x14ac:dyDescent="0.45">
      <c r="A28" s="1"/>
      <c r="B28" s="79"/>
      <c r="C28" s="102"/>
      <c r="D28" s="94"/>
      <c r="E28" s="51"/>
      <c r="F28" s="51"/>
      <c r="G28" s="51"/>
      <c r="H28" s="95"/>
      <c r="I28" s="51"/>
      <c r="J28" s="95"/>
      <c r="K28" s="17"/>
    </row>
    <row r="29" spans="1:11" s="2" customFormat="1" x14ac:dyDescent="0.45">
      <c r="A29" s="1"/>
      <c r="B29" s="79"/>
      <c r="C29" s="102"/>
      <c r="D29" s="94"/>
      <c r="E29" s="51"/>
      <c r="F29" s="51"/>
      <c r="G29" s="51"/>
      <c r="H29" s="95"/>
      <c r="I29" s="51"/>
      <c r="J29" s="95"/>
      <c r="K29" s="17"/>
    </row>
    <row r="30" spans="1:11" s="2" customFormat="1" x14ac:dyDescent="0.45">
      <c r="A30" s="1"/>
      <c r="B30" s="79"/>
      <c r="C30" s="102"/>
      <c r="D30" s="94"/>
      <c r="E30" s="51"/>
      <c r="F30" s="51"/>
      <c r="G30" s="51"/>
      <c r="H30" s="95"/>
      <c r="I30" s="51"/>
      <c r="J30" s="91"/>
      <c r="K30" s="19"/>
    </row>
    <row r="31" spans="1:11" s="2" customFormat="1" x14ac:dyDescent="0.45">
      <c r="A31" s="1"/>
      <c r="B31" s="79"/>
      <c r="C31" s="102"/>
      <c r="D31" s="103"/>
      <c r="E31" s="54"/>
      <c r="F31" s="54"/>
      <c r="G31" s="54"/>
      <c r="H31" s="91"/>
      <c r="I31" s="51"/>
      <c r="J31" s="51"/>
      <c r="K31" s="1"/>
    </row>
    <row r="32" spans="1:11" s="2" customFormat="1" x14ac:dyDescent="0.45">
      <c r="A32" s="1"/>
      <c r="B32" s="79"/>
      <c r="C32" s="102"/>
      <c r="D32" s="94"/>
      <c r="E32" s="51"/>
      <c r="F32" s="51"/>
      <c r="G32" s="51"/>
      <c r="H32" s="95"/>
      <c r="I32" s="51"/>
      <c r="J32" s="95"/>
      <c r="K32" s="17"/>
    </row>
    <row r="33" spans="1:11" s="2" customFormat="1" x14ac:dyDescent="0.45">
      <c r="A33" s="1"/>
      <c r="B33" s="79"/>
      <c r="C33" s="15"/>
      <c r="D33" s="22"/>
      <c r="E33" s="1"/>
      <c r="F33" s="1"/>
      <c r="G33" s="1"/>
      <c r="H33" s="17"/>
      <c r="I33" s="1"/>
      <c r="J33" s="17"/>
      <c r="K33" s="17"/>
    </row>
    <row r="34" spans="1:11" s="2" customFormat="1" x14ac:dyDescent="0.45">
      <c r="A34" s="1"/>
      <c r="B34" s="79"/>
      <c r="C34" s="15"/>
      <c r="D34" s="22"/>
      <c r="E34" s="1"/>
      <c r="F34" s="1"/>
      <c r="G34" s="1"/>
      <c r="H34" s="17"/>
      <c r="I34" s="1"/>
      <c r="J34" s="17"/>
      <c r="K34" s="17"/>
    </row>
    <row r="35" spans="1:11" s="2" customFormat="1" x14ac:dyDescent="0.45">
      <c r="A35" s="1"/>
      <c r="B35" s="79"/>
      <c r="C35" s="25"/>
      <c r="D35" s="22"/>
      <c r="E35" s="1"/>
      <c r="F35" s="1"/>
      <c r="G35" s="1"/>
      <c r="H35" s="17"/>
      <c r="I35" s="1"/>
      <c r="J35" s="17"/>
      <c r="K35" s="17"/>
    </row>
    <row r="36" spans="1:11" s="2" customFormat="1" x14ac:dyDescent="0.45">
      <c r="A36" s="1"/>
      <c r="B36" s="79"/>
      <c r="C36" s="15"/>
      <c r="D36" s="1"/>
      <c r="E36" s="1"/>
      <c r="F36" s="1"/>
      <c r="G36" s="1"/>
      <c r="H36" s="19"/>
      <c r="I36" s="1"/>
      <c r="J36" s="17"/>
      <c r="K36" s="17"/>
    </row>
    <row r="37" spans="1:11" s="2" customFormat="1" x14ac:dyDescent="0.45">
      <c r="A37" s="1"/>
      <c r="B37" s="79"/>
      <c r="C37" s="26"/>
      <c r="D37" s="1"/>
      <c r="E37" s="1"/>
      <c r="F37" s="1"/>
      <c r="G37" s="1"/>
      <c r="H37" s="1"/>
      <c r="I37" s="1"/>
      <c r="J37" s="17"/>
      <c r="K37" s="17"/>
    </row>
    <row r="38" spans="1:11" s="2" customFormat="1" x14ac:dyDescent="0.45">
      <c r="A38" s="1"/>
      <c r="B38" s="79"/>
      <c r="C38" s="15"/>
      <c r="D38" s="22"/>
      <c r="E38" s="1"/>
      <c r="F38" s="1"/>
      <c r="G38" s="1"/>
      <c r="H38" s="17"/>
      <c r="I38" s="1"/>
      <c r="J38" s="17"/>
      <c r="K38" s="17"/>
    </row>
    <row r="39" spans="1:11" s="2" customFormat="1" x14ac:dyDescent="0.45">
      <c r="A39" s="1"/>
      <c r="B39" s="79"/>
      <c r="C39" s="15"/>
      <c r="D39" s="22"/>
      <c r="E39" s="1"/>
      <c r="F39" s="1"/>
      <c r="G39" s="1"/>
      <c r="H39" s="17"/>
      <c r="I39" s="1"/>
      <c r="J39" s="17"/>
      <c r="K39" s="17"/>
    </row>
    <row r="40" spans="1:11" s="2" customFormat="1" x14ac:dyDescent="0.45">
      <c r="A40" s="1"/>
      <c r="B40" s="79"/>
      <c r="C40" s="15"/>
      <c r="D40" s="22"/>
      <c r="E40" s="1"/>
      <c r="F40" s="1"/>
      <c r="G40" s="1"/>
      <c r="H40" s="17"/>
      <c r="I40" s="1"/>
      <c r="J40" s="17"/>
      <c r="K40" s="17"/>
    </row>
    <row r="41" spans="1:11" s="2" customFormat="1" x14ac:dyDescent="0.45">
      <c r="A41" s="1"/>
      <c r="B41" s="79"/>
      <c r="C41" s="26"/>
      <c r="D41" s="1"/>
      <c r="E41" s="1"/>
      <c r="F41" s="1"/>
      <c r="G41" s="1"/>
      <c r="H41" s="1"/>
      <c r="I41" s="1"/>
      <c r="J41" s="17"/>
      <c r="K41" s="17"/>
    </row>
    <row r="42" spans="1:11" s="2" customFormat="1" x14ac:dyDescent="0.45">
      <c r="A42" s="1"/>
      <c r="B42" s="79"/>
      <c r="C42" s="15"/>
      <c r="D42" s="27"/>
      <c r="E42" s="1"/>
      <c r="F42" s="1"/>
      <c r="G42" s="1"/>
      <c r="H42" s="17"/>
      <c r="I42" s="1"/>
      <c r="J42" s="19"/>
      <c r="K42" s="19"/>
    </row>
    <row r="43" spans="1:11" s="2" customFormat="1" x14ac:dyDescent="0.45">
      <c r="A43" s="1"/>
      <c r="B43" s="79"/>
      <c r="C43" s="15"/>
      <c r="D43" s="1"/>
      <c r="E43" s="1"/>
      <c r="F43" s="1"/>
      <c r="G43" s="1"/>
      <c r="H43" s="1"/>
      <c r="I43" s="1"/>
      <c r="J43" s="1"/>
      <c r="K43" s="1"/>
    </row>
    <row r="44" spans="1:11" s="2" customFormat="1" x14ac:dyDescent="0.45">
      <c r="A44" s="1"/>
      <c r="B44" s="79"/>
      <c r="C44" s="26"/>
      <c r="D44" s="1"/>
      <c r="E44" s="1"/>
      <c r="F44" s="1"/>
      <c r="G44" s="1"/>
      <c r="H44" s="1"/>
      <c r="I44" s="1"/>
      <c r="J44" s="17"/>
      <c r="K44" s="17"/>
    </row>
    <row r="45" spans="1:11" s="2" customFormat="1" x14ac:dyDescent="0.45">
      <c r="A45" s="1"/>
      <c r="B45" s="79"/>
      <c r="C45" s="15"/>
      <c r="D45" s="27"/>
      <c r="E45" s="1"/>
      <c r="F45" s="1"/>
      <c r="G45" s="1"/>
      <c r="H45" s="17"/>
      <c r="I45" s="1"/>
      <c r="J45" s="17"/>
      <c r="K45" s="17"/>
    </row>
    <row r="46" spans="1:11" s="2" customFormat="1" x14ac:dyDescent="0.45">
      <c r="A46" s="1"/>
      <c r="B46" s="79"/>
      <c r="C46" s="1"/>
      <c r="D46" s="1"/>
      <c r="E46" s="1"/>
      <c r="F46" s="1"/>
      <c r="G46" s="1"/>
      <c r="H46" s="1"/>
      <c r="I46" s="1"/>
      <c r="J46" s="17"/>
      <c r="K46" s="17"/>
    </row>
    <row r="47" spans="1:11" s="2" customFormat="1" x14ac:dyDescent="0.45">
      <c r="A47" s="1"/>
      <c r="B47" s="79"/>
      <c r="C47" s="11"/>
      <c r="D47" s="1"/>
      <c r="E47" s="1"/>
      <c r="F47" s="1"/>
      <c r="G47" s="1"/>
      <c r="H47" s="17"/>
      <c r="I47" s="1"/>
      <c r="J47" s="1"/>
      <c r="K47" s="1"/>
    </row>
    <row r="48" spans="1:11" s="2" customFormat="1" x14ac:dyDescent="0.45">
      <c r="A48" s="1"/>
      <c r="B48" s="79"/>
      <c r="C48" s="1"/>
      <c r="D48" s="1"/>
      <c r="E48" s="1"/>
      <c r="F48" s="1"/>
      <c r="G48" s="1"/>
      <c r="H48" s="1"/>
      <c r="I48" s="1"/>
      <c r="J48" s="17"/>
      <c r="K48" s="17"/>
    </row>
    <row r="49" spans="1:11" s="2" customFormat="1" x14ac:dyDescent="0.45">
      <c r="A49" s="1"/>
      <c r="B49" s="79"/>
      <c r="C49" s="11"/>
      <c r="D49" s="1"/>
      <c r="E49" s="1"/>
      <c r="F49" s="1"/>
      <c r="G49" s="1"/>
      <c r="H49" s="19"/>
      <c r="I49" s="1"/>
      <c r="J49" s="1"/>
      <c r="K49" s="1"/>
    </row>
    <row r="50" spans="1:11" s="2" customFormat="1" x14ac:dyDescent="0.45">
      <c r="A50" s="1"/>
      <c r="B50" s="79"/>
      <c r="C50" s="1"/>
      <c r="D50" s="1"/>
      <c r="E50" s="1"/>
      <c r="F50" s="1"/>
      <c r="G50" s="1"/>
      <c r="H50" s="1"/>
      <c r="I50" s="1"/>
      <c r="J50" s="1"/>
      <c r="K50" s="1"/>
    </row>
    <row r="51" spans="1:11" s="2" customFormat="1" x14ac:dyDescent="0.45">
      <c r="A51" s="1"/>
      <c r="B51" s="79"/>
      <c r="C51" s="11"/>
      <c r="D51" s="1"/>
      <c r="E51" s="1"/>
      <c r="F51" s="1"/>
      <c r="G51" s="1"/>
      <c r="H51" s="19"/>
      <c r="I51" s="1"/>
      <c r="J51" s="17"/>
      <c r="K51" s="17"/>
    </row>
    <row r="52" spans="1:11" s="2" customFormat="1" x14ac:dyDescent="0.45">
      <c r="A52" s="1"/>
      <c r="B52" s="79"/>
      <c r="C52" s="11"/>
      <c r="D52" s="1"/>
      <c r="E52" s="1"/>
      <c r="F52" s="1"/>
      <c r="G52" s="1"/>
      <c r="H52" s="28"/>
      <c r="I52" s="1"/>
      <c r="J52" s="1"/>
      <c r="K52" s="1"/>
    </row>
    <row r="53" spans="1:11" s="2" customFormat="1" x14ac:dyDescent="0.45">
      <c r="A53" s="1"/>
      <c r="B53" s="79"/>
      <c r="C53" s="11"/>
      <c r="D53" s="1"/>
      <c r="E53" s="1"/>
      <c r="F53" s="1"/>
      <c r="G53" s="1"/>
      <c r="H53" s="1"/>
      <c r="I53" s="1"/>
      <c r="J53" s="17"/>
      <c r="K53" s="17"/>
    </row>
    <row r="54" spans="1:11" s="2" customFormat="1" x14ac:dyDescent="0.45">
      <c r="A54" s="1"/>
      <c r="B54" s="79"/>
      <c r="C54" s="11"/>
      <c r="D54" s="1"/>
      <c r="E54" s="1"/>
      <c r="F54" s="1"/>
      <c r="G54" s="1"/>
      <c r="H54" s="1"/>
      <c r="I54" s="1"/>
      <c r="J54" s="1"/>
      <c r="K54" s="1"/>
    </row>
    <row r="55" spans="1:11" s="2" customFormat="1" x14ac:dyDescent="0.45">
      <c r="A55" s="1"/>
      <c r="B55" s="79"/>
      <c r="C55" s="11"/>
      <c r="D55" s="1"/>
      <c r="E55" s="1"/>
      <c r="F55" s="1"/>
      <c r="G55" s="1"/>
      <c r="H55" s="1"/>
      <c r="I55" s="1"/>
      <c r="J55" s="19"/>
      <c r="K55" s="19"/>
    </row>
    <row r="56" spans="1:11" s="2" customFormat="1" x14ac:dyDescent="0.45">
      <c r="A56" s="1"/>
      <c r="B56" s="79"/>
      <c r="C56" s="1"/>
      <c r="D56" s="11"/>
      <c r="E56" s="1"/>
      <c r="F56" s="1"/>
      <c r="G56" s="1"/>
      <c r="H56" s="1"/>
      <c r="I56" s="1"/>
      <c r="J56" s="1"/>
      <c r="K56" s="1"/>
    </row>
    <row r="57" spans="1:11" s="2" customFormat="1" x14ac:dyDescent="0.45">
      <c r="A57" s="1"/>
      <c r="B57" s="79"/>
      <c r="C57" s="1"/>
      <c r="D57" s="1"/>
      <c r="E57" s="1"/>
      <c r="F57" s="1"/>
      <c r="G57" s="1"/>
      <c r="H57" s="1"/>
      <c r="I57" s="1"/>
      <c r="J57" s="19"/>
      <c r="K57" s="19"/>
    </row>
    <row r="58" spans="1:11" s="2" customFormat="1" x14ac:dyDescent="0.45">
      <c r="A58" s="1"/>
      <c r="B58" s="79"/>
      <c r="C58" s="1"/>
      <c r="D58" s="1"/>
      <c r="E58" s="1"/>
      <c r="F58" s="1"/>
      <c r="G58" s="1"/>
      <c r="H58" s="1"/>
      <c r="I58" s="1"/>
      <c r="J58" s="29"/>
      <c r="K58" s="29"/>
    </row>
    <row r="59" spans="1:11" s="2" customFormat="1" x14ac:dyDescent="0.45">
      <c r="A59" s="1"/>
      <c r="B59" s="79"/>
      <c r="C59" s="1"/>
      <c r="D59" s="1"/>
      <c r="E59" s="1"/>
      <c r="F59" s="1"/>
      <c r="G59" s="1"/>
      <c r="H59" s="1"/>
      <c r="I59" s="1"/>
      <c r="J59" s="1"/>
      <c r="K59" s="1"/>
    </row>
    <row r="60" spans="1:11" s="2" customFormat="1" x14ac:dyDescent="0.45">
      <c r="A60" s="1"/>
      <c r="B60" s="79"/>
      <c r="C60" s="1"/>
      <c r="D60" s="1"/>
      <c r="E60" s="1"/>
      <c r="F60" s="1"/>
      <c r="G60" s="1"/>
      <c r="H60" s="1"/>
      <c r="I60" s="1"/>
      <c r="J60" s="1"/>
      <c r="K60" s="1"/>
    </row>
    <row r="61" spans="1:11" s="2" customFormat="1" x14ac:dyDescent="0.45">
      <c r="A61" s="1"/>
      <c r="B61" s="79"/>
      <c r="C61" s="1"/>
      <c r="D61" s="1"/>
      <c r="E61" s="1"/>
      <c r="F61" s="1"/>
      <c r="G61" s="1"/>
      <c r="H61" s="1"/>
      <c r="I61" s="1"/>
      <c r="J61" s="1"/>
      <c r="K61" s="1"/>
    </row>
    <row r="62" spans="1:11" s="2" customForma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fitToHeight="0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E53E3-C0F6-4846-8021-3E5A649EA561}">
  <sheetPr>
    <pageSetUpPr fitToPage="1"/>
  </sheetPr>
  <dimension ref="A1:J62"/>
  <sheetViews>
    <sheetView view="pageBreakPreview" zoomScaleNormal="110" zoomScaleSheetLayoutView="100" workbookViewId="0">
      <selection activeCell="H18" sqref="H18"/>
    </sheetView>
  </sheetViews>
  <sheetFormatPr defaultColWidth="9.1328125" defaultRowHeight="14.25" x14ac:dyDescent="0.45"/>
  <cols>
    <col min="1" max="1" width="4" style="1" customWidth="1"/>
    <col min="2" max="2" width="5.1328125" style="1" customWidth="1"/>
    <col min="3" max="3" width="7.73046875" style="1" customWidth="1"/>
    <col min="4" max="4" width="55.1328125" style="1" bestFit="1" customWidth="1"/>
    <col min="5" max="5" width="3.1328125" style="1" customWidth="1"/>
    <col min="6" max="6" width="14.73046875" style="1" customWidth="1"/>
    <col min="7" max="7" width="3.1328125" style="1" customWidth="1"/>
    <col min="8" max="8" width="14.73046875" style="1" customWidth="1"/>
    <col min="9" max="9" width="3.1328125" style="1" customWidth="1"/>
    <col min="10" max="10" width="26" style="2" bestFit="1" customWidth="1"/>
    <col min="11" max="16384" width="9.1328125" style="1"/>
  </cols>
  <sheetData>
    <row r="1" spans="1:10" ht="16.899999999999999" x14ac:dyDescent="0.5">
      <c r="A1" s="110" t="str">
        <f>[1]Reference!$B$2</f>
        <v>BLUEGRASS WATER UTILITY OPERATING COMPANY, LLC</v>
      </c>
      <c r="B1" s="110"/>
      <c r="C1" s="110"/>
      <c r="D1" s="110"/>
      <c r="E1" s="110"/>
      <c r="F1" s="110"/>
      <c r="G1" s="110"/>
      <c r="H1" s="110"/>
    </row>
    <row r="2" spans="1:10" x14ac:dyDescent="0.45">
      <c r="A2" s="111" t="str">
        <f>[1]Reference!$B$3</f>
        <v>Case No. 2020-00290</v>
      </c>
      <c r="B2" s="111"/>
      <c r="C2" s="111"/>
      <c r="D2" s="111"/>
      <c r="E2" s="111"/>
      <c r="F2" s="111"/>
      <c r="G2" s="111"/>
      <c r="H2" s="111"/>
      <c r="I2" s="3"/>
    </row>
    <row r="3" spans="1:10" x14ac:dyDescent="0.45">
      <c r="A3" s="111" t="s">
        <v>11</v>
      </c>
      <c r="B3" s="111"/>
      <c r="C3" s="111"/>
      <c r="D3" s="111"/>
      <c r="E3" s="111"/>
      <c r="F3" s="111"/>
      <c r="G3" s="111"/>
      <c r="H3" s="111"/>
      <c r="I3" s="3"/>
    </row>
    <row r="4" spans="1:10" x14ac:dyDescent="0.45">
      <c r="A4" s="111" t="str">
        <f>'Constants LinkIn'!B11</f>
        <v>Forecast Year for the 12 Months ended April 30, 2022</v>
      </c>
      <c r="B4" s="111"/>
      <c r="C4" s="111"/>
      <c r="D4" s="111"/>
      <c r="E4" s="111"/>
      <c r="F4" s="111"/>
      <c r="G4" s="111"/>
      <c r="H4" s="111"/>
      <c r="I4" s="3"/>
    </row>
    <row r="5" spans="1:10" x14ac:dyDescent="0.45">
      <c r="A5" s="79"/>
      <c r="B5" s="79"/>
      <c r="C5" s="79"/>
      <c r="D5" s="79"/>
      <c r="E5" s="79"/>
      <c r="F5" s="79"/>
      <c r="G5" s="79"/>
      <c r="I5" s="3"/>
    </row>
    <row r="6" spans="1:10" x14ac:dyDescent="0.45">
      <c r="A6" s="47"/>
      <c r="B6" s="47"/>
      <c r="C6" s="47"/>
      <c r="D6" s="47"/>
      <c r="E6" s="47"/>
      <c r="F6" s="47"/>
      <c r="G6" s="47"/>
      <c r="H6" s="75" t="s">
        <v>145</v>
      </c>
      <c r="I6" s="3"/>
    </row>
    <row r="7" spans="1:10" x14ac:dyDescent="0.45">
      <c r="A7" s="1" t="s">
        <v>33</v>
      </c>
      <c r="H7" s="76" t="str">
        <f ca="1">RIGHT(CELL("filename",$A$1),LEN(CELL("filename",$A$1))-SEARCH("/Work Papers",CELL("filename",$A$1),1))</f>
        <v>Work Papers/Rate Base/[BGUOC 2020 Rate Case - Rate Base (Sewer).xlsx]CIAC - FY B6</v>
      </c>
      <c r="I7" s="3"/>
    </row>
    <row r="8" spans="1:10" x14ac:dyDescent="0.45">
      <c r="A8" s="1" t="s">
        <v>15</v>
      </c>
      <c r="H8" s="77" t="s">
        <v>109</v>
      </c>
      <c r="I8" s="3"/>
    </row>
    <row r="9" spans="1:10" ht="14.65" thickBot="1" x14ac:dyDescent="0.5">
      <c r="B9" s="4"/>
      <c r="C9" s="4"/>
      <c r="D9" s="4"/>
      <c r="E9" s="4"/>
      <c r="F9" s="4"/>
      <c r="G9" s="4"/>
      <c r="H9" s="4"/>
      <c r="I9" s="3"/>
    </row>
    <row r="10" spans="1:10" ht="28.5" x14ac:dyDescent="0.45">
      <c r="B10" s="5" t="s">
        <v>0</v>
      </c>
      <c r="C10" s="5" t="s">
        <v>16</v>
      </c>
      <c r="F10" s="6" t="s">
        <v>154</v>
      </c>
      <c r="G10" s="7"/>
      <c r="H10" s="6" t="s">
        <v>40</v>
      </c>
      <c r="I10" s="3"/>
      <c r="J10" s="5"/>
    </row>
    <row r="11" spans="1:10" ht="14.65" thickBot="1" x14ac:dyDescent="0.5">
      <c r="B11" s="8" t="s">
        <v>3</v>
      </c>
      <c r="C11" s="8" t="s">
        <v>3</v>
      </c>
      <c r="D11" s="8" t="s">
        <v>21</v>
      </c>
      <c r="E11" s="4"/>
      <c r="F11" s="9" t="s">
        <v>5</v>
      </c>
      <c r="G11" s="4"/>
      <c r="H11" s="9" t="s">
        <v>5</v>
      </c>
      <c r="I11" s="10"/>
      <c r="J11" s="10"/>
    </row>
    <row r="12" spans="1:10" s="11" customFormat="1" x14ac:dyDescent="0.45">
      <c r="B12" s="79">
        <v>1</v>
      </c>
      <c r="D12" s="12"/>
      <c r="F12" s="13"/>
      <c r="H12" s="13"/>
      <c r="I12" s="13"/>
      <c r="J12" s="14"/>
    </row>
    <row r="13" spans="1:10" x14ac:dyDescent="0.45">
      <c r="B13" s="79">
        <v>2</v>
      </c>
      <c r="C13" s="11"/>
      <c r="D13" s="11"/>
    </row>
    <row r="14" spans="1:10" x14ac:dyDescent="0.45">
      <c r="B14" s="79">
        <v>3</v>
      </c>
      <c r="C14" s="18">
        <v>271</v>
      </c>
      <c r="D14" s="18" t="s">
        <v>11</v>
      </c>
      <c r="F14" s="17">
        <f>SUMIFS('CIAC WP'!$R$34:$R$37,'CIAC WP'!$C$34:$C$37,"sewer")</f>
        <v>87144.31633333335</v>
      </c>
      <c r="H14" s="17">
        <f>F14+SUMIFS('CIAC WP'!O34:O37,'CIAC WP'!C34:C37,"sewer")*6.5</f>
        <v>100385.38345833335</v>
      </c>
      <c r="I14" s="17"/>
    </row>
    <row r="15" spans="1:10" x14ac:dyDescent="0.45">
      <c r="B15" s="79">
        <v>4</v>
      </c>
      <c r="C15" s="100"/>
      <c r="D15" s="100"/>
      <c r="E15" s="51"/>
      <c r="F15" s="95"/>
      <c r="G15" s="51"/>
      <c r="H15" s="95"/>
      <c r="I15" s="17"/>
    </row>
    <row r="16" spans="1:10" x14ac:dyDescent="0.45">
      <c r="B16" s="79">
        <v>5</v>
      </c>
      <c r="C16" s="100"/>
      <c r="D16" s="100"/>
      <c r="E16" s="51"/>
      <c r="F16" s="95"/>
      <c r="G16" s="51"/>
      <c r="H16" s="95"/>
      <c r="I16" s="17"/>
    </row>
    <row r="17" spans="1:9" x14ac:dyDescent="0.45">
      <c r="B17" s="79"/>
      <c r="C17" s="100"/>
      <c r="D17" s="100"/>
      <c r="E17" s="51"/>
      <c r="F17" s="95"/>
      <c r="G17" s="51"/>
      <c r="H17" s="95"/>
      <c r="I17" s="17"/>
    </row>
    <row r="18" spans="1:9" x14ac:dyDescent="0.45">
      <c r="B18" s="79"/>
      <c r="C18" s="100"/>
      <c r="D18" s="101"/>
      <c r="E18" s="51"/>
      <c r="F18" s="95"/>
      <c r="G18" s="51"/>
      <c r="H18" s="95"/>
      <c r="I18" s="19"/>
    </row>
    <row r="19" spans="1:9" s="2" customFormat="1" x14ac:dyDescent="0.45">
      <c r="A19" s="1"/>
      <c r="B19" s="79"/>
      <c r="C19" s="100"/>
      <c r="D19" s="101"/>
      <c r="E19" s="51"/>
      <c r="F19" s="95"/>
      <c r="G19" s="51"/>
      <c r="H19" s="95"/>
      <c r="I19" s="1"/>
    </row>
    <row r="20" spans="1:9" s="2" customFormat="1" x14ac:dyDescent="0.45">
      <c r="A20" s="1"/>
      <c r="B20" s="79"/>
      <c r="C20" s="100"/>
      <c r="D20" s="101"/>
      <c r="E20" s="51"/>
      <c r="F20" s="95"/>
      <c r="G20" s="51"/>
      <c r="H20" s="95"/>
      <c r="I20" s="1"/>
    </row>
    <row r="21" spans="1:9" s="2" customFormat="1" x14ac:dyDescent="0.45">
      <c r="A21" s="1"/>
      <c r="B21" s="79"/>
      <c r="C21" s="100"/>
      <c r="D21" s="101"/>
      <c r="E21" s="51"/>
      <c r="F21" s="95"/>
      <c r="G21" s="51"/>
      <c r="H21" s="95"/>
      <c r="I21" s="1"/>
    </row>
    <row r="22" spans="1:9" s="2" customFormat="1" x14ac:dyDescent="0.45">
      <c r="A22" s="1"/>
      <c r="B22" s="79"/>
      <c r="C22" s="100"/>
      <c r="D22" s="101"/>
      <c r="E22" s="51"/>
      <c r="F22" s="95"/>
      <c r="G22" s="51"/>
      <c r="H22" s="95"/>
      <c r="I22" s="17"/>
    </row>
    <row r="23" spans="1:9" s="2" customFormat="1" x14ac:dyDescent="0.45">
      <c r="A23" s="1"/>
      <c r="B23" s="79"/>
      <c r="C23" s="100"/>
      <c r="D23" s="101"/>
      <c r="E23" s="51"/>
      <c r="F23" s="95"/>
      <c r="G23" s="51"/>
      <c r="H23" s="95"/>
      <c r="I23" s="17"/>
    </row>
    <row r="24" spans="1:9" s="2" customFormat="1" x14ac:dyDescent="0.45">
      <c r="A24" s="1"/>
      <c r="B24" s="79"/>
      <c r="C24" s="100"/>
      <c r="D24" s="101"/>
      <c r="E24" s="51"/>
      <c r="F24" s="95"/>
      <c r="G24" s="51"/>
      <c r="H24" s="95"/>
      <c r="I24" s="17"/>
    </row>
    <row r="25" spans="1:9" s="2" customFormat="1" x14ac:dyDescent="0.45">
      <c r="A25" s="1"/>
      <c r="B25" s="79"/>
      <c r="C25" s="100"/>
      <c r="D25" s="101"/>
      <c r="E25" s="51"/>
      <c r="F25" s="95"/>
      <c r="G25" s="51"/>
      <c r="H25" s="95"/>
      <c r="I25" s="17"/>
    </row>
    <row r="26" spans="1:9" s="2" customFormat="1" x14ac:dyDescent="0.45">
      <c r="A26" s="1"/>
      <c r="B26" s="79"/>
      <c r="C26" s="102"/>
      <c r="D26" s="94"/>
      <c r="E26" s="51"/>
      <c r="F26" s="95"/>
      <c r="G26" s="51"/>
      <c r="H26" s="95"/>
      <c r="I26" s="17"/>
    </row>
    <row r="27" spans="1:9" s="2" customFormat="1" x14ac:dyDescent="0.45">
      <c r="A27" s="1"/>
      <c r="B27" s="79"/>
      <c r="C27" s="102"/>
      <c r="D27" s="103"/>
      <c r="E27" s="54"/>
      <c r="F27" s="91"/>
      <c r="G27" s="54"/>
      <c r="H27" s="91"/>
      <c r="I27" s="17"/>
    </row>
    <row r="28" spans="1:9" s="2" customFormat="1" x14ac:dyDescent="0.45">
      <c r="A28" s="1"/>
      <c r="B28" s="79"/>
      <c r="C28" s="102"/>
      <c r="D28" s="94"/>
      <c r="E28" s="51"/>
      <c r="F28" s="95"/>
      <c r="G28" s="51"/>
      <c r="H28" s="95"/>
      <c r="I28" s="17"/>
    </row>
    <row r="29" spans="1:9" s="2" customFormat="1" x14ac:dyDescent="0.45">
      <c r="A29" s="1"/>
      <c r="B29" s="79"/>
      <c r="C29" s="102"/>
      <c r="D29" s="94"/>
      <c r="E29" s="51"/>
      <c r="F29" s="95"/>
      <c r="G29" s="51"/>
      <c r="H29" s="95"/>
      <c r="I29" s="17"/>
    </row>
    <row r="30" spans="1:9" s="2" customFormat="1" x14ac:dyDescent="0.45">
      <c r="A30" s="1"/>
      <c r="B30" s="79"/>
      <c r="C30" s="102"/>
      <c r="D30" s="94"/>
      <c r="E30" s="51"/>
      <c r="F30" s="95"/>
      <c r="G30" s="51"/>
      <c r="H30" s="91"/>
      <c r="I30" s="19"/>
    </row>
    <row r="31" spans="1:9" s="2" customFormat="1" x14ac:dyDescent="0.45">
      <c r="A31" s="1"/>
      <c r="B31" s="79"/>
      <c r="C31" s="102"/>
      <c r="D31" s="103"/>
      <c r="E31" s="54"/>
      <c r="F31" s="91"/>
      <c r="G31" s="54"/>
      <c r="H31" s="91"/>
      <c r="I31" s="1"/>
    </row>
    <row r="32" spans="1:9" s="2" customFormat="1" x14ac:dyDescent="0.45">
      <c r="A32" s="1"/>
      <c r="B32" s="79"/>
      <c r="C32" s="15"/>
      <c r="D32" s="22"/>
      <c r="E32" s="1"/>
      <c r="F32" s="17"/>
      <c r="G32" s="1"/>
      <c r="H32" s="17"/>
      <c r="I32" s="17"/>
    </row>
    <row r="33" spans="1:9" s="2" customFormat="1" x14ac:dyDescent="0.45">
      <c r="A33" s="1"/>
      <c r="B33" s="79"/>
      <c r="C33" s="15"/>
      <c r="D33" s="22"/>
      <c r="E33" s="1"/>
      <c r="F33" s="17"/>
      <c r="G33" s="1"/>
      <c r="H33" s="17"/>
      <c r="I33" s="17"/>
    </row>
    <row r="34" spans="1:9" s="2" customFormat="1" x14ac:dyDescent="0.45">
      <c r="A34" s="1"/>
      <c r="B34" s="79"/>
      <c r="C34" s="15"/>
      <c r="D34" s="22"/>
      <c r="E34" s="1"/>
      <c r="F34" s="17"/>
      <c r="G34" s="1"/>
      <c r="H34" s="17"/>
      <c r="I34" s="17"/>
    </row>
    <row r="35" spans="1:9" s="2" customFormat="1" x14ac:dyDescent="0.45">
      <c r="A35" s="1"/>
      <c r="B35" s="79"/>
      <c r="C35" s="25"/>
      <c r="D35" s="22"/>
      <c r="E35" s="1"/>
      <c r="F35" s="17"/>
      <c r="G35" s="1"/>
      <c r="H35" s="17"/>
      <c r="I35" s="17"/>
    </row>
    <row r="36" spans="1:9" s="2" customFormat="1" x14ac:dyDescent="0.45">
      <c r="A36" s="1"/>
      <c r="B36" s="79"/>
      <c r="C36" s="15"/>
      <c r="D36" s="1"/>
      <c r="E36" s="1"/>
      <c r="F36" s="19"/>
      <c r="G36" s="1"/>
      <c r="H36" s="17"/>
      <c r="I36" s="17"/>
    </row>
    <row r="37" spans="1:9" s="2" customFormat="1" x14ac:dyDescent="0.45">
      <c r="A37" s="1"/>
      <c r="B37" s="79"/>
      <c r="C37" s="26"/>
      <c r="D37" s="1"/>
      <c r="E37" s="1"/>
      <c r="F37" s="1"/>
      <c r="G37" s="1"/>
      <c r="H37" s="17"/>
      <c r="I37" s="17"/>
    </row>
    <row r="38" spans="1:9" s="2" customFormat="1" x14ac:dyDescent="0.45">
      <c r="A38" s="1"/>
      <c r="B38" s="79"/>
      <c r="C38" s="15"/>
      <c r="D38" s="22"/>
      <c r="E38" s="1"/>
      <c r="F38" s="17"/>
      <c r="G38" s="1"/>
      <c r="H38" s="17"/>
      <c r="I38" s="17"/>
    </row>
    <row r="39" spans="1:9" s="2" customFormat="1" x14ac:dyDescent="0.45">
      <c r="A39" s="1"/>
      <c r="B39" s="79"/>
      <c r="C39" s="15"/>
      <c r="D39" s="22"/>
      <c r="E39" s="1"/>
      <c r="F39" s="17"/>
      <c r="G39" s="1"/>
      <c r="H39" s="17"/>
      <c r="I39" s="17"/>
    </row>
    <row r="40" spans="1:9" s="2" customFormat="1" x14ac:dyDescent="0.45">
      <c r="A40" s="1"/>
      <c r="B40" s="79"/>
      <c r="C40" s="15"/>
      <c r="D40" s="22"/>
      <c r="E40" s="1"/>
      <c r="F40" s="17"/>
      <c r="G40" s="1"/>
      <c r="H40" s="17"/>
      <c r="I40" s="17"/>
    </row>
    <row r="41" spans="1:9" s="2" customFormat="1" x14ac:dyDescent="0.45">
      <c r="A41" s="1"/>
      <c r="B41" s="79"/>
      <c r="C41" s="26"/>
      <c r="D41" s="1"/>
      <c r="E41" s="1"/>
      <c r="F41" s="1"/>
      <c r="G41" s="1"/>
      <c r="H41" s="17"/>
      <c r="I41" s="17"/>
    </row>
    <row r="42" spans="1:9" s="2" customFormat="1" x14ac:dyDescent="0.45">
      <c r="A42" s="1"/>
      <c r="B42" s="79"/>
      <c r="C42" s="15"/>
      <c r="D42" s="27"/>
      <c r="E42" s="1"/>
      <c r="F42" s="17"/>
      <c r="G42" s="1"/>
      <c r="H42" s="19"/>
      <c r="I42" s="19"/>
    </row>
    <row r="43" spans="1:9" s="2" customFormat="1" x14ac:dyDescent="0.45">
      <c r="A43" s="1"/>
      <c r="B43" s="79"/>
      <c r="C43" s="15"/>
      <c r="D43" s="1"/>
      <c r="E43" s="1"/>
      <c r="F43" s="1"/>
      <c r="G43" s="1"/>
      <c r="H43" s="1"/>
      <c r="I43" s="1"/>
    </row>
    <row r="44" spans="1:9" s="2" customFormat="1" x14ac:dyDescent="0.45">
      <c r="A44" s="1"/>
      <c r="B44" s="79"/>
      <c r="C44" s="26"/>
      <c r="D44" s="1"/>
      <c r="E44" s="1"/>
      <c r="F44" s="1"/>
      <c r="G44" s="1"/>
      <c r="H44" s="17"/>
      <c r="I44" s="17"/>
    </row>
    <row r="45" spans="1:9" s="2" customFormat="1" x14ac:dyDescent="0.45">
      <c r="A45" s="1"/>
      <c r="B45" s="79"/>
      <c r="C45" s="15"/>
      <c r="D45" s="27"/>
      <c r="E45" s="1"/>
      <c r="F45" s="17"/>
      <c r="G45" s="1"/>
      <c r="H45" s="17"/>
      <c r="I45" s="17"/>
    </row>
    <row r="46" spans="1:9" s="2" customFormat="1" x14ac:dyDescent="0.45">
      <c r="A46" s="1"/>
      <c r="B46" s="79"/>
      <c r="C46" s="1"/>
      <c r="D46" s="1"/>
      <c r="E46" s="1"/>
      <c r="F46" s="1"/>
      <c r="G46" s="1"/>
      <c r="H46" s="17"/>
      <c r="I46" s="17"/>
    </row>
    <row r="47" spans="1:9" s="2" customFormat="1" x14ac:dyDescent="0.45">
      <c r="A47" s="1"/>
      <c r="B47" s="79"/>
      <c r="C47" s="11"/>
      <c r="D47" s="1"/>
      <c r="E47" s="1"/>
      <c r="F47" s="17"/>
      <c r="G47" s="1"/>
      <c r="H47" s="1"/>
      <c r="I47" s="1"/>
    </row>
    <row r="48" spans="1:9" s="2" customFormat="1" x14ac:dyDescent="0.45">
      <c r="A48" s="1"/>
      <c r="B48" s="79"/>
      <c r="C48" s="1"/>
      <c r="D48" s="1"/>
      <c r="E48" s="1"/>
      <c r="F48" s="1"/>
      <c r="G48" s="1"/>
      <c r="H48" s="17"/>
      <c r="I48" s="17"/>
    </row>
    <row r="49" spans="1:9" s="2" customFormat="1" x14ac:dyDescent="0.45">
      <c r="A49" s="1"/>
      <c r="B49" s="79"/>
      <c r="C49" s="11"/>
      <c r="D49" s="1"/>
      <c r="E49" s="1"/>
      <c r="F49" s="19"/>
      <c r="G49" s="1"/>
      <c r="H49" s="1"/>
      <c r="I49" s="1"/>
    </row>
    <row r="50" spans="1:9" s="2" customFormat="1" x14ac:dyDescent="0.45">
      <c r="A50" s="1"/>
      <c r="B50" s="79"/>
      <c r="C50" s="1"/>
      <c r="D50" s="1"/>
      <c r="E50" s="1"/>
      <c r="F50" s="1"/>
      <c r="G50" s="1"/>
      <c r="H50" s="1"/>
      <c r="I50" s="1"/>
    </row>
    <row r="51" spans="1:9" s="2" customFormat="1" x14ac:dyDescent="0.45">
      <c r="A51" s="1"/>
      <c r="B51" s="79"/>
      <c r="C51" s="11"/>
      <c r="D51" s="1"/>
      <c r="E51" s="1"/>
      <c r="F51" s="19"/>
      <c r="G51" s="1"/>
      <c r="H51" s="17"/>
      <c r="I51" s="17"/>
    </row>
    <row r="52" spans="1:9" s="2" customFormat="1" x14ac:dyDescent="0.45">
      <c r="A52" s="1"/>
      <c r="B52" s="79"/>
      <c r="C52" s="11"/>
      <c r="D52" s="1"/>
      <c r="E52" s="1"/>
      <c r="F52" s="28"/>
      <c r="G52" s="1"/>
      <c r="H52" s="1"/>
      <c r="I52" s="1"/>
    </row>
    <row r="53" spans="1:9" s="2" customFormat="1" x14ac:dyDescent="0.45">
      <c r="A53" s="1"/>
      <c r="B53" s="79"/>
      <c r="C53" s="11"/>
      <c r="D53" s="1"/>
      <c r="E53" s="1"/>
      <c r="F53" s="1"/>
      <c r="G53" s="1"/>
      <c r="H53" s="17"/>
      <c r="I53" s="17"/>
    </row>
    <row r="54" spans="1:9" s="2" customFormat="1" x14ac:dyDescent="0.45">
      <c r="A54" s="1"/>
      <c r="B54" s="79"/>
      <c r="C54" s="11"/>
      <c r="D54" s="1"/>
      <c r="E54" s="1"/>
      <c r="F54" s="1"/>
      <c r="G54" s="1"/>
      <c r="H54" s="1"/>
      <c r="I54" s="1"/>
    </row>
    <row r="55" spans="1:9" s="2" customFormat="1" x14ac:dyDescent="0.45">
      <c r="A55" s="1"/>
      <c r="B55" s="79"/>
      <c r="C55" s="11"/>
      <c r="D55" s="1"/>
      <c r="E55" s="1"/>
      <c r="F55" s="1"/>
      <c r="G55" s="1"/>
      <c r="H55" s="19"/>
      <c r="I55" s="19"/>
    </row>
    <row r="56" spans="1:9" s="2" customFormat="1" x14ac:dyDescent="0.45">
      <c r="A56" s="1"/>
      <c r="B56" s="79"/>
      <c r="C56" s="1"/>
      <c r="D56" s="11"/>
      <c r="E56" s="1"/>
      <c r="F56" s="1"/>
      <c r="G56" s="1"/>
      <c r="H56" s="1"/>
      <c r="I56" s="1"/>
    </row>
    <row r="57" spans="1:9" s="2" customFormat="1" x14ac:dyDescent="0.45">
      <c r="A57" s="1"/>
      <c r="B57" s="79"/>
      <c r="C57" s="1"/>
      <c r="D57" s="1"/>
      <c r="E57" s="1"/>
      <c r="F57" s="1"/>
      <c r="G57" s="1"/>
      <c r="H57" s="19"/>
      <c r="I57" s="19"/>
    </row>
    <row r="58" spans="1:9" s="2" customFormat="1" x14ac:dyDescent="0.45">
      <c r="A58" s="1"/>
      <c r="B58" s="79"/>
      <c r="C58" s="1"/>
      <c r="D58" s="1"/>
      <c r="E58" s="1"/>
      <c r="F58" s="1"/>
      <c r="G58" s="1"/>
      <c r="H58" s="29"/>
      <c r="I58" s="29"/>
    </row>
    <row r="59" spans="1:9" s="2" customFormat="1" x14ac:dyDescent="0.45">
      <c r="A59" s="1"/>
      <c r="B59" s="79"/>
      <c r="C59" s="1"/>
      <c r="D59" s="1"/>
      <c r="E59" s="1"/>
      <c r="F59" s="1"/>
      <c r="G59" s="1"/>
      <c r="H59" s="1"/>
      <c r="I59" s="1"/>
    </row>
    <row r="60" spans="1:9" s="2" customFormat="1" x14ac:dyDescent="0.45">
      <c r="A60" s="1"/>
      <c r="B60" s="79"/>
      <c r="C60" s="1"/>
      <c r="D60" s="1"/>
      <c r="E60" s="1"/>
      <c r="F60" s="1"/>
      <c r="G60" s="1"/>
      <c r="H60" s="1"/>
      <c r="I60" s="1"/>
    </row>
    <row r="61" spans="1:9" s="2" customFormat="1" x14ac:dyDescent="0.45">
      <c r="A61" s="1"/>
      <c r="B61" s="79"/>
      <c r="C61" s="1"/>
      <c r="D61" s="1"/>
      <c r="E61" s="1"/>
      <c r="F61" s="1"/>
      <c r="G61" s="1"/>
      <c r="H61" s="1"/>
      <c r="I61" s="1"/>
    </row>
    <row r="62" spans="1:9" s="2" customFormat="1" x14ac:dyDescent="0.45">
      <c r="A62" s="1"/>
      <c r="B62" s="1"/>
      <c r="C62" s="1"/>
      <c r="D62" s="1"/>
      <c r="E62" s="1"/>
      <c r="F62" s="1"/>
      <c r="G62" s="1"/>
      <c r="H62" s="1"/>
      <c r="I62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fitToHeight="0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BEEC5-833B-4CB4-A894-8DFFBB00D95E}">
  <sheetPr>
    <tabColor rgb="FFFFC000"/>
  </sheetPr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16446-E272-4A0F-B8B4-0DA5128C1042}">
  <dimension ref="A1:R38"/>
  <sheetViews>
    <sheetView zoomScaleNormal="100" workbookViewId="0">
      <selection activeCell="A16" sqref="A16"/>
    </sheetView>
  </sheetViews>
  <sheetFormatPr defaultRowHeight="14.25" x14ac:dyDescent="0.45"/>
  <cols>
    <col min="1" max="1" width="12.265625" customWidth="1"/>
    <col min="2" max="2" width="10.3984375" bestFit="1" customWidth="1"/>
    <col min="3" max="3" width="5.73046875" bestFit="1" customWidth="1"/>
    <col min="4" max="4" width="10.265625" customWidth="1"/>
    <col min="5" max="5" width="10.265625" bestFit="1" customWidth="1"/>
    <col min="6" max="6" width="9.3984375" bestFit="1" customWidth="1"/>
    <col min="7" max="10" width="12.3984375" customWidth="1"/>
    <col min="11" max="11" width="8.59765625" customWidth="1"/>
    <col min="12" max="12" width="15.265625" bestFit="1" customWidth="1"/>
    <col min="13" max="13" width="7.73046875" bestFit="1" customWidth="1"/>
    <col min="14" max="14" width="14.1328125" customWidth="1"/>
    <col min="15" max="15" width="13.3984375" bestFit="1" customWidth="1"/>
    <col min="16" max="16" width="10.86328125" bestFit="1" customWidth="1"/>
    <col min="17" max="17" width="18.59765625" bestFit="1" customWidth="1"/>
    <col min="18" max="18" width="17" customWidth="1"/>
    <col min="19" max="19" width="17" bestFit="1" customWidth="1"/>
    <col min="20" max="20" width="26.59765625" bestFit="1" customWidth="1"/>
    <col min="21" max="21" width="11.73046875" bestFit="1" customWidth="1"/>
    <col min="22" max="22" width="10.86328125" bestFit="1" customWidth="1"/>
    <col min="23" max="23" width="9.1328125" bestFit="1" customWidth="1"/>
  </cols>
  <sheetData>
    <row r="1" spans="1:18" ht="15.75" x14ac:dyDescent="0.5">
      <c r="A1" s="69" t="s">
        <v>147</v>
      </c>
    </row>
    <row r="2" spans="1:18" x14ac:dyDescent="0.45">
      <c r="A2" t="s">
        <v>89</v>
      </c>
      <c r="B2" s="48">
        <v>43831</v>
      </c>
      <c r="C2" s="48"/>
    </row>
    <row r="3" spans="1:18" x14ac:dyDescent="0.45">
      <c r="A3" s="48" t="s">
        <v>90</v>
      </c>
      <c r="B3" s="48">
        <v>44196</v>
      </c>
      <c r="C3" s="48"/>
    </row>
    <row r="7" spans="1:18" x14ac:dyDescent="0.45">
      <c r="B7" s="70" t="s">
        <v>91</v>
      </c>
      <c r="C7" s="70"/>
      <c r="D7" s="70" t="s">
        <v>92</v>
      </c>
      <c r="E7" s="70" t="s">
        <v>93</v>
      </c>
      <c r="F7" s="70"/>
      <c r="G7" s="70" t="s">
        <v>96</v>
      </c>
      <c r="H7" s="70" t="s">
        <v>18</v>
      </c>
      <c r="I7" s="70" t="s">
        <v>97</v>
      </c>
      <c r="J7" s="70" t="s">
        <v>94</v>
      </c>
      <c r="L7" s="70" t="s">
        <v>98</v>
      </c>
      <c r="M7" s="70" t="s">
        <v>99</v>
      </c>
      <c r="N7" s="70" t="s">
        <v>95</v>
      </c>
      <c r="O7" s="70" t="s">
        <v>100</v>
      </c>
      <c r="P7" s="70" t="s">
        <v>101</v>
      </c>
      <c r="Q7" s="70" t="s">
        <v>102</v>
      </c>
      <c r="R7" s="70" t="s">
        <v>155</v>
      </c>
    </row>
    <row r="8" spans="1:18" x14ac:dyDescent="0.45">
      <c r="B8" t="s">
        <v>103</v>
      </c>
      <c r="C8" t="s">
        <v>5</v>
      </c>
      <c r="D8" s="72">
        <v>271</v>
      </c>
      <c r="E8" t="s">
        <v>133</v>
      </c>
      <c r="F8" s="48">
        <v>43951</v>
      </c>
      <c r="G8" s="73">
        <v>0</v>
      </c>
      <c r="H8" s="73">
        <v>213693</v>
      </c>
      <c r="I8" s="73"/>
      <c r="J8" s="73">
        <f>H8+I8</f>
        <v>213693</v>
      </c>
      <c r="L8">
        <v>0</v>
      </c>
      <c r="M8">
        <v>3.3000000000000002E-2</v>
      </c>
      <c r="N8" s="73">
        <v>180717.44</v>
      </c>
      <c r="O8" s="73">
        <f>J8*M8/12</f>
        <v>587.65575000000001</v>
      </c>
      <c r="P8" s="71">
        <f>IF(F8&lt;$B$2,MONTH($B$3)*O8,O8*(MONTH($B$3)-MONTH(F8)))</f>
        <v>4701.2460000000001</v>
      </c>
      <c r="Q8" s="73">
        <f>N8+P8</f>
        <v>185418.68600000002</v>
      </c>
      <c r="R8" s="104">
        <f t="shared" ref="R8:R11" si="0">J8-Q8</f>
        <v>28274.313999999984</v>
      </c>
    </row>
    <row r="9" spans="1:18" x14ac:dyDescent="0.45">
      <c r="B9" t="s">
        <v>103</v>
      </c>
      <c r="C9" t="s">
        <v>5</v>
      </c>
      <c r="D9" s="72">
        <v>271</v>
      </c>
      <c r="E9" t="s">
        <v>104</v>
      </c>
      <c r="G9" s="73">
        <v>0</v>
      </c>
      <c r="H9" s="73">
        <v>6000</v>
      </c>
      <c r="I9" s="73"/>
      <c r="J9" s="73">
        <f>H9+I9</f>
        <v>6000</v>
      </c>
      <c r="L9">
        <v>0</v>
      </c>
      <c r="N9" s="73">
        <v>0</v>
      </c>
      <c r="O9" s="73">
        <f>J9*M9/12</f>
        <v>0</v>
      </c>
      <c r="P9" s="71">
        <f>IF(F9&lt;$B$2,MONTH($B$3)*O9,O9*(MONTH($B$3)-MONTH(F9)))</f>
        <v>0</v>
      </c>
      <c r="Q9" s="73">
        <f>N9+P9</f>
        <v>0</v>
      </c>
      <c r="R9" s="104">
        <f t="shared" si="0"/>
        <v>6000</v>
      </c>
    </row>
    <row r="10" spans="1:18" x14ac:dyDescent="0.45">
      <c r="B10" t="s">
        <v>105</v>
      </c>
      <c r="C10" t="s">
        <v>106</v>
      </c>
      <c r="D10" s="72">
        <v>271</v>
      </c>
      <c r="E10" t="s">
        <v>134</v>
      </c>
      <c r="F10" s="48">
        <v>43982</v>
      </c>
      <c r="G10" s="73">
        <v>0</v>
      </c>
      <c r="H10" s="73">
        <v>343080</v>
      </c>
      <c r="I10" s="73"/>
      <c r="J10" s="73">
        <f>H10+I10</f>
        <v>343080</v>
      </c>
      <c r="L10">
        <v>0</v>
      </c>
      <c r="N10" s="73">
        <v>227343.78</v>
      </c>
      <c r="O10" s="73">
        <v>1549.58</v>
      </c>
      <c r="P10" s="71">
        <f>IF(F10&lt;$B$2,MONTH($B$3)*O10,O10*(MONTH($B$3)-MONTH(F10)))</f>
        <v>10847.06</v>
      </c>
      <c r="Q10" s="73">
        <f>N10+P10</f>
        <v>238190.84</v>
      </c>
      <c r="R10" s="104">
        <f t="shared" si="0"/>
        <v>104889.16</v>
      </c>
    </row>
    <row r="11" spans="1:18" x14ac:dyDescent="0.45">
      <c r="D11" s="72"/>
      <c r="G11" s="74">
        <f>SUM(G8:G10)</f>
        <v>0</v>
      </c>
      <c r="H11" s="74">
        <f>SUM(H8:H10)</f>
        <v>562773</v>
      </c>
      <c r="I11" s="74">
        <f>SUM(I8:I10)</f>
        <v>0</v>
      </c>
      <c r="J11" s="74">
        <f>SUM(J8:J10)</f>
        <v>562773</v>
      </c>
      <c r="L11" s="74">
        <f>SUM(L8:L10)</f>
        <v>0</v>
      </c>
      <c r="N11" s="74">
        <f>SUM(N8:N10)</f>
        <v>408061.22</v>
      </c>
      <c r="O11" s="74">
        <f>SUM(O8:O10)</f>
        <v>2137.2357499999998</v>
      </c>
      <c r="P11" s="74">
        <f>SUM(P8:P10)</f>
        <v>15548.306</v>
      </c>
      <c r="Q11" s="74">
        <f>SUM(Q8:Q10)</f>
        <v>423609.52600000001</v>
      </c>
      <c r="R11" s="105">
        <f t="shared" si="0"/>
        <v>139163.47399999999</v>
      </c>
    </row>
    <row r="12" spans="1:18" x14ac:dyDescent="0.45">
      <c r="G12" s="73"/>
      <c r="H12" s="73"/>
      <c r="I12" s="73"/>
      <c r="J12" s="73"/>
      <c r="R12" s="104"/>
    </row>
    <row r="13" spans="1:18" x14ac:dyDescent="0.45">
      <c r="G13" s="73"/>
      <c r="H13" s="73"/>
      <c r="I13" s="73"/>
      <c r="J13" s="73"/>
    </row>
    <row r="14" spans="1:18" ht="15.75" x14ac:dyDescent="0.5">
      <c r="A14" s="69" t="s">
        <v>150</v>
      </c>
    </row>
    <row r="15" spans="1:18" x14ac:dyDescent="0.45">
      <c r="A15" t="s">
        <v>89</v>
      </c>
      <c r="B15" s="48">
        <v>44197</v>
      </c>
      <c r="C15" s="48"/>
    </row>
    <row r="16" spans="1:18" x14ac:dyDescent="0.45">
      <c r="A16" s="48" t="s">
        <v>90</v>
      </c>
      <c r="B16" s="48">
        <v>44561</v>
      </c>
      <c r="C16" s="48"/>
    </row>
    <row r="20" spans="1:18" x14ac:dyDescent="0.45">
      <c r="B20" s="70" t="s">
        <v>91</v>
      </c>
      <c r="C20" s="70"/>
      <c r="D20" s="70" t="s">
        <v>92</v>
      </c>
      <c r="E20" s="70" t="s">
        <v>93</v>
      </c>
      <c r="F20" s="70"/>
      <c r="G20" s="70" t="s">
        <v>151</v>
      </c>
      <c r="H20" s="70" t="s">
        <v>18</v>
      </c>
      <c r="I20" s="70" t="s">
        <v>97</v>
      </c>
      <c r="J20" s="70" t="s">
        <v>94</v>
      </c>
      <c r="L20" s="70" t="s">
        <v>152</v>
      </c>
      <c r="M20" s="70" t="s">
        <v>99</v>
      </c>
      <c r="N20" s="70" t="s">
        <v>95</v>
      </c>
      <c r="O20" s="70" t="s">
        <v>100</v>
      </c>
      <c r="P20" s="70" t="s">
        <v>101</v>
      </c>
      <c r="Q20" s="70" t="s">
        <v>102</v>
      </c>
      <c r="R20" s="70" t="s">
        <v>155</v>
      </c>
    </row>
    <row r="21" spans="1:18" x14ac:dyDescent="0.45">
      <c r="B21" t="s">
        <v>103</v>
      </c>
      <c r="C21" t="s">
        <v>5</v>
      </c>
      <c r="D21" s="72">
        <v>271</v>
      </c>
      <c r="E21" t="s">
        <v>133</v>
      </c>
      <c r="F21" s="48">
        <v>43951</v>
      </c>
      <c r="G21" s="73">
        <f>J8</f>
        <v>213693</v>
      </c>
      <c r="H21" s="73">
        <v>0</v>
      </c>
      <c r="I21" s="73">
        <v>0</v>
      </c>
      <c r="J21" s="73">
        <f>G21+H21-I21</f>
        <v>213693</v>
      </c>
      <c r="L21" s="104">
        <f>Q8</f>
        <v>185418.68600000002</v>
      </c>
      <c r="M21">
        <v>3.3000000000000002E-2</v>
      </c>
      <c r="N21" s="73"/>
      <c r="O21" s="73">
        <f>J21*M21/12</f>
        <v>587.65575000000001</v>
      </c>
      <c r="P21" s="71">
        <f>IF(F21&lt;$B$15,MONTH($B$3)*O21,O21*(MONTH($B$3)-MONTH(F21)))</f>
        <v>7051.8690000000006</v>
      </c>
      <c r="Q21" s="73">
        <f>L21+N21+P21</f>
        <v>192470.55500000002</v>
      </c>
      <c r="R21" s="104">
        <f t="shared" ref="R21:R24" si="1">J21-Q21</f>
        <v>21222.444999999978</v>
      </c>
    </row>
    <row r="22" spans="1:18" x14ac:dyDescent="0.45">
      <c r="B22" t="s">
        <v>103</v>
      </c>
      <c r="C22" t="s">
        <v>5</v>
      </c>
      <c r="D22" s="72">
        <v>271</v>
      </c>
      <c r="E22" t="s">
        <v>104</v>
      </c>
      <c r="G22" s="73">
        <f>J9</f>
        <v>6000</v>
      </c>
      <c r="H22" s="73">
        <v>0</v>
      </c>
      <c r="I22" s="73">
        <v>0</v>
      </c>
      <c r="J22" s="73">
        <f t="shared" ref="J22:J24" si="2">G22+H22-I22</f>
        <v>6000</v>
      </c>
      <c r="L22" s="104">
        <f t="shared" ref="L22:L23" si="3">Q9</f>
        <v>0</v>
      </c>
      <c r="M22">
        <v>3.3000000000000002E-2</v>
      </c>
      <c r="N22" s="73"/>
      <c r="O22" s="73">
        <f>J22*M22/12</f>
        <v>16.5</v>
      </c>
      <c r="P22" s="71">
        <f>IF(F22&lt;$B$15,MONTH($B$3)*O22,O22*(MONTH($B$3)-MONTH(F22)))</f>
        <v>198</v>
      </c>
      <c r="Q22" s="73">
        <f t="shared" ref="Q22:Q23" si="4">L22+N22+P22</f>
        <v>198</v>
      </c>
      <c r="R22" s="104">
        <f t="shared" si="1"/>
        <v>5802</v>
      </c>
    </row>
    <row r="23" spans="1:18" x14ac:dyDescent="0.45">
      <c r="B23" t="s">
        <v>105</v>
      </c>
      <c r="C23" t="s">
        <v>106</v>
      </c>
      <c r="D23" s="72">
        <v>271</v>
      </c>
      <c r="E23" t="s">
        <v>134</v>
      </c>
      <c r="F23" s="48">
        <v>44227</v>
      </c>
      <c r="G23" s="73">
        <f>J10</f>
        <v>343080</v>
      </c>
      <c r="H23" s="73">
        <v>0</v>
      </c>
      <c r="I23" s="73">
        <v>0</v>
      </c>
      <c r="J23" s="73">
        <f t="shared" si="2"/>
        <v>343080</v>
      </c>
      <c r="L23" s="104">
        <f t="shared" si="3"/>
        <v>238190.84</v>
      </c>
      <c r="M23">
        <v>3.3000000000000002E-2</v>
      </c>
      <c r="N23" s="73"/>
      <c r="O23" s="73">
        <f t="shared" ref="O23:O24" si="5">J23*M23/12</f>
        <v>943.47000000000014</v>
      </c>
      <c r="P23" s="71">
        <f>IF(F23&lt;$B$15,MONTH($B$16)*O23,O23*(MONTH($B$16)-MONTH(F23)))</f>
        <v>10378.170000000002</v>
      </c>
      <c r="Q23" s="73">
        <f t="shared" si="4"/>
        <v>248569.01</v>
      </c>
      <c r="R23" s="104">
        <f t="shared" si="1"/>
        <v>94510.989999999991</v>
      </c>
    </row>
    <row r="24" spans="1:18" x14ac:dyDescent="0.45">
      <c r="B24" t="s">
        <v>103</v>
      </c>
      <c r="C24" t="s">
        <v>5</v>
      </c>
      <c r="D24" s="72">
        <v>271</v>
      </c>
      <c r="E24" t="s">
        <v>146</v>
      </c>
      <c r="F24" s="48">
        <v>44227</v>
      </c>
      <c r="G24" s="73"/>
      <c r="H24" s="73">
        <v>521066</v>
      </c>
      <c r="I24" s="73">
        <v>0</v>
      </c>
      <c r="J24" s="73">
        <f t="shared" si="2"/>
        <v>521066</v>
      </c>
      <c r="L24" s="104">
        <v>0</v>
      </c>
      <c r="M24">
        <v>3.3000000000000002E-2</v>
      </c>
      <c r="N24" s="73">
        <v>422171.7666666666</v>
      </c>
      <c r="O24" s="73">
        <f t="shared" si="5"/>
        <v>1432.9314999999999</v>
      </c>
      <c r="P24" s="71">
        <f>IF(F24&lt;$B$15,MONTH($B$16)*O24,O24*(MONTH($B$16)-MONTH(F24)))</f>
        <v>15762.246499999999</v>
      </c>
      <c r="Q24" s="73">
        <f>L24+N24+P24</f>
        <v>437934.01316666661</v>
      </c>
      <c r="R24" s="104">
        <f t="shared" si="1"/>
        <v>83131.986833333387</v>
      </c>
    </row>
    <row r="25" spans="1:18" x14ac:dyDescent="0.45">
      <c r="D25" s="72"/>
      <c r="G25" s="74">
        <f>SUM(G21:G24)</f>
        <v>562773</v>
      </c>
      <c r="H25" s="74">
        <f>SUM(H21:H24)</f>
        <v>521066</v>
      </c>
      <c r="I25" s="74">
        <f>SUM(I21:I24)</f>
        <v>0</v>
      </c>
      <c r="J25" s="74">
        <f>SUM(J21:J24)</f>
        <v>1083839</v>
      </c>
      <c r="L25" s="74">
        <f>SUM(L21:L24)</f>
        <v>423609.52600000001</v>
      </c>
      <c r="N25" s="74">
        <f>SUM(N21:N24)</f>
        <v>422171.7666666666</v>
      </c>
      <c r="O25" s="74">
        <f>SUM(O21:O24)</f>
        <v>2980.5572499999998</v>
      </c>
      <c r="P25" s="74">
        <f>SUM(P21:P24)</f>
        <v>33390.285500000005</v>
      </c>
      <c r="Q25" s="74">
        <f>SUM(Q21:Q24)</f>
        <v>879171.57816666667</v>
      </c>
      <c r="R25" s="105">
        <f>J25-Q25</f>
        <v>204667.42183333333</v>
      </c>
    </row>
    <row r="26" spans="1:18" x14ac:dyDescent="0.45">
      <c r="G26" s="73"/>
      <c r="H26" s="73"/>
      <c r="I26" s="73"/>
      <c r="J26" s="73"/>
    </row>
    <row r="27" spans="1:18" ht="15.75" x14ac:dyDescent="0.5">
      <c r="A27" s="69" t="s">
        <v>148</v>
      </c>
    </row>
    <row r="28" spans="1:18" x14ac:dyDescent="0.45">
      <c r="A28" t="s">
        <v>89</v>
      </c>
      <c r="B28" s="48">
        <v>44562</v>
      </c>
      <c r="C28" s="48"/>
    </row>
    <row r="29" spans="1:18" x14ac:dyDescent="0.45">
      <c r="A29" s="48" t="s">
        <v>90</v>
      </c>
      <c r="B29" s="48">
        <v>44681</v>
      </c>
      <c r="C29" s="48"/>
    </row>
    <row r="33" spans="2:18" x14ac:dyDescent="0.45">
      <c r="B33" s="70" t="s">
        <v>91</v>
      </c>
      <c r="C33" s="70"/>
      <c r="D33" s="70" t="s">
        <v>92</v>
      </c>
      <c r="E33" s="70" t="s">
        <v>93</v>
      </c>
      <c r="F33" s="70"/>
      <c r="G33" s="70" t="s">
        <v>149</v>
      </c>
      <c r="H33" s="70" t="s">
        <v>18</v>
      </c>
      <c r="I33" s="70" t="s">
        <v>97</v>
      </c>
      <c r="J33" s="70" t="s">
        <v>94</v>
      </c>
      <c r="L33" s="70" t="s">
        <v>153</v>
      </c>
      <c r="M33" s="70" t="s">
        <v>99</v>
      </c>
      <c r="N33" s="70" t="s">
        <v>95</v>
      </c>
      <c r="O33" s="70" t="s">
        <v>100</v>
      </c>
      <c r="P33" s="70" t="s">
        <v>101</v>
      </c>
      <c r="Q33" s="70" t="s">
        <v>102</v>
      </c>
      <c r="R33" s="70" t="s">
        <v>155</v>
      </c>
    </row>
    <row r="34" spans="2:18" x14ac:dyDescent="0.45">
      <c r="B34" t="s">
        <v>103</v>
      </c>
      <c r="C34" t="s">
        <v>5</v>
      </c>
      <c r="D34" s="72">
        <v>271</v>
      </c>
      <c r="E34" t="s">
        <v>133</v>
      </c>
      <c r="F34" s="48">
        <v>43951</v>
      </c>
      <c r="G34" s="73">
        <f>J21</f>
        <v>213693</v>
      </c>
      <c r="H34" s="73">
        <v>0</v>
      </c>
      <c r="I34" s="73"/>
      <c r="J34" s="73">
        <f>G34+H34-I34</f>
        <v>213693</v>
      </c>
      <c r="L34" s="104">
        <f>Q21</f>
        <v>192470.55500000002</v>
      </c>
      <c r="M34">
        <v>3.3000000000000002E-2</v>
      </c>
      <c r="N34" s="73">
        <v>0</v>
      </c>
      <c r="O34" s="73">
        <f>J34*M34/12</f>
        <v>587.65575000000001</v>
      </c>
      <c r="P34" s="71">
        <f>IF(F34&lt;$B$15,MONTH($B$3)*O34,O34*(MONTH($B$3)-MONTH(F34)))</f>
        <v>7051.8690000000006</v>
      </c>
      <c r="Q34" s="73">
        <f>L34+N34+P34</f>
        <v>199522.42400000003</v>
      </c>
      <c r="R34" s="104">
        <f t="shared" ref="R34:R37" si="6">J34-Q34</f>
        <v>14170.575999999972</v>
      </c>
    </row>
    <row r="35" spans="2:18" x14ac:dyDescent="0.45">
      <c r="B35" t="s">
        <v>103</v>
      </c>
      <c r="C35" t="s">
        <v>5</v>
      </c>
      <c r="D35" s="72">
        <v>271</v>
      </c>
      <c r="E35" t="s">
        <v>104</v>
      </c>
      <c r="G35" s="73">
        <f t="shared" ref="G35" si="7">J22</f>
        <v>6000</v>
      </c>
      <c r="H35" s="73">
        <v>0</v>
      </c>
      <c r="I35" s="73"/>
      <c r="J35" s="73">
        <f t="shared" ref="J35" si="8">G35+H35-I35</f>
        <v>6000</v>
      </c>
      <c r="L35" s="104">
        <f t="shared" ref="L35:L37" si="9">Q22</f>
        <v>198</v>
      </c>
      <c r="M35">
        <v>3.3000000000000002E-2</v>
      </c>
      <c r="N35" s="73">
        <v>0</v>
      </c>
      <c r="O35" s="73">
        <f>J35*M35/12</f>
        <v>16.5</v>
      </c>
      <c r="P35" s="71">
        <f>IF(F35&lt;$B$15,MONTH($B$3)*O35,O35*(MONTH($B$3)-MONTH(F35)))</f>
        <v>198</v>
      </c>
      <c r="Q35" s="73">
        <f t="shared" ref="Q35:Q37" si="10">L35+N35+P35</f>
        <v>396</v>
      </c>
      <c r="R35" s="104">
        <f t="shared" si="6"/>
        <v>5604</v>
      </c>
    </row>
    <row r="36" spans="2:18" x14ac:dyDescent="0.45">
      <c r="B36" t="s">
        <v>105</v>
      </c>
      <c r="C36" t="s">
        <v>106</v>
      </c>
      <c r="D36" s="72">
        <v>271</v>
      </c>
      <c r="E36" t="s">
        <v>134</v>
      </c>
      <c r="F36" s="48">
        <v>43982</v>
      </c>
      <c r="G36" s="73">
        <f t="shared" ref="G36:G37" si="11">J23</f>
        <v>343080</v>
      </c>
      <c r="H36" s="73">
        <v>0</v>
      </c>
      <c r="I36" s="73"/>
      <c r="J36" s="73">
        <f t="shared" ref="J36:J37" si="12">G36+H36-I36</f>
        <v>343080</v>
      </c>
      <c r="L36" s="104">
        <f t="shared" si="9"/>
        <v>248569.01</v>
      </c>
      <c r="M36">
        <v>3.3000000000000002E-2</v>
      </c>
      <c r="N36" s="73">
        <v>0</v>
      </c>
      <c r="O36" s="73">
        <f t="shared" ref="O36:O37" si="13">J36*M36/12</f>
        <v>943.47000000000014</v>
      </c>
      <c r="P36" s="71">
        <f>IF(F36&lt;$B$15,MONTH($B$16)*O36,O36*(MONTH($B$16)-MONTH(F36)))</f>
        <v>11321.640000000001</v>
      </c>
      <c r="Q36" s="73">
        <f t="shared" si="10"/>
        <v>259890.65000000002</v>
      </c>
      <c r="R36" s="104">
        <f t="shared" si="6"/>
        <v>83189.349999999977</v>
      </c>
    </row>
    <row r="37" spans="2:18" x14ac:dyDescent="0.45">
      <c r="B37" t="s">
        <v>103</v>
      </c>
      <c r="C37" t="s">
        <v>5</v>
      </c>
      <c r="D37" s="72">
        <v>271</v>
      </c>
      <c r="E37" t="s">
        <v>146</v>
      </c>
      <c r="F37" s="48">
        <v>44227</v>
      </c>
      <c r="G37" s="73">
        <f t="shared" si="11"/>
        <v>521066</v>
      </c>
      <c r="H37" s="73">
        <v>0</v>
      </c>
      <c r="I37" s="73"/>
      <c r="J37" s="73">
        <f t="shared" si="12"/>
        <v>521066</v>
      </c>
      <c r="L37" s="104">
        <f t="shared" si="9"/>
        <v>437934.01316666661</v>
      </c>
      <c r="M37">
        <v>3.3000000000000002E-2</v>
      </c>
      <c r="N37" s="73">
        <v>0</v>
      </c>
      <c r="O37" s="73">
        <f t="shared" si="13"/>
        <v>1432.9314999999999</v>
      </c>
      <c r="P37" s="71">
        <f>IF(F37&lt;$B$15,MONTH($B$3)*O37,O37*(MONTH($B$3)-MONTH(F37)))</f>
        <v>15762.246499999999</v>
      </c>
      <c r="Q37" s="73">
        <f t="shared" si="10"/>
        <v>453696.25966666662</v>
      </c>
      <c r="R37" s="104">
        <f t="shared" si="6"/>
        <v>67369.740333333379</v>
      </c>
    </row>
    <row r="38" spans="2:18" x14ac:dyDescent="0.45">
      <c r="D38" s="72"/>
      <c r="G38" s="74">
        <f>SUM(G34:G37)</f>
        <v>1083839</v>
      </c>
      <c r="H38" s="74">
        <f>SUM(H34:H36)</f>
        <v>0</v>
      </c>
      <c r="I38" s="74">
        <f>SUM(I34:I36)</f>
        <v>0</v>
      </c>
      <c r="J38" s="74">
        <f>SUM(J34:J37)</f>
        <v>1083839</v>
      </c>
      <c r="L38" s="74">
        <f>SUM(L34:L36)</f>
        <v>441237.56500000006</v>
      </c>
      <c r="N38" s="74">
        <f>SUM(N34:N36)</f>
        <v>0</v>
      </c>
      <c r="O38" s="74">
        <f>SUM(O34:O37)</f>
        <v>2980.5572499999998</v>
      </c>
      <c r="P38" s="74">
        <f>SUM(P34:P37)</f>
        <v>34333.755499999999</v>
      </c>
      <c r="Q38" s="74">
        <f>SUM(Q34:Q37)</f>
        <v>913505.33366666664</v>
      </c>
      <c r="R38" s="105">
        <f>J38-Q38</f>
        <v>170333.66633333336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8BA4-F135-4A92-AF8A-C1E1F539F734}">
  <dimension ref="A1:AM19"/>
  <sheetViews>
    <sheetView workbookViewId="0">
      <selection activeCell="K19" sqref="K19"/>
    </sheetView>
  </sheetViews>
  <sheetFormatPr defaultRowHeight="14.25" x14ac:dyDescent="0.45"/>
  <cols>
    <col min="1" max="1" width="6.86328125" bestFit="1" customWidth="1"/>
    <col min="2" max="2" width="25.3984375" bestFit="1" customWidth="1"/>
    <col min="3" max="4" width="8" bestFit="1" customWidth="1"/>
  </cols>
  <sheetData>
    <row r="1" spans="1:39" ht="28.5" x14ac:dyDescent="0.45">
      <c r="A1" s="5" t="s">
        <v>16</v>
      </c>
      <c r="B1" s="30"/>
      <c r="C1" s="34" t="s">
        <v>68</v>
      </c>
      <c r="D1" s="35"/>
    </row>
    <row r="2" spans="1:39" ht="14.65" thickBot="1" x14ac:dyDescent="0.5">
      <c r="A2" s="8" t="s">
        <v>3</v>
      </c>
      <c r="B2" s="8" t="s">
        <v>21</v>
      </c>
      <c r="C2" s="38">
        <v>43830</v>
      </c>
      <c r="D2" s="38">
        <f>EOMONTH(C2,1)</f>
        <v>43861</v>
      </c>
      <c r="E2" s="38">
        <f t="shared" ref="E2:AE2" si="0">EOMONTH(D2,1)</f>
        <v>43890</v>
      </c>
      <c r="F2" s="38">
        <f t="shared" si="0"/>
        <v>43921</v>
      </c>
      <c r="G2" s="38">
        <f t="shared" si="0"/>
        <v>43951</v>
      </c>
      <c r="H2" s="38">
        <f t="shared" si="0"/>
        <v>43982</v>
      </c>
      <c r="I2" s="38">
        <f t="shared" si="0"/>
        <v>44012</v>
      </c>
      <c r="J2" s="38">
        <f t="shared" si="0"/>
        <v>44043</v>
      </c>
      <c r="K2" s="38">
        <f t="shared" si="0"/>
        <v>44074</v>
      </c>
      <c r="L2" s="38">
        <f t="shared" si="0"/>
        <v>44104</v>
      </c>
      <c r="M2" s="38">
        <f t="shared" si="0"/>
        <v>44135</v>
      </c>
      <c r="N2" s="38">
        <f t="shared" si="0"/>
        <v>44165</v>
      </c>
      <c r="O2" s="38">
        <f t="shared" si="0"/>
        <v>44196</v>
      </c>
      <c r="P2" s="38">
        <f t="shared" si="0"/>
        <v>44227</v>
      </c>
      <c r="Q2" s="38">
        <f t="shared" si="0"/>
        <v>44255</v>
      </c>
      <c r="R2" s="38">
        <f t="shared" si="0"/>
        <v>44286</v>
      </c>
      <c r="S2" s="38">
        <f t="shared" si="0"/>
        <v>44316</v>
      </c>
      <c r="T2" s="38">
        <f t="shared" si="0"/>
        <v>44347</v>
      </c>
      <c r="U2" s="38">
        <f t="shared" si="0"/>
        <v>44377</v>
      </c>
      <c r="V2" s="38">
        <f t="shared" si="0"/>
        <v>44408</v>
      </c>
      <c r="W2" s="38">
        <f t="shared" si="0"/>
        <v>44439</v>
      </c>
      <c r="X2" s="38">
        <f t="shared" si="0"/>
        <v>44469</v>
      </c>
      <c r="Y2" s="38">
        <f t="shared" si="0"/>
        <v>44500</v>
      </c>
      <c r="Z2" s="38">
        <f t="shared" si="0"/>
        <v>44530</v>
      </c>
      <c r="AA2" s="38">
        <f t="shared" si="0"/>
        <v>44561</v>
      </c>
      <c r="AB2" s="38">
        <f t="shared" si="0"/>
        <v>44592</v>
      </c>
      <c r="AC2" s="38">
        <f t="shared" si="0"/>
        <v>44620</v>
      </c>
      <c r="AD2" s="38">
        <f t="shared" si="0"/>
        <v>44651</v>
      </c>
      <c r="AE2" s="38">
        <f t="shared" si="0"/>
        <v>44681</v>
      </c>
      <c r="AF2" s="38">
        <f t="shared" ref="AF2" si="1">EOMONTH(AE2,1)</f>
        <v>44712</v>
      </c>
      <c r="AG2" s="38">
        <f t="shared" ref="AG2" si="2">EOMONTH(AF2,1)</f>
        <v>44742</v>
      </c>
      <c r="AH2" s="38">
        <f t="shared" ref="AH2" si="3">EOMONTH(AG2,1)</f>
        <v>44773</v>
      </c>
      <c r="AI2" s="38">
        <f t="shared" ref="AI2" si="4">EOMONTH(AH2,1)</f>
        <v>44804</v>
      </c>
      <c r="AJ2" s="38">
        <f t="shared" ref="AJ2" si="5">EOMONTH(AI2,1)</f>
        <v>44834</v>
      </c>
      <c r="AK2" s="38">
        <f t="shared" ref="AK2" si="6">EOMONTH(AJ2,1)</f>
        <v>44865</v>
      </c>
      <c r="AL2" s="38">
        <f t="shared" ref="AL2" si="7">EOMONTH(AK2,1)</f>
        <v>44895</v>
      </c>
      <c r="AM2" s="38">
        <f t="shared" ref="AM2" si="8">EOMONTH(AL2,1)</f>
        <v>44926</v>
      </c>
    </row>
    <row r="3" spans="1:39" x14ac:dyDescent="0.45">
      <c r="A3" s="11"/>
      <c r="B3" s="12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x14ac:dyDescent="0.45">
      <c r="A4" s="11"/>
      <c r="B4" s="11"/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 x14ac:dyDescent="0.45">
      <c r="A5" s="23">
        <v>303</v>
      </c>
      <c r="B5" s="23" t="s">
        <v>22</v>
      </c>
      <c r="C5" s="44">
        <f>SUMIFS('UPIS Detail'!5:5,'UPIS Detail'!$2:$2,'UPIS LinkIn'!C$2,'UPIS Detail'!$1:$1,"Balance")</f>
        <v>3700</v>
      </c>
      <c r="D5" s="44">
        <f>SUMIFS('UPIS Detail'!5:5,'UPIS Detail'!$2:$2,'UPIS LinkIn'!D$2,'UPIS Detail'!$1:$1,"Balance")</f>
        <v>3700</v>
      </c>
      <c r="E5" s="44">
        <f>SUMIFS('UPIS Detail'!5:5,'UPIS Detail'!$2:$2,'UPIS LinkIn'!E$2,'UPIS Detail'!$1:$1,"Balance")</f>
        <v>3700</v>
      </c>
      <c r="F5" s="44">
        <f>SUMIFS('UPIS Detail'!5:5,'UPIS Detail'!$2:$2,'UPIS LinkIn'!F$2,'UPIS Detail'!$1:$1,"Balance")</f>
        <v>3700</v>
      </c>
      <c r="G5" s="44">
        <f>SUMIFS('UPIS Detail'!5:5,'UPIS Detail'!$2:$2,'UPIS LinkIn'!G$2,'UPIS Detail'!$1:$1,"Balance")</f>
        <v>3700</v>
      </c>
      <c r="H5" s="44">
        <f>SUMIFS('UPIS Detail'!5:5,'UPIS Detail'!$2:$2,'UPIS LinkIn'!H$2,'UPIS Detail'!$1:$1,"Balance")</f>
        <v>3700</v>
      </c>
      <c r="I5" s="44">
        <f>SUMIFS('UPIS Detail'!5:5,'UPIS Detail'!$2:$2,'UPIS LinkIn'!I$2,'UPIS Detail'!$1:$1,"Balance")</f>
        <v>3700</v>
      </c>
      <c r="J5" s="44">
        <f>SUMIFS('UPIS Detail'!5:5,'UPIS Detail'!$2:$2,'UPIS LinkIn'!J$2,'UPIS Detail'!$1:$1,"Balance")</f>
        <v>3700</v>
      </c>
      <c r="K5" s="44">
        <f>SUMIFS('UPIS Detail'!5:5,'UPIS Detail'!$2:$2,'UPIS LinkIn'!K$2,'UPIS Detail'!$1:$1,"Balance")</f>
        <v>3700</v>
      </c>
      <c r="L5" s="44">
        <f>SUMIFS('UPIS Detail'!5:5,'UPIS Detail'!$2:$2,'UPIS LinkIn'!L$2,'UPIS Detail'!$1:$1,"Balance")</f>
        <v>3700</v>
      </c>
      <c r="M5" s="44">
        <f>SUMIFS('UPIS Detail'!5:5,'UPIS Detail'!$2:$2,'UPIS LinkIn'!M$2,'UPIS Detail'!$1:$1,"Balance")</f>
        <v>3700</v>
      </c>
      <c r="N5" s="44">
        <f>SUMIFS('UPIS Detail'!5:5,'UPIS Detail'!$2:$2,'UPIS LinkIn'!N$2,'UPIS Detail'!$1:$1,"Balance")</f>
        <v>3700</v>
      </c>
      <c r="O5" s="44">
        <f>SUMIFS('UPIS Detail'!5:5,'UPIS Detail'!$2:$2,'UPIS LinkIn'!O$2,'UPIS Detail'!$1:$1,"Balance")</f>
        <v>3700</v>
      </c>
      <c r="P5" s="44">
        <f>SUMIFS('UPIS Detail'!5:5,'UPIS Detail'!$2:$2,'UPIS LinkIn'!P$2,'UPIS Detail'!$1:$1,"Balance")</f>
        <v>3700</v>
      </c>
      <c r="Q5" s="44">
        <f>SUMIFS('UPIS Detail'!5:5,'UPIS Detail'!$2:$2,'UPIS LinkIn'!Q$2,'UPIS Detail'!$1:$1,"Balance")</f>
        <v>3700</v>
      </c>
      <c r="R5" s="44">
        <f>SUMIFS('UPIS Detail'!5:5,'UPIS Detail'!$2:$2,'UPIS LinkIn'!R$2,'UPIS Detail'!$1:$1,"Balance")</f>
        <v>3700</v>
      </c>
      <c r="S5" s="44">
        <f>SUMIFS('UPIS Detail'!5:5,'UPIS Detail'!$2:$2,'UPIS LinkIn'!S$2,'UPIS Detail'!$1:$1,"Balance")</f>
        <v>3700</v>
      </c>
      <c r="T5" s="44">
        <f>SUMIFS('UPIS Detail'!5:5,'UPIS Detail'!$2:$2,'UPIS LinkIn'!T$2,'UPIS Detail'!$1:$1,"Balance")</f>
        <v>3700</v>
      </c>
      <c r="U5" s="44">
        <f>SUMIFS('UPIS Detail'!5:5,'UPIS Detail'!$2:$2,'UPIS LinkIn'!U$2,'UPIS Detail'!$1:$1,"Balance")</f>
        <v>3700</v>
      </c>
      <c r="V5" s="44">
        <f>SUMIFS('UPIS Detail'!5:5,'UPIS Detail'!$2:$2,'UPIS LinkIn'!V$2,'UPIS Detail'!$1:$1,"Balance")</f>
        <v>3700</v>
      </c>
      <c r="W5" s="44">
        <f>SUMIFS('UPIS Detail'!5:5,'UPIS Detail'!$2:$2,'UPIS LinkIn'!W$2,'UPIS Detail'!$1:$1,"Balance")</f>
        <v>3700</v>
      </c>
      <c r="X5" s="44">
        <f>SUMIFS('UPIS Detail'!5:5,'UPIS Detail'!$2:$2,'UPIS LinkIn'!X$2,'UPIS Detail'!$1:$1,"Balance")</f>
        <v>3700</v>
      </c>
      <c r="Y5" s="44">
        <f>SUMIFS('UPIS Detail'!5:5,'UPIS Detail'!$2:$2,'UPIS LinkIn'!Y$2,'UPIS Detail'!$1:$1,"Balance")</f>
        <v>3700</v>
      </c>
      <c r="Z5" s="44">
        <f>SUMIFS('UPIS Detail'!5:5,'UPIS Detail'!$2:$2,'UPIS LinkIn'!Z$2,'UPIS Detail'!$1:$1,"Balance")</f>
        <v>3700</v>
      </c>
      <c r="AA5" s="44">
        <f>SUMIFS('UPIS Detail'!5:5,'UPIS Detail'!$2:$2,'UPIS LinkIn'!AA$2,'UPIS Detail'!$1:$1,"Balance")</f>
        <v>3700</v>
      </c>
      <c r="AB5" s="44">
        <f>SUMIFS('UPIS Detail'!5:5,'UPIS Detail'!$2:$2,'UPIS LinkIn'!AB$2,'UPIS Detail'!$1:$1,"Balance")</f>
        <v>3700</v>
      </c>
      <c r="AC5" s="44">
        <f>SUMIFS('UPIS Detail'!5:5,'UPIS Detail'!$2:$2,'UPIS LinkIn'!AC$2,'UPIS Detail'!$1:$1,"Balance")</f>
        <v>3700</v>
      </c>
      <c r="AD5" s="44">
        <f>SUMIFS('UPIS Detail'!5:5,'UPIS Detail'!$2:$2,'UPIS LinkIn'!AD$2,'UPIS Detail'!$1:$1,"Balance")</f>
        <v>3700</v>
      </c>
      <c r="AE5" s="44">
        <f>SUMIFS('UPIS Detail'!5:5,'UPIS Detail'!$2:$2,'UPIS LinkIn'!AE$2,'UPIS Detail'!$1:$1,"Balance")</f>
        <v>3700</v>
      </c>
      <c r="AF5" s="44">
        <f>SUMIFS('UPIS Detail'!5:5,'UPIS Detail'!$2:$2,'UPIS LinkIn'!AF$2,'UPIS Detail'!$1:$1,"Balance")</f>
        <v>3700</v>
      </c>
      <c r="AG5" s="44">
        <f>SUMIFS('UPIS Detail'!5:5,'UPIS Detail'!$2:$2,'UPIS LinkIn'!AG$2,'UPIS Detail'!$1:$1,"Balance")</f>
        <v>3700</v>
      </c>
      <c r="AH5" s="44">
        <f>SUMIFS('UPIS Detail'!5:5,'UPIS Detail'!$2:$2,'UPIS LinkIn'!AH$2,'UPIS Detail'!$1:$1,"Balance")</f>
        <v>3700</v>
      </c>
      <c r="AI5" s="44">
        <f>SUMIFS('UPIS Detail'!5:5,'UPIS Detail'!$2:$2,'UPIS LinkIn'!AI$2,'UPIS Detail'!$1:$1,"Balance")</f>
        <v>3700</v>
      </c>
      <c r="AJ5" s="44">
        <f>SUMIFS('UPIS Detail'!5:5,'UPIS Detail'!$2:$2,'UPIS LinkIn'!AJ$2,'UPIS Detail'!$1:$1,"Balance")</f>
        <v>3700</v>
      </c>
      <c r="AK5" s="44">
        <f>SUMIFS('UPIS Detail'!5:5,'UPIS Detail'!$2:$2,'UPIS LinkIn'!AK$2,'UPIS Detail'!$1:$1,"Balance")</f>
        <v>3700</v>
      </c>
      <c r="AL5" s="44">
        <f>SUMIFS('UPIS Detail'!5:5,'UPIS Detail'!$2:$2,'UPIS LinkIn'!AL$2,'UPIS Detail'!$1:$1,"Balance")</f>
        <v>3700</v>
      </c>
      <c r="AM5" s="44">
        <f>SUMIFS('UPIS Detail'!5:5,'UPIS Detail'!$2:$2,'UPIS LinkIn'!AM$2,'UPIS Detail'!$1:$1,"Balance")</f>
        <v>3700</v>
      </c>
    </row>
    <row r="6" spans="1:39" x14ac:dyDescent="0.45">
      <c r="A6" s="23">
        <v>310.10000000000002</v>
      </c>
      <c r="B6" s="23" t="s">
        <v>23</v>
      </c>
      <c r="C6" s="44">
        <f>SUMIFS('UPIS Detail'!6:6,'UPIS Detail'!$2:$2,'UPIS LinkIn'!C$2,'UPIS Detail'!$1:$1,"Balance")</f>
        <v>50250</v>
      </c>
      <c r="D6" s="44">
        <f>SUMIFS('UPIS Detail'!6:6,'UPIS Detail'!$2:$2,'UPIS LinkIn'!D$2,'UPIS Detail'!$1:$1,"Balance")</f>
        <v>50250</v>
      </c>
      <c r="E6" s="44">
        <f>SUMIFS('UPIS Detail'!6:6,'UPIS Detail'!$2:$2,'UPIS LinkIn'!E$2,'UPIS Detail'!$1:$1,"Balance")</f>
        <v>50250</v>
      </c>
      <c r="F6" s="44">
        <f>SUMIFS('UPIS Detail'!6:6,'UPIS Detail'!$2:$2,'UPIS LinkIn'!F$2,'UPIS Detail'!$1:$1,"Balance")</f>
        <v>50250</v>
      </c>
      <c r="G6" s="44">
        <f>SUMIFS('UPIS Detail'!6:6,'UPIS Detail'!$2:$2,'UPIS LinkIn'!G$2,'UPIS Detail'!$1:$1,"Balance")</f>
        <v>50250</v>
      </c>
      <c r="H6" s="44">
        <f>SUMIFS('UPIS Detail'!6:6,'UPIS Detail'!$2:$2,'UPIS LinkIn'!H$2,'UPIS Detail'!$1:$1,"Balance")</f>
        <v>50250</v>
      </c>
      <c r="I6" s="44">
        <f>SUMIFS('UPIS Detail'!6:6,'UPIS Detail'!$2:$2,'UPIS LinkIn'!I$2,'UPIS Detail'!$1:$1,"Balance")</f>
        <v>50250</v>
      </c>
      <c r="J6" s="44">
        <f>SUMIFS('UPIS Detail'!6:6,'UPIS Detail'!$2:$2,'UPIS LinkIn'!J$2,'UPIS Detail'!$1:$1,"Balance")</f>
        <v>50250</v>
      </c>
      <c r="K6" s="44">
        <f>SUMIFS('UPIS Detail'!6:6,'UPIS Detail'!$2:$2,'UPIS LinkIn'!K$2,'UPIS Detail'!$1:$1,"Balance")</f>
        <v>50250</v>
      </c>
      <c r="L6" s="44">
        <f>SUMIFS('UPIS Detail'!6:6,'UPIS Detail'!$2:$2,'UPIS LinkIn'!L$2,'UPIS Detail'!$1:$1,"Balance")</f>
        <v>50250</v>
      </c>
      <c r="M6" s="44">
        <f>SUMIFS('UPIS Detail'!6:6,'UPIS Detail'!$2:$2,'UPIS LinkIn'!M$2,'UPIS Detail'!$1:$1,"Balance")</f>
        <v>50250</v>
      </c>
      <c r="N6" s="44">
        <f>SUMIFS('UPIS Detail'!6:6,'UPIS Detail'!$2:$2,'UPIS LinkIn'!N$2,'UPIS Detail'!$1:$1,"Balance")</f>
        <v>50250</v>
      </c>
      <c r="O6" s="44">
        <f>SUMIFS('UPIS Detail'!6:6,'UPIS Detail'!$2:$2,'UPIS LinkIn'!O$2,'UPIS Detail'!$1:$1,"Balance")</f>
        <v>50250</v>
      </c>
      <c r="P6" s="44">
        <f>SUMIFS('UPIS Detail'!6:6,'UPIS Detail'!$2:$2,'UPIS LinkIn'!P$2,'UPIS Detail'!$1:$1,"Balance")</f>
        <v>50250</v>
      </c>
      <c r="Q6" s="44">
        <f>SUMIFS('UPIS Detail'!6:6,'UPIS Detail'!$2:$2,'UPIS LinkIn'!Q$2,'UPIS Detail'!$1:$1,"Balance")</f>
        <v>50250</v>
      </c>
      <c r="R6" s="44">
        <f>SUMIFS('UPIS Detail'!6:6,'UPIS Detail'!$2:$2,'UPIS LinkIn'!R$2,'UPIS Detail'!$1:$1,"Balance")</f>
        <v>50250</v>
      </c>
      <c r="S6" s="44">
        <f>SUMIFS('UPIS Detail'!6:6,'UPIS Detail'!$2:$2,'UPIS LinkIn'!S$2,'UPIS Detail'!$1:$1,"Balance")</f>
        <v>50250</v>
      </c>
      <c r="T6" s="44">
        <f>SUMIFS('UPIS Detail'!6:6,'UPIS Detail'!$2:$2,'UPIS LinkIn'!T$2,'UPIS Detail'!$1:$1,"Balance")</f>
        <v>50250</v>
      </c>
      <c r="U6" s="44">
        <f>SUMIFS('UPIS Detail'!6:6,'UPIS Detail'!$2:$2,'UPIS LinkIn'!U$2,'UPIS Detail'!$1:$1,"Balance")</f>
        <v>50250</v>
      </c>
      <c r="V6" s="44">
        <f>SUMIFS('UPIS Detail'!6:6,'UPIS Detail'!$2:$2,'UPIS LinkIn'!V$2,'UPIS Detail'!$1:$1,"Balance")</f>
        <v>50250</v>
      </c>
      <c r="W6" s="44">
        <f>SUMIFS('UPIS Detail'!6:6,'UPIS Detail'!$2:$2,'UPIS LinkIn'!W$2,'UPIS Detail'!$1:$1,"Balance")</f>
        <v>50250</v>
      </c>
      <c r="X6" s="44">
        <f>SUMIFS('UPIS Detail'!6:6,'UPIS Detail'!$2:$2,'UPIS LinkIn'!X$2,'UPIS Detail'!$1:$1,"Balance")</f>
        <v>50250</v>
      </c>
      <c r="Y6" s="44">
        <f>SUMIFS('UPIS Detail'!6:6,'UPIS Detail'!$2:$2,'UPIS LinkIn'!Y$2,'UPIS Detail'!$1:$1,"Balance")</f>
        <v>50250</v>
      </c>
      <c r="Z6" s="44">
        <f>SUMIFS('UPIS Detail'!6:6,'UPIS Detail'!$2:$2,'UPIS LinkIn'!Z$2,'UPIS Detail'!$1:$1,"Balance")</f>
        <v>50250</v>
      </c>
      <c r="AA6" s="44">
        <f>SUMIFS('UPIS Detail'!6:6,'UPIS Detail'!$2:$2,'UPIS LinkIn'!AA$2,'UPIS Detail'!$1:$1,"Balance")</f>
        <v>50250</v>
      </c>
      <c r="AB6" s="44">
        <f>SUMIFS('UPIS Detail'!6:6,'UPIS Detail'!$2:$2,'UPIS LinkIn'!AB$2,'UPIS Detail'!$1:$1,"Balance")</f>
        <v>50250</v>
      </c>
      <c r="AC6" s="44">
        <f>SUMIFS('UPIS Detail'!6:6,'UPIS Detail'!$2:$2,'UPIS LinkIn'!AC$2,'UPIS Detail'!$1:$1,"Balance")</f>
        <v>50250</v>
      </c>
      <c r="AD6" s="44">
        <f>SUMIFS('UPIS Detail'!6:6,'UPIS Detail'!$2:$2,'UPIS LinkIn'!AD$2,'UPIS Detail'!$1:$1,"Balance")</f>
        <v>50250</v>
      </c>
      <c r="AE6" s="44">
        <f>SUMIFS('UPIS Detail'!6:6,'UPIS Detail'!$2:$2,'UPIS LinkIn'!AE$2,'UPIS Detail'!$1:$1,"Balance")</f>
        <v>50250</v>
      </c>
      <c r="AF6" s="44">
        <f>SUMIFS('UPIS Detail'!6:6,'UPIS Detail'!$2:$2,'UPIS LinkIn'!AF$2,'UPIS Detail'!$1:$1,"Balance")</f>
        <v>50250</v>
      </c>
      <c r="AG6" s="44">
        <f>SUMIFS('UPIS Detail'!6:6,'UPIS Detail'!$2:$2,'UPIS LinkIn'!AG$2,'UPIS Detail'!$1:$1,"Balance")</f>
        <v>50250</v>
      </c>
      <c r="AH6" s="44">
        <f>SUMIFS('UPIS Detail'!6:6,'UPIS Detail'!$2:$2,'UPIS LinkIn'!AH$2,'UPIS Detail'!$1:$1,"Balance")</f>
        <v>50250</v>
      </c>
      <c r="AI6" s="44">
        <f>SUMIFS('UPIS Detail'!6:6,'UPIS Detail'!$2:$2,'UPIS LinkIn'!AI$2,'UPIS Detail'!$1:$1,"Balance")</f>
        <v>50250</v>
      </c>
      <c r="AJ6" s="44">
        <f>SUMIFS('UPIS Detail'!6:6,'UPIS Detail'!$2:$2,'UPIS LinkIn'!AJ$2,'UPIS Detail'!$1:$1,"Balance")</f>
        <v>50250</v>
      </c>
      <c r="AK6" s="44">
        <f>SUMIFS('UPIS Detail'!6:6,'UPIS Detail'!$2:$2,'UPIS LinkIn'!AK$2,'UPIS Detail'!$1:$1,"Balance")</f>
        <v>50250</v>
      </c>
      <c r="AL6" s="44">
        <f>SUMIFS('UPIS Detail'!6:6,'UPIS Detail'!$2:$2,'UPIS LinkIn'!AL$2,'UPIS Detail'!$1:$1,"Balance")</f>
        <v>50250</v>
      </c>
      <c r="AM6" s="44">
        <f>SUMIFS('UPIS Detail'!6:6,'UPIS Detail'!$2:$2,'UPIS LinkIn'!AM$2,'UPIS Detail'!$1:$1,"Balance")</f>
        <v>50250</v>
      </c>
    </row>
    <row r="7" spans="1:39" x14ac:dyDescent="0.45">
      <c r="A7" s="23">
        <v>311</v>
      </c>
      <c r="B7" s="23" t="s">
        <v>24</v>
      </c>
      <c r="C7" s="44">
        <f>SUMIFS('UPIS Detail'!7:7,'UPIS Detail'!$2:$2,'UPIS LinkIn'!C$2,'UPIS Detail'!$1:$1,"Balance")</f>
        <v>74735.3</v>
      </c>
      <c r="D7" s="44">
        <f>SUMIFS('UPIS Detail'!7:7,'UPIS Detail'!$2:$2,'UPIS LinkIn'!D$2,'UPIS Detail'!$1:$1,"Balance")</f>
        <v>105589.91</v>
      </c>
      <c r="E7" s="44">
        <f>SUMIFS('UPIS Detail'!7:7,'UPIS Detail'!$2:$2,'UPIS LinkIn'!E$2,'UPIS Detail'!$1:$1,"Balance")</f>
        <v>108957.16</v>
      </c>
      <c r="F7" s="44">
        <f>SUMIFS('UPIS Detail'!7:7,'UPIS Detail'!$2:$2,'UPIS LinkIn'!F$2,'UPIS Detail'!$1:$1,"Balance")</f>
        <v>137993.49</v>
      </c>
      <c r="G7" s="44">
        <f>SUMIFS('UPIS Detail'!7:7,'UPIS Detail'!$2:$2,'UPIS LinkIn'!G$2,'UPIS Detail'!$1:$1,"Balance")</f>
        <v>146657.37</v>
      </c>
      <c r="H7" s="44">
        <f>SUMIFS('UPIS Detail'!7:7,'UPIS Detail'!$2:$2,'UPIS LinkIn'!H$2,'UPIS Detail'!$1:$1,"Balance")</f>
        <v>146657.37</v>
      </c>
      <c r="I7" s="44">
        <f>SUMIFS('UPIS Detail'!7:7,'UPIS Detail'!$2:$2,'UPIS LinkIn'!I$2,'UPIS Detail'!$1:$1,"Balance")</f>
        <v>188884.22</v>
      </c>
      <c r="J7" s="44">
        <f>SUMIFS('UPIS Detail'!7:7,'UPIS Detail'!$2:$2,'UPIS LinkIn'!J$2,'UPIS Detail'!$1:$1,"Balance")</f>
        <v>188884.22</v>
      </c>
      <c r="K7" s="44">
        <f>SUMIFS('UPIS Detail'!7:7,'UPIS Detail'!$2:$2,'UPIS LinkIn'!K$2,'UPIS Detail'!$1:$1,"Balance")</f>
        <v>188884.22</v>
      </c>
      <c r="L7" s="44">
        <f>SUMIFS('UPIS Detail'!7:7,'UPIS Detail'!$2:$2,'UPIS LinkIn'!L$2,'UPIS Detail'!$1:$1,"Balance")</f>
        <v>207411.85</v>
      </c>
      <c r="M7" s="44">
        <f>SUMIFS('UPIS Detail'!7:7,'UPIS Detail'!$2:$2,'UPIS LinkIn'!M$2,'UPIS Detail'!$1:$1,"Balance")</f>
        <v>207411.85</v>
      </c>
      <c r="N7" s="44">
        <f>SUMIFS('UPIS Detail'!7:7,'UPIS Detail'!$2:$2,'UPIS LinkIn'!N$2,'UPIS Detail'!$1:$1,"Balance")</f>
        <v>207411.85</v>
      </c>
      <c r="O7" s="44">
        <f>SUMIFS('UPIS Detail'!7:7,'UPIS Detail'!$2:$2,'UPIS LinkIn'!O$2,'UPIS Detail'!$1:$1,"Balance")</f>
        <v>207411.85</v>
      </c>
      <c r="P7" s="44">
        <f>SUMIFS('UPIS Detail'!7:7,'UPIS Detail'!$2:$2,'UPIS LinkIn'!P$2,'UPIS Detail'!$1:$1,"Balance")</f>
        <v>207411.85</v>
      </c>
      <c r="Q7" s="44">
        <f>SUMIFS('UPIS Detail'!7:7,'UPIS Detail'!$2:$2,'UPIS LinkIn'!Q$2,'UPIS Detail'!$1:$1,"Balance")</f>
        <v>232411.85</v>
      </c>
      <c r="R7" s="44">
        <f>SUMIFS('UPIS Detail'!7:7,'UPIS Detail'!$2:$2,'UPIS LinkIn'!R$2,'UPIS Detail'!$1:$1,"Balance")</f>
        <v>268411.84999999998</v>
      </c>
      <c r="S7" s="44">
        <f>SUMIFS('UPIS Detail'!7:7,'UPIS Detail'!$2:$2,'UPIS LinkIn'!S$2,'UPIS Detail'!$1:$1,"Balance")</f>
        <v>363411.85</v>
      </c>
      <c r="T7" s="44">
        <f>SUMIFS('UPIS Detail'!7:7,'UPIS Detail'!$2:$2,'UPIS LinkIn'!T$2,'UPIS Detail'!$1:$1,"Balance")</f>
        <v>378411.85</v>
      </c>
      <c r="U7" s="44">
        <f>SUMIFS('UPIS Detail'!7:7,'UPIS Detail'!$2:$2,'UPIS LinkIn'!U$2,'UPIS Detail'!$1:$1,"Balance")</f>
        <v>378411.85</v>
      </c>
      <c r="V7" s="44">
        <f>SUMIFS('UPIS Detail'!7:7,'UPIS Detail'!$2:$2,'UPIS LinkIn'!V$2,'UPIS Detail'!$1:$1,"Balance")</f>
        <v>378411.85</v>
      </c>
      <c r="W7" s="44">
        <f>SUMIFS('UPIS Detail'!7:7,'UPIS Detail'!$2:$2,'UPIS LinkIn'!W$2,'UPIS Detail'!$1:$1,"Balance")</f>
        <v>378411.85</v>
      </c>
      <c r="X7" s="44">
        <f>SUMIFS('UPIS Detail'!7:7,'UPIS Detail'!$2:$2,'UPIS LinkIn'!X$2,'UPIS Detail'!$1:$1,"Balance")</f>
        <v>378411.85</v>
      </c>
      <c r="Y7" s="44">
        <f>SUMIFS('UPIS Detail'!7:7,'UPIS Detail'!$2:$2,'UPIS LinkIn'!Y$2,'UPIS Detail'!$1:$1,"Balance")</f>
        <v>378411.85</v>
      </c>
      <c r="Z7" s="44">
        <f>SUMIFS('UPIS Detail'!7:7,'UPIS Detail'!$2:$2,'UPIS LinkIn'!Z$2,'UPIS Detail'!$1:$1,"Balance")</f>
        <v>378411.85</v>
      </c>
      <c r="AA7" s="44">
        <f>SUMIFS('UPIS Detail'!7:7,'UPIS Detail'!$2:$2,'UPIS LinkIn'!AA$2,'UPIS Detail'!$1:$1,"Balance")</f>
        <v>378411.85</v>
      </c>
      <c r="AB7" s="44">
        <f>SUMIFS('UPIS Detail'!7:7,'UPIS Detail'!$2:$2,'UPIS LinkIn'!AB$2,'UPIS Detail'!$1:$1,"Balance")</f>
        <v>503411.85</v>
      </c>
      <c r="AC7" s="44">
        <f>SUMIFS('UPIS Detail'!7:7,'UPIS Detail'!$2:$2,'UPIS LinkIn'!AC$2,'UPIS Detail'!$1:$1,"Balance")</f>
        <v>503411.85</v>
      </c>
      <c r="AD7" s="44">
        <f>SUMIFS('UPIS Detail'!7:7,'UPIS Detail'!$2:$2,'UPIS LinkIn'!AD$2,'UPIS Detail'!$1:$1,"Balance")</f>
        <v>503411.85</v>
      </c>
      <c r="AE7" s="44">
        <f>SUMIFS('UPIS Detail'!7:7,'UPIS Detail'!$2:$2,'UPIS LinkIn'!AE$2,'UPIS Detail'!$1:$1,"Balance")</f>
        <v>612911.85</v>
      </c>
      <c r="AF7" s="44">
        <f>SUMIFS('UPIS Detail'!7:7,'UPIS Detail'!$2:$2,'UPIS LinkIn'!AF$2,'UPIS Detail'!$1:$1,"Balance")</f>
        <v>612911.85</v>
      </c>
      <c r="AG7" s="44">
        <f>SUMIFS('UPIS Detail'!7:7,'UPIS Detail'!$2:$2,'UPIS LinkIn'!AG$2,'UPIS Detail'!$1:$1,"Balance")</f>
        <v>612911.85</v>
      </c>
      <c r="AH7" s="44">
        <f>SUMIFS('UPIS Detail'!7:7,'UPIS Detail'!$2:$2,'UPIS LinkIn'!AH$2,'UPIS Detail'!$1:$1,"Balance")</f>
        <v>612911.85</v>
      </c>
      <c r="AI7" s="44">
        <f>SUMIFS('UPIS Detail'!7:7,'UPIS Detail'!$2:$2,'UPIS LinkIn'!AI$2,'UPIS Detail'!$1:$1,"Balance")</f>
        <v>612911.85</v>
      </c>
      <c r="AJ7" s="44">
        <f>SUMIFS('UPIS Detail'!7:7,'UPIS Detail'!$2:$2,'UPIS LinkIn'!AJ$2,'UPIS Detail'!$1:$1,"Balance")</f>
        <v>612911.85</v>
      </c>
      <c r="AK7" s="44">
        <f>SUMIFS('UPIS Detail'!7:7,'UPIS Detail'!$2:$2,'UPIS LinkIn'!AK$2,'UPIS Detail'!$1:$1,"Balance")</f>
        <v>612911.85</v>
      </c>
      <c r="AL7" s="44">
        <f>SUMIFS('UPIS Detail'!7:7,'UPIS Detail'!$2:$2,'UPIS LinkIn'!AL$2,'UPIS Detail'!$1:$1,"Balance")</f>
        <v>612911.85</v>
      </c>
      <c r="AM7" s="44">
        <f>SUMIFS('UPIS Detail'!7:7,'UPIS Detail'!$2:$2,'UPIS LinkIn'!AM$2,'UPIS Detail'!$1:$1,"Balance")</f>
        <v>612911.85</v>
      </c>
    </row>
    <row r="8" spans="1:39" x14ac:dyDescent="0.45">
      <c r="A8" s="23">
        <v>352.1</v>
      </c>
      <c r="B8" s="23" t="s">
        <v>25</v>
      </c>
      <c r="C8" s="44">
        <f>SUMIFS('UPIS Detail'!8:8,'UPIS Detail'!$2:$2,'UPIS LinkIn'!C$2,'UPIS Detail'!$1:$1,"Balance")</f>
        <v>0</v>
      </c>
      <c r="D8" s="44">
        <f>SUMIFS('UPIS Detail'!8:8,'UPIS Detail'!$2:$2,'UPIS LinkIn'!D$2,'UPIS Detail'!$1:$1,"Balance")</f>
        <v>101150.18000000002</v>
      </c>
      <c r="E8" s="44">
        <f>SUMIFS('UPIS Detail'!8:8,'UPIS Detail'!$2:$2,'UPIS LinkIn'!E$2,'UPIS Detail'!$1:$1,"Balance")</f>
        <v>120892.89000000001</v>
      </c>
      <c r="F8" s="44">
        <f>SUMIFS('UPIS Detail'!8:8,'UPIS Detail'!$2:$2,'UPIS LinkIn'!F$2,'UPIS Detail'!$1:$1,"Balance")</f>
        <v>1148893.7000000002</v>
      </c>
      <c r="G8" s="44">
        <f>SUMIFS('UPIS Detail'!8:8,'UPIS Detail'!$2:$2,'UPIS LinkIn'!G$2,'UPIS Detail'!$1:$1,"Balance")</f>
        <v>1149945.3800000001</v>
      </c>
      <c r="H8" s="44">
        <f>SUMIFS('UPIS Detail'!8:8,'UPIS Detail'!$2:$2,'UPIS LinkIn'!H$2,'UPIS Detail'!$1:$1,"Balance")</f>
        <v>1149945.3800000001</v>
      </c>
      <c r="I8" s="44">
        <f>SUMIFS('UPIS Detail'!8:8,'UPIS Detail'!$2:$2,'UPIS LinkIn'!I$2,'UPIS Detail'!$1:$1,"Balance")</f>
        <v>1189100.6100000001</v>
      </c>
      <c r="J8" s="44">
        <f>SUMIFS('UPIS Detail'!8:8,'UPIS Detail'!$2:$2,'UPIS LinkIn'!J$2,'UPIS Detail'!$1:$1,"Balance")</f>
        <v>1189100.6100000001</v>
      </c>
      <c r="K8" s="44">
        <f>SUMIFS('UPIS Detail'!8:8,'UPIS Detail'!$2:$2,'UPIS LinkIn'!K$2,'UPIS Detail'!$1:$1,"Balance")</f>
        <v>1189100.6100000001</v>
      </c>
      <c r="L8" s="44">
        <f>SUMIFS('UPIS Detail'!8:8,'UPIS Detail'!$2:$2,'UPIS LinkIn'!L$2,'UPIS Detail'!$1:$1,"Balance")</f>
        <v>1210080.5900000001</v>
      </c>
      <c r="M8" s="44">
        <f>SUMIFS('UPIS Detail'!8:8,'UPIS Detail'!$2:$2,'UPIS LinkIn'!M$2,'UPIS Detail'!$1:$1,"Balance")</f>
        <v>1210080.5900000001</v>
      </c>
      <c r="N8" s="44">
        <f>SUMIFS('UPIS Detail'!8:8,'UPIS Detail'!$2:$2,'UPIS LinkIn'!N$2,'UPIS Detail'!$1:$1,"Balance")</f>
        <v>1210080.5900000001</v>
      </c>
      <c r="O8" s="44">
        <f>SUMIFS('UPIS Detail'!8:8,'UPIS Detail'!$2:$2,'UPIS LinkIn'!O$2,'UPIS Detail'!$1:$1,"Balance")</f>
        <v>1384811.9000000001</v>
      </c>
      <c r="P8" s="44">
        <f>SUMIFS('UPIS Detail'!8:8,'UPIS Detail'!$2:$2,'UPIS LinkIn'!P$2,'UPIS Detail'!$1:$1,"Balance")</f>
        <v>1457811.9000000001</v>
      </c>
      <c r="Q8" s="44">
        <f>SUMIFS('UPIS Detail'!8:8,'UPIS Detail'!$2:$2,'UPIS LinkIn'!Q$2,'UPIS Detail'!$1:$1,"Balance")</f>
        <v>1457811.9000000001</v>
      </c>
      <c r="R8" s="44">
        <f>SUMIFS('UPIS Detail'!8:8,'UPIS Detail'!$2:$2,'UPIS LinkIn'!R$2,'UPIS Detail'!$1:$1,"Balance")</f>
        <v>1618507.3400000003</v>
      </c>
      <c r="S8" s="44">
        <f>SUMIFS('UPIS Detail'!8:8,'UPIS Detail'!$2:$2,'UPIS LinkIn'!S$2,'UPIS Detail'!$1:$1,"Balance")</f>
        <v>1621007.3400000003</v>
      </c>
      <c r="T8" s="44">
        <f>SUMIFS('UPIS Detail'!8:8,'UPIS Detail'!$2:$2,'UPIS LinkIn'!T$2,'UPIS Detail'!$1:$1,"Balance")</f>
        <v>1671007.3400000003</v>
      </c>
      <c r="U8" s="44">
        <f>SUMIFS('UPIS Detail'!8:8,'UPIS Detail'!$2:$2,'UPIS LinkIn'!U$2,'UPIS Detail'!$1:$1,"Balance")</f>
        <v>1671007.3400000003</v>
      </c>
      <c r="V8" s="44">
        <f>SUMIFS('UPIS Detail'!8:8,'UPIS Detail'!$2:$2,'UPIS LinkIn'!V$2,'UPIS Detail'!$1:$1,"Balance")</f>
        <v>1671007.3400000003</v>
      </c>
      <c r="W8" s="44">
        <f>SUMIFS('UPIS Detail'!8:8,'UPIS Detail'!$2:$2,'UPIS LinkIn'!W$2,'UPIS Detail'!$1:$1,"Balance")</f>
        <v>1671007.3400000003</v>
      </c>
      <c r="X8" s="44">
        <f>SUMIFS('UPIS Detail'!8:8,'UPIS Detail'!$2:$2,'UPIS LinkIn'!X$2,'UPIS Detail'!$1:$1,"Balance")</f>
        <v>1671007.3400000003</v>
      </c>
      <c r="Y8" s="44">
        <f>SUMIFS('UPIS Detail'!8:8,'UPIS Detail'!$2:$2,'UPIS LinkIn'!Y$2,'UPIS Detail'!$1:$1,"Balance")</f>
        <v>1671007.3400000003</v>
      </c>
      <c r="Z8" s="44">
        <f>SUMIFS('UPIS Detail'!8:8,'UPIS Detail'!$2:$2,'UPIS LinkIn'!Z$2,'UPIS Detail'!$1:$1,"Balance")</f>
        <v>1671007.3400000003</v>
      </c>
      <c r="AA8" s="44">
        <f>SUMIFS('UPIS Detail'!8:8,'UPIS Detail'!$2:$2,'UPIS LinkIn'!AA$2,'UPIS Detail'!$1:$1,"Balance")</f>
        <v>1801007.3400000003</v>
      </c>
      <c r="AB8" s="44">
        <f>SUMIFS('UPIS Detail'!8:8,'UPIS Detail'!$2:$2,'UPIS LinkIn'!AB$2,'UPIS Detail'!$1:$1,"Balance")</f>
        <v>1883507.3400000003</v>
      </c>
      <c r="AC8" s="44">
        <f>SUMIFS('UPIS Detail'!8:8,'UPIS Detail'!$2:$2,'UPIS LinkIn'!AC$2,'UPIS Detail'!$1:$1,"Balance")</f>
        <v>1883507.3400000003</v>
      </c>
      <c r="AD8" s="44">
        <f>SUMIFS('UPIS Detail'!8:8,'UPIS Detail'!$2:$2,'UPIS LinkIn'!AD$2,'UPIS Detail'!$1:$1,"Balance")</f>
        <v>1883507.3400000003</v>
      </c>
      <c r="AE8" s="44">
        <f>SUMIFS('UPIS Detail'!8:8,'UPIS Detail'!$2:$2,'UPIS LinkIn'!AE$2,'UPIS Detail'!$1:$1,"Balance")</f>
        <v>1883507.3400000003</v>
      </c>
      <c r="AF8" s="44">
        <f>SUMIFS('UPIS Detail'!8:8,'UPIS Detail'!$2:$2,'UPIS LinkIn'!AF$2,'UPIS Detail'!$1:$1,"Balance")</f>
        <v>1883507.3400000003</v>
      </c>
      <c r="AG8" s="44">
        <f>SUMIFS('UPIS Detail'!8:8,'UPIS Detail'!$2:$2,'UPIS LinkIn'!AG$2,'UPIS Detail'!$1:$1,"Balance")</f>
        <v>1883507.3400000003</v>
      </c>
      <c r="AH8" s="44">
        <f>SUMIFS('UPIS Detail'!8:8,'UPIS Detail'!$2:$2,'UPIS LinkIn'!AH$2,'UPIS Detail'!$1:$1,"Balance")</f>
        <v>1883507.3400000003</v>
      </c>
      <c r="AI8" s="44">
        <f>SUMIFS('UPIS Detail'!8:8,'UPIS Detail'!$2:$2,'UPIS LinkIn'!AI$2,'UPIS Detail'!$1:$1,"Balance")</f>
        <v>1883507.3400000003</v>
      </c>
      <c r="AJ8" s="44">
        <f>SUMIFS('UPIS Detail'!8:8,'UPIS Detail'!$2:$2,'UPIS LinkIn'!AJ$2,'UPIS Detail'!$1:$1,"Balance")</f>
        <v>1883507.3400000003</v>
      </c>
      <c r="AK8" s="44">
        <f>SUMIFS('UPIS Detail'!8:8,'UPIS Detail'!$2:$2,'UPIS LinkIn'!AK$2,'UPIS Detail'!$1:$1,"Balance")</f>
        <v>1883507.3400000003</v>
      </c>
      <c r="AL8" s="44">
        <f>SUMIFS('UPIS Detail'!8:8,'UPIS Detail'!$2:$2,'UPIS LinkIn'!AL$2,'UPIS Detail'!$1:$1,"Balance")</f>
        <v>1883507.3400000003</v>
      </c>
      <c r="AM8" s="44">
        <f>SUMIFS('UPIS Detail'!8:8,'UPIS Detail'!$2:$2,'UPIS LinkIn'!AM$2,'UPIS Detail'!$1:$1,"Balance")</f>
        <v>1883507.3400000003</v>
      </c>
    </row>
    <row r="9" spans="1:39" x14ac:dyDescent="0.45">
      <c r="A9" s="23">
        <v>352.2</v>
      </c>
      <c r="B9" s="23" t="s">
        <v>26</v>
      </c>
      <c r="C9" s="44">
        <f>SUMIFS('UPIS Detail'!9:9,'UPIS Detail'!$2:$2,'UPIS LinkIn'!C$2,'UPIS Detail'!$1:$1,"Balance")</f>
        <v>621063.6</v>
      </c>
      <c r="D9" s="44">
        <f>SUMIFS('UPIS Detail'!9:9,'UPIS Detail'!$2:$2,'UPIS LinkIn'!D$2,'UPIS Detail'!$1:$1,"Balance")</f>
        <v>621063.6</v>
      </c>
      <c r="E9" s="44">
        <f>SUMIFS('UPIS Detail'!9:9,'UPIS Detail'!$2:$2,'UPIS LinkIn'!E$2,'UPIS Detail'!$1:$1,"Balance")</f>
        <v>621063.6</v>
      </c>
      <c r="F9" s="44">
        <f>SUMIFS('UPIS Detail'!9:9,'UPIS Detail'!$2:$2,'UPIS LinkIn'!F$2,'UPIS Detail'!$1:$1,"Balance")</f>
        <v>621063.6</v>
      </c>
      <c r="G9" s="44">
        <f>SUMIFS('UPIS Detail'!9:9,'UPIS Detail'!$2:$2,'UPIS LinkIn'!G$2,'UPIS Detail'!$1:$1,"Balance")</f>
        <v>621063.6</v>
      </c>
      <c r="H9" s="44">
        <f>SUMIFS('UPIS Detail'!9:9,'UPIS Detail'!$2:$2,'UPIS LinkIn'!H$2,'UPIS Detail'!$1:$1,"Balance")</f>
        <v>621063.6</v>
      </c>
      <c r="I9" s="44">
        <f>SUMIFS('UPIS Detail'!9:9,'UPIS Detail'!$2:$2,'UPIS LinkIn'!I$2,'UPIS Detail'!$1:$1,"Balance")</f>
        <v>621063.6</v>
      </c>
      <c r="J9" s="44">
        <f>SUMIFS('UPIS Detail'!9:9,'UPIS Detail'!$2:$2,'UPIS LinkIn'!J$2,'UPIS Detail'!$1:$1,"Balance")</f>
        <v>621063.6</v>
      </c>
      <c r="K9" s="44">
        <f>SUMIFS('UPIS Detail'!9:9,'UPIS Detail'!$2:$2,'UPIS LinkIn'!K$2,'UPIS Detail'!$1:$1,"Balance")</f>
        <v>621063.6</v>
      </c>
      <c r="L9" s="44">
        <f>SUMIFS('UPIS Detail'!9:9,'UPIS Detail'!$2:$2,'UPIS LinkIn'!L$2,'UPIS Detail'!$1:$1,"Balance")</f>
        <v>621063.6</v>
      </c>
      <c r="M9" s="44">
        <f>SUMIFS('UPIS Detail'!9:9,'UPIS Detail'!$2:$2,'UPIS LinkIn'!M$2,'UPIS Detail'!$1:$1,"Balance")</f>
        <v>621063.6</v>
      </c>
      <c r="N9" s="44">
        <f>SUMIFS('UPIS Detail'!9:9,'UPIS Detail'!$2:$2,'UPIS LinkIn'!N$2,'UPIS Detail'!$1:$1,"Balance")</f>
        <v>621063.6</v>
      </c>
      <c r="O9" s="44">
        <f>SUMIFS('UPIS Detail'!9:9,'UPIS Detail'!$2:$2,'UPIS LinkIn'!O$2,'UPIS Detail'!$1:$1,"Balance")</f>
        <v>621063.6</v>
      </c>
      <c r="P9" s="44">
        <f>SUMIFS('UPIS Detail'!9:9,'UPIS Detail'!$2:$2,'UPIS LinkIn'!P$2,'UPIS Detail'!$1:$1,"Balance")</f>
        <v>702563.6</v>
      </c>
      <c r="Q9" s="44">
        <f>SUMIFS('UPIS Detail'!9:9,'UPIS Detail'!$2:$2,'UPIS LinkIn'!Q$2,'UPIS Detail'!$1:$1,"Balance")</f>
        <v>757563.6</v>
      </c>
      <c r="R9" s="44">
        <f>SUMIFS('UPIS Detail'!9:9,'UPIS Detail'!$2:$2,'UPIS LinkIn'!R$2,'UPIS Detail'!$1:$1,"Balance")</f>
        <v>855063.6</v>
      </c>
      <c r="S9" s="44">
        <f>SUMIFS('UPIS Detail'!9:9,'UPIS Detail'!$2:$2,'UPIS LinkIn'!S$2,'UPIS Detail'!$1:$1,"Balance")</f>
        <v>855063.6</v>
      </c>
      <c r="T9" s="44">
        <f>SUMIFS('UPIS Detail'!9:9,'UPIS Detail'!$2:$2,'UPIS LinkIn'!T$2,'UPIS Detail'!$1:$1,"Balance")</f>
        <v>886563.6</v>
      </c>
      <c r="U9" s="44">
        <f>SUMIFS('UPIS Detail'!9:9,'UPIS Detail'!$2:$2,'UPIS LinkIn'!U$2,'UPIS Detail'!$1:$1,"Balance")</f>
        <v>886563.6</v>
      </c>
      <c r="V9" s="44">
        <f>SUMIFS('UPIS Detail'!9:9,'UPIS Detail'!$2:$2,'UPIS LinkIn'!V$2,'UPIS Detail'!$1:$1,"Balance")</f>
        <v>916563.6</v>
      </c>
      <c r="W9" s="44">
        <f>SUMIFS('UPIS Detail'!9:9,'UPIS Detail'!$2:$2,'UPIS LinkIn'!W$2,'UPIS Detail'!$1:$1,"Balance")</f>
        <v>916563.6</v>
      </c>
      <c r="X9" s="44">
        <f>SUMIFS('UPIS Detail'!9:9,'UPIS Detail'!$2:$2,'UPIS LinkIn'!X$2,'UPIS Detail'!$1:$1,"Balance")</f>
        <v>916563.6</v>
      </c>
      <c r="Y9" s="44">
        <f>SUMIFS('UPIS Detail'!9:9,'UPIS Detail'!$2:$2,'UPIS LinkIn'!Y$2,'UPIS Detail'!$1:$1,"Balance")</f>
        <v>916563.6</v>
      </c>
      <c r="Z9" s="44">
        <f>SUMIFS('UPIS Detail'!9:9,'UPIS Detail'!$2:$2,'UPIS LinkIn'!Z$2,'UPIS Detail'!$1:$1,"Balance")</f>
        <v>916563.6</v>
      </c>
      <c r="AA9" s="44">
        <f>SUMIFS('UPIS Detail'!9:9,'UPIS Detail'!$2:$2,'UPIS LinkIn'!AA$2,'UPIS Detail'!$1:$1,"Balance")</f>
        <v>916563.6</v>
      </c>
      <c r="AB9" s="44">
        <f>SUMIFS('UPIS Detail'!9:9,'UPIS Detail'!$2:$2,'UPIS LinkIn'!AB$2,'UPIS Detail'!$1:$1,"Balance")</f>
        <v>966563.6</v>
      </c>
      <c r="AC9" s="44">
        <f>SUMIFS('UPIS Detail'!9:9,'UPIS Detail'!$2:$2,'UPIS LinkIn'!AC$2,'UPIS Detail'!$1:$1,"Balance")</f>
        <v>966563.6</v>
      </c>
      <c r="AD9" s="44">
        <f>SUMIFS('UPIS Detail'!9:9,'UPIS Detail'!$2:$2,'UPIS LinkIn'!AD$2,'UPIS Detail'!$1:$1,"Balance")</f>
        <v>966563.6</v>
      </c>
      <c r="AE9" s="44">
        <f>SUMIFS('UPIS Detail'!9:9,'UPIS Detail'!$2:$2,'UPIS LinkIn'!AE$2,'UPIS Detail'!$1:$1,"Balance")</f>
        <v>966563.6</v>
      </c>
      <c r="AF9" s="44">
        <f>SUMIFS('UPIS Detail'!9:9,'UPIS Detail'!$2:$2,'UPIS LinkIn'!AF$2,'UPIS Detail'!$1:$1,"Balance")</f>
        <v>966563.6</v>
      </c>
      <c r="AG9" s="44">
        <f>SUMIFS('UPIS Detail'!9:9,'UPIS Detail'!$2:$2,'UPIS LinkIn'!AG$2,'UPIS Detail'!$1:$1,"Balance")</f>
        <v>966563.6</v>
      </c>
      <c r="AH9" s="44">
        <f>SUMIFS('UPIS Detail'!9:9,'UPIS Detail'!$2:$2,'UPIS LinkIn'!AH$2,'UPIS Detail'!$1:$1,"Balance")</f>
        <v>966563.6</v>
      </c>
      <c r="AI9" s="44">
        <f>SUMIFS('UPIS Detail'!9:9,'UPIS Detail'!$2:$2,'UPIS LinkIn'!AI$2,'UPIS Detail'!$1:$1,"Balance")</f>
        <v>966563.6</v>
      </c>
      <c r="AJ9" s="44">
        <f>SUMIFS('UPIS Detail'!9:9,'UPIS Detail'!$2:$2,'UPIS LinkIn'!AJ$2,'UPIS Detail'!$1:$1,"Balance")</f>
        <v>966563.6</v>
      </c>
      <c r="AK9" s="44">
        <f>SUMIFS('UPIS Detail'!9:9,'UPIS Detail'!$2:$2,'UPIS LinkIn'!AK$2,'UPIS Detail'!$1:$1,"Balance")</f>
        <v>966563.6</v>
      </c>
      <c r="AL9" s="44">
        <f>SUMIFS('UPIS Detail'!9:9,'UPIS Detail'!$2:$2,'UPIS LinkIn'!AL$2,'UPIS Detail'!$1:$1,"Balance")</f>
        <v>966563.6</v>
      </c>
      <c r="AM9" s="44">
        <f>SUMIFS('UPIS Detail'!9:9,'UPIS Detail'!$2:$2,'UPIS LinkIn'!AM$2,'UPIS Detail'!$1:$1,"Balance")</f>
        <v>966563.6</v>
      </c>
    </row>
    <row r="10" spans="1:39" x14ac:dyDescent="0.45">
      <c r="A10" s="23">
        <v>363</v>
      </c>
      <c r="B10" s="23" t="s">
        <v>27</v>
      </c>
      <c r="C10" s="44">
        <f>SUMIFS('UPIS Detail'!10:10,'UPIS Detail'!$2:$2,'UPIS LinkIn'!C$2,'UPIS Detail'!$1:$1,"Balance")</f>
        <v>29587.13</v>
      </c>
      <c r="D10" s="44">
        <f>SUMIFS('UPIS Detail'!10:10,'UPIS Detail'!$2:$2,'UPIS LinkIn'!D$2,'UPIS Detail'!$1:$1,"Balance")</f>
        <v>41032.020000000004</v>
      </c>
      <c r="E10" s="44">
        <f>SUMIFS('UPIS Detail'!10:10,'UPIS Detail'!$2:$2,'UPIS LinkIn'!E$2,'UPIS Detail'!$1:$1,"Balance")</f>
        <v>42255.210000000006</v>
      </c>
      <c r="F10" s="44">
        <f>SUMIFS('UPIS Detail'!10:10,'UPIS Detail'!$2:$2,'UPIS LinkIn'!F$2,'UPIS Detail'!$1:$1,"Balance")</f>
        <v>49047.44</v>
      </c>
      <c r="G10" s="44">
        <f>SUMIFS('UPIS Detail'!10:10,'UPIS Detail'!$2:$2,'UPIS LinkIn'!G$2,'UPIS Detail'!$1:$1,"Balance")</f>
        <v>57995.16</v>
      </c>
      <c r="H10" s="44">
        <f>SUMIFS('UPIS Detail'!10:10,'UPIS Detail'!$2:$2,'UPIS LinkIn'!H$2,'UPIS Detail'!$1:$1,"Balance")</f>
        <v>57995.16</v>
      </c>
      <c r="I10" s="44">
        <f>SUMIFS('UPIS Detail'!10:10,'UPIS Detail'!$2:$2,'UPIS LinkIn'!I$2,'UPIS Detail'!$1:$1,"Balance")</f>
        <v>65195.570000000007</v>
      </c>
      <c r="J10" s="44">
        <f>SUMIFS('UPIS Detail'!10:10,'UPIS Detail'!$2:$2,'UPIS LinkIn'!J$2,'UPIS Detail'!$1:$1,"Balance")</f>
        <v>65195.570000000007</v>
      </c>
      <c r="K10" s="44">
        <f>SUMIFS('UPIS Detail'!10:10,'UPIS Detail'!$2:$2,'UPIS LinkIn'!K$2,'UPIS Detail'!$1:$1,"Balance")</f>
        <v>65195.570000000007</v>
      </c>
      <c r="L10" s="44">
        <f>SUMIFS('UPIS Detail'!10:10,'UPIS Detail'!$2:$2,'UPIS LinkIn'!L$2,'UPIS Detail'!$1:$1,"Balance")</f>
        <v>93020.57</v>
      </c>
      <c r="M10" s="44">
        <f>SUMIFS('UPIS Detail'!10:10,'UPIS Detail'!$2:$2,'UPIS LinkIn'!M$2,'UPIS Detail'!$1:$1,"Balance")</f>
        <v>93020.57</v>
      </c>
      <c r="N10" s="44">
        <f>SUMIFS('UPIS Detail'!10:10,'UPIS Detail'!$2:$2,'UPIS LinkIn'!N$2,'UPIS Detail'!$1:$1,"Balance")</f>
        <v>93020.57</v>
      </c>
      <c r="O10" s="44">
        <f>SUMIFS('UPIS Detail'!10:10,'UPIS Detail'!$2:$2,'UPIS LinkIn'!O$2,'UPIS Detail'!$1:$1,"Balance")</f>
        <v>93020.57</v>
      </c>
      <c r="P10" s="44">
        <f>SUMIFS('UPIS Detail'!10:10,'UPIS Detail'!$2:$2,'UPIS LinkIn'!P$2,'UPIS Detail'!$1:$1,"Balance")</f>
        <v>93020.57</v>
      </c>
      <c r="Q10" s="44">
        <f>SUMIFS('UPIS Detail'!10:10,'UPIS Detail'!$2:$2,'UPIS LinkIn'!Q$2,'UPIS Detail'!$1:$1,"Balance")</f>
        <v>93020.57</v>
      </c>
      <c r="R10" s="44">
        <f>SUMIFS('UPIS Detail'!10:10,'UPIS Detail'!$2:$2,'UPIS LinkIn'!R$2,'UPIS Detail'!$1:$1,"Balance")</f>
        <v>93020.57</v>
      </c>
      <c r="S10" s="44">
        <f>SUMIFS('UPIS Detail'!10:10,'UPIS Detail'!$2:$2,'UPIS LinkIn'!S$2,'UPIS Detail'!$1:$1,"Balance")</f>
        <v>163020.57</v>
      </c>
      <c r="T10" s="44">
        <f>SUMIFS('UPIS Detail'!10:10,'UPIS Detail'!$2:$2,'UPIS LinkIn'!T$2,'UPIS Detail'!$1:$1,"Balance")</f>
        <v>163020.57</v>
      </c>
      <c r="U10" s="44">
        <f>SUMIFS('UPIS Detail'!10:10,'UPIS Detail'!$2:$2,'UPIS LinkIn'!U$2,'UPIS Detail'!$1:$1,"Balance")</f>
        <v>163020.57</v>
      </c>
      <c r="V10" s="44">
        <f>SUMIFS('UPIS Detail'!10:10,'UPIS Detail'!$2:$2,'UPIS LinkIn'!V$2,'UPIS Detail'!$1:$1,"Balance")</f>
        <v>163020.57</v>
      </c>
      <c r="W10" s="44">
        <f>SUMIFS('UPIS Detail'!10:10,'UPIS Detail'!$2:$2,'UPIS LinkIn'!W$2,'UPIS Detail'!$1:$1,"Balance")</f>
        <v>163020.57</v>
      </c>
      <c r="X10" s="44">
        <f>SUMIFS('UPIS Detail'!10:10,'UPIS Detail'!$2:$2,'UPIS LinkIn'!X$2,'UPIS Detail'!$1:$1,"Balance")</f>
        <v>163020.57</v>
      </c>
      <c r="Y10" s="44">
        <f>SUMIFS('UPIS Detail'!10:10,'UPIS Detail'!$2:$2,'UPIS LinkIn'!Y$2,'UPIS Detail'!$1:$1,"Balance")</f>
        <v>163020.57</v>
      </c>
      <c r="Z10" s="44">
        <f>SUMIFS('UPIS Detail'!10:10,'UPIS Detail'!$2:$2,'UPIS LinkIn'!Z$2,'UPIS Detail'!$1:$1,"Balance")</f>
        <v>163020.57</v>
      </c>
      <c r="AA10" s="44">
        <f>SUMIFS('UPIS Detail'!10:10,'UPIS Detail'!$2:$2,'UPIS LinkIn'!AA$2,'UPIS Detail'!$1:$1,"Balance")</f>
        <v>163020.57</v>
      </c>
      <c r="AB10" s="44">
        <f>SUMIFS('UPIS Detail'!10:10,'UPIS Detail'!$2:$2,'UPIS LinkIn'!AB$2,'UPIS Detail'!$1:$1,"Balance")</f>
        <v>201020.57</v>
      </c>
      <c r="AC10" s="44">
        <f>SUMIFS('UPIS Detail'!10:10,'UPIS Detail'!$2:$2,'UPIS LinkIn'!AC$2,'UPIS Detail'!$1:$1,"Balance")</f>
        <v>201020.57</v>
      </c>
      <c r="AD10" s="44">
        <f>SUMIFS('UPIS Detail'!10:10,'UPIS Detail'!$2:$2,'UPIS LinkIn'!AD$2,'UPIS Detail'!$1:$1,"Balance")</f>
        <v>201020.57</v>
      </c>
      <c r="AE10" s="44">
        <f>SUMIFS('UPIS Detail'!10:10,'UPIS Detail'!$2:$2,'UPIS LinkIn'!AE$2,'UPIS Detail'!$1:$1,"Balance")</f>
        <v>233020.57</v>
      </c>
      <c r="AF10" s="44">
        <f>SUMIFS('UPIS Detail'!10:10,'UPIS Detail'!$2:$2,'UPIS LinkIn'!AF$2,'UPIS Detail'!$1:$1,"Balance")</f>
        <v>233020.57</v>
      </c>
      <c r="AG10" s="44">
        <f>SUMIFS('UPIS Detail'!10:10,'UPIS Detail'!$2:$2,'UPIS LinkIn'!AG$2,'UPIS Detail'!$1:$1,"Balance")</f>
        <v>233020.57</v>
      </c>
      <c r="AH10" s="44">
        <f>SUMIFS('UPIS Detail'!10:10,'UPIS Detail'!$2:$2,'UPIS LinkIn'!AH$2,'UPIS Detail'!$1:$1,"Balance")</f>
        <v>233020.57</v>
      </c>
      <c r="AI10" s="44">
        <f>SUMIFS('UPIS Detail'!10:10,'UPIS Detail'!$2:$2,'UPIS LinkIn'!AI$2,'UPIS Detail'!$1:$1,"Balance")</f>
        <v>233020.57</v>
      </c>
      <c r="AJ10" s="44">
        <f>SUMIFS('UPIS Detail'!10:10,'UPIS Detail'!$2:$2,'UPIS LinkIn'!AJ$2,'UPIS Detail'!$1:$1,"Balance")</f>
        <v>233020.57</v>
      </c>
      <c r="AK10" s="44">
        <f>SUMIFS('UPIS Detail'!10:10,'UPIS Detail'!$2:$2,'UPIS LinkIn'!AK$2,'UPIS Detail'!$1:$1,"Balance")</f>
        <v>233020.57</v>
      </c>
      <c r="AL10" s="44">
        <f>SUMIFS('UPIS Detail'!10:10,'UPIS Detail'!$2:$2,'UPIS LinkIn'!AL$2,'UPIS Detail'!$1:$1,"Balance")</f>
        <v>233020.57</v>
      </c>
      <c r="AM10" s="44">
        <f>SUMIFS('UPIS Detail'!10:10,'UPIS Detail'!$2:$2,'UPIS LinkIn'!AM$2,'UPIS Detail'!$1:$1,"Balance")</f>
        <v>233020.57</v>
      </c>
    </row>
    <row r="11" spans="1:39" x14ac:dyDescent="0.45">
      <c r="A11" s="23">
        <v>370</v>
      </c>
      <c r="B11" s="23" t="s">
        <v>23</v>
      </c>
      <c r="C11" s="44">
        <f>SUMIFS('UPIS Detail'!11:11,'UPIS Detail'!$2:$2,'UPIS LinkIn'!C$2,'UPIS Detail'!$1:$1,"Balance")</f>
        <v>10756.67</v>
      </c>
      <c r="D11" s="44">
        <f>SUMIFS('UPIS Detail'!11:11,'UPIS Detail'!$2:$2,'UPIS LinkIn'!D$2,'UPIS Detail'!$1:$1,"Balance")</f>
        <v>10756.67</v>
      </c>
      <c r="E11" s="44">
        <f>SUMIFS('UPIS Detail'!11:11,'UPIS Detail'!$2:$2,'UPIS LinkIn'!E$2,'UPIS Detail'!$1:$1,"Balance")</f>
        <v>10756.67</v>
      </c>
      <c r="F11" s="44">
        <f>SUMIFS('UPIS Detail'!11:11,'UPIS Detail'!$2:$2,'UPIS LinkIn'!F$2,'UPIS Detail'!$1:$1,"Balance")</f>
        <v>10756.67</v>
      </c>
      <c r="G11" s="44">
        <f>SUMIFS('UPIS Detail'!11:11,'UPIS Detail'!$2:$2,'UPIS LinkIn'!G$2,'UPIS Detail'!$1:$1,"Balance")</f>
        <v>10756.67</v>
      </c>
      <c r="H11" s="44">
        <f>SUMIFS('UPIS Detail'!11:11,'UPIS Detail'!$2:$2,'UPIS LinkIn'!H$2,'UPIS Detail'!$1:$1,"Balance")</f>
        <v>10756.67</v>
      </c>
      <c r="I11" s="44">
        <f>SUMIFS('UPIS Detail'!11:11,'UPIS Detail'!$2:$2,'UPIS LinkIn'!I$2,'UPIS Detail'!$1:$1,"Balance")</f>
        <v>10756.67</v>
      </c>
      <c r="J11" s="44">
        <f>SUMIFS('UPIS Detail'!11:11,'UPIS Detail'!$2:$2,'UPIS LinkIn'!J$2,'UPIS Detail'!$1:$1,"Balance")</f>
        <v>10756.67</v>
      </c>
      <c r="K11" s="44">
        <f>SUMIFS('UPIS Detail'!11:11,'UPIS Detail'!$2:$2,'UPIS LinkIn'!K$2,'UPIS Detail'!$1:$1,"Balance")</f>
        <v>10756.67</v>
      </c>
      <c r="L11" s="44">
        <f>SUMIFS('UPIS Detail'!11:11,'UPIS Detail'!$2:$2,'UPIS LinkIn'!L$2,'UPIS Detail'!$1:$1,"Balance")</f>
        <v>10756.67</v>
      </c>
      <c r="M11" s="44">
        <f>SUMIFS('UPIS Detail'!11:11,'UPIS Detail'!$2:$2,'UPIS LinkIn'!M$2,'UPIS Detail'!$1:$1,"Balance")</f>
        <v>10756.67</v>
      </c>
      <c r="N11" s="44">
        <f>SUMIFS('UPIS Detail'!11:11,'UPIS Detail'!$2:$2,'UPIS LinkIn'!N$2,'UPIS Detail'!$1:$1,"Balance")</f>
        <v>10756.67</v>
      </c>
      <c r="O11" s="44">
        <f>SUMIFS('UPIS Detail'!11:11,'UPIS Detail'!$2:$2,'UPIS LinkIn'!O$2,'UPIS Detail'!$1:$1,"Balance")</f>
        <v>10756.67</v>
      </c>
      <c r="P11" s="44">
        <f>SUMIFS('UPIS Detail'!11:11,'UPIS Detail'!$2:$2,'UPIS LinkIn'!P$2,'UPIS Detail'!$1:$1,"Balance")</f>
        <v>10756.67</v>
      </c>
      <c r="Q11" s="44">
        <f>SUMIFS('UPIS Detail'!11:11,'UPIS Detail'!$2:$2,'UPIS LinkIn'!Q$2,'UPIS Detail'!$1:$1,"Balance")</f>
        <v>10756.67</v>
      </c>
      <c r="R11" s="44">
        <f>SUMIFS('UPIS Detail'!11:11,'UPIS Detail'!$2:$2,'UPIS LinkIn'!R$2,'UPIS Detail'!$1:$1,"Balance")</f>
        <v>10756.67</v>
      </c>
      <c r="S11" s="44">
        <f>SUMIFS('UPIS Detail'!11:11,'UPIS Detail'!$2:$2,'UPIS LinkIn'!S$2,'UPIS Detail'!$1:$1,"Balance")</f>
        <v>10756.67</v>
      </c>
      <c r="T11" s="44">
        <f>SUMIFS('UPIS Detail'!11:11,'UPIS Detail'!$2:$2,'UPIS LinkIn'!T$2,'UPIS Detail'!$1:$1,"Balance")</f>
        <v>10756.67</v>
      </c>
      <c r="U11" s="44">
        <f>SUMIFS('UPIS Detail'!11:11,'UPIS Detail'!$2:$2,'UPIS LinkIn'!U$2,'UPIS Detail'!$1:$1,"Balance")</f>
        <v>10756.67</v>
      </c>
      <c r="V11" s="44">
        <f>SUMIFS('UPIS Detail'!11:11,'UPIS Detail'!$2:$2,'UPIS LinkIn'!V$2,'UPIS Detail'!$1:$1,"Balance")</f>
        <v>10756.67</v>
      </c>
      <c r="W11" s="44">
        <f>SUMIFS('UPIS Detail'!11:11,'UPIS Detail'!$2:$2,'UPIS LinkIn'!W$2,'UPIS Detail'!$1:$1,"Balance")</f>
        <v>10756.67</v>
      </c>
      <c r="X11" s="44">
        <f>SUMIFS('UPIS Detail'!11:11,'UPIS Detail'!$2:$2,'UPIS LinkIn'!X$2,'UPIS Detail'!$1:$1,"Balance")</f>
        <v>10756.67</v>
      </c>
      <c r="Y11" s="44">
        <f>SUMIFS('UPIS Detail'!11:11,'UPIS Detail'!$2:$2,'UPIS LinkIn'!Y$2,'UPIS Detail'!$1:$1,"Balance")</f>
        <v>10756.67</v>
      </c>
      <c r="Z11" s="44">
        <f>SUMIFS('UPIS Detail'!11:11,'UPIS Detail'!$2:$2,'UPIS LinkIn'!Z$2,'UPIS Detail'!$1:$1,"Balance")</f>
        <v>10756.67</v>
      </c>
      <c r="AA11" s="44">
        <f>SUMIFS('UPIS Detail'!11:11,'UPIS Detail'!$2:$2,'UPIS LinkIn'!AA$2,'UPIS Detail'!$1:$1,"Balance")</f>
        <v>10756.67</v>
      </c>
      <c r="AB11" s="44">
        <f>SUMIFS('UPIS Detail'!11:11,'UPIS Detail'!$2:$2,'UPIS LinkIn'!AB$2,'UPIS Detail'!$1:$1,"Balance")</f>
        <v>10756.67</v>
      </c>
      <c r="AC11" s="44">
        <f>SUMIFS('UPIS Detail'!11:11,'UPIS Detail'!$2:$2,'UPIS LinkIn'!AC$2,'UPIS Detail'!$1:$1,"Balance")</f>
        <v>10756.67</v>
      </c>
      <c r="AD11" s="44">
        <f>SUMIFS('UPIS Detail'!11:11,'UPIS Detail'!$2:$2,'UPIS LinkIn'!AD$2,'UPIS Detail'!$1:$1,"Balance")</f>
        <v>10756.67</v>
      </c>
      <c r="AE11" s="44">
        <f>SUMIFS('UPIS Detail'!11:11,'UPIS Detail'!$2:$2,'UPIS LinkIn'!AE$2,'UPIS Detail'!$1:$1,"Balance")</f>
        <v>10756.67</v>
      </c>
      <c r="AF11" s="44">
        <f>SUMIFS('UPIS Detail'!11:11,'UPIS Detail'!$2:$2,'UPIS LinkIn'!AF$2,'UPIS Detail'!$1:$1,"Balance")</f>
        <v>10756.67</v>
      </c>
      <c r="AG11" s="44">
        <f>SUMIFS('UPIS Detail'!11:11,'UPIS Detail'!$2:$2,'UPIS LinkIn'!AG$2,'UPIS Detail'!$1:$1,"Balance")</f>
        <v>10756.67</v>
      </c>
      <c r="AH11" s="44">
        <f>SUMIFS('UPIS Detail'!11:11,'UPIS Detail'!$2:$2,'UPIS LinkIn'!AH$2,'UPIS Detail'!$1:$1,"Balance")</f>
        <v>10756.67</v>
      </c>
      <c r="AI11" s="44">
        <f>SUMIFS('UPIS Detail'!11:11,'UPIS Detail'!$2:$2,'UPIS LinkIn'!AI$2,'UPIS Detail'!$1:$1,"Balance")</f>
        <v>10756.67</v>
      </c>
      <c r="AJ11" s="44">
        <f>SUMIFS('UPIS Detail'!11:11,'UPIS Detail'!$2:$2,'UPIS LinkIn'!AJ$2,'UPIS Detail'!$1:$1,"Balance")</f>
        <v>10756.67</v>
      </c>
      <c r="AK11" s="44">
        <f>SUMIFS('UPIS Detail'!11:11,'UPIS Detail'!$2:$2,'UPIS LinkIn'!AK$2,'UPIS Detail'!$1:$1,"Balance")</f>
        <v>10756.67</v>
      </c>
      <c r="AL11" s="44">
        <f>SUMIFS('UPIS Detail'!11:11,'UPIS Detail'!$2:$2,'UPIS LinkIn'!AL$2,'UPIS Detail'!$1:$1,"Balance")</f>
        <v>10756.67</v>
      </c>
      <c r="AM11" s="44">
        <f>SUMIFS('UPIS Detail'!11:11,'UPIS Detail'!$2:$2,'UPIS LinkIn'!AM$2,'UPIS Detail'!$1:$1,"Balance")</f>
        <v>10756.67</v>
      </c>
    </row>
    <row r="12" spans="1:39" x14ac:dyDescent="0.45">
      <c r="A12" s="23">
        <v>372</v>
      </c>
      <c r="B12" s="23" t="s">
        <v>28</v>
      </c>
      <c r="C12" s="44">
        <f>SUMIFS('UPIS Detail'!12:12,'UPIS Detail'!$2:$2,'UPIS LinkIn'!C$2,'UPIS Detail'!$1:$1,"Balance")</f>
        <v>407215</v>
      </c>
      <c r="D12" s="44">
        <f>SUMIFS('UPIS Detail'!12:12,'UPIS Detail'!$2:$2,'UPIS LinkIn'!D$2,'UPIS Detail'!$1:$1,"Balance")</f>
        <v>407215</v>
      </c>
      <c r="E12" s="44">
        <f>SUMIFS('UPIS Detail'!12:12,'UPIS Detail'!$2:$2,'UPIS LinkIn'!E$2,'UPIS Detail'!$1:$1,"Balance")</f>
        <v>407215</v>
      </c>
      <c r="F12" s="44">
        <f>SUMIFS('UPIS Detail'!12:12,'UPIS Detail'!$2:$2,'UPIS LinkIn'!F$2,'UPIS Detail'!$1:$1,"Balance")</f>
        <v>407215</v>
      </c>
      <c r="G12" s="44">
        <f>SUMIFS('UPIS Detail'!12:12,'UPIS Detail'!$2:$2,'UPIS LinkIn'!G$2,'UPIS Detail'!$1:$1,"Balance")</f>
        <v>407215</v>
      </c>
      <c r="H12" s="44">
        <f>SUMIFS('UPIS Detail'!12:12,'UPIS Detail'!$2:$2,'UPIS LinkIn'!H$2,'UPIS Detail'!$1:$1,"Balance")</f>
        <v>407215</v>
      </c>
      <c r="I12" s="44">
        <f>SUMIFS('UPIS Detail'!12:12,'UPIS Detail'!$2:$2,'UPIS LinkIn'!I$2,'UPIS Detail'!$1:$1,"Balance")</f>
        <v>407215</v>
      </c>
      <c r="J12" s="44">
        <f>SUMIFS('UPIS Detail'!12:12,'UPIS Detail'!$2:$2,'UPIS LinkIn'!J$2,'UPIS Detail'!$1:$1,"Balance")</f>
        <v>407215</v>
      </c>
      <c r="K12" s="44">
        <f>SUMIFS('UPIS Detail'!12:12,'UPIS Detail'!$2:$2,'UPIS LinkIn'!K$2,'UPIS Detail'!$1:$1,"Balance")</f>
        <v>407215</v>
      </c>
      <c r="L12" s="44">
        <f>SUMIFS('UPIS Detail'!12:12,'UPIS Detail'!$2:$2,'UPIS LinkIn'!L$2,'UPIS Detail'!$1:$1,"Balance")</f>
        <v>407215</v>
      </c>
      <c r="M12" s="44">
        <f>SUMIFS('UPIS Detail'!12:12,'UPIS Detail'!$2:$2,'UPIS LinkIn'!M$2,'UPIS Detail'!$1:$1,"Balance")</f>
        <v>407215</v>
      </c>
      <c r="N12" s="44">
        <f>SUMIFS('UPIS Detail'!12:12,'UPIS Detail'!$2:$2,'UPIS LinkIn'!N$2,'UPIS Detail'!$1:$1,"Balance")</f>
        <v>407215</v>
      </c>
      <c r="O12" s="44">
        <f>SUMIFS('UPIS Detail'!12:12,'UPIS Detail'!$2:$2,'UPIS LinkIn'!O$2,'UPIS Detail'!$1:$1,"Balance")</f>
        <v>407215</v>
      </c>
      <c r="P12" s="44">
        <f>SUMIFS('UPIS Detail'!12:12,'UPIS Detail'!$2:$2,'UPIS LinkIn'!P$2,'UPIS Detail'!$1:$1,"Balance")</f>
        <v>534715</v>
      </c>
      <c r="Q12" s="44">
        <f>SUMIFS('UPIS Detail'!12:12,'UPIS Detail'!$2:$2,'UPIS LinkIn'!Q$2,'UPIS Detail'!$1:$1,"Balance")</f>
        <v>609715</v>
      </c>
      <c r="R12" s="44">
        <f>SUMIFS('UPIS Detail'!12:12,'UPIS Detail'!$2:$2,'UPIS LinkIn'!R$2,'UPIS Detail'!$1:$1,"Balance")</f>
        <v>996215</v>
      </c>
      <c r="S12" s="44">
        <f>SUMIFS('UPIS Detail'!12:12,'UPIS Detail'!$2:$2,'UPIS LinkIn'!S$2,'UPIS Detail'!$1:$1,"Balance")</f>
        <v>1206215</v>
      </c>
      <c r="T12" s="44">
        <f>SUMIFS('UPIS Detail'!12:12,'UPIS Detail'!$2:$2,'UPIS LinkIn'!T$2,'UPIS Detail'!$1:$1,"Balance")</f>
        <v>1861215</v>
      </c>
      <c r="U12" s="44">
        <f>SUMIFS('UPIS Detail'!12:12,'UPIS Detail'!$2:$2,'UPIS LinkIn'!U$2,'UPIS Detail'!$1:$1,"Balance")</f>
        <v>1861215</v>
      </c>
      <c r="V12" s="44">
        <f>SUMIFS('UPIS Detail'!12:12,'UPIS Detail'!$2:$2,'UPIS LinkIn'!V$2,'UPIS Detail'!$1:$1,"Balance")</f>
        <v>1891215</v>
      </c>
      <c r="W12" s="44">
        <f>SUMIFS('UPIS Detail'!12:12,'UPIS Detail'!$2:$2,'UPIS LinkIn'!W$2,'UPIS Detail'!$1:$1,"Balance")</f>
        <v>1891215</v>
      </c>
      <c r="X12" s="44">
        <f>SUMIFS('UPIS Detail'!12:12,'UPIS Detail'!$2:$2,'UPIS LinkIn'!X$2,'UPIS Detail'!$1:$1,"Balance")</f>
        <v>1891215</v>
      </c>
      <c r="Y12" s="44">
        <f>SUMIFS('UPIS Detail'!12:12,'UPIS Detail'!$2:$2,'UPIS LinkIn'!Y$2,'UPIS Detail'!$1:$1,"Balance")</f>
        <v>1891215</v>
      </c>
      <c r="Z12" s="44">
        <f>SUMIFS('UPIS Detail'!12:12,'UPIS Detail'!$2:$2,'UPIS LinkIn'!Z$2,'UPIS Detail'!$1:$1,"Balance")</f>
        <v>1891215</v>
      </c>
      <c r="AA12" s="44">
        <f>SUMIFS('UPIS Detail'!12:12,'UPIS Detail'!$2:$2,'UPIS LinkIn'!AA$2,'UPIS Detail'!$1:$1,"Balance")</f>
        <v>1891215</v>
      </c>
      <c r="AB12" s="44">
        <f>SUMIFS('UPIS Detail'!12:12,'UPIS Detail'!$2:$2,'UPIS LinkIn'!AB$2,'UPIS Detail'!$1:$1,"Balance")</f>
        <v>2121215</v>
      </c>
      <c r="AC12" s="44">
        <f>SUMIFS('UPIS Detail'!12:12,'UPIS Detail'!$2:$2,'UPIS LinkIn'!AC$2,'UPIS Detail'!$1:$1,"Balance")</f>
        <v>2121215</v>
      </c>
      <c r="AD12" s="44">
        <f>SUMIFS('UPIS Detail'!12:12,'UPIS Detail'!$2:$2,'UPIS LinkIn'!AD$2,'UPIS Detail'!$1:$1,"Balance")</f>
        <v>2121215</v>
      </c>
      <c r="AE12" s="44">
        <f>SUMIFS('UPIS Detail'!12:12,'UPIS Detail'!$2:$2,'UPIS LinkIn'!AE$2,'UPIS Detail'!$1:$1,"Balance")</f>
        <v>2872715</v>
      </c>
      <c r="AF12" s="44">
        <f>SUMIFS('UPIS Detail'!12:12,'UPIS Detail'!$2:$2,'UPIS LinkIn'!AF$2,'UPIS Detail'!$1:$1,"Balance")</f>
        <v>2872715</v>
      </c>
      <c r="AG12" s="44">
        <f>SUMIFS('UPIS Detail'!12:12,'UPIS Detail'!$2:$2,'UPIS LinkIn'!AG$2,'UPIS Detail'!$1:$1,"Balance")</f>
        <v>2872715</v>
      </c>
      <c r="AH12" s="44">
        <f>SUMIFS('UPIS Detail'!12:12,'UPIS Detail'!$2:$2,'UPIS LinkIn'!AH$2,'UPIS Detail'!$1:$1,"Balance")</f>
        <v>2872715</v>
      </c>
      <c r="AI12" s="44">
        <f>SUMIFS('UPIS Detail'!12:12,'UPIS Detail'!$2:$2,'UPIS LinkIn'!AI$2,'UPIS Detail'!$1:$1,"Balance")</f>
        <v>2872715</v>
      </c>
      <c r="AJ12" s="44">
        <f>SUMIFS('UPIS Detail'!12:12,'UPIS Detail'!$2:$2,'UPIS LinkIn'!AJ$2,'UPIS Detail'!$1:$1,"Balance")</f>
        <v>2872715</v>
      </c>
      <c r="AK12" s="44">
        <f>SUMIFS('UPIS Detail'!12:12,'UPIS Detail'!$2:$2,'UPIS LinkIn'!AK$2,'UPIS Detail'!$1:$1,"Balance")</f>
        <v>2872715</v>
      </c>
      <c r="AL12" s="44">
        <f>SUMIFS('UPIS Detail'!12:12,'UPIS Detail'!$2:$2,'UPIS LinkIn'!AL$2,'UPIS Detail'!$1:$1,"Balance")</f>
        <v>2872715</v>
      </c>
      <c r="AM12" s="44">
        <f>SUMIFS('UPIS Detail'!12:12,'UPIS Detail'!$2:$2,'UPIS LinkIn'!AM$2,'UPIS Detail'!$1:$1,"Balance")</f>
        <v>2872715</v>
      </c>
    </row>
    <row r="13" spans="1:39" x14ac:dyDescent="0.45">
      <c r="A13" s="23">
        <v>373</v>
      </c>
      <c r="B13" s="23" t="s">
        <v>29</v>
      </c>
      <c r="C13" s="44">
        <f>SUMIFS('UPIS Detail'!13:13,'UPIS Detail'!$2:$2,'UPIS LinkIn'!C$2,'UPIS Detail'!$1:$1,"Balance")</f>
        <v>192288</v>
      </c>
      <c r="D13" s="44">
        <f>SUMIFS('UPIS Detail'!13:13,'UPIS Detail'!$2:$2,'UPIS LinkIn'!D$2,'UPIS Detail'!$1:$1,"Balance")</f>
        <v>271122.48</v>
      </c>
      <c r="E13" s="44">
        <f>SUMIFS('UPIS Detail'!13:13,'UPIS Detail'!$2:$2,'UPIS LinkIn'!E$2,'UPIS Detail'!$1:$1,"Balance")</f>
        <v>272240.01999999996</v>
      </c>
      <c r="F13" s="44">
        <f>SUMIFS('UPIS Detail'!13:13,'UPIS Detail'!$2:$2,'UPIS LinkIn'!F$2,'UPIS Detail'!$1:$1,"Balance")</f>
        <v>411855.57949999999</v>
      </c>
      <c r="G13" s="44">
        <f>SUMIFS('UPIS Detail'!13:13,'UPIS Detail'!$2:$2,'UPIS LinkIn'!G$2,'UPIS Detail'!$1:$1,"Balance")</f>
        <v>412230.57949999999</v>
      </c>
      <c r="H13" s="44">
        <f>SUMIFS('UPIS Detail'!13:13,'UPIS Detail'!$2:$2,'UPIS LinkIn'!H$2,'UPIS Detail'!$1:$1,"Balance")</f>
        <v>420466.16950000002</v>
      </c>
      <c r="I13" s="44">
        <f>SUMIFS('UPIS Detail'!13:13,'UPIS Detail'!$2:$2,'UPIS LinkIn'!I$2,'UPIS Detail'!$1:$1,"Balance")</f>
        <v>563125.9595</v>
      </c>
      <c r="J13" s="44">
        <f>SUMIFS('UPIS Detail'!13:13,'UPIS Detail'!$2:$2,'UPIS LinkIn'!J$2,'UPIS Detail'!$1:$1,"Balance")</f>
        <v>563125.9595</v>
      </c>
      <c r="K13" s="44">
        <f>SUMIFS('UPIS Detail'!13:13,'UPIS Detail'!$2:$2,'UPIS LinkIn'!K$2,'UPIS Detail'!$1:$1,"Balance")</f>
        <v>563125.9595</v>
      </c>
      <c r="L13" s="44">
        <f>SUMIFS('UPIS Detail'!13:13,'UPIS Detail'!$2:$2,'UPIS LinkIn'!L$2,'UPIS Detail'!$1:$1,"Balance")</f>
        <v>570591.40949999995</v>
      </c>
      <c r="M13" s="44">
        <f>SUMIFS('UPIS Detail'!13:13,'UPIS Detail'!$2:$2,'UPIS LinkIn'!M$2,'UPIS Detail'!$1:$1,"Balance")</f>
        <v>570591.40949999995</v>
      </c>
      <c r="N13" s="44">
        <f>SUMIFS('UPIS Detail'!13:13,'UPIS Detail'!$2:$2,'UPIS LinkIn'!N$2,'UPIS Detail'!$1:$1,"Balance")</f>
        <v>570591.40949999995</v>
      </c>
      <c r="O13" s="44">
        <f>SUMIFS('UPIS Detail'!13:13,'UPIS Detail'!$2:$2,'UPIS LinkIn'!O$2,'UPIS Detail'!$1:$1,"Balance")</f>
        <v>578879.57949999999</v>
      </c>
      <c r="P13" s="44">
        <f>SUMIFS('UPIS Detail'!13:13,'UPIS Detail'!$2:$2,'UPIS LinkIn'!P$2,'UPIS Detail'!$1:$1,"Balance")</f>
        <v>578879.57949999999</v>
      </c>
      <c r="Q13" s="44">
        <f>SUMIFS('UPIS Detail'!13:13,'UPIS Detail'!$2:$2,'UPIS LinkIn'!Q$2,'UPIS Detail'!$1:$1,"Balance")</f>
        <v>578879.57949999999</v>
      </c>
      <c r="R13" s="44">
        <f>SUMIFS('UPIS Detail'!13:13,'UPIS Detail'!$2:$2,'UPIS LinkIn'!R$2,'UPIS Detail'!$1:$1,"Balance")</f>
        <v>593879.57949999999</v>
      </c>
      <c r="S13" s="44">
        <f>SUMIFS('UPIS Detail'!13:13,'UPIS Detail'!$2:$2,'UPIS LinkIn'!S$2,'UPIS Detail'!$1:$1,"Balance")</f>
        <v>593879.57949999999</v>
      </c>
      <c r="T13" s="44">
        <f>SUMIFS('UPIS Detail'!13:13,'UPIS Detail'!$2:$2,'UPIS LinkIn'!T$2,'UPIS Detail'!$1:$1,"Balance")</f>
        <v>593879.57949999999</v>
      </c>
      <c r="U13" s="44">
        <f>SUMIFS('UPIS Detail'!13:13,'UPIS Detail'!$2:$2,'UPIS LinkIn'!U$2,'UPIS Detail'!$1:$1,"Balance")</f>
        <v>593879.57949999999</v>
      </c>
      <c r="V13" s="44">
        <f>SUMIFS('UPIS Detail'!13:13,'UPIS Detail'!$2:$2,'UPIS LinkIn'!V$2,'UPIS Detail'!$1:$1,"Balance")</f>
        <v>593879.57949999999</v>
      </c>
      <c r="W13" s="44">
        <f>SUMIFS('UPIS Detail'!13:13,'UPIS Detail'!$2:$2,'UPIS LinkIn'!W$2,'UPIS Detail'!$1:$1,"Balance")</f>
        <v>593879.57949999999</v>
      </c>
      <c r="X13" s="44">
        <f>SUMIFS('UPIS Detail'!13:13,'UPIS Detail'!$2:$2,'UPIS LinkIn'!X$2,'UPIS Detail'!$1:$1,"Balance")</f>
        <v>593879.57949999999</v>
      </c>
      <c r="Y13" s="44">
        <f>SUMIFS('UPIS Detail'!13:13,'UPIS Detail'!$2:$2,'UPIS LinkIn'!Y$2,'UPIS Detail'!$1:$1,"Balance")</f>
        <v>593879.57949999999</v>
      </c>
      <c r="Z13" s="44">
        <f>SUMIFS('UPIS Detail'!13:13,'UPIS Detail'!$2:$2,'UPIS LinkIn'!Z$2,'UPIS Detail'!$1:$1,"Balance")</f>
        <v>593879.57949999999</v>
      </c>
      <c r="AA13" s="44">
        <f>SUMIFS('UPIS Detail'!13:13,'UPIS Detail'!$2:$2,'UPIS LinkIn'!AA$2,'UPIS Detail'!$1:$1,"Balance")</f>
        <v>979379.57949999999</v>
      </c>
      <c r="AB13" s="44">
        <f>SUMIFS('UPIS Detail'!13:13,'UPIS Detail'!$2:$2,'UPIS LinkIn'!AB$2,'UPIS Detail'!$1:$1,"Balance")</f>
        <v>1015379.5795</v>
      </c>
      <c r="AC13" s="44">
        <f>SUMIFS('UPIS Detail'!13:13,'UPIS Detail'!$2:$2,'UPIS LinkIn'!AC$2,'UPIS Detail'!$1:$1,"Balance")</f>
        <v>1015379.5795</v>
      </c>
      <c r="AD13" s="44">
        <f>SUMIFS('UPIS Detail'!13:13,'UPIS Detail'!$2:$2,'UPIS LinkIn'!AD$2,'UPIS Detail'!$1:$1,"Balance")</f>
        <v>1015379.5795</v>
      </c>
      <c r="AE13" s="44">
        <f>SUMIFS('UPIS Detail'!13:13,'UPIS Detail'!$2:$2,'UPIS LinkIn'!AE$2,'UPIS Detail'!$1:$1,"Balance")</f>
        <v>1043579.5795</v>
      </c>
      <c r="AF13" s="44">
        <f>SUMIFS('UPIS Detail'!13:13,'UPIS Detail'!$2:$2,'UPIS LinkIn'!AF$2,'UPIS Detail'!$1:$1,"Balance")</f>
        <v>1043579.5795</v>
      </c>
      <c r="AG13" s="44">
        <f>SUMIFS('UPIS Detail'!13:13,'UPIS Detail'!$2:$2,'UPIS LinkIn'!AG$2,'UPIS Detail'!$1:$1,"Balance")</f>
        <v>1043579.5795</v>
      </c>
      <c r="AH13" s="44">
        <f>SUMIFS('UPIS Detail'!13:13,'UPIS Detail'!$2:$2,'UPIS LinkIn'!AH$2,'UPIS Detail'!$1:$1,"Balance")</f>
        <v>1043579.5795</v>
      </c>
      <c r="AI13" s="44">
        <f>SUMIFS('UPIS Detail'!13:13,'UPIS Detail'!$2:$2,'UPIS LinkIn'!AI$2,'UPIS Detail'!$1:$1,"Balance")</f>
        <v>1043579.5795</v>
      </c>
      <c r="AJ13" s="44">
        <f>SUMIFS('UPIS Detail'!13:13,'UPIS Detail'!$2:$2,'UPIS LinkIn'!AJ$2,'UPIS Detail'!$1:$1,"Balance")</f>
        <v>1043579.5795</v>
      </c>
      <c r="AK13" s="44">
        <f>SUMIFS('UPIS Detail'!13:13,'UPIS Detail'!$2:$2,'UPIS LinkIn'!AK$2,'UPIS Detail'!$1:$1,"Balance")</f>
        <v>1043579.5795</v>
      </c>
      <c r="AL13" s="44">
        <f>SUMIFS('UPIS Detail'!13:13,'UPIS Detail'!$2:$2,'UPIS LinkIn'!AL$2,'UPIS Detail'!$1:$1,"Balance")</f>
        <v>1043579.5795</v>
      </c>
      <c r="AM13" s="44">
        <f>SUMIFS('UPIS Detail'!13:13,'UPIS Detail'!$2:$2,'UPIS LinkIn'!AM$2,'UPIS Detail'!$1:$1,"Balance")</f>
        <v>1043579.5795</v>
      </c>
    </row>
    <row r="14" spans="1:39" x14ac:dyDescent="0.45">
      <c r="A14" s="23">
        <v>375</v>
      </c>
      <c r="B14" s="23" t="s">
        <v>30</v>
      </c>
      <c r="C14" s="44">
        <f>SUMIFS('UPIS Detail'!14:14,'UPIS Detail'!$2:$2,'UPIS LinkIn'!C$2,'UPIS Detail'!$1:$1,"Balance")</f>
        <v>0</v>
      </c>
      <c r="D14" s="44">
        <f>SUMIFS('UPIS Detail'!14:14,'UPIS Detail'!$2:$2,'UPIS LinkIn'!D$2,'UPIS Detail'!$1:$1,"Balance")</f>
        <v>0</v>
      </c>
      <c r="E14" s="44">
        <f>SUMIFS('UPIS Detail'!14:14,'UPIS Detail'!$2:$2,'UPIS LinkIn'!E$2,'UPIS Detail'!$1:$1,"Balance")</f>
        <v>520</v>
      </c>
      <c r="F14" s="44">
        <f>SUMIFS('UPIS Detail'!14:14,'UPIS Detail'!$2:$2,'UPIS LinkIn'!F$2,'UPIS Detail'!$1:$1,"Balance")</f>
        <v>1172.5</v>
      </c>
      <c r="G14" s="44">
        <f>SUMIFS('UPIS Detail'!14:14,'UPIS Detail'!$2:$2,'UPIS LinkIn'!G$2,'UPIS Detail'!$1:$1,"Balance")</f>
        <v>4756.38</v>
      </c>
      <c r="H14" s="44">
        <f>SUMIFS('UPIS Detail'!14:14,'UPIS Detail'!$2:$2,'UPIS LinkIn'!H$2,'UPIS Detail'!$1:$1,"Balance")</f>
        <v>4756.38</v>
      </c>
      <c r="I14" s="44">
        <f>SUMIFS('UPIS Detail'!14:14,'UPIS Detail'!$2:$2,'UPIS LinkIn'!I$2,'UPIS Detail'!$1:$1,"Balance")</f>
        <v>4756.38</v>
      </c>
      <c r="J14" s="44">
        <f>SUMIFS('UPIS Detail'!14:14,'UPIS Detail'!$2:$2,'UPIS LinkIn'!J$2,'UPIS Detail'!$1:$1,"Balance")</f>
        <v>4756.38</v>
      </c>
      <c r="K14" s="44">
        <f>SUMIFS('UPIS Detail'!14:14,'UPIS Detail'!$2:$2,'UPIS LinkIn'!K$2,'UPIS Detail'!$1:$1,"Balance")</f>
        <v>4756.38</v>
      </c>
      <c r="L14" s="44">
        <f>SUMIFS('UPIS Detail'!14:14,'UPIS Detail'!$2:$2,'UPIS LinkIn'!L$2,'UPIS Detail'!$1:$1,"Balance")</f>
        <v>4756.38</v>
      </c>
      <c r="M14" s="44">
        <f>SUMIFS('UPIS Detail'!14:14,'UPIS Detail'!$2:$2,'UPIS LinkIn'!M$2,'UPIS Detail'!$1:$1,"Balance")</f>
        <v>4756.38</v>
      </c>
      <c r="N14" s="44">
        <f>SUMIFS('UPIS Detail'!14:14,'UPIS Detail'!$2:$2,'UPIS LinkIn'!N$2,'UPIS Detail'!$1:$1,"Balance")</f>
        <v>4756.38</v>
      </c>
      <c r="O14" s="44">
        <f>SUMIFS('UPIS Detail'!14:14,'UPIS Detail'!$2:$2,'UPIS LinkIn'!O$2,'UPIS Detail'!$1:$1,"Balance")</f>
        <v>4756.38</v>
      </c>
      <c r="P14" s="44">
        <f>SUMIFS('UPIS Detail'!14:14,'UPIS Detail'!$2:$2,'UPIS LinkIn'!P$2,'UPIS Detail'!$1:$1,"Balance")</f>
        <v>4756.38</v>
      </c>
      <c r="Q14" s="44">
        <f>SUMIFS('UPIS Detail'!14:14,'UPIS Detail'!$2:$2,'UPIS LinkIn'!Q$2,'UPIS Detail'!$1:$1,"Balance")</f>
        <v>4756.38</v>
      </c>
      <c r="R14" s="44">
        <f>SUMIFS('UPIS Detail'!14:14,'UPIS Detail'!$2:$2,'UPIS LinkIn'!R$2,'UPIS Detail'!$1:$1,"Balance")</f>
        <v>4756.38</v>
      </c>
      <c r="S14" s="44">
        <f>SUMIFS('UPIS Detail'!14:14,'UPIS Detail'!$2:$2,'UPIS LinkIn'!S$2,'UPIS Detail'!$1:$1,"Balance")</f>
        <v>8756.380000000001</v>
      </c>
      <c r="T14" s="44">
        <f>SUMIFS('UPIS Detail'!14:14,'UPIS Detail'!$2:$2,'UPIS LinkIn'!T$2,'UPIS Detail'!$1:$1,"Balance")</f>
        <v>33756.380000000005</v>
      </c>
      <c r="U14" s="44">
        <f>SUMIFS('UPIS Detail'!14:14,'UPIS Detail'!$2:$2,'UPIS LinkIn'!U$2,'UPIS Detail'!$1:$1,"Balance")</f>
        <v>33756.380000000005</v>
      </c>
      <c r="V14" s="44">
        <f>SUMIFS('UPIS Detail'!14:14,'UPIS Detail'!$2:$2,'UPIS LinkIn'!V$2,'UPIS Detail'!$1:$1,"Balance")</f>
        <v>33756.380000000005</v>
      </c>
      <c r="W14" s="44">
        <f>SUMIFS('UPIS Detail'!14:14,'UPIS Detail'!$2:$2,'UPIS LinkIn'!W$2,'UPIS Detail'!$1:$1,"Balance")</f>
        <v>33756.380000000005</v>
      </c>
      <c r="X14" s="44">
        <f>SUMIFS('UPIS Detail'!14:14,'UPIS Detail'!$2:$2,'UPIS LinkIn'!X$2,'UPIS Detail'!$1:$1,"Balance")</f>
        <v>33756.380000000005</v>
      </c>
      <c r="Y14" s="44">
        <f>SUMIFS('UPIS Detail'!14:14,'UPIS Detail'!$2:$2,'UPIS LinkIn'!Y$2,'UPIS Detail'!$1:$1,"Balance")</f>
        <v>33756.380000000005</v>
      </c>
      <c r="Z14" s="44">
        <f>SUMIFS('UPIS Detail'!14:14,'UPIS Detail'!$2:$2,'UPIS LinkIn'!Z$2,'UPIS Detail'!$1:$1,"Balance")</f>
        <v>33756.380000000005</v>
      </c>
      <c r="AA14" s="44">
        <f>SUMIFS('UPIS Detail'!14:14,'UPIS Detail'!$2:$2,'UPIS LinkIn'!AA$2,'UPIS Detail'!$1:$1,"Balance")</f>
        <v>33756.380000000005</v>
      </c>
      <c r="AB14" s="44">
        <f>SUMIFS('UPIS Detail'!14:14,'UPIS Detail'!$2:$2,'UPIS LinkIn'!AB$2,'UPIS Detail'!$1:$1,"Balance")</f>
        <v>33756.380000000005</v>
      </c>
      <c r="AC14" s="44">
        <f>SUMIFS('UPIS Detail'!14:14,'UPIS Detail'!$2:$2,'UPIS LinkIn'!AC$2,'UPIS Detail'!$1:$1,"Balance")</f>
        <v>33756.380000000005</v>
      </c>
      <c r="AD14" s="44">
        <f>SUMIFS('UPIS Detail'!14:14,'UPIS Detail'!$2:$2,'UPIS LinkIn'!AD$2,'UPIS Detail'!$1:$1,"Balance")</f>
        <v>33756.380000000005</v>
      </c>
      <c r="AE14" s="44">
        <f>SUMIFS('UPIS Detail'!14:14,'UPIS Detail'!$2:$2,'UPIS LinkIn'!AE$2,'UPIS Detail'!$1:$1,"Balance")</f>
        <v>33756.380000000005</v>
      </c>
      <c r="AF14" s="44">
        <f>SUMIFS('UPIS Detail'!14:14,'UPIS Detail'!$2:$2,'UPIS LinkIn'!AF$2,'UPIS Detail'!$1:$1,"Balance")</f>
        <v>33756.380000000005</v>
      </c>
      <c r="AG14" s="44">
        <f>SUMIFS('UPIS Detail'!14:14,'UPIS Detail'!$2:$2,'UPIS LinkIn'!AG$2,'UPIS Detail'!$1:$1,"Balance")</f>
        <v>33756.380000000005</v>
      </c>
      <c r="AH14" s="44">
        <f>SUMIFS('UPIS Detail'!14:14,'UPIS Detail'!$2:$2,'UPIS LinkIn'!AH$2,'UPIS Detail'!$1:$1,"Balance")</f>
        <v>33756.380000000005</v>
      </c>
      <c r="AI14" s="44">
        <f>SUMIFS('UPIS Detail'!14:14,'UPIS Detail'!$2:$2,'UPIS LinkIn'!AI$2,'UPIS Detail'!$1:$1,"Balance")</f>
        <v>33756.380000000005</v>
      </c>
      <c r="AJ14" s="44">
        <f>SUMIFS('UPIS Detail'!14:14,'UPIS Detail'!$2:$2,'UPIS LinkIn'!AJ$2,'UPIS Detail'!$1:$1,"Balance")</f>
        <v>33756.380000000005</v>
      </c>
      <c r="AK14" s="44">
        <f>SUMIFS('UPIS Detail'!14:14,'UPIS Detail'!$2:$2,'UPIS LinkIn'!AK$2,'UPIS Detail'!$1:$1,"Balance")</f>
        <v>33756.380000000005</v>
      </c>
      <c r="AL14" s="44">
        <f>SUMIFS('UPIS Detail'!14:14,'UPIS Detail'!$2:$2,'UPIS LinkIn'!AL$2,'UPIS Detail'!$1:$1,"Balance")</f>
        <v>33756.380000000005</v>
      </c>
      <c r="AM14" s="44">
        <f>SUMIFS('UPIS Detail'!14:14,'UPIS Detail'!$2:$2,'UPIS LinkIn'!AM$2,'UPIS Detail'!$1:$1,"Balance")</f>
        <v>33756.380000000005</v>
      </c>
    </row>
    <row r="15" spans="1:39" x14ac:dyDescent="0.45">
      <c r="A15" s="23">
        <v>391.1</v>
      </c>
      <c r="B15" s="23" t="s">
        <v>31</v>
      </c>
      <c r="C15" s="44">
        <f>SUMIFS('UPIS Detail'!15:15,'UPIS Detail'!$2:$2,'UPIS LinkIn'!C$2,'UPIS Detail'!$1:$1,"Balance")</f>
        <v>1853</v>
      </c>
      <c r="D15" s="44">
        <f>SUMIFS('UPIS Detail'!15:15,'UPIS Detail'!$2:$2,'UPIS LinkIn'!D$2,'UPIS Detail'!$1:$1,"Balance")</f>
        <v>1853</v>
      </c>
      <c r="E15" s="44">
        <f>SUMIFS('UPIS Detail'!15:15,'UPIS Detail'!$2:$2,'UPIS LinkIn'!E$2,'UPIS Detail'!$1:$1,"Balance")</f>
        <v>1853</v>
      </c>
      <c r="F15" s="44">
        <f>SUMIFS('UPIS Detail'!15:15,'UPIS Detail'!$2:$2,'UPIS LinkIn'!F$2,'UPIS Detail'!$1:$1,"Balance")</f>
        <v>1853</v>
      </c>
      <c r="G15" s="44">
        <f>SUMIFS('UPIS Detail'!15:15,'UPIS Detail'!$2:$2,'UPIS LinkIn'!G$2,'UPIS Detail'!$1:$1,"Balance")</f>
        <v>1853</v>
      </c>
      <c r="H15" s="44">
        <f>SUMIFS('UPIS Detail'!15:15,'UPIS Detail'!$2:$2,'UPIS LinkIn'!H$2,'UPIS Detail'!$1:$1,"Balance")</f>
        <v>1853</v>
      </c>
      <c r="I15" s="44">
        <f>SUMIFS('UPIS Detail'!15:15,'UPIS Detail'!$2:$2,'UPIS LinkIn'!I$2,'UPIS Detail'!$1:$1,"Balance")</f>
        <v>1853</v>
      </c>
      <c r="J15" s="44">
        <f>SUMIFS('UPIS Detail'!15:15,'UPIS Detail'!$2:$2,'UPIS LinkIn'!J$2,'UPIS Detail'!$1:$1,"Balance")</f>
        <v>1853</v>
      </c>
      <c r="K15" s="44">
        <f>SUMIFS('UPIS Detail'!15:15,'UPIS Detail'!$2:$2,'UPIS LinkIn'!K$2,'UPIS Detail'!$1:$1,"Balance")</f>
        <v>1853</v>
      </c>
      <c r="L15" s="44">
        <f>SUMIFS('UPIS Detail'!15:15,'UPIS Detail'!$2:$2,'UPIS LinkIn'!L$2,'UPIS Detail'!$1:$1,"Balance")</f>
        <v>1853</v>
      </c>
      <c r="M15" s="44">
        <f>SUMIFS('UPIS Detail'!15:15,'UPIS Detail'!$2:$2,'UPIS LinkIn'!M$2,'UPIS Detail'!$1:$1,"Balance")</f>
        <v>1853</v>
      </c>
      <c r="N15" s="44">
        <f>SUMIFS('UPIS Detail'!15:15,'UPIS Detail'!$2:$2,'UPIS LinkIn'!N$2,'UPIS Detail'!$1:$1,"Balance")</f>
        <v>1853</v>
      </c>
      <c r="O15" s="44">
        <f>SUMIFS('UPIS Detail'!15:15,'UPIS Detail'!$2:$2,'UPIS LinkIn'!O$2,'UPIS Detail'!$1:$1,"Balance")</f>
        <v>1853</v>
      </c>
      <c r="P15" s="44">
        <f>SUMIFS('UPIS Detail'!15:15,'UPIS Detail'!$2:$2,'UPIS LinkIn'!P$2,'UPIS Detail'!$1:$1,"Balance")</f>
        <v>1853</v>
      </c>
      <c r="Q15" s="44">
        <f>SUMIFS('UPIS Detail'!15:15,'UPIS Detail'!$2:$2,'UPIS LinkIn'!Q$2,'UPIS Detail'!$1:$1,"Balance")</f>
        <v>1853</v>
      </c>
      <c r="R15" s="44">
        <f>SUMIFS('UPIS Detail'!15:15,'UPIS Detail'!$2:$2,'UPIS LinkIn'!R$2,'UPIS Detail'!$1:$1,"Balance")</f>
        <v>1853</v>
      </c>
      <c r="S15" s="44">
        <f>SUMIFS('UPIS Detail'!15:15,'UPIS Detail'!$2:$2,'UPIS LinkIn'!S$2,'UPIS Detail'!$1:$1,"Balance")</f>
        <v>1853</v>
      </c>
      <c r="T15" s="44">
        <f>SUMIFS('UPIS Detail'!15:15,'UPIS Detail'!$2:$2,'UPIS LinkIn'!T$2,'UPIS Detail'!$1:$1,"Balance")</f>
        <v>1853</v>
      </c>
      <c r="U15" s="44">
        <f>SUMIFS('UPIS Detail'!15:15,'UPIS Detail'!$2:$2,'UPIS LinkIn'!U$2,'UPIS Detail'!$1:$1,"Balance")</f>
        <v>1853</v>
      </c>
      <c r="V15" s="44">
        <f>SUMIFS('UPIS Detail'!15:15,'UPIS Detail'!$2:$2,'UPIS LinkIn'!V$2,'UPIS Detail'!$1:$1,"Balance")</f>
        <v>1853</v>
      </c>
      <c r="W15" s="44">
        <f>SUMIFS('UPIS Detail'!15:15,'UPIS Detail'!$2:$2,'UPIS LinkIn'!W$2,'UPIS Detail'!$1:$1,"Balance")</f>
        <v>1853</v>
      </c>
      <c r="X15" s="44">
        <f>SUMIFS('UPIS Detail'!15:15,'UPIS Detail'!$2:$2,'UPIS LinkIn'!X$2,'UPIS Detail'!$1:$1,"Balance")</f>
        <v>1853</v>
      </c>
      <c r="Y15" s="44">
        <f>SUMIFS('UPIS Detail'!15:15,'UPIS Detail'!$2:$2,'UPIS LinkIn'!Y$2,'UPIS Detail'!$1:$1,"Balance")</f>
        <v>1853</v>
      </c>
      <c r="Z15" s="44">
        <f>SUMIFS('UPIS Detail'!15:15,'UPIS Detail'!$2:$2,'UPIS LinkIn'!Z$2,'UPIS Detail'!$1:$1,"Balance")</f>
        <v>1853</v>
      </c>
      <c r="AA15" s="44">
        <f>SUMIFS('UPIS Detail'!15:15,'UPIS Detail'!$2:$2,'UPIS LinkIn'!AA$2,'UPIS Detail'!$1:$1,"Balance")</f>
        <v>1853</v>
      </c>
      <c r="AB15" s="44">
        <f>SUMIFS('UPIS Detail'!15:15,'UPIS Detail'!$2:$2,'UPIS LinkIn'!AB$2,'UPIS Detail'!$1:$1,"Balance")</f>
        <v>1853</v>
      </c>
      <c r="AC15" s="44">
        <f>SUMIFS('UPIS Detail'!15:15,'UPIS Detail'!$2:$2,'UPIS LinkIn'!AC$2,'UPIS Detail'!$1:$1,"Balance")</f>
        <v>1853</v>
      </c>
      <c r="AD15" s="44">
        <f>SUMIFS('UPIS Detail'!15:15,'UPIS Detail'!$2:$2,'UPIS LinkIn'!AD$2,'UPIS Detail'!$1:$1,"Balance")</f>
        <v>1853</v>
      </c>
      <c r="AE15" s="44">
        <f>SUMIFS('UPIS Detail'!15:15,'UPIS Detail'!$2:$2,'UPIS LinkIn'!AE$2,'UPIS Detail'!$1:$1,"Balance")</f>
        <v>1853</v>
      </c>
      <c r="AF15" s="44">
        <f>SUMIFS('UPIS Detail'!15:15,'UPIS Detail'!$2:$2,'UPIS LinkIn'!AF$2,'UPIS Detail'!$1:$1,"Balance")</f>
        <v>1853</v>
      </c>
      <c r="AG15" s="44">
        <f>SUMIFS('UPIS Detail'!15:15,'UPIS Detail'!$2:$2,'UPIS LinkIn'!AG$2,'UPIS Detail'!$1:$1,"Balance")</f>
        <v>1853</v>
      </c>
      <c r="AH15" s="44">
        <f>SUMIFS('UPIS Detail'!15:15,'UPIS Detail'!$2:$2,'UPIS LinkIn'!AH$2,'UPIS Detail'!$1:$1,"Balance")</f>
        <v>1853</v>
      </c>
      <c r="AI15" s="44">
        <f>SUMIFS('UPIS Detail'!15:15,'UPIS Detail'!$2:$2,'UPIS LinkIn'!AI$2,'UPIS Detail'!$1:$1,"Balance")</f>
        <v>1853</v>
      </c>
      <c r="AJ15" s="44">
        <f>SUMIFS('UPIS Detail'!15:15,'UPIS Detail'!$2:$2,'UPIS LinkIn'!AJ$2,'UPIS Detail'!$1:$1,"Balance")</f>
        <v>1853</v>
      </c>
      <c r="AK15" s="44">
        <f>SUMIFS('UPIS Detail'!15:15,'UPIS Detail'!$2:$2,'UPIS LinkIn'!AK$2,'UPIS Detail'!$1:$1,"Balance")</f>
        <v>1853</v>
      </c>
      <c r="AL15" s="44">
        <f>SUMIFS('UPIS Detail'!15:15,'UPIS Detail'!$2:$2,'UPIS LinkIn'!AL$2,'UPIS Detail'!$1:$1,"Balance")</f>
        <v>1853</v>
      </c>
      <c r="AM15" s="44">
        <f>SUMIFS('UPIS Detail'!15:15,'UPIS Detail'!$2:$2,'UPIS LinkIn'!AM$2,'UPIS Detail'!$1:$1,"Balance")</f>
        <v>1853</v>
      </c>
    </row>
    <row r="16" spans="1:39" x14ac:dyDescent="0.45">
      <c r="A16" s="23">
        <v>393</v>
      </c>
      <c r="B16" s="23" t="s">
        <v>32</v>
      </c>
      <c r="C16" s="44">
        <f>SUMIFS('UPIS Detail'!16:16,'UPIS Detail'!$2:$2,'UPIS LinkIn'!C$2,'UPIS Detail'!$1:$1,"Balance")</f>
        <v>0</v>
      </c>
      <c r="D16" s="44">
        <f>SUMIFS('UPIS Detail'!16:16,'UPIS Detail'!$2:$2,'UPIS LinkIn'!D$2,'UPIS Detail'!$1:$1,"Balance")</f>
        <v>83837.519500000009</v>
      </c>
      <c r="E16" s="44">
        <f>SUMIFS('UPIS Detail'!16:16,'UPIS Detail'!$2:$2,'UPIS LinkIn'!E$2,'UPIS Detail'!$1:$1,"Balance")</f>
        <v>92922.439500000008</v>
      </c>
      <c r="F16" s="44">
        <f>SUMIFS('UPIS Detail'!16:16,'UPIS Detail'!$2:$2,'UPIS LinkIn'!F$2,'UPIS Detail'!$1:$1,"Balance")</f>
        <v>107664.6395</v>
      </c>
      <c r="G16" s="44">
        <f>SUMIFS('UPIS Detail'!16:16,'UPIS Detail'!$2:$2,'UPIS LinkIn'!G$2,'UPIS Detail'!$1:$1,"Balance")</f>
        <v>107664.6395</v>
      </c>
      <c r="H16" s="44">
        <f>SUMIFS('UPIS Detail'!16:16,'UPIS Detail'!$2:$2,'UPIS LinkIn'!H$2,'UPIS Detail'!$1:$1,"Balance")</f>
        <v>107664.6395</v>
      </c>
      <c r="I16" s="44">
        <f>SUMIFS('UPIS Detail'!16:16,'UPIS Detail'!$2:$2,'UPIS LinkIn'!I$2,'UPIS Detail'!$1:$1,"Balance")</f>
        <v>116046.6995</v>
      </c>
      <c r="J16" s="44">
        <f>SUMIFS('UPIS Detail'!16:16,'UPIS Detail'!$2:$2,'UPIS LinkIn'!J$2,'UPIS Detail'!$1:$1,"Balance")</f>
        <v>116046.6995</v>
      </c>
      <c r="K16" s="44">
        <f>SUMIFS('UPIS Detail'!16:16,'UPIS Detail'!$2:$2,'UPIS LinkIn'!K$2,'UPIS Detail'!$1:$1,"Balance")</f>
        <v>116046.6995</v>
      </c>
      <c r="L16" s="44">
        <f>SUMIFS('UPIS Detail'!16:16,'UPIS Detail'!$2:$2,'UPIS LinkIn'!L$2,'UPIS Detail'!$1:$1,"Balance")</f>
        <v>116046.6995</v>
      </c>
      <c r="M16" s="44">
        <f>SUMIFS('UPIS Detail'!16:16,'UPIS Detail'!$2:$2,'UPIS LinkIn'!M$2,'UPIS Detail'!$1:$1,"Balance")</f>
        <v>116046.6995</v>
      </c>
      <c r="N16" s="44">
        <f>SUMIFS('UPIS Detail'!16:16,'UPIS Detail'!$2:$2,'UPIS LinkIn'!N$2,'UPIS Detail'!$1:$1,"Balance")</f>
        <v>116046.6995</v>
      </c>
      <c r="O16" s="44">
        <f>SUMIFS('UPIS Detail'!16:16,'UPIS Detail'!$2:$2,'UPIS LinkIn'!O$2,'UPIS Detail'!$1:$1,"Balance")</f>
        <v>116046.6995</v>
      </c>
      <c r="P16" s="44">
        <f>SUMIFS('UPIS Detail'!16:16,'UPIS Detail'!$2:$2,'UPIS LinkIn'!P$2,'UPIS Detail'!$1:$1,"Balance")</f>
        <v>124046.6995</v>
      </c>
      <c r="Q16" s="44">
        <f>SUMIFS('UPIS Detail'!16:16,'UPIS Detail'!$2:$2,'UPIS LinkIn'!Q$2,'UPIS Detail'!$1:$1,"Balance")</f>
        <v>124046.6995</v>
      </c>
      <c r="R16" s="44">
        <f>SUMIFS('UPIS Detail'!16:16,'UPIS Detail'!$2:$2,'UPIS LinkIn'!R$2,'UPIS Detail'!$1:$1,"Balance")</f>
        <v>124046.6995</v>
      </c>
      <c r="S16" s="44">
        <f>SUMIFS('UPIS Detail'!16:16,'UPIS Detail'!$2:$2,'UPIS LinkIn'!S$2,'UPIS Detail'!$1:$1,"Balance")</f>
        <v>124046.6995</v>
      </c>
      <c r="T16" s="44">
        <f>SUMIFS('UPIS Detail'!16:16,'UPIS Detail'!$2:$2,'UPIS LinkIn'!T$2,'UPIS Detail'!$1:$1,"Balance")</f>
        <v>134046.69949999999</v>
      </c>
      <c r="U16" s="44">
        <f>SUMIFS('UPIS Detail'!16:16,'UPIS Detail'!$2:$2,'UPIS LinkIn'!U$2,'UPIS Detail'!$1:$1,"Balance")</f>
        <v>134046.69949999999</v>
      </c>
      <c r="V16" s="44">
        <f>SUMIFS('UPIS Detail'!16:16,'UPIS Detail'!$2:$2,'UPIS LinkIn'!V$2,'UPIS Detail'!$1:$1,"Balance")</f>
        <v>134046.69949999999</v>
      </c>
      <c r="W16" s="44">
        <f>SUMIFS('UPIS Detail'!16:16,'UPIS Detail'!$2:$2,'UPIS LinkIn'!W$2,'UPIS Detail'!$1:$1,"Balance")</f>
        <v>134046.69949999999</v>
      </c>
      <c r="X16" s="44">
        <f>SUMIFS('UPIS Detail'!16:16,'UPIS Detail'!$2:$2,'UPIS LinkIn'!X$2,'UPIS Detail'!$1:$1,"Balance")</f>
        <v>134046.69949999999</v>
      </c>
      <c r="Y16" s="44">
        <f>SUMIFS('UPIS Detail'!16:16,'UPIS Detail'!$2:$2,'UPIS LinkIn'!Y$2,'UPIS Detail'!$1:$1,"Balance")</f>
        <v>134046.69949999999</v>
      </c>
      <c r="Z16" s="44">
        <f>SUMIFS('UPIS Detail'!16:16,'UPIS Detail'!$2:$2,'UPIS LinkIn'!Z$2,'UPIS Detail'!$1:$1,"Balance")</f>
        <v>134046.69949999999</v>
      </c>
      <c r="AA16" s="44">
        <f>SUMIFS('UPIS Detail'!16:16,'UPIS Detail'!$2:$2,'UPIS LinkIn'!AA$2,'UPIS Detail'!$1:$1,"Balance")</f>
        <v>134046.69949999999</v>
      </c>
      <c r="AB16" s="44">
        <f>SUMIFS('UPIS Detail'!16:16,'UPIS Detail'!$2:$2,'UPIS LinkIn'!AB$2,'UPIS Detail'!$1:$1,"Balance")</f>
        <v>229046.69949999999</v>
      </c>
      <c r="AC16" s="44">
        <f>SUMIFS('UPIS Detail'!16:16,'UPIS Detail'!$2:$2,'UPIS LinkIn'!AC$2,'UPIS Detail'!$1:$1,"Balance")</f>
        <v>229046.69949999999</v>
      </c>
      <c r="AD16" s="44">
        <f>SUMIFS('UPIS Detail'!16:16,'UPIS Detail'!$2:$2,'UPIS LinkIn'!AD$2,'UPIS Detail'!$1:$1,"Balance")</f>
        <v>229046.69949999999</v>
      </c>
      <c r="AE16" s="44">
        <f>SUMIFS('UPIS Detail'!16:16,'UPIS Detail'!$2:$2,'UPIS LinkIn'!AE$2,'UPIS Detail'!$1:$1,"Balance")</f>
        <v>229046.69949999999</v>
      </c>
      <c r="AF16" s="44">
        <f>SUMIFS('UPIS Detail'!16:16,'UPIS Detail'!$2:$2,'UPIS LinkIn'!AF$2,'UPIS Detail'!$1:$1,"Balance")</f>
        <v>229046.69949999999</v>
      </c>
      <c r="AG16" s="44">
        <f>SUMIFS('UPIS Detail'!16:16,'UPIS Detail'!$2:$2,'UPIS LinkIn'!AG$2,'UPIS Detail'!$1:$1,"Balance")</f>
        <v>229046.69949999999</v>
      </c>
      <c r="AH16" s="44">
        <f>SUMIFS('UPIS Detail'!16:16,'UPIS Detail'!$2:$2,'UPIS LinkIn'!AH$2,'UPIS Detail'!$1:$1,"Balance")</f>
        <v>229046.69949999999</v>
      </c>
      <c r="AI16" s="44">
        <f>SUMIFS('UPIS Detail'!16:16,'UPIS Detail'!$2:$2,'UPIS LinkIn'!AI$2,'UPIS Detail'!$1:$1,"Balance")</f>
        <v>229046.69949999999</v>
      </c>
      <c r="AJ16" s="44">
        <f>SUMIFS('UPIS Detail'!16:16,'UPIS Detail'!$2:$2,'UPIS LinkIn'!AJ$2,'UPIS Detail'!$1:$1,"Balance")</f>
        <v>229046.69949999999</v>
      </c>
      <c r="AK16" s="44">
        <f>SUMIFS('UPIS Detail'!16:16,'UPIS Detail'!$2:$2,'UPIS LinkIn'!AK$2,'UPIS Detail'!$1:$1,"Balance")</f>
        <v>229046.69949999999</v>
      </c>
      <c r="AL16" s="44">
        <f>SUMIFS('UPIS Detail'!16:16,'UPIS Detail'!$2:$2,'UPIS LinkIn'!AL$2,'UPIS Detail'!$1:$1,"Balance")</f>
        <v>229046.69949999999</v>
      </c>
      <c r="AM16" s="44">
        <f>SUMIFS('UPIS Detail'!16:16,'UPIS Detail'!$2:$2,'UPIS LinkIn'!AM$2,'UPIS Detail'!$1:$1,"Balance")</f>
        <v>229046.69949999999</v>
      </c>
    </row>
    <row r="17" spans="1:39" x14ac:dyDescent="0.45">
      <c r="A17" s="23" t="s">
        <v>135</v>
      </c>
      <c r="B17" s="23" t="s">
        <v>137</v>
      </c>
      <c r="C17" s="44">
        <f>SUMIFS('UPIS Detail'!17:17,'UPIS Detail'!$2:$2,'UPIS LinkIn'!C$2,'UPIS Detail'!$1:$1,"Balance")</f>
        <v>0</v>
      </c>
      <c r="D17" s="44">
        <f>SUMIFS('UPIS Detail'!17:17,'UPIS Detail'!$2:$2,'UPIS LinkIn'!D$2,'UPIS Detail'!$1:$1,"Balance")</f>
        <v>0</v>
      </c>
      <c r="E17" s="44">
        <f>SUMIFS('UPIS Detail'!17:17,'UPIS Detail'!$2:$2,'UPIS LinkIn'!E$2,'UPIS Detail'!$1:$1,"Balance")</f>
        <v>0</v>
      </c>
      <c r="F17" s="44">
        <f>SUMIFS('UPIS Detail'!17:17,'UPIS Detail'!$2:$2,'UPIS LinkIn'!F$2,'UPIS Detail'!$1:$1,"Balance")</f>
        <v>0</v>
      </c>
      <c r="G17" s="44">
        <f>SUMIFS('UPIS Detail'!17:17,'UPIS Detail'!$2:$2,'UPIS LinkIn'!G$2,'UPIS Detail'!$1:$1,"Balance")</f>
        <v>0</v>
      </c>
      <c r="H17" s="44">
        <f>SUMIFS('UPIS Detail'!17:17,'UPIS Detail'!$2:$2,'UPIS LinkIn'!H$2,'UPIS Detail'!$1:$1,"Balance")</f>
        <v>0</v>
      </c>
      <c r="I17" s="44">
        <f>SUMIFS('UPIS Detail'!17:17,'UPIS Detail'!$2:$2,'UPIS LinkIn'!I$2,'UPIS Detail'!$1:$1,"Balance")</f>
        <v>0</v>
      </c>
      <c r="J17" s="44">
        <f>SUMIFS('UPIS Detail'!17:17,'UPIS Detail'!$2:$2,'UPIS LinkIn'!J$2,'UPIS Detail'!$1:$1,"Balance")</f>
        <v>0</v>
      </c>
      <c r="K17" s="44">
        <f>SUMIFS('UPIS Detail'!17:17,'UPIS Detail'!$2:$2,'UPIS LinkIn'!K$2,'UPIS Detail'!$1:$1,"Balance")</f>
        <v>0</v>
      </c>
      <c r="L17" s="44">
        <f>SUMIFS('UPIS Detail'!17:17,'UPIS Detail'!$2:$2,'UPIS LinkIn'!L$2,'UPIS Detail'!$1:$1,"Balance")</f>
        <v>0</v>
      </c>
      <c r="M17" s="44">
        <f>SUMIFS('UPIS Detail'!17:17,'UPIS Detail'!$2:$2,'UPIS LinkIn'!M$2,'UPIS Detail'!$1:$1,"Balance")</f>
        <v>58825</v>
      </c>
      <c r="N17" s="44">
        <f>SUMIFS('UPIS Detail'!17:17,'UPIS Detail'!$2:$2,'UPIS LinkIn'!N$2,'UPIS Detail'!$1:$1,"Balance")</f>
        <v>58825</v>
      </c>
      <c r="O17" s="44">
        <f>SUMIFS('UPIS Detail'!17:17,'UPIS Detail'!$2:$2,'UPIS LinkIn'!O$2,'UPIS Detail'!$1:$1,"Balance")</f>
        <v>58825</v>
      </c>
      <c r="P17" s="44">
        <f>SUMIFS('UPIS Detail'!17:17,'UPIS Detail'!$2:$2,'UPIS LinkIn'!P$2,'UPIS Detail'!$1:$1,"Balance")</f>
        <v>2193629</v>
      </c>
      <c r="Q17" s="44">
        <f>SUMIFS('UPIS Detail'!17:17,'UPIS Detail'!$2:$2,'UPIS LinkIn'!Q$2,'UPIS Detail'!$1:$1,"Balance")</f>
        <v>2193629</v>
      </c>
      <c r="R17" s="44">
        <f>SUMIFS('UPIS Detail'!17:17,'UPIS Detail'!$2:$2,'UPIS LinkIn'!R$2,'UPIS Detail'!$1:$1,"Balance")</f>
        <v>2193629</v>
      </c>
      <c r="S17" s="44">
        <f>SUMIFS('UPIS Detail'!17:17,'UPIS Detail'!$2:$2,'UPIS LinkIn'!S$2,'UPIS Detail'!$1:$1,"Balance")</f>
        <v>2193629</v>
      </c>
      <c r="T17" s="44">
        <f>SUMIFS('UPIS Detail'!17:17,'UPIS Detail'!$2:$2,'UPIS LinkIn'!T$2,'UPIS Detail'!$1:$1,"Balance")</f>
        <v>2193629</v>
      </c>
      <c r="U17" s="44">
        <f>SUMIFS('UPIS Detail'!17:17,'UPIS Detail'!$2:$2,'UPIS LinkIn'!U$2,'UPIS Detail'!$1:$1,"Balance")</f>
        <v>2193629</v>
      </c>
      <c r="V17" s="44">
        <f>SUMIFS('UPIS Detail'!17:17,'UPIS Detail'!$2:$2,'UPIS LinkIn'!V$2,'UPIS Detail'!$1:$1,"Balance")</f>
        <v>2193629</v>
      </c>
      <c r="W17" s="44">
        <f>SUMIFS('UPIS Detail'!17:17,'UPIS Detail'!$2:$2,'UPIS LinkIn'!W$2,'UPIS Detail'!$1:$1,"Balance")</f>
        <v>2193629</v>
      </c>
      <c r="X17" s="44">
        <f>SUMIFS('UPIS Detail'!17:17,'UPIS Detail'!$2:$2,'UPIS LinkIn'!X$2,'UPIS Detail'!$1:$1,"Balance")</f>
        <v>2193629</v>
      </c>
      <c r="Y17" s="44">
        <f>SUMIFS('UPIS Detail'!17:17,'UPIS Detail'!$2:$2,'UPIS LinkIn'!Y$2,'UPIS Detail'!$1:$1,"Balance")</f>
        <v>2193629</v>
      </c>
      <c r="Z17" s="44">
        <f>SUMIFS('UPIS Detail'!17:17,'UPIS Detail'!$2:$2,'UPIS LinkIn'!Z$2,'UPIS Detail'!$1:$1,"Balance")</f>
        <v>2193629</v>
      </c>
      <c r="AA17" s="44">
        <f>SUMIFS('UPIS Detail'!17:17,'UPIS Detail'!$2:$2,'UPIS LinkIn'!AA$2,'UPIS Detail'!$1:$1,"Balance")</f>
        <v>2193629</v>
      </c>
      <c r="AB17" s="44">
        <f>SUMIFS('UPIS Detail'!17:17,'UPIS Detail'!$2:$2,'UPIS LinkIn'!AB$2,'UPIS Detail'!$1:$1,"Balance")</f>
        <v>2193629</v>
      </c>
      <c r="AC17" s="44">
        <f>SUMIFS('UPIS Detail'!17:17,'UPIS Detail'!$2:$2,'UPIS LinkIn'!AC$2,'UPIS Detail'!$1:$1,"Balance")</f>
        <v>2193629</v>
      </c>
      <c r="AD17" s="44">
        <f>SUMIFS('UPIS Detail'!17:17,'UPIS Detail'!$2:$2,'UPIS LinkIn'!AD$2,'UPIS Detail'!$1:$1,"Balance")</f>
        <v>2193629</v>
      </c>
      <c r="AE17" s="44">
        <f>SUMIFS('UPIS Detail'!17:17,'UPIS Detail'!$2:$2,'UPIS LinkIn'!AE$2,'UPIS Detail'!$1:$1,"Balance")</f>
        <v>2193629</v>
      </c>
      <c r="AF17" s="44">
        <f>SUMIFS('UPIS Detail'!17:17,'UPIS Detail'!$2:$2,'UPIS LinkIn'!AF$2,'UPIS Detail'!$1:$1,"Balance")</f>
        <v>2193629</v>
      </c>
      <c r="AG17" s="44">
        <f>SUMIFS('UPIS Detail'!17:17,'UPIS Detail'!$2:$2,'UPIS LinkIn'!AG$2,'UPIS Detail'!$1:$1,"Balance")</f>
        <v>2193629</v>
      </c>
      <c r="AH17" s="44">
        <f>SUMIFS('UPIS Detail'!17:17,'UPIS Detail'!$2:$2,'UPIS LinkIn'!AH$2,'UPIS Detail'!$1:$1,"Balance")</f>
        <v>2193629</v>
      </c>
      <c r="AI17" s="44">
        <f>SUMIFS('UPIS Detail'!17:17,'UPIS Detail'!$2:$2,'UPIS LinkIn'!AI$2,'UPIS Detail'!$1:$1,"Balance")</f>
        <v>2193629</v>
      </c>
      <c r="AJ17" s="44">
        <f>SUMIFS('UPIS Detail'!17:17,'UPIS Detail'!$2:$2,'UPIS LinkIn'!AJ$2,'UPIS Detail'!$1:$1,"Balance")</f>
        <v>2193629</v>
      </c>
      <c r="AK17" s="44">
        <f>SUMIFS('UPIS Detail'!17:17,'UPIS Detail'!$2:$2,'UPIS LinkIn'!AK$2,'UPIS Detail'!$1:$1,"Balance")</f>
        <v>2193629</v>
      </c>
      <c r="AL17" s="44">
        <f>SUMIFS('UPIS Detail'!17:17,'UPIS Detail'!$2:$2,'UPIS LinkIn'!AL$2,'UPIS Detail'!$1:$1,"Balance")</f>
        <v>2193629</v>
      </c>
      <c r="AM17" s="44">
        <f>SUMIFS('UPIS Detail'!17:17,'UPIS Detail'!$2:$2,'UPIS LinkIn'!AM$2,'UPIS Detail'!$1:$1,"Balance")</f>
        <v>2193629</v>
      </c>
    </row>
    <row r="19" spans="1:39" x14ac:dyDescent="0.45">
      <c r="K19" s="10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3867-D8B8-46EE-9A3D-96D7049DE8A7}">
  <dimension ref="A1:ER18"/>
  <sheetViews>
    <sheetView workbookViewId="0">
      <selection activeCell="G23" sqref="G23"/>
    </sheetView>
  </sheetViews>
  <sheetFormatPr defaultRowHeight="14.25" x14ac:dyDescent="0.45"/>
  <cols>
    <col min="1" max="1" width="7.73046875" customWidth="1"/>
    <col min="2" max="2" width="7.73046875" bestFit="1" customWidth="1"/>
    <col min="3" max="3" width="40" bestFit="1" customWidth="1"/>
    <col min="4" max="4" width="8.86328125" style="32" customWidth="1"/>
    <col min="5" max="7" width="8.86328125" style="33" customWidth="1"/>
    <col min="8" max="8" width="8.86328125" style="32" customWidth="1"/>
    <col min="9" max="114" width="8.86328125" style="33" customWidth="1"/>
  </cols>
  <sheetData>
    <row r="1" spans="1:148" ht="28.5" x14ac:dyDescent="0.45">
      <c r="A1" s="5" t="s">
        <v>107</v>
      </c>
      <c r="B1" s="5" t="s">
        <v>16</v>
      </c>
      <c r="C1" s="30"/>
      <c r="D1" s="34" t="s">
        <v>69</v>
      </c>
      <c r="E1" s="35" t="s">
        <v>18</v>
      </c>
      <c r="F1" s="35" t="s">
        <v>19</v>
      </c>
      <c r="G1" s="35" t="s">
        <v>70</v>
      </c>
      <c r="H1" s="34" t="s">
        <v>69</v>
      </c>
      <c r="I1" s="35" t="s">
        <v>18</v>
      </c>
      <c r="J1" s="35" t="s">
        <v>19</v>
      </c>
      <c r="K1" s="35" t="s">
        <v>70</v>
      </c>
      <c r="L1" s="34" t="s">
        <v>69</v>
      </c>
      <c r="M1" s="35" t="s">
        <v>18</v>
      </c>
      <c r="N1" s="35" t="s">
        <v>19</v>
      </c>
      <c r="O1" s="35" t="s">
        <v>70</v>
      </c>
      <c r="P1" s="34" t="s">
        <v>69</v>
      </c>
      <c r="Q1" s="35" t="s">
        <v>18</v>
      </c>
      <c r="R1" s="35" t="s">
        <v>19</v>
      </c>
      <c r="S1" s="35" t="s">
        <v>70</v>
      </c>
      <c r="T1" s="34" t="s">
        <v>69</v>
      </c>
      <c r="U1" s="35" t="s">
        <v>18</v>
      </c>
      <c r="V1" s="35" t="s">
        <v>19</v>
      </c>
      <c r="W1" s="35" t="s">
        <v>70</v>
      </c>
      <c r="X1" s="34" t="s">
        <v>69</v>
      </c>
      <c r="Y1" s="35" t="s">
        <v>18</v>
      </c>
      <c r="Z1" s="35" t="s">
        <v>19</v>
      </c>
      <c r="AA1" s="35" t="s">
        <v>70</v>
      </c>
      <c r="AB1" s="34" t="s">
        <v>69</v>
      </c>
      <c r="AC1" s="35" t="s">
        <v>18</v>
      </c>
      <c r="AD1" s="35" t="s">
        <v>19</v>
      </c>
      <c r="AE1" s="35" t="s">
        <v>70</v>
      </c>
      <c r="AF1" s="34" t="s">
        <v>69</v>
      </c>
      <c r="AG1" s="35" t="s">
        <v>18</v>
      </c>
      <c r="AH1" s="35" t="s">
        <v>19</v>
      </c>
      <c r="AI1" s="35" t="s">
        <v>70</v>
      </c>
      <c r="AJ1" s="34" t="s">
        <v>69</v>
      </c>
      <c r="AK1" s="35" t="s">
        <v>18</v>
      </c>
      <c r="AL1" s="35" t="s">
        <v>19</v>
      </c>
      <c r="AM1" s="35" t="s">
        <v>70</v>
      </c>
      <c r="AN1" s="34" t="s">
        <v>69</v>
      </c>
      <c r="AO1" s="35" t="s">
        <v>18</v>
      </c>
      <c r="AP1" s="35" t="s">
        <v>19</v>
      </c>
      <c r="AQ1" s="35" t="s">
        <v>70</v>
      </c>
      <c r="AR1" s="34" t="s">
        <v>69</v>
      </c>
      <c r="AS1" s="35" t="s">
        <v>18</v>
      </c>
      <c r="AT1" s="35" t="s">
        <v>19</v>
      </c>
      <c r="AU1" s="35" t="s">
        <v>70</v>
      </c>
      <c r="AV1" s="34" t="s">
        <v>69</v>
      </c>
      <c r="AW1" s="35" t="s">
        <v>18</v>
      </c>
      <c r="AX1" s="35" t="s">
        <v>19</v>
      </c>
      <c r="AY1" s="35" t="s">
        <v>70</v>
      </c>
      <c r="AZ1" s="34" t="s">
        <v>69</v>
      </c>
      <c r="BA1" s="35" t="s">
        <v>18</v>
      </c>
      <c r="BB1" s="35" t="s">
        <v>19</v>
      </c>
      <c r="BC1" s="35" t="s">
        <v>70</v>
      </c>
      <c r="BD1" s="34" t="s">
        <v>69</v>
      </c>
      <c r="BE1" s="35" t="s">
        <v>18</v>
      </c>
      <c r="BF1" s="35" t="s">
        <v>19</v>
      </c>
      <c r="BG1" s="35" t="s">
        <v>70</v>
      </c>
      <c r="BH1" s="34" t="s">
        <v>69</v>
      </c>
      <c r="BI1" s="35" t="s">
        <v>18</v>
      </c>
      <c r="BJ1" s="35" t="s">
        <v>19</v>
      </c>
      <c r="BK1" s="35" t="s">
        <v>70</v>
      </c>
      <c r="BL1" s="34" t="s">
        <v>69</v>
      </c>
      <c r="BM1" s="35" t="s">
        <v>18</v>
      </c>
      <c r="BN1" s="35" t="s">
        <v>19</v>
      </c>
      <c r="BO1" s="35" t="s">
        <v>70</v>
      </c>
      <c r="BP1" s="34" t="s">
        <v>69</v>
      </c>
      <c r="BQ1" s="35" t="s">
        <v>18</v>
      </c>
      <c r="BR1" s="35" t="s">
        <v>19</v>
      </c>
      <c r="BS1" s="35" t="s">
        <v>70</v>
      </c>
      <c r="BT1" s="34" t="s">
        <v>69</v>
      </c>
      <c r="BU1" s="35" t="s">
        <v>18</v>
      </c>
      <c r="BV1" s="35" t="s">
        <v>19</v>
      </c>
      <c r="BW1" s="35" t="s">
        <v>70</v>
      </c>
      <c r="BX1" s="34" t="s">
        <v>69</v>
      </c>
      <c r="BY1" s="35" t="s">
        <v>18</v>
      </c>
      <c r="BZ1" s="35" t="s">
        <v>19</v>
      </c>
      <c r="CA1" s="35" t="s">
        <v>70</v>
      </c>
      <c r="CB1" s="34" t="s">
        <v>69</v>
      </c>
      <c r="CC1" s="35" t="s">
        <v>18</v>
      </c>
      <c r="CD1" s="35" t="s">
        <v>19</v>
      </c>
      <c r="CE1" s="35" t="s">
        <v>70</v>
      </c>
      <c r="CF1" s="34" t="s">
        <v>69</v>
      </c>
      <c r="CG1" s="35" t="s">
        <v>18</v>
      </c>
      <c r="CH1" s="35" t="s">
        <v>19</v>
      </c>
      <c r="CI1" s="35" t="s">
        <v>70</v>
      </c>
      <c r="CJ1" s="34" t="s">
        <v>69</v>
      </c>
      <c r="CK1" s="35" t="s">
        <v>18</v>
      </c>
      <c r="CL1" s="35" t="s">
        <v>19</v>
      </c>
      <c r="CM1" s="35" t="s">
        <v>70</v>
      </c>
      <c r="CN1" s="34" t="s">
        <v>69</v>
      </c>
      <c r="CO1" s="35" t="s">
        <v>18</v>
      </c>
      <c r="CP1" s="35" t="s">
        <v>19</v>
      </c>
      <c r="CQ1" s="35" t="s">
        <v>70</v>
      </c>
      <c r="CR1" s="34" t="s">
        <v>69</v>
      </c>
      <c r="CS1" s="35" t="s">
        <v>18</v>
      </c>
      <c r="CT1" s="35" t="s">
        <v>19</v>
      </c>
      <c r="CU1" s="35" t="s">
        <v>70</v>
      </c>
      <c r="CV1" s="34" t="s">
        <v>69</v>
      </c>
      <c r="CW1" s="35" t="s">
        <v>18</v>
      </c>
      <c r="CX1" s="35" t="s">
        <v>19</v>
      </c>
      <c r="CY1" s="35" t="s">
        <v>70</v>
      </c>
      <c r="CZ1" s="34" t="s">
        <v>69</v>
      </c>
      <c r="DA1" s="35" t="s">
        <v>18</v>
      </c>
      <c r="DB1" s="35" t="s">
        <v>19</v>
      </c>
      <c r="DC1" s="35" t="s">
        <v>70</v>
      </c>
      <c r="DD1" s="34" t="s">
        <v>69</v>
      </c>
      <c r="DE1" s="35" t="s">
        <v>18</v>
      </c>
      <c r="DF1" s="35" t="s">
        <v>19</v>
      </c>
      <c r="DG1" s="35" t="s">
        <v>70</v>
      </c>
      <c r="DH1" s="34" t="s">
        <v>69</v>
      </c>
      <c r="DI1" s="35" t="s">
        <v>18</v>
      </c>
      <c r="DJ1" s="35" t="s">
        <v>19</v>
      </c>
      <c r="DK1" s="35" t="s">
        <v>70</v>
      </c>
      <c r="DL1" s="34" t="s">
        <v>69</v>
      </c>
      <c r="DM1" s="35" t="s">
        <v>18</v>
      </c>
      <c r="DN1" s="35" t="s">
        <v>19</v>
      </c>
      <c r="DO1" s="35" t="s">
        <v>70</v>
      </c>
      <c r="DP1" s="34" t="s">
        <v>69</v>
      </c>
      <c r="DQ1" s="35" t="s">
        <v>18</v>
      </c>
      <c r="DR1" s="35" t="s">
        <v>19</v>
      </c>
      <c r="DS1" s="35" t="s">
        <v>70</v>
      </c>
      <c r="DT1" s="34" t="s">
        <v>69</v>
      </c>
      <c r="DU1" s="35" t="s">
        <v>18</v>
      </c>
      <c r="DV1" s="35" t="s">
        <v>19</v>
      </c>
      <c r="DW1" s="35" t="s">
        <v>70</v>
      </c>
      <c r="DX1" s="34" t="s">
        <v>69</v>
      </c>
      <c r="DY1" s="35" t="s">
        <v>18</v>
      </c>
      <c r="DZ1" s="35" t="s">
        <v>19</v>
      </c>
      <c r="EA1" s="35" t="s">
        <v>70</v>
      </c>
      <c r="EB1" s="34" t="s">
        <v>69</v>
      </c>
      <c r="EC1" s="35" t="s">
        <v>18</v>
      </c>
      <c r="ED1" s="35" t="s">
        <v>19</v>
      </c>
      <c r="EE1" s="35" t="s">
        <v>70</v>
      </c>
      <c r="EF1" s="34" t="s">
        <v>69</v>
      </c>
      <c r="EG1" s="35" t="s">
        <v>18</v>
      </c>
      <c r="EH1" s="35" t="s">
        <v>19</v>
      </c>
      <c r="EI1" s="35" t="s">
        <v>70</v>
      </c>
      <c r="EJ1" s="34" t="s">
        <v>69</v>
      </c>
      <c r="EK1" s="35" t="s">
        <v>18</v>
      </c>
      <c r="EL1" s="35" t="s">
        <v>19</v>
      </c>
      <c r="EM1" s="35" t="s">
        <v>70</v>
      </c>
      <c r="EN1" s="34" t="s">
        <v>69</v>
      </c>
      <c r="EO1" s="35" t="s">
        <v>18</v>
      </c>
      <c r="EP1" s="35" t="s">
        <v>19</v>
      </c>
      <c r="EQ1" s="35" t="s">
        <v>70</v>
      </c>
      <c r="ER1" s="34" t="s">
        <v>69</v>
      </c>
    </row>
    <row r="2" spans="1:148" s="31" customFormat="1" ht="14.65" thickBot="1" x14ac:dyDescent="0.5">
      <c r="A2" s="8" t="s">
        <v>108</v>
      </c>
      <c r="B2" s="8" t="s">
        <v>3</v>
      </c>
      <c r="C2" s="8" t="s">
        <v>21</v>
      </c>
      <c r="D2" s="38">
        <v>43830</v>
      </c>
      <c r="E2" s="39">
        <f>EOMONTH(D2,1)</f>
        <v>43861</v>
      </c>
      <c r="F2" s="39">
        <f>EOMONTH(D2,1)</f>
        <v>43861</v>
      </c>
      <c r="G2" s="39">
        <f>EOMONTH(D2,1)</f>
        <v>43861</v>
      </c>
      <c r="H2" s="38">
        <f>E2</f>
        <v>43861</v>
      </c>
      <c r="I2" s="39">
        <f>EOMONTH(H2,1)</f>
        <v>43890</v>
      </c>
      <c r="J2" s="39">
        <f>EOMONTH(H2,1)</f>
        <v>43890</v>
      </c>
      <c r="K2" s="39">
        <f>EOMONTH(H2,1)</f>
        <v>43890</v>
      </c>
      <c r="L2" s="38">
        <f>I2</f>
        <v>43890</v>
      </c>
      <c r="M2" s="39">
        <f t="shared" ref="M2" si="0">EOMONTH(L2,1)</f>
        <v>43921</v>
      </c>
      <c r="N2" s="39">
        <f t="shared" ref="N2" si="1">EOMONTH(L2,1)</f>
        <v>43921</v>
      </c>
      <c r="O2" s="39">
        <f t="shared" ref="O2" si="2">EOMONTH(L2,1)</f>
        <v>43921</v>
      </c>
      <c r="P2" s="38">
        <f t="shared" ref="P2" si="3">M2</f>
        <v>43921</v>
      </c>
      <c r="Q2" s="39">
        <f t="shared" ref="Q2" si="4">EOMONTH(P2,1)</f>
        <v>43951</v>
      </c>
      <c r="R2" s="39">
        <f t="shared" ref="R2" si="5">EOMONTH(P2,1)</f>
        <v>43951</v>
      </c>
      <c r="S2" s="39">
        <f t="shared" ref="S2" si="6">EOMONTH(P2,1)</f>
        <v>43951</v>
      </c>
      <c r="T2" s="38">
        <f t="shared" ref="T2" si="7">Q2</f>
        <v>43951</v>
      </c>
      <c r="U2" s="39">
        <f t="shared" ref="U2" si="8">EOMONTH(T2,1)</f>
        <v>43982</v>
      </c>
      <c r="V2" s="39">
        <f t="shared" ref="V2" si="9">EOMONTH(T2,1)</f>
        <v>43982</v>
      </c>
      <c r="W2" s="39">
        <f t="shared" ref="W2" si="10">EOMONTH(T2,1)</f>
        <v>43982</v>
      </c>
      <c r="X2" s="38">
        <f t="shared" ref="X2" si="11">U2</f>
        <v>43982</v>
      </c>
      <c r="Y2" s="39">
        <f t="shared" ref="Y2" si="12">EOMONTH(X2,1)</f>
        <v>44012</v>
      </c>
      <c r="Z2" s="39">
        <f t="shared" ref="Z2" si="13">EOMONTH(X2,1)</f>
        <v>44012</v>
      </c>
      <c r="AA2" s="39">
        <f t="shared" ref="AA2" si="14">EOMONTH(X2,1)</f>
        <v>44012</v>
      </c>
      <c r="AB2" s="38">
        <f t="shared" ref="AB2" si="15">Y2</f>
        <v>44012</v>
      </c>
      <c r="AC2" s="39">
        <f t="shared" ref="AC2" si="16">EOMONTH(AB2,1)</f>
        <v>44043</v>
      </c>
      <c r="AD2" s="39">
        <f t="shared" ref="AD2" si="17">EOMONTH(AB2,1)</f>
        <v>44043</v>
      </c>
      <c r="AE2" s="39">
        <f t="shared" ref="AE2" si="18">EOMONTH(AB2,1)</f>
        <v>44043</v>
      </c>
      <c r="AF2" s="38">
        <f t="shared" ref="AF2" si="19">AC2</f>
        <v>44043</v>
      </c>
      <c r="AG2" s="39">
        <f t="shared" ref="AG2" si="20">EOMONTH(AF2,1)</f>
        <v>44074</v>
      </c>
      <c r="AH2" s="39">
        <f t="shared" ref="AH2" si="21">EOMONTH(AF2,1)</f>
        <v>44074</v>
      </c>
      <c r="AI2" s="39">
        <f t="shared" ref="AI2" si="22">EOMONTH(AF2,1)</f>
        <v>44074</v>
      </c>
      <c r="AJ2" s="38">
        <f t="shared" ref="AJ2" si="23">AG2</f>
        <v>44074</v>
      </c>
      <c r="AK2" s="39">
        <f t="shared" ref="AK2" si="24">EOMONTH(AJ2,1)</f>
        <v>44104</v>
      </c>
      <c r="AL2" s="39">
        <f t="shared" ref="AL2" si="25">EOMONTH(AJ2,1)</f>
        <v>44104</v>
      </c>
      <c r="AM2" s="39">
        <f t="shared" ref="AM2" si="26">EOMONTH(AJ2,1)</f>
        <v>44104</v>
      </c>
      <c r="AN2" s="38">
        <f t="shared" ref="AN2" si="27">AK2</f>
        <v>44104</v>
      </c>
      <c r="AO2" s="39">
        <f t="shared" ref="AO2" si="28">EOMONTH(AN2,1)</f>
        <v>44135</v>
      </c>
      <c r="AP2" s="39">
        <f t="shared" ref="AP2" si="29">EOMONTH(AN2,1)</f>
        <v>44135</v>
      </c>
      <c r="AQ2" s="39">
        <f t="shared" ref="AQ2" si="30">EOMONTH(AN2,1)</f>
        <v>44135</v>
      </c>
      <c r="AR2" s="38">
        <f t="shared" ref="AR2" si="31">AO2</f>
        <v>44135</v>
      </c>
      <c r="AS2" s="39">
        <f t="shared" ref="AS2" si="32">EOMONTH(AR2,1)</f>
        <v>44165</v>
      </c>
      <c r="AT2" s="39">
        <f t="shared" ref="AT2" si="33">EOMONTH(AR2,1)</f>
        <v>44165</v>
      </c>
      <c r="AU2" s="39">
        <f t="shared" ref="AU2" si="34">EOMONTH(AR2,1)</f>
        <v>44165</v>
      </c>
      <c r="AV2" s="38">
        <f t="shared" ref="AV2" si="35">AS2</f>
        <v>44165</v>
      </c>
      <c r="AW2" s="39">
        <f t="shared" ref="AW2" si="36">EOMONTH(AV2,1)</f>
        <v>44196</v>
      </c>
      <c r="AX2" s="39">
        <f t="shared" ref="AX2" si="37">EOMONTH(AV2,1)</f>
        <v>44196</v>
      </c>
      <c r="AY2" s="39">
        <f t="shared" ref="AY2" si="38">EOMONTH(AV2,1)</f>
        <v>44196</v>
      </c>
      <c r="AZ2" s="38">
        <f t="shared" ref="AZ2" si="39">AW2</f>
        <v>44196</v>
      </c>
      <c r="BA2" s="39">
        <f t="shared" ref="BA2" si="40">EOMONTH(AZ2,1)</f>
        <v>44227</v>
      </c>
      <c r="BB2" s="39">
        <f t="shared" ref="BB2" si="41">EOMONTH(AZ2,1)</f>
        <v>44227</v>
      </c>
      <c r="BC2" s="39">
        <f t="shared" ref="BC2" si="42">EOMONTH(AZ2,1)</f>
        <v>44227</v>
      </c>
      <c r="BD2" s="38">
        <f t="shared" ref="BD2" si="43">BA2</f>
        <v>44227</v>
      </c>
      <c r="BE2" s="39">
        <f t="shared" ref="BE2" si="44">EOMONTH(BD2,1)</f>
        <v>44255</v>
      </c>
      <c r="BF2" s="39">
        <f t="shared" ref="BF2" si="45">EOMONTH(BD2,1)</f>
        <v>44255</v>
      </c>
      <c r="BG2" s="39">
        <f t="shared" ref="BG2" si="46">EOMONTH(BD2,1)</f>
        <v>44255</v>
      </c>
      <c r="BH2" s="38">
        <f t="shared" ref="BH2" si="47">BE2</f>
        <v>44255</v>
      </c>
      <c r="BI2" s="39">
        <f t="shared" ref="BI2" si="48">EOMONTH(BH2,1)</f>
        <v>44286</v>
      </c>
      <c r="BJ2" s="39">
        <f t="shared" ref="BJ2" si="49">EOMONTH(BH2,1)</f>
        <v>44286</v>
      </c>
      <c r="BK2" s="39">
        <f t="shared" ref="BK2" si="50">EOMONTH(BH2,1)</f>
        <v>44286</v>
      </c>
      <c r="BL2" s="38">
        <f t="shared" ref="BL2" si="51">BI2</f>
        <v>44286</v>
      </c>
      <c r="BM2" s="39">
        <f t="shared" ref="BM2" si="52">EOMONTH(BL2,1)</f>
        <v>44316</v>
      </c>
      <c r="BN2" s="39">
        <f t="shared" ref="BN2" si="53">EOMONTH(BL2,1)</f>
        <v>44316</v>
      </c>
      <c r="BO2" s="39">
        <f t="shared" ref="BO2" si="54">EOMONTH(BL2,1)</f>
        <v>44316</v>
      </c>
      <c r="BP2" s="38">
        <f t="shared" ref="BP2" si="55">BM2</f>
        <v>44316</v>
      </c>
      <c r="BQ2" s="39">
        <f t="shared" ref="BQ2" si="56">EOMONTH(BP2,1)</f>
        <v>44347</v>
      </c>
      <c r="BR2" s="39">
        <f t="shared" ref="BR2" si="57">EOMONTH(BP2,1)</f>
        <v>44347</v>
      </c>
      <c r="BS2" s="39">
        <f t="shared" ref="BS2" si="58">EOMONTH(BP2,1)</f>
        <v>44347</v>
      </c>
      <c r="BT2" s="38">
        <f t="shared" ref="BT2" si="59">BQ2</f>
        <v>44347</v>
      </c>
      <c r="BU2" s="39">
        <f t="shared" ref="BU2" si="60">EOMONTH(BT2,1)</f>
        <v>44377</v>
      </c>
      <c r="BV2" s="39">
        <f t="shared" ref="BV2" si="61">EOMONTH(BT2,1)</f>
        <v>44377</v>
      </c>
      <c r="BW2" s="39">
        <f t="shared" ref="BW2" si="62">EOMONTH(BT2,1)</f>
        <v>44377</v>
      </c>
      <c r="BX2" s="38">
        <f t="shared" ref="BX2" si="63">BU2</f>
        <v>44377</v>
      </c>
      <c r="BY2" s="39">
        <f t="shared" ref="BY2" si="64">EOMONTH(BX2,1)</f>
        <v>44408</v>
      </c>
      <c r="BZ2" s="39">
        <f t="shared" ref="BZ2" si="65">EOMONTH(BX2,1)</f>
        <v>44408</v>
      </c>
      <c r="CA2" s="39">
        <f t="shared" ref="CA2" si="66">EOMONTH(BX2,1)</f>
        <v>44408</v>
      </c>
      <c r="CB2" s="38">
        <f t="shared" ref="CB2" si="67">BY2</f>
        <v>44408</v>
      </c>
      <c r="CC2" s="39">
        <f t="shared" ref="CC2" si="68">EOMONTH(CB2,1)</f>
        <v>44439</v>
      </c>
      <c r="CD2" s="39">
        <f t="shared" ref="CD2" si="69">EOMONTH(CB2,1)</f>
        <v>44439</v>
      </c>
      <c r="CE2" s="39">
        <f t="shared" ref="CE2" si="70">EOMONTH(CB2,1)</f>
        <v>44439</v>
      </c>
      <c r="CF2" s="38">
        <f t="shared" ref="CF2" si="71">CC2</f>
        <v>44439</v>
      </c>
      <c r="CG2" s="39">
        <f t="shared" ref="CG2" si="72">EOMONTH(CF2,1)</f>
        <v>44469</v>
      </c>
      <c r="CH2" s="39">
        <f t="shared" ref="CH2" si="73">EOMONTH(CF2,1)</f>
        <v>44469</v>
      </c>
      <c r="CI2" s="39">
        <f t="shared" ref="CI2" si="74">EOMONTH(CF2,1)</f>
        <v>44469</v>
      </c>
      <c r="CJ2" s="38">
        <f t="shared" ref="CJ2" si="75">CG2</f>
        <v>44469</v>
      </c>
      <c r="CK2" s="39">
        <f t="shared" ref="CK2" si="76">EOMONTH(CJ2,1)</f>
        <v>44500</v>
      </c>
      <c r="CL2" s="39">
        <f t="shared" ref="CL2" si="77">EOMONTH(CJ2,1)</f>
        <v>44500</v>
      </c>
      <c r="CM2" s="39">
        <f t="shared" ref="CM2" si="78">EOMONTH(CJ2,1)</f>
        <v>44500</v>
      </c>
      <c r="CN2" s="38">
        <f t="shared" ref="CN2" si="79">CK2</f>
        <v>44500</v>
      </c>
      <c r="CO2" s="39">
        <f t="shared" ref="CO2" si="80">EOMONTH(CN2,1)</f>
        <v>44530</v>
      </c>
      <c r="CP2" s="39">
        <f t="shared" ref="CP2" si="81">EOMONTH(CN2,1)</f>
        <v>44530</v>
      </c>
      <c r="CQ2" s="39">
        <f>EOMONTH(CN2,1)</f>
        <v>44530</v>
      </c>
      <c r="CR2" s="38">
        <f t="shared" ref="CR2" si="82">CO2</f>
        <v>44530</v>
      </c>
      <c r="CS2" s="39">
        <f t="shared" ref="CS2" si="83">EOMONTH(CR2,1)</f>
        <v>44561</v>
      </c>
      <c r="CT2" s="39">
        <f t="shared" ref="CT2" si="84">EOMONTH(CR2,1)</f>
        <v>44561</v>
      </c>
      <c r="CU2" s="39">
        <f>EOMONTH(CR2,1)</f>
        <v>44561</v>
      </c>
      <c r="CV2" s="38">
        <f t="shared" ref="CV2" si="85">CS2</f>
        <v>44561</v>
      </c>
      <c r="CW2" s="39">
        <f t="shared" ref="CW2" si="86">EOMONTH(CV2,1)</f>
        <v>44592</v>
      </c>
      <c r="CX2" s="39">
        <f t="shared" ref="CX2" si="87">EOMONTH(CV2,1)</f>
        <v>44592</v>
      </c>
      <c r="CY2" s="39">
        <f>EOMONTH(CV2,1)</f>
        <v>44592</v>
      </c>
      <c r="CZ2" s="38">
        <f t="shared" ref="CZ2" si="88">CW2</f>
        <v>44592</v>
      </c>
      <c r="DA2" s="39">
        <f t="shared" ref="DA2" si="89">EOMONTH(CZ2,1)</f>
        <v>44620</v>
      </c>
      <c r="DB2" s="39">
        <f t="shared" ref="DB2" si="90">EOMONTH(CZ2,1)</f>
        <v>44620</v>
      </c>
      <c r="DC2" s="39">
        <f>EOMONTH(CZ2,1)</f>
        <v>44620</v>
      </c>
      <c r="DD2" s="38">
        <f t="shared" ref="DD2" si="91">DA2</f>
        <v>44620</v>
      </c>
      <c r="DE2" s="39">
        <f t="shared" ref="DE2" si="92">EOMONTH(DD2,1)</f>
        <v>44651</v>
      </c>
      <c r="DF2" s="39">
        <f t="shared" ref="DF2" si="93">EOMONTH(DD2,1)</f>
        <v>44651</v>
      </c>
      <c r="DG2" s="39">
        <f>EOMONTH(DD2,1)</f>
        <v>44651</v>
      </c>
      <c r="DH2" s="38">
        <f t="shared" ref="DH2" si="94">DE2</f>
        <v>44651</v>
      </c>
      <c r="DI2" s="39">
        <f t="shared" ref="DI2" si="95">EOMONTH(DH2,1)</f>
        <v>44681</v>
      </c>
      <c r="DJ2" s="39">
        <f t="shared" ref="DJ2" si="96">EOMONTH(DH2,1)</f>
        <v>44681</v>
      </c>
      <c r="DK2" s="39">
        <f>EOMONTH(DH2,1)</f>
        <v>44681</v>
      </c>
      <c r="DL2" s="38">
        <f t="shared" ref="DL2" si="97">DI2</f>
        <v>44681</v>
      </c>
      <c r="DM2" s="39">
        <f t="shared" ref="DM2" si="98">EOMONTH(DL2,1)</f>
        <v>44712</v>
      </c>
      <c r="DN2" s="39">
        <f t="shared" ref="DN2" si="99">EOMONTH(DL2,1)</f>
        <v>44712</v>
      </c>
      <c r="DO2" s="39">
        <f t="shared" ref="DO2" si="100">EOMONTH(DL2,1)</f>
        <v>44712</v>
      </c>
      <c r="DP2" s="38">
        <f t="shared" ref="DP2" si="101">DM2</f>
        <v>44712</v>
      </c>
      <c r="DQ2" s="39">
        <f t="shared" ref="DQ2" si="102">EOMONTH(DP2,1)</f>
        <v>44742</v>
      </c>
      <c r="DR2" s="39">
        <f t="shared" ref="DR2" si="103">EOMONTH(DP2,1)</f>
        <v>44742</v>
      </c>
      <c r="DS2" s="39">
        <f t="shared" ref="DS2" si="104">EOMONTH(DP2,1)</f>
        <v>44742</v>
      </c>
      <c r="DT2" s="38">
        <f t="shared" ref="DT2" si="105">DQ2</f>
        <v>44742</v>
      </c>
      <c r="DU2" s="39">
        <f t="shared" ref="DU2" si="106">EOMONTH(DT2,1)</f>
        <v>44773</v>
      </c>
      <c r="DV2" s="39">
        <f t="shared" ref="DV2" si="107">EOMONTH(DT2,1)</f>
        <v>44773</v>
      </c>
      <c r="DW2" s="39">
        <f t="shared" ref="DW2" si="108">EOMONTH(DT2,1)</f>
        <v>44773</v>
      </c>
      <c r="DX2" s="38">
        <f t="shared" ref="DX2" si="109">DU2</f>
        <v>44773</v>
      </c>
      <c r="DY2" s="39">
        <f t="shared" ref="DY2" si="110">EOMONTH(DX2,1)</f>
        <v>44804</v>
      </c>
      <c r="DZ2" s="39">
        <f t="shared" ref="DZ2" si="111">EOMONTH(DX2,1)</f>
        <v>44804</v>
      </c>
      <c r="EA2" s="39">
        <f t="shared" ref="EA2" si="112">EOMONTH(DX2,1)</f>
        <v>44804</v>
      </c>
      <c r="EB2" s="38">
        <f t="shared" ref="EB2" si="113">DY2</f>
        <v>44804</v>
      </c>
      <c r="EC2" s="39">
        <f t="shared" ref="EC2" si="114">EOMONTH(EB2,1)</f>
        <v>44834</v>
      </c>
      <c r="ED2" s="39">
        <f t="shared" ref="ED2" si="115">EOMONTH(EB2,1)</f>
        <v>44834</v>
      </c>
      <c r="EE2" s="39">
        <f t="shared" ref="EE2" si="116">EOMONTH(EB2,1)</f>
        <v>44834</v>
      </c>
      <c r="EF2" s="38">
        <f t="shared" ref="EF2" si="117">EC2</f>
        <v>44834</v>
      </c>
      <c r="EG2" s="39">
        <f t="shared" ref="EG2" si="118">EOMONTH(EF2,1)</f>
        <v>44865</v>
      </c>
      <c r="EH2" s="39">
        <f t="shared" ref="EH2" si="119">EOMONTH(EF2,1)</f>
        <v>44865</v>
      </c>
      <c r="EI2" s="39">
        <f t="shared" ref="EI2" si="120">EOMONTH(EF2,1)</f>
        <v>44865</v>
      </c>
      <c r="EJ2" s="38">
        <f t="shared" ref="EJ2" si="121">EG2</f>
        <v>44865</v>
      </c>
      <c r="EK2" s="39">
        <f t="shared" ref="EK2" si="122">EOMONTH(EJ2,1)</f>
        <v>44895</v>
      </c>
      <c r="EL2" s="39">
        <f t="shared" ref="EL2" si="123">EOMONTH(EJ2,1)</f>
        <v>44895</v>
      </c>
      <c r="EM2" s="39">
        <f t="shared" ref="EM2" si="124">EOMONTH(EJ2,1)</f>
        <v>44895</v>
      </c>
      <c r="EN2" s="38">
        <f t="shared" ref="EN2" si="125">EK2</f>
        <v>44895</v>
      </c>
      <c r="EO2" s="39">
        <f t="shared" ref="EO2" si="126">EOMONTH(EN2,1)</f>
        <v>44926</v>
      </c>
      <c r="EP2" s="39">
        <f t="shared" ref="EP2" si="127">EOMONTH(EN2,1)</f>
        <v>44926</v>
      </c>
      <c r="EQ2" s="39">
        <f t="shared" ref="EQ2" si="128">EOMONTH(EN2,1)</f>
        <v>44926</v>
      </c>
      <c r="ER2" s="38">
        <f t="shared" ref="ER2" si="129">EO2</f>
        <v>44926</v>
      </c>
    </row>
    <row r="3" spans="1:148" x14ac:dyDescent="0.45">
      <c r="A3" s="11"/>
      <c r="B3" s="11"/>
      <c r="C3" s="12"/>
      <c r="D3" s="36"/>
      <c r="E3" s="37"/>
      <c r="F3" s="37"/>
      <c r="G3" s="37"/>
      <c r="H3" s="36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1"/>
      <c r="DL3" s="1"/>
      <c r="DM3" s="37"/>
      <c r="DN3" s="37"/>
      <c r="DO3" s="1"/>
      <c r="DP3" s="1"/>
      <c r="DQ3" s="37"/>
      <c r="DR3" s="37"/>
      <c r="DS3" s="1"/>
      <c r="DT3" s="1"/>
      <c r="DU3" s="37"/>
      <c r="DV3" s="37"/>
      <c r="DW3" s="1"/>
      <c r="DX3" s="1"/>
      <c r="DY3" s="37"/>
      <c r="DZ3" s="37"/>
      <c r="EA3" s="1"/>
      <c r="EB3" s="1"/>
      <c r="EC3" s="37"/>
      <c r="ED3" s="37"/>
      <c r="EE3" s="1"/>
      <c r="EF3" s="1"/>
      <c r="EG3" s="37"/>
      <c r="EH3" s="37"/>
      <c r="EI3" s="1"/>
      <c r="EJ3" s="1"/>
      <c r="EK3" s="37"/>
      <c r="EL3" s="37"/>
      <c r="EM3" s="1"/>
      <c r="EN3" s="1"/>
      <c r="EO3" s="37"/>
      <c r="EP3" s="37"/>
      <c r="EQ3" s="1"/>
      <c r="ER3" s="1"/>
    </row>
    <row r="4" spans="1:148" x14ac:dyDescent="0.45">
      <c r="A4" s="11"/>
      <c r="B4" s="11"/>
      <c r="C4" s="11"/>
      <c r="D4" s="36"/>
      <c r="E4" s="37"/>
      <c r="F4" s="37"/>
      <c r="G4" s="37"/>
      <c r="H4" s="36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1"/>
      <c r="DL4" s="1"/>
      <c r="DM4" s="37"/>
      <c r="DN4" s="37"/>
      <c r="DO4" s="1"/>
      <c r="DP4" s="1"/>
      <c r="DQ4" s="37"/>
      <c r="DR4" s="37"/>
      <c r="DS4" s="1"/>
      <c r="DT4" s="1"/>
      <c r="DU4" s="37"/>
      <c r="DV4" s="37"/>
      <c r="DW4" s="1"/>
      <c r="DX4" s="1"/>
      <c r="DY4" s="37"/>
      <c r="DZ4" s="37"/>
      <c r="EA4" s="1"/>
      <c r="EB4" s="1"/>
      <c r="EC4" s="37"/>
      <c r="ED4" s="37"/>
      <c r="EE4" s="1"/>
      <c r="EF4" s="1"/>
      <c r="EG4" s="37"/>
      <c r="EH4" s="37"/>
      <c r="EI4" s="1"/>
      <c r="EJ4" s="1"/>
      <c r="EK4" s="37"/>
      <c r="EL4" s="37"/>
      <c r="EM4" s="1"/>
      <c r="EN4" s="1"/>
      <c r="EO4" s="37"/>
      <c r="EP4" s="37"/>
      <c r="EQ4" s="1"/>
      <c r="ER4" s="1"/>
    </row>
    <row r="5" spans="1:148" x14ac:dyDescent="0.45">
      <c r="A5" s="23"/>
      <c r="B5" s="23">
        <v>303</v>
      </c>
      <c r="C5" s="23" t="s">
        <v>22</v>
      </c>
      <c r="D5" s="40">
        <v>3700</v>
      </c>
      <c r="E5" s="37">
        <v>0</v>
      </c>
      <c r="F5" s="37"/>
      <c r="G5" s="37"/>
      <c r="H5" s="42">
        <f>D5+E5-F5+G5</f>
        <v>3700</v>
      </c>
      <c r="I5" s="37">
        <v>0</v>
      </c>
      <c r="J5" s="37"/>
      <c r="K5" s="37"/>
      <c r="L5" s="42">
        <f t="shared" ref="L5:L16" si="130">H5+I5-J5+K5</f>
        <v>3700</v>
      </c>
      <c r="M5" s="37">
        <v>0</v>
      </c>
      <c r="N5" s="37"/>
      <c r="O5" s="37"/>
      <c r="P5" s="42">
        <f t="shared" ref="P5:P16" si="131">L5+M5-N5+O5</f>
        <v>3700</v>
      </c>
      <c r="Q5" s="37">
        <v>0</v>
      </c>
      <c r="R5" s="37"/>
      <c r="S5" s="37"/>
      <c r="T5" s="42">
        <f t="shared" ref="T5:T16" si="132">P5+Q5-R5+S5</f>
        <v>3700</v>
      </c>
      <c r="U5" s="37">
        <v>0</v>
      </c>
      <c r="V5" s="37"/>
      <c r="W5" s="37"/>
      <c r="X5" s="42">
        <f t="shared" ref="X5:X16" si="133">T5+U5-V5+W5</f>
        <v>3700</v>
      </c>
      <c r="Y5" s="37">
        <v>0</v>
      </c>
      <c r="Z5" s="37"/>
      <c r="AA5" s="37"/>
      <c r="AB5" s="42">
        <f t="shared" ref="AB5:AB16" si="134">X5+Y5-Z5+AA5</f>
        <v>3700</v>
      </c>
      <c r="AC5" s="37">
        <v>0</v>
      </c>
      <c r="AD5" s="37"/>
      <c r="AE5" s="37"/>
      <c r="AF5" s="42">
        <f t="shared" ref="AF5:AF16" si="135">AB5+AC5-AD5+AE5</f>
        <v>3700</v>
      </c>
      <c r="AG5" s="37">
        <v>0</v>
      </c>
      <c r="AH5" s="37"/>
      <c r="AI5" s="37"/>
      <c r="AJ5" s="42">
        <f t="shared" ref="AJ5:AJ16" si="136">AF5+AG5-AH5+AI5</f>
        <v>3700</v>
      </c>
      <c r="AK5" s="37">
        <v>0</v>
      </c>
      <c r="AL5" s="37"/>
      <c r="AM5" s="37"/>
      <c r="AN5" s="42">
        <f t="shared" ref="AN5:AN16" si="137">AJ5+AK5-AL5+AM5</f>
        <v>3700</v>
      </c>
      <c r="AO5" s="37">
        <v>0</v>
      </c>
      <c r="AP5" s="37"/>
      <c r="AQ5" s="37"/>
      <c r="AR5" s="42">
        <f t="shared" ref="AR5:AR16" si="138">AN5+AO5-AP5+AQ5</f>
        <v>3700</v>
      </c>
      <c r="AS5" s="37">
        <v>0</v>
      </c>
      <c r="AT5" s="37"/>
      <c r="AU5" s="37"/>
      <c r="AV5" s="42">
        <f t="shared" ref="AV5:AV16" si="139">AR5+AS5-AT5+AU5</f>
        <v>3700</v>
      </c>
      <c r="AW5" s="37">
        <v>0</v>
      </c>
      <c r="AX5" s="37"/>
      <c r="AY5" s="37"/>
      <c r="AZ5" s="42">
        <f t="shared" ref="AZ5:AZ16" si="140">AV5+AW5-AX5+AY5</f>
        <v>3700</v>
      </c>
      <c r="BA5" s="37">
        <v>0</v>
      </c>
      <c r="BB5" s="37"/>
      <c r="BC5" s="37"/>
      <c r="BD5" s="42">
        <f t="shared" ref="BD5:BD16" si="141">AZ5+BA5-BB5+BC5</f>
        <v>3700</v>
      </c>
      <c r="BE5" s="37">
        <v>0</v>
      </c>
      <c r="BF5" s="37"/>
      <c r="BG5" s="37"/>
      <c r="BH5" s="42">
        <f t="shared" ref="BH5:BH16" si="142">BD5+BE5-BF5+BG5</f>
        <v>3700</v>
      </c>
      <c r="BI5" s="37">
        <v>0</v>
      </c>
      <c r="BJ5" s="37"/>
      <c r="BK5" s="37"/>
      <c r="BL5" s="42">
        <f t="shared" ref="BL5:BL16" si="143">BH5+BI5-BJ5+BK5</f>
        <v>3700</v>
      </c>
      <c r="BM5" s="37">
        <v>0</v>
      </c>
      <c r="BN5" s="37"/>
      <c r="BO5" s="37"/>
      <c r="BP5" s="42">
        <f t="shared" ref="BP5:BP16" si="144">BL5+BM5-BN5+BO5</f>
        <v>3700</v>
      </c>
      <c r="BQ5" s="37">
        <v>0</v>
      </c>
      <c r="BR5" s="37"/>
      <c r="BS5" s="37"/>
      <c r="BT5" s="42">
        <f t="shared" ref="BT5:BT16" si="145">BP5+BQ5-BR5+BS5</f>
        <v>3700</v>
      </c>
      <c r="BU5" s="37">
        <v>0</v>
      </c>
      <c r="BV5" s="37"/>
      <c r="BW5" s="37"/>
      <c r="BX5" s="42">
        <f t="shared" ref="BX5:BX16" si="146">BT5+BU5-BV5+BW5</f>
        <v>3700</v>
      </c>
      <c r="BY5" s="37">
        <v>0</v>
      </c>
      <c r="BZ5" s="37"/>
      <c r="CA5" s="37"/>
      <c r="CB5" s="42">
        <f t="shared" ref="CB5:CB16" si="147">BX5+BY5-BZ5+CA5</f>
        <v>3700</v>
      </c>
      <c r="CC5" s="37">
        <v>0</v>
      </c>
      <c r="CD5" s="37"/>
      <c r="CE5" s="37"/>
      <c r="CF5" s="42">
        <f t="shared" ref="CF5:CF16" si="148">CB5+CC5-CD5+CE5</f>
        <v>3700</v>
      </c>
      <c r="CG5" s="37">
        <v>0</v>
      </c>
      <c r="CH5" s="37"/>
      <c r="CI5" s="37"/>
      <c r="CJ5" s="42">
        <f t="shared" ref="CJ5:CJ16" si="149">CF5+CG5-CH5+CI5</f>
        <v>3700</v>
      </c>
      <c r="CK5" s="37">
        <v>0</v>
      </c>
      <c r="CL5" s="37"/>
      <c r="CM5" s="37"/>
      <c r="CN5" s="42">
        <f t="shared" ref="CN5:CN16" si="150">CJ5+CK5-CL5+CM5</f>
        <v>3700</v>
      </c>
      <c r="CO5" s="37">
        <v>0</v>
      </c>
      <c r="CP5" s="37"/>
      <c r="CQ5" s="37"/>
      <c r="CR5" s="42">
        <f t="shared" ref="CR5:CR16" si="151">CN5+CO5-CP5+CQ5</f>
        <v>3700</v>
      </c>
      <c r="CS5" s="37">
        <v>0</v>
      </c>
      <c r="CT5" s="37"/>
      <c r="CU5" s="37"/>
      <c r="CV5" s="42">
        <f t="shared" ref="CV5:CV16" si="152">CR5+CS5-CT5+CU5</f>
        <v>3700</v>
      </c>
      <c r="CW5" s="37">
        <v>0</v>
      </c>
      <c r="CX5" s="37"/>
      <c r="CY5" s="37"/>
      <c r="CZ5" s="42">
        <f t="shared" ref="CZ5:CZ16" si="153">CV5+CW5-CX5+CY5</f>
        <v>3700</v>
      </c>
      <c r="DA5" s="37">
        <v>0</v>
      </c>
      <c r="DB5" s="37"/>
      <c r="DC5" s="37"/>
      <c r="DD5" s="42">
        <f t="shared" ref="DD5:DD16" si="154">CZ5+DA5-DB5+DC5</f>
        <v>3700</v>
      </c>
      <c r="DE5" s="37">
        <v>0</v>
      </c>
      <c r="DF5" s="37"/>
      <c r="DG5" s="37"/>
      <c r="DH5" s="42">
        <f t="shared" ref="DH5:DH16" si="155">DD5+DE5-DF5+DG5</f>
        <v>3700</v>
      </c>
      <c r="DI5" s="37">
        <v>0</v>
      </c>
      <c r="DJ5" s="37"/>
      <c r="DK5" s="37"/>
      <c r="DL5" s="42">
        <f t="shared" ref="DL5:DL16" si="156">DH5+DI5-DJ5+DK5</f>
        <v>3700</v>
      </c>
      <c r="DM5" s="37">
        <v>0</v>
      </c>
      <c r="DN5" s="37"/>
      <c r="DO5" s="37"/>
      <c r="DP5" s="42">
        <f t="shared" ref="DP5:DP16" si="157">DL5+DM5-DN5+DO5</f>
        <v>3700</v>
      </c>
      <c r="DQ5" s="37">
        <v>0</v>
      </c>
      <c r="DR5" s="37"/>
      <c r="DS5" s="37"/>
      <c r="DT5" s="42">
        <f t="shared" ref="DT5:DT16" si="158">DP5+DQ5-DR5+DS5</f>
        <v>3700</v>
      </c>
      <c r="DU5" s="37">
        <v>0</v>
      </c>
      <c r="DV5" s="37"/>
      <c r="DW5" s="37"/>
      <c r="DX5" s="42">
        <f t="shared" ref="DX5:DX16" si="159">DT5+DU5-DV5+DW5</f>
        <v>3700</v>
      </c>
      <c r="DY5" s="37">
        <v>0</v>
      </c>
      <c r="DZ5" s="37"/>
      <c r="EA5" s="37"/>
      <c r="EB5" s="42">
        <f t="shared" ref="EB5:EB16" si="160">DX5+DY5-DZ5+EA5</f>
        <v>3700</v>
      </c>
      <c r="EC5" s="37">
        <v>0</v>
      </c>
      <c r="ED5" s="37"/>
      <c r="EE5" s="37"/>
      <c r="EF5" s="42">
        <f t="shared" ref="EF5:EF16" si="161">EB5+EC5-ED5+EE5</f>
        <v>3700</v>
      </c>
      <c r="EG5" s="37">
        <v>0</v>
      </c>
      <c r="EH5" s="37"/>
      <c r="EI5" s="37"/>
      <c r="EJ5" s="42">
        <f t="shared" ref="EJ5:EJ16" si="162">EF5+EG5-EH5+EI5</f>
        <v>3700</v>
      </c>
      <c r="EK5" s="37">
        <v>0</v>
      </c>
      <c r="EL5" s="37"/>
      <c r="EM5" s="37"/>
      <c r="EN5" s="42">
        <f t="shared" ref="EN5:EN16" si="163">EJ5+EK5-EL5+EM5</f>
        <v>3700</v>
      </c>
      <c r="EO5" s="37">
        <v>0</v>
      </c>
      <c r="EP5" s="37"/>
      <c r="EQ5" s="37"/>
      <c r="ER5" s="42">
        <f t="shared" ref="ER5:ER16" si="164">EN5+EO5-EP5+EQ5</f>
        <v>3700</v>
      </c>
    </row>
    <row r="6" spans="1:148" x14ac:dyDescent="0.45">
      <c r="A6" s="23"/>
      <c r="B6" s="23">
        <v>310.10000000000002</v>
      </c>
      <c r="C6" s="23" t="s">
        <v>23</v>
      </c>
      <c r="D6" s="40">
        <v>50250</v>
      </c>
      <c r="E6" s="37">
        <v>0</v>
      </c>
      <c r="F6" s="37"/>
      <c r="G6" s="37"/>
      <c r="H6" s="42">
        <f t="shared" ref="H6:H16" si="165">D6+E6-F6+G6</f>
        <v>50250</v>
      </c>
      <c r="I6" s="37">
        <v>0</v>
      </c>
      <c r="J6" s="37"/>
      <c r="K6" s="37"/>
      <c r="L6" s="42">
        <f t="shared" si="130"/>
        <v>50250</v>
      </c>
      <c r="M6" s="37">
        <v>0</v>
      </c>
      <c r="N6" s="37"/>
      <c r="O6" s="37"/>
      <c r="P6" s="42">
        <f t="shared" si="131"/>
        <v>50250</v>
      </c>
      <c r="Q6" s="37">
        <v>0</v>
      </c>
      <c r="R6" s="37"/>
      <c r="S6" s="37"/>
      <c r="T6" s="42">
        <f t="shared" si="132"/>
        <v>50250</v>
      </c>
      <c r="U6" s="37">
        <v>0</v>
      </c>
      <c r="V6" s="37"/>
      <c r="W6" s="37"/>
      <c r="X6" s="42">
        <f t="shared" si="133"/>
        <v>50250</v>
      </c>
      <c r="Y6" s="37">
        <v>0</v>
      </c>
      <c r="Z6" s="37"/>
      <c r="AA6" s="37"/>
      <c r="AB6" s="42">
        <f t="shared" si="134"/>
        <v>50250</v>
      </c>
      <c r="AC6" s="37">
        <v>0</v>
      </c>
      <c r="AD6" s="37"/>
      <c r="AE6" s="37"/>
      <c r="AF6" s="42">
        <f t="shared" si="135"/>
        <v>50250</v>
      </c>
      <c r="AG6" s="37">
        <v>0</v>
      </c>
      <c r="AH6" s="37"/>
      <c r="AI6" s="37"/>
      <c r="AJ6" s="42">
        <f t="shared" si="136"/>
        <v>50250</v>
      </c>
      <c r="AK6" s="37">
        <v>0</v>
      </c>
      <c r="AL6" s="37"/>
      <c r="AM6" s="37"/>
      <c r="AN6" s="42">
        <f t="shared" si="137"/>
        <v>50250</v>
      </c>
      <c r="AO6" s="37">
        <v>0</v>
      </c>
      <c r="AP6" s="37"/>
      <c r="AQ6" s="37"/>
      <c r="AR6" s="42">
        <f t="shared" si="138"/>
        <v>50250</v>
      </c>
      <c r="AS6" s="37">
        <v>0</v>
      </c>
      <c r="AT6" s="37"/>
      <c r="AU6" s="37"/>
      <c r="AV6" s="42">
        <f t="shared" si="139"/>
        <v>50250</v>
      </c>
      <c r="AW6" s="37">
        <v>0</v>
      </c>
      <c r="AX6" s="37"/>
      <c r="AY6" s="37"/>
      <c r="AZ6" s="42">
        <f t="shared" si="140"/>
        <v>50250</v>
      </c>
      <c r="BA6" s="37">
        <v>0</v>
      </c>
      <c r="BB6" s="37"/>
      <c r="BC6" s="37"/>
      <c r="BD6" s="42">
        <f t="shared" si="141"/>
        <v>50250</v>
      </c>
      <c r="BE6" s="37">
        <v>0</v>
      </c>
      <c r="BF6" s="37"/>
      <c r="BG6" s="37"/>
      <c r="BH6" s="42">
        <f t="shared" si="142"/>
        <v>50250</v>
      </c>
      <c r="BI6" s="37">
        <v>0</v>
      </c>
      <c r="BJ6" s="37"/>
      <c r="BK6" s="37"/>
      <c r="BL6" s="42">
        <f t="shared" si="143"/>
        <v>50250</v>
      </c>
      <c r="BM6" s="37">
        <v>0</v>
      </c>
      <c r="BN6" s="37"/>
      <c r="BO6" s="37"/>
      <c r="BP6" s="42">
        <f t="shared" si="144"/>
        <v>50250</v>
      </c>
      <c r="BQ6" s="37">
        <v>0</v>
      </c>
      <c r="BR6" s="37"/>
      <c r="BS6" s="37"/>
      <c r="BT6" s="42">
        <f t="shared" si="145"/>
        <v>50250</v>
      </c>
      <c r="BU6" s="37">
        <v>0</v>
      </c>
      <c r="BV6" s="37"/>
      <c r="BW6" s="37"/>
      <c r="BX6" s="42">
        <f t="shared" si="146"/>
        <v>50250</v>
      </c>
      <c r="BY6" s="37">
        <v>0</v>
      </c>
      <c r="BZ6" s="37"/>
      <c r="CA6" s="37"/>
      <c r="CB6" s="42">
        <f t="shared" si="147"/>
        <v>50250</v>
      </c>
      <c r="CC6" s="37">
        <v>0</v>
      </c>
      <c r="CD6" s="37"/>
      <c r="CE6" s="37"/>
      <c r="CF6" s="42">
        <f t="shared" si="148"/>
        <v>50250</v>
      </c>
      <c r="CG6" s="37">
        <v>0</v>
      </c>
      <c r="CH6" s="37"/>
      <c r="CI6" s="37"/>
      <c r="CJ6" s="42">
        <f t="shared" si="149"/>
        <v>50250</v>
      </c>
      <c r="CK6" s="37">
        <v>0</v>
      </c>
      <c r="CL6" s="37"/>
      <c r="CM6" s="37"/>
      <c r="CN6" s="42">
        <f t="shared" si="150"/>
        <v>50250</v>
      </c>
      <c r="CO6" s="37">
        <v>0</v>
      </c>
      <c r="CP6" s="37"/>
      <c r="CQ6" s="37"/>
      <c r="CR6" s="42">
        <f t="shared" si="151"/>
        <v>50250</v>
      </c>
      <c r="CS6" s="37">
        <v>0</v>
      </c>
      <c r="CT6" s="37"/>
      <c r="CU6" s="37"/>
      <c r="CV6" s="42">
        <f t="shared" si="152"/>
        <v>50250</v>
      </c>
      <c r="CW6" s="37">
        <v>0</v>
      </c>
      <c r="CX6" s="37"/>
      <c r="CY6" s="37"/>
      <c r="CZ6" s="42">
        <f t="shared" si="153"/>
        <v>50250</v>
      </c>
      <c r="DA6" s="37">
        <v>0</v>
      </c>
      <c r="DB6" s="37"/>
      <c r="DC6" s="37"/>
      <c r="DD6" s="42">
        <f t="shared" si="154"/>
        <v>50250</v>
      </c>
      <c r="DE6" s="37">
        <v>0</v>
      </c>
      <c r="DF6" s="37"/>
      <c r="DG6" s="37"/>
      <c r="DH6" s="42">
        <f t="shared" si="155"/>
        <v>50250</v>
      </c>
      <c r="DI6" s="37">
        <v>0</v>
      </c>
      <c r="DJ6" s="37"/>
      <c r="DK6" s="37"/>
      <c r="DL6" s="42">
        <f t="shared" si="156"/>
        <v>50250</v>
      </c>
      <c r="DM6" s="37">
        <v>0</v>
      </c>
      <c r="DN6" s="37"/>
      <c r="DO6" s="37"/>
      <c r="DP6" s="42">
        <f t="shared" si="157"/>
        <v>50250</v>
      </c>
      <c r="DQ6" s="37">
        <v>0</v>
      </c>
      <c r="DR6" s="37"/>
      <c r="DS6" s="37"/>
      <c r="DT6" s="42">
        <f t="shared" si="158"/>
        <v>50250</v>
      </c>
      <c r="DU6" s="37">
        <v>0</v>
      </c>
      <c r="DV6" s="37"/>
      <c r="DW6" s="37"/>
      <c r="DX6" s="42">
        <f t="shared" si="159"/>
        <v>50250</v>
      </c>
      <c r="DY6" s="37">
        <v>0</v>
      </c>
      <c r="DZ6" s="37"/>
      <c r="EA6" s="37"/>
      <c r="EB6" s="42">
        <f t="shared" si="160"/>
        <v>50250</v>
      </c>
      <c r="EC6" s="37">
        <v>0</v>
      </c>
      <c r="ED6" s="37"/>
      <c r="EE6" s="37"/>
      <c r="EF6" s="42">
        <f t="shared" si="161"/>
        <v>50250</v>
      </c>
      <c r="EG6" s="37">
        <v>0</v>
      </c>
      <c r="EH6" s="37"/>
      <c r="EI6" s="37"/>
      <c r="EJ6" s="42">
        <f t="shared" si="162"/>
        <v>50250</v>
      </c>
      <c r="EK6" s="37">
        <v>0</v>
      </c>
      <c r="EL6" s="37"/>
      <c r="EM6" s="37"/>
      <c r="EN6" s="42">
        <f t="shared" si="163"/>
        <v>50250</v>
      </c>
      <c r="EO6" s="37">
        <v>0</v>
      </c>
      <c r="EP6" s="37"/>
      <c r="EQ6" s="37"/>
      <c r="ER6" s="42">
        <f t="shared" si="164"/>
        <v>50250</v>
      </c>
    </row>
    <row r="7" spans="1:148" x14ac:dyDescent="0.45">
      <c r="A7" s="23"/>
      <c r="B7" s="23">
        <v>311</v>
      </c>
      <c r="C7" s="23" t="s">
        <v>24</v>
      </c>
      <c r="D7" s="40">
        <v>74735.3</v>
      </c>
      <c r="E7" s="37">
        <v>30854.61</v>
      </c>
      <c r="F7" s="37"/>
      <c r="G7" s="37"/>
      <c r="H7" s="42">
        <f t="shared" si="165"/>
        <v>105589.91</v>
      </c>
      <c r="I7" s="37">
        <v>3367.25</v>
      </c>
      <c r="J7" s="37"/>
      <c r="K7" s="37"/>
      <c r="L7" s="42">
        <f t="shared" si="130"/>
        <v>108957.16</v>
      </c>
      <c r="M7" s="37">
        <v>29036.329999999998</v>
      </c>
      <c r="N7" s="37"/>
      <c r="O7" s="37"/>
      <c r="P7" s="42">
        <f t="shared" si="131"/>
        <v>137993.49</v>
      </c>
      <c r="Q7" s="37">
        <v>8663.880000000001</v>
      </c>
      <c r="R7" s="37"/>
      <c r="S7" s="37"/>
      <c r="T7" s="42">
        <f t="shared" si="132"/>
        <v>146657.37</v>
      </c>
      <c r="U7" s="37">
        <v>0</v>
      </c>
      <c r="V7" s="37"/>
      <c r="W7" s="37"/>
      <c r="X7" s="42">
        <f t="shared" si="133"/>
        <v>146657.37</v>
      </c>
      <c r="Y7" s="37">
        <v>42226.85</v>
      </c>
      <c r="Z7" s="37"/>
      <c r="AA7" s="37"/>
      <c r="AB7" s="42">
        <f t="shared" si="134"/>
        <v>188884.22</v>
      </c>
      <c r="AC7" s="37">
        <v>0</v>
      </c>
      <c r="AD7" s="37"/>
      <c r="AE7" s="37"/>
      <c r="AF7" s="42">
        <f t="shared" si="135"/>
        <v>188884.22</v>
      </c>
      <c r="AG7" s="37">
        <v>0</v>
      </c>
      <c r="AH7" s="37"/>
      <c r="AI7" s="37"/>
      <c r="AJ7" s="42">
        <f t="shared" si="136"/>
        <v>188884.22</v>
      </c>
      <c r="AK7" s="37">
        <v>18527.63</v>
      </c>
      <c r="AL7" s="37"/>
      <c r="AM7" s="37"/>
      <c r="AN7" s="42">
        <f t="shared" si="137"/>
        <v>207411.85</v>
      </c>
      <c r="AO7" s="37">
        <v>0</v>
      </c>
      <c r="AP7" s="37"/>
      <c r="AQ7" s="37"/>
      <c r="AR7" s="42">
        <f t="shared" si="138"/>
        <v>207411.85</v>
      </c>
      <c r="AS7" s="37">
        <v>0</v>
      </c>
      <c r="AT7" s="37"/>
      <c r="AU7" s="37"/>
      <c r="AV7" s="42">
        <f t="shared" si="139"/>
        <v>207411.85</v>
      </c>
      <c r="AW7" s="37">
        <v>0</v>
      </c>
      <c r="AX7" s="37"/>
      <c r="AY7" s="37"/>
      <c r="AZ7" s="42">
        <f t="shared" si="140"/>
        <v>207411.85</v>
      </c>
      <c r="BA7" s="37">
        <v>0</v>
      </c>
      <c r="BB7" s="37"/>
      <c r="BC7" s="37"/>
      <c r="BD7" s="42">
        <f t="shared" si="141"/>
        <v>207411.85</v>
      </c>
      <c r="BE7" s="37">
        <v>25000</v>
      </c>
      <c r="BF7" s="37"/>
      <c r="BG7" s="37"/>
      <c r="BH7" s="42">
        <f t="shared" si="142"/>
        <v>232411.85</v>
      </c>
      <c r="BI7" s="37">
        <v>36000</v>
      </c>
      <c r="BJ7" s="37"/>
      <c r="BK7" s="37"/>
      <c r="BL7" s="42">
        <f t="shared" si="143"/>
        <v>268411.84999999998</v>
      </c>
      <c r="BM7" s="37">
        <v>95000</v>
      </c>
      <c r="BN7" s="37"/>
      <c r="BO7" s="37"/>
      <c r="BP7" s="42">
        <f t="shared" si="144"/>
        <v>363411.85</v>
      </c>
      <c r="BQ7" s="37">
        <v>15000</v>
      </c>
      <c r="BR7" s="37"/>
      <c r="BS7" s="37"/>
      <c r="BT7" s="42">
        <f t="shared" si="145"/>
        <v>378411.85</v>
      </c>
      <c r="BU7" s="37">
        <v>0</v>
      </c>
      <c r="BV7" s="37"/>
      <c r="BW7" s="37"/>
      <c r="BX7" s="42">
        <f t="shared" si="146"/>
        <v>378411.85</v>
      </c>
      <c r="BY7" s="37">
        <v>0</v>
      </c>
      <c r="BZ7" s="37"/>
      <c r="CA7" s="37"/>
      <c r="CB7" s="42">
        <f t="shared" si="147"/>
        <v>378411.85</v>
      </c>
      <c r="CC7" s="37">
        <v>0</v>
      </c>
      <c r="CD7" s="37"/>
      <c r="CE7" s="37"/>
      <c r="CF7" s="42">
        <f t="shared" si="148"/>
        <v>378411.85</v>
      </c>
      <c r="CG7" s="37">
        <v>0</v>
      </c>
      <c r="CH7" s="37"/>
      <c r="CI7" s="37"/>
      <c r="CJ7" s="42">
        <f t="shared" si="149"/>
        <v>378411.85</v>
      </c>
      <c r="CK7" s="37">
        <v>0</v>
      </c>
      <c r="CL7" s="37"/>
      <c r="CM7" s="37"/>
      <c r="CN7" s="42">
        <f t="shared" si="150"/>
        <v>378411.85</v>
      </c>
      <c r="CO7" s="37">
        <v>0</v>
      </c>
      <c r="CP7" s="37"/>
      <c r="CQ7" s="37"/>
      <c r="CR7" s="42">
        <f t="shared" si="151"/>
        <v>378411.85</v>
      </c>
      <c r="CS7" s="37">
        <v>0</v>
      </c>
      <c r="CT7" s="37"/>
      <c r="CU7" s="37"/>
      <c r="CV7" s="42">
        <f t="shared" si="152"/>
        <v>378411.85</v>
      </c>
      <c r="CW7" s="37">
        <v>125000</v>
      </c>
      <c r="CX7" s="37"/>
      <c r="CY7" s="37"/>
      <c r="CZ7" s="42">
        <f t="shared" si="153"/>
        <v>503411.85</v>
      </c>
      <c r="DA7" s="37">
        <v>0</v>
      </c>
      <c r="DB7" s="37"/>
      <c r="DC7" s="37"/>
      <c r="DD7" s="42">
        <f t="shared" si="154"/>
        <v>503411.85</v>
      </c>
      <c r="DE7" s="37">
        <v>0</v>
      </c>
      <c r="DF7" s="37"/>
      <c r="DG7" s="37"/>
      <c r="DH7" s="42">
        <f t="shared" si="155"/>
        <v>503411.85</v>
      </c>
      <c r="DI7" s="37">
        <v>109500</v>
      </c>
      <c r="DJ7" s="37"/>
      <c r="DK7" s="37"/>
      <c r="DL7" s="42">
        <f t="shared" si="156"/>
        <v>612911.85</v>
      </c>
      <c r="DM7" s="37">
        <v>0</v>
      </c>
      <c r="DN7" s="37"/>
      <c r="DO7" s="37"/>
      <c r="DP7" s="42">
        <f t="shared" si="157"/>
        <v>612911.85</v>
      </c>
      <c r="DQ7" s="37">
        <v>0</v>
      </c>
      <c r="DR7" s="37"/>
      <c r="DS7" s="37"/>
      <c r="DT7" s="42">
        <f t="shared" si="158"/>
        <v>612911.85</v>
      </c>
      <c r="DU7" s="37">
        <v>0</v>
      </c>
      <c r="DV7" s="37"/>
      <c r="DW7" s="37"/>
      <c r="DX7" s="42">
        <f t="shared" si="159"/>
        <v>612911.85</v>
      </c>
      <c r="DY7" s="37">
        <v>0</v>
      </c>
      <c r="DZ7" s="37"/>
      <c r="EA7" s="37"/>
      <c r="EB7" s="42">
        <f t="shared" si="160"/>
        <v>612911.85</v>
      </c>
      <c r="EC7" s="37">
        <v>0</v>
      </c>
      <c r="ED7" s="37"/>
      <c r="EE7" s="37"/>
      <c r="EF7" s="42">
        <f t="shared" si="161"/>
        <v>612911.85</v>
      </c>
      <c r="EG7" s="37">
        <v>0</v>
      </c>
      <c r="EH7" s="37"/>
      <c r="EI7" s="37"/>
      <c r="EJ7" s="42">
        <f t="shared" si="162"/>
        <v>612911.85</v>
      </c>
      <c r="EK7" s="37">
        <v>0</v>
      </c>
      <c r="EL7" s="37"/>
      <c r="EM7" s="37"/>
      <c r="EN7" s="42">
        <f t="shared" si="163"/>
        <v>612911.85</v>
      </c>
      <c r="EO7" s="37">
        <v>0</v>
      </c>
      <c r="EP7" s="37"/>
      <c r="EQ7" s="37"/>
      <c r="ER7" s="42">
        <f t="shared" si="164"/>
        <v>612911.85</v>
      </c>
    </row>
    <row r="8" spans="1:148" x14ac:dyDescent="0.45">
      <c r="A8" s="23"/>
      <c r="B8" s="23">
        <v>352.1</v>
      </c>
      <c r="C8" s="23" t="s">
        <v>25</v>
      </c>
      <c r="D8" s="41"/>
      <c r="E8" s="37">
        <v>101150.18000000002</v>
      </c>
      <c r="F8" s="37"/>
      <c r="G8" s="37"/>
      <c r="H8" s="42">
        <f t="shared" si="165"/>
        <v>101150.18000000002</v>
      </c>
      <c r="I8" s="37">
        <v>19742.71</v>
      </c>
      <c r="J8" s="37"/>
      <c r="K8" s="37"/>
      <c r="L8" s="42">
        <f t="shared" si="130"/>
        <v>120892.89000000001</v>
      </c>
      <c r="M8" s="37">
        <v>1028000.81</v>
      </c>
      <c r="N8" s="37"/>
      <c r="O8" s="37"/>
      <c r="P8" s="42">
        <f t="shared" si="131"/>
        <v>1148893.7000000002</v>
      </c>
      <c r="Q8" s="37">
        <v>1051.68</v>
      </c>
      <c r="R8" s="37"/>
      <c r="S8" s="37"/>
      <c r="T8" s="42">
        <f t="shared" si="132"/>
        <v>1149945.3800000001</v>
      </c>
      <c r="U8" s="37">
        <v>0</v>
      </c>
      <c r="V8" s="37"/>
      <c r="W8" s="37"/>
      <c r="X8" s="42">
        <f t="shared" si="133"/>
        <v>1149945.3800000001</v>
      </c>
      <c r="Y8" s="37">
        <v>39155.229999999996</v>
      </c>
      <c r="Z8" s="37"/>
      <c r="AA8" s="37"/>
      <c r="AB8" s="42">
        <f t="shared" si="134"/>
        <v>1189100.6100000001</v>
      </c>
      <c r="AC8" s="37">
        <v>0</v>
      </c>
      <c r="AD8" s="37"/>
      <c r="AE8" s="37"/>
      <c r="AF8" s="42">
        <f t="shared" si="135"/>
        <v>1189100.6100000001</v>
      </c>
      <c r="AG8" s="37">
        <v>0</v>
      </c>
      <c r="AH8" s="37"/>
      <c r="AI8" s="37"/>
      <c r="AJ8" s="42">
        <f t="shared" si="136"/>
        <v>1189100.6100000001</v>
      </c>
      <c r="AK8" s="37">
        <v>20979.98</v>
      </c>
      <c r="AL8" s="37"/>
      <c r="AM8" s="37"/>
      <c r="AN8" s="42">
        <f t="shared" si="137"/>
        <v>1210080.5900000001</v>
      </c>
      <c r="AO8" s="37">
        <v>0</v>
      </c>
      <c r="AP8" s="37"/>
      <c r="AQ8" s="37"/>
      <c r="AR8" s="42">
        <f t="shared" si="138"/>
        <v>1210080.5900000001</v>
      </c>
      <c r="AS8" s="37">
        <v>0</v>
      </c>
      <c r="AT8" s="37"/>
      <c r="AU8" s="37"/>
      <c r="AV8" s="42">
        <f t="shared" si="139"/>
        <v>1210080.5900000001</v>
      </c>
      <c r="AW8" s="37">
        <v>174731.31000000008</v>
      </c>
      <c r="AX8" s="37"/>
      <c r="AY8" s="37"/>
      <c r="AZ8" s="42">
        <f t="shared" si="140"/>
        <v>1384811.9000000001</v>
      </c>
      <c r="BA8" s="37">
        <v>73000</v>
      </c>
      <c r="BB8" s="37"/>
      <c r="BC8" s="37"/>
      <c r="BD8" s="42">
        <f t="shared" si="141"/>
        <v>1457811.9000000001</v>
      </c>
      <c r="BE8" s="37">
        <v>0</v>
      </c>
      <c r="BF8" s="37"/>
      <c r="BG8" s="37"/>
      <c r="BH8" s="42">
        <f t="shared" si="142"/>
        <v>1457811.9000000001</v>
      </c>
      <c r="BI8" s="37">
        <v>160695.44000000006</v>
      </c>
      <c r="BJ8" s="37"/>
      <c r="BK8" s="37"/>
      <c r="BL8" s="42">
        <f t="shared" si="143"/>
        <v>1618507.3400000003</v>
      </c>
      <c r="BM8" s="37">
        <v>2500</v>
      </c>
      <c r="BN8" s="37"/>
      <c r="BO8" s="37"/>
      <c r="BP8" s="42">
        <f t="shared" si="144"/>
        <v>1621007.3400000003</v>
      </c>
      <c r="BQ8" s="37">
        <v>50000</v>
      </c>
      <c r="BR8" s="37"/>
      <c r="BS8" s="37"/>
      <c r="BT8" s="42">
        <f t="shared" si="145"/>
        <v>1671007.3400000003</v>
      </c>
      <c r="BU8" s="37">
        <v>0</v>
      </c>
      <c r="BV8" s="37"/>
      <c r="BW8" s="37"/>
      <c r="BX8" s="42">
        <f t="shared" si="146"/>
        <v>1671007.3400000003</v>
      </c>
      <c r="BY8" s="37">
        <v>0</v>
      </c>
      <c r="BZ8" s="37"/>
      <c r="CA8" s="37"/>
      <c r="CB8" s="42">
        <f t="shared" si="147"/>
        <v>1671007.3400000003</v>
      </c>
      <c r="CC8" s="37">
        <v>0</v>
      </c>
      <c r="CD8" s="37"/>
      <c r="CE8" s="37"/>
      <c r="CF8" s="42">
        <f t="shared" si="148"/>
        <v>1671007.3400000003</v>
      </c>
      <c r="CG8" s="37">
        <v>0</v>
      </c>
      <c r="CH8" s="37"/>
      <c r="CI8" s="37"/>
      <c r="CJ8" s="42">
        <f t="shared" si="149"/>
        <v>1671007.3400000003</v>
      </c>
      <c r="CK8" s="37">
        <v>0</v>
      </c>
      <c r="CL8" s="37"/>
      <c r="CM8" s="37"/>
      <c r="CN8" s="42">
        <f t="shared" si="150"/>
        <v>1671007.3400000003</v>
      </c>
      <c r="CO8" s="37">
        <v>0</v>
      </c>
      <c r="CP8" s="37"/>
      <c r="CQ8" s="37"/>
      <c r="CR8" s="42">
        <f t="shared" si="151"/>
        <v>1671007.3400000003</v>
      </c>
      <c r="CS8" s="37">
        <v>130000</v>
      </c>
      <c r="CT8" s="37"/>
      <c r="CU8" s="37"/>
      <c r="CV8" s="42">
        <f t="shared" si="152"/>
        <v>1801007.3400000003</v>
      </c>
      <c r="CW8" s="37">
        <v>82500</v>
      </c>
      <c r="CX8" s="37"/>
      <c r="CY8" s="37"/>
      <c r="CZ8" s="42">
        <f t="shared" si="153"/>
        <v>1883507.3400000003</v>
      </c>
      <c r="DA8" s="37">
        <v>0</v>
      </c>
      <c r="DB8" s="37"/>
      <c r="DC8" s="37"/>
      <c r="DD8" s="42">
        <f t="shared" si="154"/>
        <v>1883507.3400000003</v>
      </c>
      <c r="DE8" s="37">
        <v>0</v>
      </c>
      <c r="DF8" s="37"/>
      <c r="DG8" s="37"/>
      <c r="DH8" s="42">
        <f t="shared" si="155"/>
        <v>1883507.3400000003</v>
      </c>
      <c r="DI8" s="37">
        <v>0</v>
      </c>
      <c r="DJ8" s="37"/>
      <c r="DK8" s="37"/>
      <c r="DL8" s="42">
        <f t="shared" si="156"/>
        <v>1883507.3400000003</v>
      </c>
      <c r="DM8" s="37">
        <v>0</v>
      </c>
      <c r="DN8" s="37"/>
      <c r="DO8" s="37"/>
      <c r="DP8" s="42">
        <f t="shared" si="157"/>
        <v>1883507.3400000003</v>
      </c>
      <c r="DQ8" s="37">
        <v>0</v>
      </c>
      <c r="DR8" s="37"/>
      <c r="DS8" s="37"/>
      <c r="DT8" s="42">
        <f t="shared" si="158"/>
        <v>1883507.3400000003</v>
      </c>
      <c r="DU8" s="37">
        <v>0</v>
      </c>
      <c r="DV8" s="37"/>
      <c r="DW8" s="37"/>
      <c r="DX8" s="42">
        <f t="shared" si="159"/>
        <v>1883507.3400000003</v>
      </c>
      <c r="DY8" s="37">
        <v>0</v>
      </c>
      <c r="DZ8" s="37"/>
      <c r="EA8" s="37"/>
      <c r="EB8" s="42">
        <f t="shared" si="160"/>
        <v>1883507.3400000003</v>
      </c>
      <c r="EC8" s="37">
        <v>0</v>
      </c>
      <c r="ED8" s="37"/>
      <c r="EE8" s="37"/>
      <c r="EF8" s="42">
        <f t="shared" si="161"/>
        <v>1883507.3400000003</v>
      </c>
      <c r="EG8" s="37">
        <v>0</v>
      </c>
      <c r="EH8" s="37"/>
      <c r="EI8" s="37"/>
      <c r="EJ8" s="42">
        <f t="shared" si="162"/>
        <v>1883507.3400000003</v>
      </c>
      <c r="EK8" s="37">
        <v>0</v>
      </c>
      <c r="EL8" s="37"/>
      <c r="EM8" s="37"/>
      <c r="EN8" s="42">
        <f t="shared" si="163"/>
        <v>1883507.3400000003</v>
      </c>
      <c r="EO8" s="37">
        <v>0</v>
      </c>
      <c r="EP8" s="37"/>
      <c r="EQ8" s="37"/>
      <c r="ER8" s="42">
        <f t="shared" si="164"/>
        <v>1883507.3400000003</v>
      </c>
    </row>
    <row r="9" spans="1:148" x14ac:dyDescent="0.45">
      <c r="A9" s="23"/>
      <c r="B9" s="23">
        <v>352.2</v>
      </c>
      <c r="C9" s="23" t="s">
        <v>26</v>
      </c>
      <c r="D9" s="40">
        <v>621063.6</v>
      </c>
      <c r="E9" s="37">
        <v>0</v>
      </c>
      <c r="F9" s="37"/>
      <c r="G9" s="37"/>
      <c r="H9" s="42">
        <f t="shared" si="165"/>
        <v>621063.6</v>
      </c>
      <c r="I9" s="37">
        <v>0</v>
      </c>
      <c r="J9" s="37"/>
      <c r="K9" s="37"/>
      <c r="L9" s="42">
        <f t="shared" si="130"/>
        <v>621063.6</v>
      </c>
      <c r="M9" s="37">
        <v>0</v>
      </c>
      <c r="N9" s="37"/>
      <c r="O9" s="37"/>
      <c r="P9" s="42">
        <f t="shared" si="131"/>
        <v>621063.6</v>
      </c>
      <c r="Q9" s="37">
        <v>0</v>
      </c>
      <c r="R9" s="37"/>
      <c r="S9" s="37"/>
      <c r="T9" s="42">
        <f t="shared" si="132"/>
        <v>621063.6</v>
      </c>
      <c r="U9" s="37">
        <v>0</v>
      </c>
      <c r="V9" s="37"/>
      <c r="W9" s="37"/>
      <c r="X9" s="42">
        <f t="shared" si="133"/>
        <v>621063.6</v>
      </c>
      <c r="Y9" s="37">
        <v>0</v>
      </c>
      <c r="Z9" s="37"/>
      <c r="AA9" s="37"/>
      <c r="AB9" s="42">
        <f t="shared" si="134"/>
        <v>621063.6</v>
      </c>
      <c r="AC9" s="37">
        <v>0</v>
      </c>
      <c r="AD9" s="37"/>
      <c r="AE9" s="37"/>
      <c r="AF9" s="42">
        <f t="shared" si="135"/>
        <v>621063.6</v>
      </c>
      <c r="AG9" s="37">
        <v>0</v>
      </c>
      <c r="AH9" s="37"/>
      <c r="AI9" s="37"/>
      <c r="AJ9" s="42">
        <f t="shared" si="136"/>
        <v>621063.6</v>
      </c>
      <c r="AK9" s="37">
        <v>0</v>
      </c>
      <c r="AL9" s="37"/>
      <c r="AM9" s="37"/>
      <c r="AN9" s="42">
        <f t="shared" si="137"/>
        <v>621063.6</v>
      </c>
      <c r="AO9" s="37">
        <v>0</v>
      </c>
      <c r="AP9" s="37"/>
      <c r="AQ9" s="37"/>
      <c r="AR9" s="42">
        <f t="shared" si="138"/>
        <v>621063.6</v>
      </c>
      <c r="AS9" s="37">
        <v>0</v>
      </c>
      <c r="AT9" s="37"/>
      <c r="AU9" s="37"/>
      <c r="AV9" s="42">
        <f t="shared" si="139"/>
        <v>621063.6</v>
      </c>
      <c r="AW9" s="37">
        <v>0</v>
      </c>
      <c r="AX9" s="37"/>
      <c r="AY9" s="37"/>
      <c r="AZ9" s="42">
        <f t="shared" si="140"/>
        <v>621063.6</v>
      </c>
      <c r="BA9" s="37">
        <v>81500</v>
      </c>
      <c r="BB9" s="37"/>
      <c r="BC9" s="37"/>
      <c r="BD9" s="42">
        <f t="shared" si="141"/>
        <v>702563.6</v>
      </c>
      <c r="BE9" s="37">
        <v>55000</v>
      </c>
      <c r="BF9" s="37"/>
      <c r="BG9" s="37"/>
      <c r="BH9" s="42">
        <f t="shared" si="142"/>
        <v>757563.6</v>
      </c>
      <c r="BI9" s="37">
        <v>97500</v>
      </c>
      <c r="BJ9" s="37"/>
      <c r="BK9" s="37"/>
      <c r="BL9" s="42">
        <f t="shared" si="143"/>
        <v>855063.6</v>
      </c>
      <c r="BM9" s="37">
        <v>0</v>
      </c>
      <c r="BN9" s="37"/>
      <c r="BO9" s="37"/>
      <c r="BP9" s="42">
        <f t="shared" si="144"/>
        <v>855063.6</v>
      </c>
      <c r="BQ9" s="37">
        <v>31500</v>
      </c>
      <c r="BR9" s="37"/>
      <c r="BS9" s="37"/>
      <c r="BT9" s="42">
        <f t="shared" si="145"/>
        <v>886563.6</v>
      </c>
      <c r="BU9" s="37">
        <v>0</v>
      </c>
      <c r="BV9" s="37"/>
      <c r="BW9" s="37"/>
      <c r="BX9" s="42">
        <f t="shared" si="146"/>
        <v>886563.6</v>
      </c>
      <c r="BY9" s="37">
        <v>30000</v>
      </c>
      <c r="BZ9" s="37"/>
      <c r="CA9" s="37"/>
      <c r="CB9" s="42">
        <f t="shared" si="147"/>
        <v>916563.6</v>
      </c>
      <c r="CC9" s="37">
        <v>0</v>
      </c>
      <c r="CD9" s="37"/>
      <c r="CE9" s="37"/>
      <c r="CF9" s="42">
        <f t="shared" si="148"/>
        <v>916563.6</v>
      </c>
      <c r="CG9" s="37">
        <v>0</v>
      </c>
      <c r="CH9" s="37"/>
      <c r="CI9" s="37"/>
      <c r="CJ9" s="42">
        <f t="shared" si="149"/>
        <v>916563.6</v>
      </c>
      <c r="CK9" s="37">
        <v>0</v>
      </c>
      <c r="CL9" s="37"/>
      <c r="CM9" s="37"/>
      <c r="CN9" s="42">
        <f t="shared" si="150"/>
        <v>916563.6</v>
      </c>
      <c r="CO9" s="37">
        <v>0</v>
      </c>
      <c r="CP9" s="37"/>
      <c r="CQ9" s="37"/>
      <c r="CR9" s="42">
        <f t="shared" si="151"/>
        <v>916563.6</v>
      </c>
      <c r="CS9" s="37">
        <v>0</v>
      </c>
      <c r="CT9" s="37"/>
      <c r="CU9" s="37"/>
      <c r="CV9" s="42">
        <f t="shared" si="152"/>
        <v>916563.6</v>
      </c>
      <c r="CW9" s="37">
        <v>50000</v>
      </c>
      <c r="CX9" s="37"/>
      <c r="CY9" s="37"/>
      <c r="CZ9" s="42">
        <f t="shared" si="153"/>
        <v>966563.6</v>
      </c>
      <c r="DA9" s="37">
        <v>0</v>
      </c>
      <c r="DB9" s="37"/>
      <c r="DC9" s="37"/>
      <c r="DD9" s="42">
        <f t="shared" si="154"/>
        <v>966563.6</v>
      </c>
      <c r="DE9" s="37">
        <v>0</v>
      </c>
      <c r="DF9" s="37"/>
      <c r="DG9" s="37"/>
      <c r="DH9" s="42">
        <f t="shared" si="155"/>
        <v>966563.6</v>
      </c>
      <c r="DI9" s="37">
        <v>0</v>
      </c>
      <c r="DJ9" s="37"/>
      <c r="DK9" s="37"/>
      <c r="DL9" s="42">
        <f t="shared" si="156"/>
        <v>966563.6</v>
      </c>
      <c r="DM9" s="37">
        <v>0</v>
      </c>
      <c r="DN9" s="37"/>
      <c r="DO9" s="37"/>
      <c r="DP9" s="42">
        <f t="shared" si="157"/>
        <v>966563.6</v>
      </c>
      <c r="DQ9" s="37">
        <v>0</v>
      </c>
      <c r="DR9" s="37"/>
      <c r="DS9" s="37"/>
      <c r="DT9" s="42">
        <f t="shared" si="158"/>
        <v>966563.6</v>
      </c>
      <c r="DU9" s="37">
        <v>0</v>
      </c>
      <c r="DV9" s="37"/>
      <c r="DW9" s="37"/>
      <c r="DX9" s="42">
        <f t="shared" si="159"/>
        <v>966563.6</v>
      </c>
      <c r="DY9" s="37">
        <v>0</v>
      </c>
      <c r="DZ9" s="37"/>
      <c r="EA9" s="37"/>
      <c r="EB9" s="42">
        <f t="shared" si="160"/>
        <v>966563.6</v>
      </c>
      <c r="EC9" s="37">
        <v>0</v>
      </c>
      <c r="ED9" s="37"/>
      <c r="EE9" s="37"/>
      <c r="EF9" s="42">
        <f t="shared" si="161"/>
        <v>966563.6</v>
      </c>
      <c r="EG9" s="37">
        <v>0</v>
      </c>
      <c r="EH9" s="37"/>
      <c r="EI9" s="37"/>
      <c r="EJ9" s="42">
        <f t="shared" si="162"/>
        <v>966563.6</v>
      </c>
      <c r="EK9" s="37">
        <v>0</v>
      </c>
      <c r="EL9" s="37"/>
      <c r="EM9" s="37"/>
      <c r="EN9" s="42">
        <f t="shared" si="163"/>
        <v>966563.6</v>
      </c>
      <c r="EO9" s="37">
        <v>0</v>
      </c>
      <c r="EP9" s="37"/>
      <c r="EQ9" s="37"/>
      <c r="ER9" s="42">
        <f t="shared" si="164"/>
        <v>966563.6</v>
      </c>
    </row>
    <row r="10" spans="1:148" x14ac:dyDescent="0.45">
      <c r="A10" s="23"/>
      <c r="B10" s="23">
        <v>363</v>
      </c>
      <c r="C10" s="23" t="s">
        <v>27</v>
      </c>
      <c r="D10" s="40">
        <v>29587.13</v>
      </c>
      <c r="E10" s="37">
        <v>11444.89</v>
      </c>
      <c r="F10" s="37"/>
      <c r="G10" s="37"/>
      <c r="H10" s="42">
        <f t="shared" si="165"/>
        <v>41032.020000000004</v>
      </c>
      <c r="I10" s="37">
        <v>1223.19</v>
      </c>
      <c r="J10" s="37"/>
      <c r="K10" s="37"/>
      <c r="L10" s="42">
        <f t="shared" si="130"/>
        <v>42255.210000000006</v>
      </c>
      <c r="M10" s="37">
        <v>6792.23</v>
      </c>
      <c r="N10" s="37"/>
      <c r="O10" s="37"/>
      <c r="P10" s="42">
        <f t="shared" si="131"/>
        <v>49047.44</v>
      </c>
      <c r="Q10" s="37">
        <v>8947.7200000000012</v>
      </c>
      <c r="R10" s="37"/>
      <c r="S10" s="37"/>
      <c r="T10" s="42">
        <f t="shared" si="132"/>
        <v>57995.16</v>
      </c>
      <c r="U10" s="37">
        <v>0</v>
      </c>
      <c r="V10" s="37"/>
      <c r="W10" s="37"/>
      <c r="X10" s="42">
        <f t="shared" si="133"/>
        <v>57995.16</v>
      </c>
      <c r="Y10" s="37">
        <v>7200.41</v>
      </c>
      <c r="Z10" s="37"/>
      <c r="AA10" s="37"/>
      <c r="AB10" s="42">
        <f t="shared" si="134"/>
        <v>65195.570000000007</v>
      </c>
      <c r="AC10" s="37">
        <v>0</v>
      </c>
      <c r="AD10" s="37"/>
      <c r="AE10" s="37"/>
      <c r="AF10" s="42">
        <f t="shared" si="135"/>
        <v>65195.570000000007</v>
      </c>
      <c r="AG10" s="37">
        <v>0</v>
      </c>
      <c r="AH10" s="37"/>
      <c r="AI10" s="37"/>
      <c r="AJ10" s="42">
        <f t="shared" si="136"/>
        <v>65195.570000000007</v>
      </c>
      <c r="AK10" s="37">
        <v>27825</v>
      </c>
      <c r="AL10" s="37"/>
      <c r="AM10" s="37"/>
      <c r="AN10" s="42">
        <f t="shared" si="137"/>
        <v>93020.57</v>
      </c>
      <c r="AO10" s="37">
        <v>0</v>
      </c>
      <c r="AP10" s="37"/>
      <c r="AQ10" s="37"/>
      <c r="AR10" s="42">
        <f t="shared" si="138"/>
        <v>93020.57</v>
      </c>
      <c r="AS10" s="37">
        <v>0</v>
      </c>
      <c r="AT10" s="37"/>
      <c r="AU10" s="37"/>
      <c r="AV10" s="42">
        <f t="shared" si="139"/>
        <v>93020.57</v>
      </c>
      <c r="AW10" s="37">
        <v>0</v>
      </c>
      <c r="AX10" s="37"/>
      <c r="AY10" s="37"/>
      <c r="AZ10" s="42">
        <f t="shared" si="140"/>
        <v>93020.57</v>
      </c>
      <c r="BA10" s="37">
        <v>0</v>
      </c>
      <c r="BB10" s="37"/>
      <c r="BC10" s="37"/>
      <c r="BD10" s="42">
        <f t="shared" si="141"/>
        <v>93020.57</v>
      </c>
      <c r="BE10" s="37">
        <v>0</v>
      </c>
      <c r="BF10" s="37"/>
      <c r="BG10" s="37"/>
      <c r="BH10" s="42">
        <f t="shared" si="142"/>
        <v>93020.57</v>
      </c>
      <c r="BI10" s="37">
        <v>0</v>
      </c>
      <c r="BJ10" s="37"/>
      <c r="BK10" s="37"/>
      <c r="BL10" s="42">
        <f t="shared" si="143"/>
        <v>93020.57</v>
      </c>
      <c r="BM10" s="37">
        <v>70000</v>
      </c>
      <c r="BN10" s="37"/>
      <c r="BO10" s="37"/>
      <c r="BP10" s="42">
        <f t="shared" si="144"/>
        <v>163020.57</v>
      </c>
      <c r="BQ10" s="37">
        <v>0</v>
      </c>
      <c r="BR10" s="37"/>
      <c r="BS10" s="37"/>
      <c r="BT10" s="42">
        <f t="shared" si="145"/>
        <v>163020.57</v>
      </c>
      <c r="BU10" s="37">
        <v>0</v>
      </c>
      <c r="BV10" s="37"/>
      <c r="BW10" s="37"/>
      <c r="BX10" s="42">
        <f t="shared" si="146"/>
        <v>163020.57</v>
      </c>
      <c r="BY10" s="37">
        <v>0</v>
      </c>
      <c r="BZ10" s="37"/>
      <c r="CA10" s="37"/>
      <c r="CB10" s="42">
        <f t="shared" si="147"/>
        <v>163020.57</v>
      </c>
      <c r="CC10" s="37">
        <v>0</v>
      </c>
      <c r="CD10" s="37"/>
      <c r="CE10" s="37"/>
      <c r="CF10" s="42">
        <f t="shared" si="148"/>
        <v>163020.57</v>
      </c>
      <c r="CG10" s="37">
        <v>0</v>
      </c>
      <c r="CH10" s="37"/>
      <c r="CI10" s="37"/>
      <c r="CJ10" s="42">
        <f t="shared" si="149"/>
        <v>163020.57</v>
      </c>
      <c r="CK10" s="37">
        <v>0</v>
      </c>
      <c r="CL10" s="37"/>
      <c r="CM10" s="37"/>
      <c r="CN10" s="42">
        <f t="shared" si="150"/>
        <v>163020.57</v>
      </c>
      <c r="CO10" s="37">
        <v>0</v>
      </c>
      <c r="CP10" s="37"/>
      <c r="CQ10" s="37"/>
      <c r="CR10" s="42">
        <f t="shared" si="151"/>
        <v>163020.57</v>
      </c>
      <c r="CS10" s="37">
        <v>0</v>
      </c>
      <c r="CT10" s="37"/>
      <c r="CU10" s="37"/>
      <c r="CV10" s="42">
        <f t="shared" si="152"/>
        <v>163020.57</v>
      </c>
      <c r="CW10" s="37">
        <v>38000</v>
      </c>
      <c r="CX10" s="37"/>
      <c r="CY10" s="37"/>
      <c r="CZ10" s="42">
        <f t="shared" si="153"/>
        <v>201020.57</v>
      </c>
      <c r="DA10" s="37">
        <v>0</v>
      </c>
      <c r="DB10" s="37"/>
      <c r="DC10" s="37"/>
      <c r="DD10" s="42">
        <f t="shared" si="154"/>
        <v>201020.57</v>
      </c>
      <c r="DE10" s="37">
        <v>0</v>
      </c>
      <c r="DF10" s="37"/>
      <c r="DG10" s="37"/>
      <c r="DH10" s="42">
        <f t="shared" si="155"/>
        <v>201020.57</v>
      </c>
      <c r="DI10" s="37">
        <v>32000</v>
      </c>
      <c r="DJ10" s="37"/>
      <c r="DK10" s="37"/>
      <c r="DL10" s="42">
        <f t="shared" si="156"/>
        <v>233020.57</v>
      </c>
      <c r="DM10" s="37">
        <v>0</v>
      </c>
      <c r="DN10" s="37"/>
      <c r="DO10" s="37"/>
      <c r="DP10" s="42">
        <f t="shared" si="157"/>
        <v>233020.57</v>
      </c>
      <c r="DQ10" s="37">
        <v>0</v>
      </c>
      <c r="DR10" s="37"/>
      <c r="DS10" s="37"/>
      <c r="DT10" s="42">
        <f t="shared" si="158"/>
        <v>233020.57</v>
      </c>
      <c r="DU10" s="37">
        <v>0</v>
      </c>
      <c r="DV10" s="37"/>
      <c r="DW10" s="37"/>
      <c r="DX10" s="42">
        <f t="shared" si="159"/>
        <v>233020.57</v>
      </c>
      <c r="DY10" s="37">
        <v>0</v>
      </c>
      <c r="DZ10" s="37"/>
      <c r="EA10" s="37"/>
      <c r="EB10" s="42">
        <f t="shared" si="160"/>
        <v>233020.57</v>
      </c>
      <c r="EC10" s="37">
        <v>0</v>
      </c>
      <c r="ED10" s="37"/>
      <c r="EE10" s="37"/>
      <c r="EF10" s="42">
        <f t="shared" si="161"/>
        <v>233020.57</v>
      </c>
      <c r="EG10" s="37">
        <v>0</v>
      </c>
      <c r="EH10" s="37"/>
      <c r="EI10" s="37"/>
      <c r="EJ10" s="42">
        <f t="shared" si="162"/>
        <v>233020.57</v>
      </c>
      <c r="EK10" s="37">
        <v>0</v>
      </c>
      <c r="EL10" s="37"/>
      <c r="EM10" s="37"/>
      <c r="EN10" s="42">
        <f t="shared" si="163"/>
        <v>233020.57</v>
      </c>
      <c r="EO10" s="37">
        <v>0</v>
      </c>
      <c r="EP10" s="37"/>
      <c r="EQ10" s="37"/>
      <c r="ER10" s="42">
        <f t="shared" si="164"/>
        <v>233020.57</v>
      </c>
    </row>
    <row r="11" spans="1:148" x14ac:dyDescent="0.45">
      <c r="A11" s="23"/>
      <c r="B11" s="23">
        <v>370</v>
      </c>
      <c r="C11" s="23" t="s">
        <v>23</v>
      </c>
      <c r="D11" s="40">
        <v>10756.67</v>
      </c>
      <c r="E11" s="37">
        <v>0</v>
      </c>
      <c r="F11" s="37"/>
      <c r="G11" s="37"/>
      <c r="H11" s="42">
        <f t="shared" si="165"/>
        <v>10756.67</v>
      </c>
      <c r="I11" s="37">
        <v>0</v>
      </c>
      <c r="J11" s="37"/>
      <c r="K11" s="37"/>
      <c r="L11" s="42">
        <f t="shared" si="130"/>
        <v>10756.67</v>
      </c>
      <c r="M11" s="37">
        <v>0</v>
      </c>
      <c r="N11" s="37"/>
      <c r="O11" s="37"/>
      <c r="P11" s="42">
        <f t="shared" si="131"/>
        <v>10756.67</v>
      </c>
      <c r="Q11" s="37">
        <v>0</v>
      </c>
      <c r="R11" s="37"/>
      <c r="S11" s="37"/>
      <c r="T11" s="42">
        <f t="shared" si="132"/>
        <v>10756.67</v>
      </c>
      <c r="U11" s="37">
        <v>0</v>
      </c>
      <c r="V11" s="37"/>
      <c r="W11" s="37"/>
      <c r="X11" s="42">
        <f t="shared" si="133"/>
        <v>10756.67</v>
      </c>
      <c r="Y11" s="37">
        <v>0</v>
      </c>
      <c r="Z11" s="37"/>
      <c r="AA11" s="37"/>
      <c r="AB11" s="42">
        <f t="shared" si="134"/>
        <v>10756.67</v>
      </c>
      <c r="AC11" s="37">
        <v>0</v>
      </c>
      <c r="AD11" s="37"/>
      <c r="AE11" s="37"/>
      <c r="AF11" s="42">
        <f t="shared" si="135"/>
        <v>10756.67</v>
      </c>
      <c r="AG11" s="37">
        <v>0</v>
      </c>
      <c r="AH11" s="37"/>
      <c r="AI11" s="37"/>
      <c r="AJ11" s="42">
        <f t="shared" si="136"/>
        <v>10756.67</v>
      </c>
      <c r="AK11" s="37">
        <v>0</v>
      </c>
      <c r="AL11" s="37"/>
      <c r="AM11" s="37"/>
      <c r="AN11" s="42">
        <f t="shared" si="137"/>
        <v>10756.67</v>
      </c>
      <c r="AO11" s="37">
        <v>0</v>
      </c>
      <c r="AP11" s="37"/>
      <c r="AQ11" s="37"/>
      <c r="AR11" s="42">
        <f t="shared" si="138"/>
        <v>10756.67</v>
      </c>
      <c r="AS11" s="37">
        <v>0</v>
      </c>
      <c r="AT11" s="37"/>
      <c r="AU11" s="37"/>
      <c r="AV11" s="42">
        <f t="shared" si="139"/>
        <v>10756.67</v>
      </c>
      <c r="AW11" s="37">
        <v>0</v>
      </c>
      <c r="AX11" s="37"/>
      <c r="AY11" s="37"/>
      <c r="AZ11" s="42">
        <f t="shared" si="140"/>
        <v>10756.67</v>
      </c>
      <c r="BA11" s="37">
        <v>0</v>
      </c>
      <c r="BB11" s="37"/>
      <c r="BC11" s="37"/>
      <c r="BD11" s="42">
        <f t="shared" si="141"/>
        <v>10756.67</v>
      </c>
      <c r="BE11" s="37">
        <v>0</v>
      </c>
      <c r="BF11" s="37"/>
      <c r="BG11" s="37"/>
      <c r="BH11" s="42">
        <f t="shared" si="142"/>
        <v>10756.67</v>
      </c>
      <c r="BI11" s="37">
        <v>0</v>
      </c>
      <c r="BJ11" s="37"/>
      <c r="BK11" s="37"/>
      <c r="BL11" s="42">
        <f t="shared" si="143"/>
        <v>10756.67</v>
      </c>
      <c r="BM11" s="37">
        <v>0</v>
      </c>
      <c r="BN11" s="37"/>
      <c r="BO11" s="37"/>
      <c r="BP11" s="42">
        <f t="shared" si="144"/>
        <v>10756.67</v>
      </c>
      <c r="BQ11" s="37">
        <v>0</v>
      </c>
      <c r="BR11" s="37"/>
      <c r="BS11" s="37"/>
      <c r="BT11" s="42">
        <f t="shared" si="145"/>
        <v>10756.67</v>
      </c>
      <c r="BU11" s="37">
        <v>0</v>
      </c>
      <c r="BV11" s="37"/>
      <c r="BW11" s="37"/>
      <c r="BX11" s="42">
        <f t="shared" si="146"/>
        <v>10756.67</v>
      </c>
      <c r="BY11" s="37">
        <v>0</v>
      </c>
      <c r="BZ11" s="37"/>
      <c r="CA11" s="37"/>
      <c r="CB11" s="42">
        <f t="shared" si="147"/>
        <v>10756.67</v>
      </c>
      <c r="CC11" s="37">
        <v>0</v>
      </c>
      <c r="CD11" s="37"/>
      <c r="CE11" s="37"/>
      <c r="CF11" s="42">
        <f t="shared" si="148"/>
        <v>10756.67</v>
      </c>
      <c r="CG11" s="37">
        <v>0</v>
      </c>
      <c r="CH11" s="37"/>
      <c r="CI11" s="37"/>
      <c r="CJ11" s="42">
        <f t="shared" si="149"/>
        <v>10756.67</v>
      </c>
      <c r="CK11" s="37">
        <v>0</v>
      </c>
      <c r="CL11" s="37"/>
      <c r="CM11" s="37"/>
      <c r="CN11" s="42">
        <f t="shared" si="150"/>
        <v>10756.67</v>
      </c>
      <c r="CO11" s="37">
        <v>0</v>
      </c>
      <c r="CP11" s="37"/>
      <c r="CQ11" s="37"/>
      <c r="CR11" s="42">
        <f t="shared" si="151"/>
        <v>10756.67</v>
      </c>
      <c r="CS11" s="37">
        <v>0</v>
      </c>
      <c r="CT11" s="37"/>
      <c r="CU11" s="37"/>
      <c r="CV11" s="42">
        <f t="shared" si="152"/>
        <v>10756.67</v>
      </c>
      <c r="CW11" s="37">
        <v>0</v>
      </c>
      <c r="CX11" s="37"/>
      <c r="CY11" s="37"/>
      <c r="CZ11" s="42">
        <f t="shared" si="153"/>
        <v>10756.67</v>
      </c>
      <c r="DA11" s="37">
        <v>0</v>
      </c>
      <c r="DB11" s="37"/>
      <c r="DC11" s="37"/>
      <c r="DD11" s="42">
        <f t="shared" si="154"/>
        <v>10756.67</v>
      </c>
      <c r="DE11" s="37">
        <v>0</v>
      </c>
      <c r="DF11" s="37"/>
      <c r="DG11" s="37"/>
      <c r="DH11" s="42">
        <f t="shared" si="155"/>
        <v>10756.67</v>
      </c>
      <c r="DI11" s="37">
        <v>0</v>
      </c>
      <c r="DJ11" s="37"/>
      <c r="DK11" s="37"/>
      <c r="DL11" s="42">
        <f t="shared" si="156"/>
        <v>10756.67</v>
      </c>
      <c r="DM11" s="37">
        <v>0</v>
      </c>
      <c r="DN11" s="37"/>
      <c r="DO11" s="37"/>
      <c r="DP11" s="42">
        <f t="shared" si="157"/>
        <v>10756.67</v>
      </c>
      <c r="DQ11" s="37">
        <v>0</v>
      </c>
      <c r="DR11" s="37"/>
      <c r="DS11" s="37"/>
      <c r="DT11" s="42">
        <f t="shared" si="158"/>
        <v>10756.67</v>
      </c>
      <c r="DU11" s="37">
        <v>0</v>
      </c>
      <c r="DV11" s="37"/>
      <c r="DW11" s="37"/>
      <c r="DX11" s="42">
        <f t="shared" si="159"/>
        <v>10756.67</v>
      </c>
      <c r="DY11" s="37">
        <v>0</v>
      </c>
      <c r="DZ11" s="37"/>
      <c r="EA11" s="37"/>
      <c r="EB11" s="42">
        <f t="shared" si="160"/>
        <v>10756.67</v>
      </c>
      <c r="EC11" s="37">
        <v>0</v>
      </c>
      <c r="ED11" s="37"/>
      <c r="EE11" s="37"/>
      <c r="EF11" s="42">
        <f t="shared" si="161"/>
        <v>10756.67</v>
      </c>
      <c r="EG11" s="37">
        <v>0</v>
      </c>
      <c r="EH11" s="37"/>
      <c r="EI11" s="37"/>
      <c r="EJ11" s="42">
        <f t="shared" si="162"/>
        <v>10756.67</v>
      </c>
      <c r="EK11" s="37">
        <v>0</v>
      </c>
      <c r="EL11" s="37"/>
      <c r="EM11" s="37"/>
      <c r="EN11" s="42">
        <f t="shared" si="163"/>
        <v>10756.67</v>
      </c>
      <c r="EO11" s="37">
        <v>0</v>
      </c>
      <c r="EP11" s="37"/>
      <c r="EQ11" s="37"/>
      <c r="ER11" s="42">
        <f t="shared" si="164"/>
        <v>10756.67</v>
      </c>
    </row>
    <row r="12" spans="1:148" x14ac:dyDescent="0.45">
      <c r="A12" s="23"/>
      <c r="B12" s="23">
        <v>372</v>
      </c>
      <c r="C12" s="23" t="s">
        <v>28</v>
      </c>
      <c r="D12" s="40">
        <v>407215</v>
      </c>
      <c r="E12" s="37">
        <v>0</v>
      </c>
      <c r="F12" s="37"/>
      <c r="G12" s="37"/>
      <c r="H12" s="42">
        <f t="shared" si="165"/>
        <v>407215</v>
      </c>
      <c r="I12" s="37">
        <v>0</v>
      </c>
      <c r="J12" s="37"/>
      <c r="K12" s="37"/>
      <c r="L12" s="42">
        <f t="shared" si="130"/>
        <v>407215</v>
      </c>
      <c r="M12" s="37">
        <v>0</v>
      </c>
      <c r="N12" s="37"/>
      <c r="O12" s="37"/>
      <c r="P12" s="42">
        <f t="shared" si="131"/>
        <v>407215</v>
      </c>
      <c r="Q12" s="37">
        <v>0</v>
      </c>
      <c r="R12" s="37"/>
      <c r="S12" s="37"/>
      <c r="T12" s="42">
        <f t="shared" si="132"/>
        <v>407215</v>
      </c>
      <c r="U12" s="37">
        <v>0</v>
      </c>
      <c r="V12" s="37"/>
      <c r="W12" s="37"/>
      <c r="X12" s="42">
        <f t="shared" si="133"/>
        <v>407215</v>
      </c>
      <c r="Y12" s="37">
        <v>0</v>
      </c>
      <c r="Z12" s="37"/>
      <c r="AA12" s="37"/>
      <c r="AB12" s="42">
        <f t="shared" si="134"/>
        <v>407215</v>
      </c>
      <c r="AC12" s="37">
        <v>0</v>
      </c>
      <c r="AD12" s="37"/>
      <c r="AE12" s="37"/>
      <c r="AF12" s="42">
        <f t="shared" si="135"/>
        <v>407215</v>
      </c>
      <c r="AG12" s="37">
        <v>0</v>
      </c>
      <c r="AH12" s="37"/>
      <c r="AI12" s="37"/>
      <c r="AJ12" s="42">
        <f t="shared" si="136"/>
        <v>407215</v>
      </c>
      <c r="AK12" s="37">
        <v>0</v>
      </c>
      <c r="AL12" s="37"/>
      <c r="AM12" s="37"/>
      <c r="AN12" s="42">
        <f t="shared" si="137"/>
        <v>407215</v>
      </c>
      <c r="AO12" s="37">
        <v>0</v>
      </c>
      <c r="AP12" s="37"/>
      <c r="AQ12" s="37"/>
      <c r="AR12" s="42">
        <f t="shared" si="138"/>
        <v>407215</v>
      </c>
      <c r="AS12" s="37">
        <v>0</v>
      </c>
      <c r="AT12" s="37"/>
      <c r="AU12" s="37"/>
      <c r="AV12" s="42">
        <f t="shared" si="139"/>
        <v>407215</v>
      </c>
      <c r="AW12" s="37">
        <v>0</v>
      </c>
      <c r="AX12" s="37"/>
      <c r="AY12" s="37"/>
      <c r="AZ12" s="42">
        <f t="shared" si="140"/>
        <v>407215</v>
      </c>
      <c r="BA12" s="37">
        <v>127500</v>
      </c>
      <c r="BB12" s="37"/>
      <c r="BC12" s="37"/>
      <c r="BD12" s="42">
        <f t="shared" si="141"/>
        <v>534715</v>
      </c>
      <c r="BE12" s="37">
        <v>75000</v>
      </c>
      <c r="BF12" s="37"/>
      <c r="BG12" s="37"/>
      <c r="BH12" s="42">
        <f t="shared" si="142"/>
        <v>609715</v>
      </c>
      <c r="BI12" s="37">
        <v>386500</v>
      </c>
      <c r="BJ12" s="37"/>
      <c r="BK12" s="37"/>
      <c r="BL12" s="42">
        <f t="shared" si="143"/>
        <v>996215</v>
      </c>
      <c r="BM12" s="37">
        <v>210000</v>
      </c>
      <c r="BN12" s="37"/>
      <c r="BO12" s="37"/>
      <c r="BP12" s="42">
        <f t="shared" si="144"/>
        <v>1206215</v>
      </c>
      <c r="BQ12" s="37">
        <v>655000</v>
      </c>
      <c r="BR12" s="37"/>
      <c r="BS12" s="37"/>
      <c r="BT12" s="42">
        <f t="shared" si="145"/>
        <v>1861215</v>
      </c>
      <c r="BU12" s="37">
        <v>0</v>
      </c>
      <c r="BV12" s="37"/>
      <c r="BW12" s="37"/>
      <c r="BX12" s="42">
        <f t="shared" si="146"/>
        <v>1861215</v>
      </c>
      <c r="BY12" s="37">
        <v>30000</v>
      </c>
      <c r="BZ12" s="37"/>
      <c r="CA12" s="37"/>
      <c r="CB12" s="42">
        <f t="shared" si="147"/>
        <v>1891215</v>
      </c>
      <c r="CC12" s="37">
        <v>0</v>
      </c>
      <c r="CD12" s="37"/>
      <c r="CE12" s="37"/>
      <c r="CF12" s="42">
        <f t="shared" si="148"/>
        <v>1891215</v>
      </c>
      <c r="CG12" s="37">
        <v>0</v>
      </c>
      <c r="CH12" s="37"/>
      <c r="CI12" s="37"/>
      <c r="CJ12" s="42">
        <f t="shared" si="149"/>
        <v>1891215</v>
      </c>
      <c r="CK12" s="37">
        <v>0</v>
      </c>
      <c r="CL12" s="37"/>
      <c r="CM12" s="37"/>
      <c r="CN12" s="42">
        <f t="shared" si="150"/>
        <v>1891215</v>
      </c>
      <c r="CO12" s="37">
        <v>0</v>
      </c>
      <c r="CP12" s="37"/>
      <c r="CQ12" s="37"/>
      <c r="CR12" s="42">
        <f t="shared" si="151"/>
        <v>1891215</v>
      </c>
      <c r="CS12" s="37">
        <v>0</v>
      </c>
      <c r="CT12" s="37"/>
      <c r="CU12" s="37"/>
      <c r="CV12" s="42">
        <f t="shared" si="152"/>
        <v>1891215</v>
      </c>
      <c r="CW12" s="37">
        <v>230000</v>
      </c>
      <c r="CX12" s="37"/>
      <c r="CY12" s="37"/>
      <c r="CZ12" s="42">
        <f t="shared" si="153"/>
        <v>2121215</v>
      </c>
      <c r="DA12" s="37">
        <v>0</v>
      </c>
      <c r="DB12" s="37"/>
      <c r="DC12" s="37"/>
      <c r="DD12" s="42">
        <f t="shared" si="154"/>
        <v>2121215</v>
      </c>
      <c r="DE12" s="37">
        <v>0</v>
      </c>
      <c r="DF12" s="37"/>
      <c r="DG12" s="37"/>
      <c r="DH12" s="42">
        <f t="shared" si="155"/>
        <v>2121215</v>
      </c>
      <c r="DI12" s="37">
        <v>751500</v>
      </c>
      <c r="DJ12" s="37"/>
      <c r="DK12" s="37"/>
      <c r="DL12" s="42">
        <f t="shared" si="156"/>
        <v>2872715</v>
      </c>
      <c r="DM12" s="37">
        <v>0</v>
      </c>
      <c r="DN12" s="37"/>
      <c r="DO12" s="37"/>
      <c r="DP12" s="42">
        <f t="shared" si="157"/>
        <v>2872715</v>
      </c>
      <c r="DQ12" s="37">
        <v>0</v>
      </c>
      <c r="DR12" s="37"/>
      <c r="DS12" s="37"/>
      <c r="DT12" s="42">
        <f t="shared" si="158"/>
        <v>2872715</v>
      </c>
      <c r="DU12" s="37">
        <v>0</v>
      </c>
      <c r="DV12" s="37"/>
      <c r="DW12" s="37"/>
      <c r="DX12" s="42">
        <f t="shared" si="159"/>
        <v>2872715</v>
      </c>
      <c r="DY12" s="37">
        <v>0</v>
      </c>
      <c r="DZ12" s="37"/>
      <c r="EA12" s="37"/>
      <c r="EB12" s="42">
        <f t="shared" si="160"/>
        <v>2872715</v>
      </c>
      <c r="EC12" s="37">
        <v>0</v>
      </c>
      <c r="ED12" s="37"/>
      <c r="EE12" s="37"/>
      <c r="EF12" s="42">
        <f t="shared" si="161"/>
        <v>2872715</v>
      </c>
      <c r="EG12" s="37">
        <v>0</v>
      </c>
      <c r="EH12" s="37"/>
      <c r="EI12" s="37"/>
      <c r="EJ12" s="42">
        <f t="shared" si="162"/>
        <v>2872715</v>
      </c>
      <c r="EK12" s="37">
        <v>0</v>
      </c>
      <c r="EL12" s="37"/>
      <c r="EM12" s="37"/>
      <c r="EN12" s="42">
        <f t="shared" si="163"/>
        <v>2872715</v>
      </c>
      <c r="EO12" s="37">
        <v>0</v>
      </c>
      <c r="EP12" s="37"/>
      <c r="EQ12" s="37"/>
      <c r="ER12" s="42">
        <f t="shared" si="164"/>
        <v>2872715</v>
      </c>
    </row>
    <row r="13" spans="1:148" x14ac:dyDescent="0.45">
      <c r="A13" s="23"/>
      <c r="B13" s="23">
        <v>373</v>
      </c>
      <c r="C13" s="23" t="s">
        <v>29</v>
      </c>
      <c r="D13" s="40">
        <v>192288</v>
      </c>
      <c r="E13" s="37">
        <v>78834.48000000001</v>
      </c>
      <c r="F13" s="37"/>
      <c r="G13" s="37"/>
      <c r="H13" s="42">
        <f t="shared" si="165"/>
        <v>271122.48</v>
      </c>
      <c r="I13" s="37">
        <v>1117.54</v>
      </c>
      <c r="J13" s="37"/>
      <c r="K13" s="37"/>
      <c r="L13" s="42">
        <f t="shared" si="130"/>
        <v>272240.01999999996</v>
      </c>
      <c r="M13" s="37">
        <v>139615.5595</v>
      </c>
      <c r="N13" s="37"/>
      <c r="O13" s="37"/>
      <c r="P13" s="42">
        <f t="shared" si="131"/>
        <v>411855.57949999999</v>
      </c>
      <c r="Q13" s="37">
        <v>375</v>
      </c>
      <c r="R13" s="37"/>
      <c r="S13" s="37"/>
      <c r="T13" s="42">
        <f t="shared" si="132"/>
        <v>412230.57949999999</v>
      </c>
      <c r="U13" s="37">
        <v>8235.59</v>
      </c>
      <c r="V13" s="37"/>
      <c r="W13" s="37"/>
      <c r="X13" s="42">
        <f t="shared" si="133"/>
        <v>420466.16950000002</v>
      </c>
      <c r="Y13" s="37">
        <v>142659.79</v>
      </c>
      <c r="Z13" s="37"/>
      <c r="AA13" s="37"/>
      <c r="AB13" s="42">
        <f t="shared" si="134"/>
        <v>563125.9595</v>
      </c>
      <c r="AC13" s="37">
        <v>0</v>
      </c>
      <c r="AD13" s="37"/>
      <c r="AE13" s="37"/>
      <c r="AF13" s="42">
        <f t="shared" si="135"/>
        <v>563125.9595</v>
      </c>
      <c r="AG13" s="37">
        <v>0</v>
      </c>
      <c r="AH13" s="37"/>
      <c r="AI13" s="37"/>
      <c r="AJ13" s="42">
        <f t="shared" si="136"/>
        <v>563125.9595</v>
      </c>
      <c r="AK13" s="37">
        <v>7465.45</v>
      </c>
      <c r="AL13" s="37"/>
      <c r="AM13" s="37"/>
      <c r="AN13" s="42">
        <f t="shared" si="137"/>
        <v>570591.40949999995</v>
      </c>
      <c r="AO13" s="37">
        <v>0</v>
      </c>
      <c r="AP13" s="37"/>
      <c r="AQ13" s="37"/>
      <c r="AR13" s="42">
        <f t="shared" si="138"/>
        <v>570591.40949999995</v>
      </c>
      <c r="AS13" s="37">
        <v>0</v>
      </c>
      <c r="AT13" s="37"/>
      <c r="AU13" s="37"/>
      <c r="AV13" s="42">
        <f t="shared" si="139"/>
        <v>570591.40949999995</v>
      </c>
      <c r="AW13" s="37">
        <v>8288.17</v>
      </c>
      <c r="AX13" s="37"/>
      <c r="AY13" s="37"/>
      <c r="AZ13" s="42">
        <f t="shared" si="140"/>
        <v>578879.57949999999</v>
      </c>
      <c r="BA13" s="37">
        <v>0</v>
      </c>
      <c r="BB13" s="37"/>
      <c r="BC13" s="37"/>
      <c r="BD13" s="42">
        <f t="shared" si="141"/>
        <v>578879.57949999999</v>
      </c>
      <c r="BE13" s="37">
        <v>0</v>
      </c>
      <c r="BF13" s="37"/>
      <c r="BG13" s="37"/>
      <c r="BH13" s="42">
        <f t="shared" si="142"/>
        <v>578879.57949999999</v>
      </c>
      <c r="BI13" s="37">
        <v>15000</v>
      </c>
      <c r="BJ13" s="37"/>
      <c r="BK13" s="37"/>
      <c r="BL13" s="42">
        <f t="shared" si="143"/>
        <v>593879.57949999999</v>
      </c>
      <c r="BM13" s="37">
        <v>0</v>
      </c>
      <c r="BN13" s="37"/>
      <c r="BO13" s="37"/>
      <c r="BP13" s="42">
        <f t="shared" si="144"/>
        <v>593879.57949999999</v>
      </c>
      <c r="BQ13" s="37">
        <v>0</v>
      </c>
      <c r="BR13" s="37"/>
      <c r="BS13" s="37"/>
      <c r="BT13" s="42">
        <f t="shared" si="145"/>
        <v>593879.57949999999</v>
      </c>
      <c r="BU13" s="37">
        <v>0</v>
      </c>
      <c r="BV13" s="37"/>
      <c r="BW13" s="37"/>
      <c r="BX13" s="42">
        <f t="shared" si="146"/>
        <v>593879.57949999999</v>
      </c>
      <c r="BY13" s="37">
        <v>0</v>
      </c>
      <c r="BZ13" s="37"/>
      <c r="CA13" s="37"/>
      <c r="CB13" s="42">
        <f t="shared" si="147"/>
        <v>593879.57949999999</v>
      </c>
      <c r="CC13" s="37">
        <v>0</v>
      </c>
      <c r="CD13" s="37"/>
      <c r="CE13" s="37"/>
      <c r="CF13" s="42">
        <f t="shared" si="148"/>
        <v>593879.57949999999</v>
      </c>
      <c r="CG13" s="37">
        <v>0</v>
      </c>
      <c r="CH13" s="37"/>
      <c r="CI13" s="37"/>
      <c r="CJ13" s="42">
        <f t="shared" si="149"/>
        <v>593879.57949999999</v>
      </c>
      <c r="CK13" s="37">
        <v>0</v>
      </c>
      <c r="CL13" s="37"/>
      <c r="CM13" s="37"/>
      <c r="CN13" s="42">
        <f t="shared" si="150"/>
        <v>593879.57949999999</v>
      </c>
      <c r="CO13" s="37">
        <v>0</v>
      </c>
      <c r="CP13" s="37"/>
      <c r="CQ13" s="37"/>
      <c r="CR13" s="42">
        <f t="shared" si="151"/>
        <v>593879.57949999999</v>
      </c>
      <c r="CS13" s="37">
        <v>385500</v>
      </c>
      <c r="CT13" s="37"/>
      <c r="CU13" s="37"/>
      <c r="CV13" s="42">
        <f t="shared" si="152"/>
        <v>979379.57949999999</v>
      </c>
      <c r="CW13" s="37">
        <v>36000</v>
      </c>
      <c r="CX13" s="37"/>
      <c r="CY13" s="37"/>
      <c r="CZ13" s="42">
        <f t="shared" si="153"/>
        <v>1015379.5795</v>
      </c>
      <c r="DA13" s="37">
        <v>0</v>
      </c>
      <c r="DB13" s="37"/>
      <c r="DC13" s="37"/>
      <c r="DD13" s="42">
        <f t="shared" si="154"/>
        <v>1015379.5795</v>
      </c>
      <c r="DE13" s="37">
        <v>0</v>
      </c>
      <c r="DF13" s="37"/>
      <c r="DG13" s="37"/>
      <c r="DH13" s="42">
        <f t="shared" si="155"/>
        <v>1015379.5795</v>
      </c>
      <c r="DI13" s="37">
        <v>28200</v>
      </c>
      <c r="DJ13" s="37"/>
      <c r="DK13" s="37"/>
      <c r="DL13" s="42">
        <f t="shared" si="156"/>
        <v>1043579.5795</v>
      </c>
      <c r="DM13" s="37">
        <v>0</v>
      </c>
      <c r="DN13" s="37"/>
      <c r="DO13" s="37"/>
      <c r="DP13" s="42">
        <f t="shared" si="157"/>
        <v>1043579.5795</v>
      </c>
      <c r="DQ13" s="37">
        <v>0</v>
      </c>
      <c r="DR13" s="37"/>
      <c r="DS13" s="37"/>
      <c r="DT13" s="42">
        <f t="shared" si="158"/>
        <v>1043579.5795</v>
      </c>
      <c r="DU13" s="37">
        <v>0</v>
      </c>
      <c r="DV13" s="37"/>
      <c r="DW13" s="37"/>
      <c r="DX13" s="42">
        <f t="shared" si="159"/>
        <v>1043579.5795</v>
      </c>
      <c r="DY13" s="37">
        <v>0</v>
      </c>
      <c r="DZ13" s="37"/>
      <c r="EA13" s="37"/>
      <c r="EB13" s="42">
        <f t="shared" si="160"/>
        <v>1043579.5795</v>
      </c>
      <c r="EC13" s="37">
        <v>0</v>
      </c>
      <c r="ED13" s="37"/>
      <c r="EE13" s="37"/>
      <c r="EF13" s="42">
        <f t="shared" si="161"/>
        <v>1043579.5795</v>
      </c>
      <c r="EG13" s="37">
        <v>0</v>
      </c>
      <c r="EH13" s="37"/>
      <c r="EI13" s="37"/>
      <c r="EJ13" s="42">
        <f t="shared" si="162"/>
        <v>1043579.5795</v>
      </c>
      <c r="EK13" s="37">
        <v>0</v>
      </c>
      <c r="EL13" s="37"/>
      <c r="EM13" s="37"/>
      <c r="EN13" s="42">
        <f t="shared" si="163"/>
        <v>1043579.5795</v>
      </c>
      <c r="EO13" s="37">
        <v>0</v>
      </c>
      <c r="EP13" s="37"/>
      <c r="EQ13" s="37"/>
      <c r="ER13" s="42">
        <f t="shared" si="164"/>
        <v>1043579.5795</v>
      </c>
    </row>
    <row r="14" spans="1:148" x14ac:dyDescent="0.45">
      <c r="A14" s="23"/>
      <c r="B14" s="23">
        <v>375</v>
      </c>
      <c r="C14" s="23" t="s">
        <v>30</v>
      </c>
      <c r="D14" s="41"/>
      <c r="E14" s="37">
        <v>0</v>
      </c>
      <c r="F14" s="37"/>
      <c r="G14" s="37"/>
      <c r="H14" s="42">
        <f t="shared" si="165"/>
        <v>0</v>
      </c>
      <c r="I14" s="37">
        <v>520</v>
      </c>
      <c r="J14" s="37"/>
      <c r="K14" s="37"/>
      <c r="L14" s="42">
        <f t="shared" si="130"/>
        <v>520</v>
      </c>
      <c r="M14" s="37">
        <v>652.5</v>
      </c>
      <c r="N14" s="37"/>
      <c r="O14" s="37"/>
      <c r="P14" s="42">
        <f t="shared" si="131"/>
        <v>1172.5</v>
      </c>
      <c r="Q14" s="37">
        <v>3583.88</v>
      </c>
      <c r="R14" s="37"/>
      <c r="S14" s="37"/>
      <c r="T14" s="42">
        <f t="shared" si="132"/>
        <v>4756.38</v>
      </c>
      <c r="U14" s="37">
        <v>0</v>
      </c>
      <c r="V14" s="37"/>
      <c r="W14" s="37"/>
      <c r="X14" s="42">
        <f t="shared" si="133"/>
        <v>4756.38</v>
      </c>
      <c r="Y14" s="37">
        <v>0</v>
      </c>
      <c r="Z14" s="37"/>
      <c r="AA14" s="37"/>
      <c r="AB14" s="42">
        <f t="shared" si="134"/>
        <v>4756.38</v>
      </c>
      <c r="AC14" s="37">
        <v>0</v>
      </c>
      <c r="AD14" s="37"/>
      <c r="AE14" s="37"/>
      <c r="AF14" s="42">
        <f t="shared" si="135"/>
        <v>4756.38</v>
      </c>
      <c r="AG14" s="37">
        <v>0</v>
      </c>
      <c r="AH14" s="37"/>
      <c r="AI14" s="37"/>
      <c r="AJ14" s="42">
        <f t="shared" si="136"/>
        <v>4756.38</v>
      </c>
      <c r="AK14" s="37">
        <v>0</v>
      </c>
      <c r="AL14" s="37"/>
      <c r="AM14" s="37"/>
      <c r="AN14" s="42">
        <f t="shared" si="137"/>
        <v>4756.38</v>
      </c>
      <c r="AO14" s="37">
        <v>0</v>
      </c>
      <c r="AP14" s="37"/>
      <c r="AQ14" s="37"/>
      <c r="AR14" s="42">
        <f t="shared" si="138"/>
        <v>4756.38</v>
      </c>
      <c r="AS14" s="37">
        <v>0</v>
      </c>
      <c r="AT14" s="37"/>
      <c r="AU14" s="37"/>
      <c r="AV14" s="42">
        <f t="shared" si="139"/>
        <v>4756.38</v>
      </c>
      <c r="AW14" s="37">
        <v>0</v>
      </c>
      <c r="AX14" s="37"/>
      <c r="AY14" s="37"/>
      <c r="AZ14" s="42">
        <f t="shared" si="140"/>
        <v>4756.38</v>
      </c>
      <c r="BA14" s="37">
        <v>0</v>
      </c>
      <c r="BB14" s="37"/>
      <c r="BC14" s="37"/>
      <c r="BD14" s="42">
        <f t="shared" si="141"/>
        <v>4756.38</v>
      </c>
      <c r="BE14" s="37">
        <v>0</v>
      </c>
      <c r="BF14" s="37"/>
      <c r="BG14" s="37"/>
      <c r="BH14" s="42">
        <f t="shared" si="142"/>
        <v>4756.38</v>
      </c>
      <c r="BI14" s="37">
        <v>0</v>
      </c>
      <c r="BJ14" s="37"/>
      <c r="BK14" s="37"/>
      <c r="BL14" s="42">
        <f t="shared" si="143"/>
        <v>4756.38</v>
      </c>
      <c r="BM14" s="37">
        <v>4000</v>
      </c>
      <c r="BN14" s="37"/>
      <c r="BO14" s="37"/>
      <c r="BP14" s="42">
        <f t="shared" si="144"/>
        <v>8756.380000000001</v>
      </c>
      <c r="BQ14" s="37">
        <v>25000</v>
      </c>
      <c r="BR14" s="37"/>
      <c r="BS14" s="37"/>
      <c r="BT14" s="42">
        <f t="shared" si="145"/>
        <v>33756.380000000005</v>
      </c>
      <c r="BU14" s="37">
        <v>0</v>
      </c>
      <c r="BV14" s="37"/>
      <c r="BW14" s="37"/>
      <c r="BX14" s="42">
        <f t="shared" si="146"/>
        <v>33756.380000000005</v>
      </c>
      <c r="BY14" s="37">
        <v>0</v>
      </c>
      <c r="BZ14" s="37"/>
      <c r="CA14" s="37"/>
      <c r="CB14" s="42">
        <f t="shared" si="147"/>
        <v>33756.380000000005</v>
      </c>
      <c r="CC14" s="37">
        <v>0</v>
      </c>
      <c r="CD14" s="37"/>
      <c r="CE14" s="37"/>
      <c r="CF14" s="42">
        <f t="shared" si="148"/>
        <v>33756.380000000005</v>
      </c>
      <c r="CG14" s="37">
        <v>0</v>
      </c>
      <c r="CH14" s="37"/>
      <c r="CI14" s="37"/>
      <c r="CJ14" s="42">
        <f t="shared" si="149"/>
        <v>33756.380000000005</v>
      </c>
      <c r="CK14" s="37">
        <v>0</v>
      </c>
      <c r="CL14" s="37"/>
      <c r="CM14" s="37"/>
      <c r="CN14" s="42">
        <f t="shared" si="150"/>
        <v>33756.380000000005</v>
      </c>
      <c r="CO14" s="37">
        <v>0</v>
      </c>
      <c r="CP14" s="37"/>
      <c r="CQ14" s="37"/>
      <c r="CR14" s="42">
        <f t="shared" si="151"/>
        <v>33756.380000000005</v>
      </c>
      <c r="CS14" s="37">
        <v>0</v>
      </c>
      <c r="CT14" s="37"/>
      <c r="CU14" s="37"/>
      <c r="CV14" s="42">
        <f t="shared" si="152"/>
        <v>33756.380000000005</v>
      </c>
      <c r="CW14" s="37">
        <v>0</v>
      </c>
      <c r="CX14" s="37"/>
      <c r="CY14" s="37"/>
      <c r="CZ14" s="42">
        <f t="shared" si="153"/>
        <v>33756.380000000005</v>
      </c>
      <c r="DA14" s="37">
        <v>0</v>
      </c>
      <c r="DB14" s="37"/>
      <c r="DC14" s="37"/>
      <c r="DD14" s="42">
        <f t="shared" si="154"/>
        <v>33756.380000000005</v>
      </c>
      <c r="DE14" s="37">
        <v>0</v>
      </c>
      <c r="DF14" s="37"/>
      <c r="DG14" s="37"/>
      <c r="DH14" s="42">
        <f t="shared" si="155"/>
        <v>33756.380000000005</v>
      </c>
      <c r="DI14" s="37">
        <v>0</v>
      </c>
      <c r="DJ14" s="37"/>
      <c r="DK14" s="37"/>
      <c r="DL14" s="42">
        <f t="shared" si="156"/>
        <v>33756.380000000005</v>
      </c>
      <c r="DM14" s="37">
        <v>0</v>
      </c>
      <c r="DN14" s="37"/>
      <c r="DO14" s="37"/>
      <c r="DP14" s="42">
        <f t="shared" si="157"/>
        <v>33756.380000000005</v>
      </c>
      <c r="DQ14" s="37">
        <v>0</v>
      </c>
      <c r="DR14" s="37"/>
      <c r="DS14" s="37"/>
      <c r="DT14" s="42">
        <f t="shared" si="158"/>
        <v>33756.380000000005</v>
      </c>
      <c r="DU14" s="37">
        <v>0</v>
      </c>
      <c r="DV14" s="37"/>
      <c r="DW14" s="37"/>
      <c r="DX14" s="42">
        <f t="shared" si="159"/>
        <v>33756.380000000005</v>
      </c>
      <c r="DY14" s="37">
        <v>0</v>
      </c>
      <c r="DZ14" s="37"/>
      <c r="EA14" s="37"/>
      <c r="EB14" s="42">
        <f t="shared" si="160"/>
        <v>33756.380000000005</v>
      </c>
      <c r="EC14" s="37">
        <v>0</v>
      </c>
      <c r="ED14" s="37"/>
      <c r="EE14" s="37"/>
      <c r="EF14" s="42">
        <f t="shared" si="161"/>
        <v>33756.380000000005</v>
      </c>
      <c r="EG14" s="37">
        <v>0</v>
      </c>
      <c r="EH14" s="37"/>
      <c r="EI14" s="37"/>
      <c r="EJ14" s="42">
        <f t="shared" si="162"/>
        <v>33756.380000000005</v>
      </c>
      <c r="EK14" s="37">
        <v>0</v>
      </c>
      <c r="EL14" s="37"/>
      <c r="EM14" s="37"/>
      <c r="EN14" s="42">
        <f t="shared" si="163"/>
        <v>33756.380000000005</v>
      </c>
      <c r="EO14" s="37">
        <v>0</v>
      </c>
      <c r="EP14" s="37"/>
      <c r="EQ14" s="37"/>
      <c r="ER14" s="42">
        <f t="shared" si="164"/>
        <v>33756.380000000005</v>
      </c>
    </row>
    <row r="15" spans="1:148" x14ac:dyDescent="0.45">
      <c r="A15" s="23"/>
      <c r="B15" s="23">
        <v>391.1</v>
      </c>
      <c r="C15" s="23" t="s">
        <v>31</v>
      </c>
      <c r="D15" s="40">
        <v>1853</v>
      </c>
      <c r="E15" s="37">
        <v>0</v>
      </c>
      <c r="F15" s="37"/>
      <c r="G15" s="37"/>
      <c r="H15" s="42">
        <f t="shared" si="165"/>
        <v>1853</v>
      </c>
      <c r="I15" s="37">
        <v>0</v>
      </c>
      <c r="J15" s="37"/>
      <c r="K15" s="37"/>
      <c r="L15" s="42">
        <f t="shared" si="130"/>
        <v>1853</v>
      </c>
      <c r="M15" s="37">
        <v>0</v>
      </c>
      <c r="N15" s="37"/>
      <c r="O15" s="37"/>
      <c r="P15" s="42">
        <f t="shared" si="131"/>
        <v>1853</v>
      </c>
      <c r="Q15" s="37">
        <v>0</v>
      </c>
      <c r="R15" s="37"/>
      <c r="S15" s="37"/>
      <c r="T15" s="42">
        <f t="shared" si="132"/>
        <v>1853</v>
      </c>
      <c r="U15" s="37">
        <v>0</v>
      </c>
      <c r="V15" s="37"/>
      <c r="W15" s="37"/>
      <c r="X15" s="42">
        <f t="shared" si="133"/>
        <v>1853</v>
      </c>
      <c r="Y15" s="37">
        <v>0</v>
      </c>
      <c r="Z15" s="37"/>
      <c r="AA15" s="37"/>
      <c r="AB15" s="42">
        <f t="shared" si="134"/>
        <v>1853</v>
      </c>
      <c r="AC15" s="37">
        <v>0</v>
      </c>
      <c r="AD15" s="37"/>
      <c r="AE15" s="37"/>
      <c r="AF15" s="42">
        <f t="shared" si="135"/>
        <v>1853</v>
      </c>
      <c r="AG15" s="37">
        <v>0</v>
      </c>
      <c r="AH15" s="37"/>
      <c r="AI15" s="37"/>
      <c r="AJ15" s="42">
        <f t="shared" si="136"/>
        <v>1853</v>
      </c>
      <c r="AK15" s="37">
        <v>0</v>
      </c>
      <c r="AL15" s="37"/>
      <c r="AM15" s="37"/>
      <c r="AN15" s="42">
        <f t="shared" si="137"/>
        <v>1853</v>
      </c>
      <c r="AO15" s="37">
        <v>0</v>
      </c>
      <c r="AP15" s="37"/>
      <c r="AQ15" s="37"/>
      <c r="AR15" s="42">
        <f t="shared" si="138"/>
        <v>1853</v>
      </c>
      <c r="AS15" s="37">
        <v>0</v>
      </c>
      <c r="AT15" s="37"/>
      <c r="AU15" s="37"/>
      <c r="AV15" s="42">
        <f t="shared" si="139"/>
        <v>1853</v>
      </c>
      <c r="AW15" s="37">
        <v>0</v>
      </c>
      <c r="AX15" s="37"/>
      <c r="AY15" s="37"/>
      <c r="AZ15" s="42">
        <f t="shared" si="140"/>
        <v>1853</v>
      </c>
      <c r="BA15" s="37">
        <v>0</v>
      </c>
      <c r="BB15" s="37"/>
      <c r="BC15" s="37"/>
      <c r="BD15" s="42">
        <f t="shared" si="141"/>
        <v>1853</v>
      </c>
      <c r="BE15" s="37">
        <v>0</v>
      </c>
      <c r="BF15" s="37"/>
      <c r="BG15" s="37"/>
      <c r="BH15" s="42">
        <f t="shared" si="142"/>
        <v>1853</v>
      </c>
      <c r="BI15" s="37">
        <v>0</v>
      </c>
      <c r="BJ15" s="37"/>
      <c r="BK15" s="37"/>
      <c r="BL15" s="42">
        <f t="shared" si="143"/>
        <v>1853</v>
      </c>
      <c r="BM15" s="37">
        <v>0</v>
      </c>
      <c r="BN15" s="37"/>
      <c r="BO15" s="37"/>
      <c r="BP15" s="42">
        <f t="shared" si="144"/>
        <v>1853</v>
      </c>
      <c r="BQ15" s="37">
        <v>0</v>
      </c>
      <c r="BR15" s="37"/>
      <c r="BS15" s="37"/>
      <c r="BT15" s="42">
        <f t="shared" si="145"/>
        <v>1853</v>
      </c>
      <c r="BU15" s="37">
        <v>0</v>
      </c>
      <c r="BV15" s="37"/>
      <c r="BW15" s="37"/>
      <c r="BX15" s="42">
        <f t="shared" si="146"/>
        <v>1853</v>
      </c>
      <c r="BY15" s="37">
        <v>0</v>
      </c>
      <c r="BZ15" s="37"/>
      <c r="CA15" s="37"/>
      <c r="CB15" s="42">
        <f t="shared" si="147"/>
        <v>1853</v>
      </c>
      <c r="CC15" s="37">
        <v>0</v>
      </c>
      <c r="CD15" s="37"/>
      <c r="CE15" s="37"/>
      <c r="CF15" s="42">
        <f t="shared" si="148"/>
        <v>1853</v>
      </c>
      <c r="CG15" s="37">
        <v>0</v>
      </c>
      <c r="CH15" s="37"/>
      <c r="CI15" s="37"/>
      <c r="CJ15" s="42">
        <f t="shared" si="149"/>
        <v>1853</v>
      </c>
      <c r="CK15" s="37">
        <v>0</v>
      </c>
      <c r="CL15" s="37"/>
      <c r="CM15" s="37"/>
      <c r="CN15" s="42">
        <f t="shared" si="150"/>
        <v>1853</v>
      </c>
      <c r="CO15" s="37">
        <v>0</v>
      </c>
      <c r="CP15" s="37"/>
      <c r="CQ15" s="37"/>
      <c r="CR15" s="42">
        <f t="shared" si="151"/>
        <v>1853</v>
      </c>
      <c r="CS15" s="37">
        <v>0</v>
      </c>
      <c r="CT15" s="37"/>
      <c r="CU15" s="37"/>
      <c r="CV15" s="42">
        <f t="shared" si="152"/>
        <v>1853</v>
      </c>
      <c r="CW15" s="37">
        <v>0</v>
      </c>
      <c r="CX15" s="37"/>
      <c r="CY15" s="37"/>
      <c r="CZ15" s="42">
        <f t="shared" si="153"/>
        <v>1853</v>
      </c>
      <c r="DA15" s="37">
        <v>0</v>
      </c>
      <c r="DB15" s="37"/>
      <c r="DC15" s="37"/>
      <c r="DD15" s="42">
        <f t="shared" si="154"/>
        <v>1853</v>
      </c>
      <c r="DE15" s="37">
        <v>0</v>
      </c>
      <c r="DF15" s="37"/>
      <c r="DG15" s="37"/>
      <c r="DH15" s="42">
        <f t="shared" si="155"/>
        <v>1853</v>
      </c>
      <c r="DI15" s="37">
        <v>0</v>
      </c>
      <c r="DJ15" s="37"/>
      <c r="DK15" s="37"/>
      <c r="DL15" s="42">
        <f t="shared" si="156"/>
        <v>1853</v>
      </c>
      <c r="DM15" s="37">
        <v>0</v>
      </c>
      <c r="DN15" s="37"/>
      <c r="DO15" s="37"/>
      <c r="DP15" s="42">
        <f t="shared" si="157"/>
        <v>1853</v>
      </c>
      <c r="DQ15" s="37">
        <v>0</v>
      </c>
      <c r="DR15" s="37"/>
      <c r="DS15" s="37"/>
      <c r="DT15" s="42">
        <f t="shared" si="158"/>
        <v>1853</v>
      </c>
      <c r="DU15" s="37">
        <v>0</v>
      </c>
      <c r="DV15" s="37"/>
      <c r="DW15" s="37"/>
      <c r="DX15" s="42">
        <f t="shared" si="159"/>
        <v>1853</v>
      </c>
      <c r="DY15" s="37">
        <v>0</v>
      </c>
      <c r="DZ15" s="37"/>
      <c r="EA15" s="37"/>
      <c r="EB15" s="42">
        <f t="shared" si="160"/>
        <v>1853</v>
      </c>
      <c r="EC15" s="37">
        <v>0</v>
      </c>
      <c r="ED15" s="37"/>
      <c r="EE15" s="37"/>
      <c r="EF15" s="42">
        <f t="shared" si="161"/>
        <v>1853</v>
      </c>
      <c r="EG15" s="37">
        <v>0</v>
      </c>
      <c r="EH15" s="37"/>
      <c r="EI15" s="37"/>
      <c r="EJ15" s="42">
        <f t="shared" si="162"/>
        <v>1853</v>
      </c>
      <c r="EK15" s="37">
        <v>0</v>
      </c>
      <c r="EL15" s="37"/>
      <c r="EM15" s="37"/>
      <c r="EN15" s="42">
        <f t="shared" si="163"/>
        <v>1853</v>
      </c>
      <c r="EO15" s="37">
        <v>0</v>
      </c>
      <c r="EP15" s="37"/>
      <c r="EQ15" s="37"/>
      <c r="ER15" s="42">
        <f t="shared" si="164"/>
        <v>1853</v>
      </c>
    </row>
    <row r="16" spans="1:148" x14ac:dyDescent="0.45">
      <c r="A16" s="23"/>
      <c r="B16" s="23">
        <v>393</v>
      </c>
      <c r="C16" s="23" t="s">
        <v>32</v>
      </c>
      <c r="D16" s="41"/>
      <c r="E16" s="37">
        <v>83837.519500000009</v>
      </c>
      <c r="F16" s="37"/>
      <c r="G16" s="37"/>
      <c r="H16" s="42">
        <f t="shared" si="165"/>
        <v>83837.519500000009</v>
      </c>
      <c r="I16" s="37">
        <v>9084.92</v>
      </c>
      <c r="J16" s="37"/>
      <c r="K16" s="37"/>
      <c r="L16" s="42">
        <f t="shared" si="130"/>
        <v>92922.439500000008</v>
      </c>
      <c r="M16" s="37">
        <v>14742.2</v>
      </c>
      <c r="N16" s="37"/>
      <c r="O16" s="37"/>
      <c r="P16" s="42">
        <f t="shared" si="131"/>
        <v>107664.6395</v>
      </c>
      <c r="Q16" s="37">
        <v>0</v>
      </c>
      <c r="R16" s="37"/>
      <c r="S16" s="37"/>
      <c r="T16" s="42">
        <f t="shared" si="132"/>
        <v>107664.6395</v>
      </c>
      <c r="U16" s="37">
        <v>0</v>
      </c>
      <c r="V16" s="37"/>
      <c r="W16" s="37"/>
      <c r="X16" s="42">
        <f t="shared" si="133"/>
        <v>107664.6395</v>
      </c>
      <c r="Y16" s="37">
        <v>8382.06</v>
      </c>
      <c r="Z16" s="37"/>
      <c r="AA16" s="37"/>
      <c r="AB16" s="42">
        <f t="shared" si="134"/>
        <v>116046.6995</v>
      </c>
      <c r="AC16" s="37">
        <v>0</v>
      </c>
      <c r="AD16" s="37"/>
      <c r="AE16" s="37"/>
      <c r="AF16" s="42">
        <f t="shared" si="135"/>
        <v>116046.6995</v>
      </c>
      <c r="AG16" s="37">
        <v>0</v>
      </c>
      <c r="AH16" s="37"/>
      <c r="AI16" s="37"/>
      <c r="AJ16" s="42">
        <f t="shared" si="136"/>
        <v>116046.6995</v>
      </c>
      <c r="AK16" s="37">
        <v>0</v>
      </c>
      <c r="AL16" s="37"/>
      <c r="AM16" s="37"/>
      <c r="AN16" s="42">
        <f t="shared" si="137"/>
        <v>116046.6995</v>
      </c>
      <c r="AO16" s="37">
        <v>0</v>
      </c>
      <c r="AP16" s="37"/>
      <c r="AQ16" s="37"/>
      <c r="AR16" s="42">
        <f t="shared" si="138"/>
        <v>116046.6995</v>
      </c>
      <c r="AS16" s="37">
        <v>0</v>
      </c>
      <c r="AT16" s="37"/>
      <c r="AU16" s="37"/>
      <c r="AV16" s="42">
        <f t="shared" si="139"/>
        <v>116046.6995</v>
      </c>
      <c r="AW16" s="37">
        <v>0</v>
      </c>
      <c r="AX16" s="37"/>
      <c r="AY16" s="37"/>
      <c r="AZ16" s="42">
        <f t="shared" si="140"/>
        <v>116046.6995</v>
      </c>
      <c r="BA16" s="37">
        <v>8000</v>
      </c>
      <c r="BB16" s="37"/>
      <c r="BC16" s="37"/>
      <c r="BD16" s="42">
        <f t="shared" si="141"/>
        <v>124046.6995</v>
      </c>
      <c r="BE16" s="37">
        <v>0</v>
      </c>
      <c r="BF16" s="37"/>
      <c r="BG16" s="37"/>
      <c r="BH16" s="42">
        <f t="shared" si="142"/>
        <v>124046.6995</v>
      </c>
      <c r="BI16" s="37">
        <v>0</v>
      </c>
      <c r="BJ16" s="37"/>
      <c r="BK16" s="37"/>
      <c r="BL16" s="42">
        <f t="shared" si="143"/>
        <v>124046.6995</v>
      </c>
      <c r="BM16" s="37">
        <v>0</v>
      </c>
      <c r="BN16" s="37"/>
      <c r="BO16" s="37"/>
      <c r="BP16" s="42">
        <f t="shared" si="144"/>
        <v>124046.6995</v>
      </c>
      <c r="BQ16" s="37">
        <v>10000</v>
      </c>
      <c r="BR16" s="37"/>
      <c r="BS16" s="37"/>
      <c r="BT16" s="42">
        <f t="shared" si="145"/>
        <v>134046.69949999999</v>
      </c>
      <c r="BU16" s="37">
        <v>0</v>
      </c>
      <c r="BV16" s="37"/>
      <c r="BW16" s="37"/>
      <c r="BX16" s="42">
        <f t="shared" si="146"/>
        <v>134046.69949999999</v>
      </c>
      <c r="BY16" s="37">
        <v>0</v>
      </c>
      <c r="BZ16" s="37"/>
      <c r="CA16" s="37"/>
      <c r="CB16" s="42">
        <f t="shared" si="147"/>
        <v>134046.69949999999</v>
      </c>
      <c r="CC16" s="37">
        <v>0</v>
      </c>
      <c r="CD16" s="37"/>
      <c r="CE16" s="37"/>
      <c r="CF16" s="42">
        <f t="shared" si="148"/>
        <v>134046.69949999999</v>
      </c>
      <c r="CG16" s="37">
        <v>0</v>
      </c>
      <c r="CH16" s="37"/>
      <c r="CI16" s="37"/>
      <c r="CJ16" s="42">
        <f t="shared" si="149"/>
        <v>134046.69949999999</v>
      </c>
      <c r="CK16" s="37">
        <v>0</v>
      </c>
      <c r="CL16" s="37"/>
      <c r="CM16" s="37"/>
      <c r="CN16" s="42">
        <f t="shared" si="150"/>
        <v>134046.69949999999</v>
      </c>
      <c r="CO16" s="37">
        <v>0</v>
      </c>
      <c r="CP16" s="37"/>
      <c r="CQ16" s="37"/>
      <c r="CR16" s="42">
        <f t="shared" si="151"/>
        <v>134046.69949999999</v>
      </c>
      <c r="CS16" s="37">
        <v>0</v>
      </c>
      <c r="CT16" s="37"/>
      <c r="CU16" s="37"/>
      <c r="CV16" s="42">
        <f t="shared" si="152"/>
        <v>134046.69949999999</v>
      </c>
      <c r="CW16" s="37">
        <v>95000</v>
      </c>
      <c r="CX16" s="37"/>
      <c r="CY16" s="37"/>
      <c r="CZ16" s="42">
        <f t="shared" si="153"/>
        <v>229046.69949999999</v>
      </c>
      <c r="DA16" s="37">
        <v>0</v>
      </c>
      <c r="DB16" s="37"/>
      <c r="DC16" s="37"/>
      <c r="DD16" s="42">
        <f t="shared" si="154"/>
        <v>229046.69949999999</v>
      </c>
      <c r="DE16" s="37">
        <v>0</v>
      </c>
      <c r="DF16" s="37"/>
      <c r="DG16" s="37"/>
      <c r="DH16" s="42">
        <f t="shared" si="155"/>
        <v>229046.69949999999</v>
      </c>
      <c r="DI16" s="37">
        <v>0</v>
      </c>
      <c r="DJ16" s="37"/>
      <c r="DK16" s="37"/>
      <c r="DL16" s="42">
        <f t="shared" si="156"/>
        <v>229046.69949999999</v>
      </c>
      <c r="DM16" s="37">
        <v>0</v>
      </c>
      <c r="DN16" s="37"/>
      <c r="DO16" s="37"/>
      <c r="DP16" s="42">
        <f t="shared" si="157"/>
        <v>229046.69949999999</v>
      </c>
      <c r="DQ16" s="37">
        <v>0</v>
      </c>
      <c r="DR16" s="37"/>
      <c r="DS16" s="37"/>
      <c r="DT16" s="42">
        <f t="shared" si="158"/>
        <v>229046.69949999999</v>
      </c>
      <c r="DU16" s="37">
        <v>0</v>
      </c>
      <c r="DV16" s="37"/>
      <c r="DW16" s="37"/>
      <c r="DX16" s="42">
        <f t="shared" si="159"/>
        <v>229046.69949999999</v>
      </c>
      <c r="DY16" s="37">
        <v>0</v>
      </c>
      <c r="DZ16" s="37"/>
      <c r="EA16" s="37"/>
      <c r="EB16" s="42">
        <f t="shared" si="160"/>
        <v>229046.69949999999</v>
      </c>
      <c r="EC16" s="37">
        <v>0</v>
      </c>
      <c r="ED16" s="37"/>
      <c r="EE16" s="37"/>
      <c r="EF16" s="42">
        <f t="shared" si="161"/>
        <v>229046.69949999999</v>
      </c>
      <c r="EG16" s="37">
        <v>0</v>
      </c>
      <c r="EH16" s="37"/>
      <c r="EI16" s="37"/>
      <c r="EJ16" s="42">
        <f t="shared" si="162"/>
        <v>229046.69949999999</v>
      </c>
      <c r="EK16" s="37">
        <v>0</v>
      </c>
      <c r="EL16" s="37"/>
      <c r="EM16" s="37"/>
      <c r="EN16" s="42">
        <f t="shared" si="163"/>
        <v>229046.69949999999</v>
      </c>
      <c r="EO16" s="37">
        <v>0</v>
      </c>
      <c r="EP16" s="37"/>
      <c r="EQ16" s="37"/>
      <c r="ER16" s="42">
        <f t="shared" si="164"/>
        <v>229046.69949999999</v>
      </c>
    </row>
    <row r="17" spans="1:148" x14ac:dyDescent="0.45">
      <c r="A17" s="23"/>
      <c r="B17" s="23" t="s">
        <v>135</v>
      </c>
      <c r="C17" s="23" t="s">
        <v>136</v>
      </c>
      <c r="D17" s="41"/>
      <c r="E17" s="37">
        <v>0</v>
      </c>
      <c r="F17" s="37"/>
      <c r="G17" s="37"/>
      <c r="H17" s="42">
        <f t="shared" ref="H17" si="166">D17+E17-F17+G17</f>
        <v>0</v>
      </c>
      <c r="I17" s="37">
        <v>0</v>
      </c>
      <c r="J17" s="37"/>
      <c r="K17" s="37"/>
      <c r="L17" s="42">
        <f t="shared" ref="L17" si="167">H17+I17-J17+K17</f>
        <v>0</v>
      </c>
      <c r="M17" s="37">
        <v>0</v>
      </c>
      <c r="N17" s="37"/>
      <c r="O17" s="37"/>
      <c r="P17" s="42">
        <f t="shared" ref="P17" si="168">L17+M17-N17+O17</f>
        <v>0</v>
      </c>
      <c r="Q17" s="37">
        <v>0</v>
      </c>
      <c r="R17" s="37"/>
      <c r="S17" s="37"/>
      <c r="T17" s="42">
        <f t="shared" ref="T17" si="169">P17+Q17-R17+S17</f>
        <v>0</v>
      </c>
      <c r="U17" s="37">
        <v>0</v>
      </c>
      <c r="V17" s="37"/>
      <c r="W17" s="37"/>
      <c r="X17" s="42">
        <f t="shared" ref="X17" si="170">T17+U17-V17+W17</f>
        <v>0</v>
      </c>
      <c r="Y17" s="37">
        <v>0</v>
      </c>
      <c r="Z17" s="37"/>
      <c r="AA17" s="37"/>
      <c r="AB17" s="42">
        <f t="shared" ref="AB17" si="171">X17+Y17-Z17+AA17</f>
        <v>0</v>
      </c>
      <c r="AC17" s="37">
        <v>0</v>
      </c>
      <c r="AD17" s="37"/>
      <c r="AE17" s="37"/>
      <c r="AF17" s="42">
        <f t="shared" ref="AF17" si="172">AB17+AC17-AD17+AE17</f>
        <v>0</v>
      </c>
      <c r="AG17" s="37">
        <v>0</v>
      </c>
      <c r="AH17" s="37"/>
      <c r="AI17" s="37"/>
      <c r="AJ17" s="42">
        <f t="shared" ref="AJ17" si="173">AF17+AG17-AH17+AI17</f>
        <v>0</v>
      </c>
      <c r="AK17" s="37">
        <v>0</v>
      </c>
      <c r="AL17" s="37"/>
      <c r="AM17" s="37"/>
      <c r="AN17" s="42">
        <f t="shared" ref="AN17" si="174">AJ17+AK17-AL17+AM17</f>
        <v>0</v>
      </c>
      <c r="AO17" s="37">
        <v>58825</v>
      </c>
      <c r="AP17" s="37"/>
      <c r="AQ17" s="37"/>
      <c r="AR17" s="42">
        <f t="shared" ref="AR17" si="175">AN17+AO17-AP17+AQ17</f>
        <v>58825</v>
      </c>
      <c r="AS17" s="37">
        <v>0</v>
      </c>
      <c r="AT17" s="37"/>
      <c r="AU17" s="37"/>
      <c r="AV17" s="42">
        <f t="shared" ref="AV17" si="176">AR17+AS17-AT17+AU17</f>
        <v>58825</v>
      </c>
      <c r="AW17" s="37">
        <v>0</v>
      </c>
      <c r="AX17" s="37"/>
      <c r="AY17" s="37"/>
      <c r="AZ17" s="42">
        <f t="shared" ref="AZ17" si="177">AV17+AW17-AX17+AY17</f>
        <v>58825</v>
      </c>
      <c r="BA17" s="37">
        <v>2134804</v>
      </c>
      <c r="BB17" s="37"/>
      <c r="BC17" s="37"/>
      <c r="BD17" s="42">
        <f t="shared" ref="BD17" si="178">AZ17+BA17-BB17+BC17</f>
        <v>2193629</v>
      </c>
      <c r="BE17" s="37">
        <v>0</v>
      </c>
      <c r="BF17" s="37"/>
      <c r="BG17" s="37"/>
      <c r="BH17" s="42">
        <f t="shared" ref="BH17" si="179">BD17+BE17-BF17+BG17</f>
        <v>2193629</v>
      </c>
      <c r="BI17" s="37">
        <v>0</v>
      </c>
      <c r="BJ17" s="37"/>
      <c r="BK17" s="37"/>
      <c r="BL17" s="42">
        <f t="shared" ref="BL17" si="180">BH17+BI17-BJ17+BK17</f>
        <v>2193629</v>
      </c>
      <c r="BM17" s="37">
        <v>0</v>
      </c>
      <c r="BN17" s="37"/>
      <c r="BO17" s="37"/>
      <c r="BP17" s="42">
        <f t="shared" ref="BP17" si="181">BL17+BM17-BN17+BO17</f>
        <v>2193629</v>
      </c>
      <c r="BQ17" s="37">
        <v>0</v>
      </c>
      <c r="BR17" s="37"/>
      <c r="BS17" s="37"/>
      <c r="BT17" s="42">
        <f t="shared" ref="BT17" si="182">BP17+BQ17-BR17+BS17</f>
        <v>2193629</v>
      </c>
      <c r="BU17" s="37">
        <v>0</v>
      </c>
      <c r="BV17" s="37"/>
      <c r="BW17" s="37"/>
      <c r="BX17" s="42">
        <f t="shared" ref="BX17" si="183">BT17+BU17-BV17+BW17</f>
        <v>2193629</v>
      </c>
      <c r="BY17" s="37">
        <v>0</v>
      </c>
      <c r="BZ17" s="37"/>
      <c r="CA17" s="37"/>
      <c r="CB17" s="42">
        <f t="shared" ref="CB17" si="184">BX17+BY17-BZ17+CA17</f>
        <v>2193629</v>
      </c>
      <c r="CC17" s="37">
        <v>0</v>
      </c>
      <c r="CD17" s="37"/>
      <c r="CE17" s="37"/>
      <c r="CF17" s="42">
        <f t="shared" ref="CF17" si="185">CB17+CC17-CD17+CE17</f>
        <v>2193629</v>
      </c>
      <c r="CG17" s="37">
        <v>0</v>
      </c>
      <c r="CH17" s="37"/>
      <c r="CI17" s="37"/>
      <c r="CJ17" s="42">
        <f t="shared" ref="CJ17" si="186">CF17+CG17-CH17+CI17</f>
        <v>2193629</v>
      </c>
      <c r="CK17" s="37">
        <v>0</v>
      </c>
      <c r="CL17" s="37"/>
      <c r="CM17" s="37"/>
      <c r="CN17" s="42">
        <f t="shared" ref="CN17" si="187">CJ17+CK17-CL17+CM17</f>
        <v>2193629</v>
      </c>
      <c r="CO17" s="37">
        <v>0</v>
      </c>
      <c r="CP17" s="37"/>
      <c r="CQ17" s="37"/>
      <c r="CR17" s="42">
        <f t="shared" ref="CR17" si="188">CN17+CO17-CP17+CQ17</f>
        <v>2193629</v>
      </c>
      <c r="CS17" s="37">
        <v>0</v>
      </c>
      <c r="CT17" s="37"/>
      <c r="CU17" s="37"/>
      <c r="CV17" s="42">
        <f t="shared" ref="CV17" si="189">CR17+CS17-CT17+CU17</f>
        <v>2193629</v>
      </c>
      <c r="CW17" s="37">
        <v>0</v>
      </c>
      <c r="CX17" s="37"/>
      <c r="CY17" s="37"/>
      <c r="CZ17" s="42">
        <f t="shared" ref="CZ17" si="190">CV17+CW17-CX17+CY17</f>
        <v>2193629</v>
      </c>
      <c r="DA17" s="37">
        <v>0</v>
      </c>
      <c r="DB17" s="37"/>
      <c r="DC17" s="37"/>
      <c r="DD17" s="42">
        <f t="shared" ref="DD17" si="191">CZ17+DA17-DB17+DC17</f>
        <v>2193629</v>
      </c>
      <c r="DE17" s="37">
        <v>0</v>
      </c>
      <c r="DF17" s="37"/>
      <c r="DG17" s="37"/>
      <c r="DH17" s="42">
        <f t="shared" ref="DH17" si="192">DD17+DE17-DF17+DG17</f>
        <v>2193629</v>
      </c>
      <c r="DI17" s="37">
        <v>0</v>
      </c>
      <c r="DJ17" s="37"/>
      <c r="DK17" s="37"/>
      <c r="DL17" s="42">
        <f t="shared" ref="DL17" si="193">DH17+DI17-DJ17+DK17</f>
        <v>2193629</v>
      </c>
      <c r="DM17" s="37">
        <v>0</v>
      </c>
      <c r="DN17" s="37"/>
      <c r="DO17" s="37"/>
      <c r="DP17" s="42">
        <f t="shared" ref="DP17" si="194">DL17+DM17-DN17+DO17</f>
        <v>2193629</v>
      </c>
      <c r="DQ17" s="37">
        <v>0</v>
      </c>
      <c r="DR17" s="37"/>
      <c r="DS17" s="37"/>
      <c r="DT17" s="42">
        <f t="shared" ref="DT17" si="195">DP17+DQ17-DR17+DS17</f>
        <v>2193629</v>
      </c>
      <c r="DU17" s="37">
        <v>0</v>
      </c>
      <c r="DV17" s="37"/>
      <c r="DW17" s="37"/>
      <c r="DX17" s="42">
        <f t="shared" ref="DX17" si="196">DT17+DU17-DV17+DW17</f>
        <v>2193629</v>
      </c>
      <c r="DY17" s="37">
        <v>0</v>
      </c>
      <c r="DZ17" s="37"/>
      <c r="EA17" s="37"/>
      <c r="EB17" s="42">
        <f t="shared" ref="EB17" si="197">DX17+DY17-DZ17+EA17</f>
        <v>2193629</v>
      </c>
      <c r="EC17" s="37">
        <v>0</v>
      </c>
      <c r="ED17" s="37"/>
      <c r="EE17" s="37"/>
      <c r="EF17" s="42">
        <f t="shared" ref="EF17" si="198">EB17+EC17-ED17+EE17</f>
        <v>2193629</v>
      </c>
      <c r="EG17" s="37">
        <v>0</v>
      </c>
      <c r="EH17" s="37"/>
      <c r="EI17" s="37"/>
      <c r="EJ17" s="42">
        <f t="shared" ref="EJ17" si="199">EF17+EG17-EH17+EI17</f>
        <v>2193629</v>
      </c>
      <c r="EK17" s="37">
        <v>0</v>
      </c>
      <c r="EL17" s="37"/>
      <c r="EM17" s="37"/>
      <c r="EN17" s="42">
        <f t="shared" ref="EN17" si="200">EJ17+EK17-EL17+EM17</f>
        <v>2193629</v>
      </c>
      <c r="EO17" s="37">
        <v>0</v>
      </c>
      <c r="EP17" s="37"/>
      <c r="EQ17" s="37"/>
      <c r="ER17" s="42">
        <f t="shared" ref="ER17" si="201">EN17+EO17-EP17+EQ17</f>
        <v>2193629</v>
      </c>
    </row>
    <row r="18" spans="1:148" x14ac:dyDescent="0.45">
      <c r="D18" s="36"/>
      <c r="E18" s="37"/>
      <c r="F18" s="37"/>
      <c r="G18" s="37"/>
      <c r="H18" s="36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1"/>
      <c r="DL18" s="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6219-8AA5-41EB-AB47-7D5674977F87}">
  <dimension ref="A1:AM22"/>
  <sheetViews>
    <sheetView workbookViewId="0">
      <selection activeCell="O5" sqref="O5:O17"/>
    </sheetView>
  </sheetViews>
  <sheetFormatPr defaultRowHeight="14.25" x14ac:dyDescent="0.45"/>
  <cols>
    <col min="1" max="1" width="6.86328125" bestFit="1" customWidth="1"/>
    <col min="2" max="2" width="25.3984375" bestFit="1" customWidth="1"/>
    <col min="3" max="4" width="8" bestFit="1" customWidth="1"/>
  </cols>
  <sheetData>
    <row r="1" spans="1:39" ht="28.5" x14ac:dyDescent="0.45">
      <c r="A1" s="5" t="s">
        <v>16</v>
      </c>
      <c r="B1" s="30"/>
      <c r="C1" s="34" t="s">
        <v>68</v>
      </c>
      <c r="D1" s="35"/>
    </row>
    <row r="2" spans="1:39" ht="14.65" thickBot="1" x14ac:dyDescent="0.5">
      <c r="A2" s="8" t="s">
        <v>3</v>
      </c>
      <c r="B2" s="8" t="s">
        <v>21</v>
      </c>
      <c r="C2" s="38">
        <v>43830</v>
      </c>
      <c r="D2" s="38">
        <f>EOMONTH(C2,1)</f>
        <v>43861</v>
      </c>
      <c r="E2" s="38">
        <f t="shared" ref="E2:AE2" si="0">EOMONTH(D2,1)</f>
        <v>43890</v>
      </c>
      <c r="F2" s="38">
        <f t="shared" si="0"/>
        <v>43921</v>
      </c>
      <c r="G2" s="38">
        <f t="shared" si="0"/>
        <v>43951</v>
      </c>
      <c r="H2" s="38">
        <f t="shared" si="0"/>
        <v>43982</v>
      </c>
      <c r="I2" s="45">
        <f t="shared" si="0"/>
        <v>44012</v>
      </c>
      <c r="J2" s="38">
        <f t="shared" si="0"/>
        <v>44043</v>
      </c>
      <c r="K2" s="38">
        <f t="shared" si="0"/>
        <v>44074</v>
      </c>
      <c r="L2" s="38">
        <f t="shared" si="0"/>
        <v>44104</v>
      </c>
      <c r="M2" s="38">
        <f t="shared" si="0"/>
        <v>44135</v>
      </c>
      <c r="N2" s="38">
        <f t="shared" si="0"/>
        <v>44165</v>
      </c>
      <c r="O2" s="38">
        <f t="shared" si="0"/>
        <v>44196</v>
      </c>
      <c r="P2" s="38">
        <f t="shared" si="0"/>
        <v>44227</v>
      </c>
      <c r="Q2" s="38">
        <f t="shared" si="0"/>
        <v>44255</v>
      </c>
      <c r="R2" s="38">
        <f t="shared" si="0"/>
        <v>44286</v>
      </c>
      <c r="S2" s="38">
        <f t="shared" si="0"/>
        <v>44316</v>
      </c>
      <c r="T2" s="38">
        <f t="shared" si="0"/>
        <v>44347</v>
      </c>
      <c r="U2" s="38">
        <f t="shared" si="0"/>
        <v>44377</v>
      </c>
      <c r="V2" s="38">
        <f t="shared" si="0"/>
        <v>44408</v>
      </c>
      <c r="W2" s="38">
        <f t="shared" si="0"/>
        <v>44439</v>
      </c>
      <c r="X2" s="38">
        <f t="shared" si="0"/>
        <v>44469</v>
      </c>
      <c r="Y2" s="38">
        <f t="shared" si="0"/>
        <v>44500</v>
      </c>
      <c r="Z2" s="38">
        <f t="shared" si="0"/>
        <v>44530</v>
      </c>
      <c r="AA2" s="38">
        <f t="shared" si="0"/>
        <v>44561</v>
      </c>
      <c r="AB2" s="38">
        <f t="shared" si="0"/>
        <v>44592</v>
      </c>
      <c r="AC2" s="38">
        <f t="shared" si="0"/>
        <v>44620</v>
      </c>
      <c r="AD2" s="38">
        <f t="shared" si="0"/>
        <v>44651</v>
      </c>
      <c r="AE2" s="38">
        <f t="shared" si="0"/>
        <v>44681</v>
      </c>
      <c r="AF2" s="38">
        <f t="shared" ref="AF2" si="1">EOMONTH(AE2,1)</f>
        <v>44712</v>
      </c>
      <c r="AG2" s="38">
        <f t="shared" ref="AG2" si="2">EOMONTH(AF2,1)</f>
        <v>44742</v>
      </c>
      <c r="AH2" s="38">
        <f t="shared" ref="AH2" si="3">EOMONTH(AG2,1)</f>
        <v>44773</v>
      </c>
      <c r="AI2" s="38">
        <f t="shared" ref="AI2" si="4">EOMONTH(AH2,1)</f>
        <v>44804</v>
      </c>
      <c r="AJ2" s="38">
        <f t="shared" ref="AJ2" si="5">EOMONTH(AI2,1)</f>
        <v>44834</v>
      </c>
      <c r="AK2" s="38">
        <f t="shared" ref="AK2" si="6">EOMONTH(AJ2,1)</f>
        <v>44865</v>
      </c>
      <c r="AL2" s="38">
        <f t="shared" ref="AL2:AM2" si="7">EOMONTH(AK2,1)</f>
        <v>44895</v>
      </c>
      <c r="AM2" s="38">
        <f t="shared" si="7"/>
        <v>44926</v>
      </c>
    </row>
    <row r="3" spans="1:39" x14ac:dyDescent="0.45">
      <c r="A3" s="11"/>
      <c r="B3" s="12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x14ac:dyDescent="0.45">
      <c r="A4" s="11"/>
      <c r="B4" s="11"/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 x14ac:dyDescent="0.45">
      <c r="A5" s="23">
        <v>303</v>
      </c>
      <c r="B5" s="23" t="s">
        <v>22</v>
      </c>
      <c r="C5" s="44">
        <f>D5-INDEX('Dep LinkIn'!$D$5:$AN$16,MATCH('AccDep LinkIn'!$A5,'Dep LinkIn'!$A$5:$A$16,0),MATCH('AccDep LinkIn'!C$2,'Dep LinkIn'!$D$2:$AN$2,0))</f>
        <v>0</v>
      </c>
      <c r="D5" s="44">
        <f>E5-INDEX('Dep LinkIn'!$E$5:$AN$16,MATCH('AccDep LinkIn'!$A5,'Dep LinkIn'!$A$5:$A$16,0),MATCH('AccDep LinkIn'!D$2,'Dep LinkIn'!$E$2:$AN$2,0))</f>
        <v>0</v>
      </c>
      <c r="E5" s="44">
        <f>F5-INDEX('Dep LinkIn'!$E$5:$AN$16,MATCH('AccDep LinkIn'!$A5,'Dep LinkIn'!$A$5:$A$16,0),MATCH('AccDep LinkIn'!E$2,'Dep LinkIn'!$E$2:$AN$2,0))</f>
        <v>0</v>
      </c>
      <c r="F5" s="44">
        <f>G5-INDEX('Dep LinkIn'!$E$5:$AN$16,MATCH('AccDep LinkIn'!$A5,'Dep LinkIn'!$A$5:$A$16,0),MATCH('AccDep LinkIn'!F$2,'Dep LinkIn'!$E$2:$AN$2,0))</f>
        <v>0</v>
      </c>
      <c r="G5" s="44">
        <f>H5-INDEX('Dep LinkIn'!$E$5:$AN$16,MATCH('AccDep LinkIn'!$A5,'Dep LinkIn'!$A$5:$A$16,0),MATCH('AccDep LinkIn'!G$2,'Dep LinkIn'!$E$2:$AN$2,0))</f>
        <v>0</v>
      </c>
      <c r="H5" s="44">
        <f>I5-INDEX('Dep LinkIn'!$E$5:$AN$16,MATCH('AccDep LinkIn'!$A5,'Dep LinkIn'!$A$5:$A$16,0),MATCH('AccDep LinkIn'!H$2,'Dep LinkIn'!$E$2:$AN$2,0))</f>
        <v>0</v>
      </c>
      <c r="I5" s="37">
        <v>0</v>
      </c>
      <c r="J5" s="44">
        <f>IF(I5&gt;='UPIS Detail'!AB5,I5+INDEX('Dep LinkIn'!$D$5:$AN$16,MATCH('AccDep LinkIn'!$A5,'Dep LinkIn'!$A$5:$A$16,0),MATCH('AccDep LinkIn'!J$2,'Dep LinkIn'!$D$2:$AN$2,0)),I5)</f>
        <v>0</v>
      </c>
      <c r="K5" s="44">
        <f>J5+INDEX('Dep LinkIn'!$D$5:$AN$16,MATCH('AccDep LinkIn'!$A5,'Dep LinkIn'!$A$5:$A$16,0),MATCH('AccDep LinkIn'!K$2,'Dep LinkIn'!$D$2:$AN$2,0))</f>
        <v>0</v>
      </c>
      <c r="L5" s="44">
        <f>K5+INDEX('Dep LinkIn'!$D$5:$AN$16,MATCH('AccDep LinkIn'!$A5,'Dep LinkIn'!$A$5:$A$16,0),MATCH('AccDep LinkIn'!L$2,'Dep LinkIn'!$D$2:$AN$2,0))</f>
        <v>0</v>
      </c>
      <c r="M5" s="44">
        <f>L5+INDEX('Dep LinkIn'!$D$5:$AN$16,MATCH('AccDep LinkIn'!$A5,'Dep LinkIn'!$A$5:$A$16,0),MATCH('AccDep LinkIn'!M$2,'Dep LinkIn'!$D$2:$AN$2,0))</f>
        <v>0</v>
      </c>
      <c r="N5" s="44">
        <f>M5+INDEX('Dep LinkIn'!$D$5:$AN$16,MATCH('AccDep LinkIn'!$A5,'Dep LinkIn'!$A$5:$A$16,0),MATCH('AccDep LinkIn'!N$2,'Dep LinkIn'!$D$2:$AN$2,0))</f>
        <v>0</v>
      </c>
      <c r="O5" s="44">
        <f>N5+INDEX('Dep LinkIn'!$D$5:$AN$16,MATCH('AccDep LinkIn'!$A5,'Dep LinkIn'!$A$5:$A$16,0),MATCH('AccDep LinkIn'!O$2,'Dep LinkIn'!$D$2:$AN$2,0))</f>
        <v>0</v>
      </c>
      <c r="P5" s="44">
        <f>O5+INDEX('Dep LinkIn'!$D$5:$AN$16,MATCH('AccDep LinkIn'!$A5,'Dep LinkIn'!$A$5:$A$16,0),MATCH('AccDep LinkIn'!P$2,'Dep LinkIn'!$D$2:$AN$2,0))</f>
        <v>0</v>
      </c>
      <c r="Q5" s="44">
        <f>P5+INDEX('Dep LinkIn'!$D$5:$AN$16,MATCH('AccDep LinkIn'!$A5,'Dep LinkIn'!$A$5:$A$16,0),MATCH('AccDep LinkIn'!Q$2,'Dep LinkIn'!$D$2:$AN$2,0))</f>
        <v>0</v>
      </c>
      <c r="R5" s="44">
        <f>Q5+INDEX('Dep LinkIn'!$D$5:$AN$16,MATCH('AccDep LinkIn'!$A5,'Dep LinkIn'!$A$5:$A$16,0),MATCH('AccDep LinkIn'!R$2,'Dep LinkIn'!$D$2:$AN$2,0))</f>
        <v>0</v>
      </c>
      <c r="S5" s="44">
        <f>R5+INDEX('Dep LinkIn'!$D$5:$AN$16,MATCH('AccDep LinkIn'!$A5,'Dep LinkIn'!$A$5:$A$16,0),MATCH('AccDep LinkIn'!S$2,'Dep LinkIn'!$D$2:$AN$2,0))</f>
        <v>0</v>
      </c>
      <c r="T5" s="44">
        <f>S5+INDEX('Dep LinkIn'!$D$5:$AN$16,MATCH('AccDep LinkIn'!$A5,'Dep LinkIn'!$A$5:$A$16,0),MATCH('AccDep LinkIn'!T$2,'Dep LinkIn'!$D$2:$AN$2,0))</f>
        <v>0</v>
      </c>
      <c r="U5" s="44">
        <f>T5+INDEX('Dep LinkIn'!$D$5:$AN$16,MATCH('AccDep LinkIn'!$A5,'Dep LinkIn'!$A$5:$A$16,0),MATCH('AccDep LinkIn'!U$2,'Dep LinkIn'!$D$2:$AN$2,0))</f>
        <v>0</v>
      </c>
      <c r="V5" s="44">
        <f>U5+INDEX('Dep LinkIn'!$D$5:$AN$16,MATCH('AccDep LinkIn'!$A5,'Dep LinkIn'!$A$5:$A$16,0),MATCH('AccDep LinkIn'!V$2,'Dep LinkIn'!$D$2:$AN$2,0))</f>
        <v>0</v>
      </c>
      <c r="W5" s="44">
        <f>V5+INDEX('Dep LinkIn'!$D$5:$AN$16,MATCH('AccDep LinkIn'!$A5,'Dep LinkIn'!$A$5:$A$16,0),MATCH('AccDep LinkIn'!W$2,'Dep LinkIn'!$D$2:$AN$2,0))</f>
        <v>0</v>
      </c>
      <c r="X5" s="44">
        <f>W5+INDEX('Dep LinkIn'!$D$5:$AN$16,MATCH('AccDep LinkIn'!$A5,'Dep LinkIn'!$A$5:$A$16,0),MATCH('AccDep LinkIn'!X$2,'Dep LinkIn'!$D$2:$AN$2,0))</f>
        <v>0</v>
      </c>
      <c r="Y5" s="44">
        <f>X5+INDEX('Dep LinkIn'!$D$5:$AN$16,MATCH('AccDep LinkIn'!$A5,'Dep LinkIn'!$A$5:$A$16,0),MATCH('AccDep LinkIn'!Y$2,'Dep LinkIn'!$D$2:$AN$2,0))</f>
        <v>0</v>
      </c>
      <c r="Z5" s="44">
        <f>Y5+INDEX('Dep LinkIn'!$D$5:$AN$16,MATCH('AccDep LinkIn'!$A5,'Dep LinkIn'!$A$5:$A$16,0),MATCH('AccDep LinkIn'!Z$2,'Dep LinkIn'!$D$2:$AN$2,0))</f>
        <v>0</v>
      </c>
      <c r="AA5" s="44">
        <f>Z5+INDEX('Dep LinkIn'!$D$5:$AN$16,MATCH('AccDep LinkIn'!$A5,'Dep LinkIn'!$A$5:$A$16,0),MATCH('AccDep LinkIn'!AA$2,'Dep LinkIn'!$D$2:$AN$2,0))</f>
        <v>0</v>
      </c>
      <c r="AB5" s="44">
        <f>AA5+INDEX('Dep LinkIn'!$D$5:$AN$16,MATCH('AccDep LinkIn'!$A5,'Dep LinkIn'!$A$5:$A$16,0),MATCH('AccDep LinkIn'!AB$2,'Dep LinkIn'!$D$2:$AN$2,0))</f>
        <v>0</v>
      </c>
      <c r="AC5" s="44">
        <f>AB5+INDEX('Dep LinkIn'!$D$5:$AN$16,MATCH('AccDep LinkIn'!$A5,'Dep LinkIn'!$A$5:$A$16,0),MATCH('AccDep LinkIn'!AC$2,'Dep LinkIn'!$D$2:$AN$2,0))</f>
        <v>0</v>
      </c>
      <c r="AD5" s="44">
        <f>AC5+INDEX('Dep LinkIn'!$D$5:$AN$16,MATCH('AccDep LinkIn'!$A5,'Dep LinkIn'!$A$5:$A$16,0),MATCH('AccDep LinkIn'!AD$2,'Dep LinkIn'!$D$2:$AN$2,0))</f>
        <v>0</v>
      </c>
      <c r="AE5" s="44">
        <f>AD5+INDEX('Dep LinkIn'!$D$5:$AN$16,MATCH('AccDep LinkIn'!$A5,'Dep LinkIn'!$A$5:$A$16,0),MATCH('AccDep LinkIn'!AE$2,'Dep LinkIn'!$D$2:$AN$2,0))</f>
        <v>0</v>
      </c>
      <c r="AF5" s="44">
        <f>AE5+INDEX('Dep LinkIn'!$D$5:$AN$16,MATCH('AccDep LinkIn'!$A5,'Dep LinkIn'!$A$5:$A$16,0),MATCH('AccDep LinkIn'!AF$2,'Dep LinkIn'!$D$2:$AN$2,0))</f>
        <v>0</v>
      </c>
      <c r="AG5" s="44">
        <f>AF5+INDEX('Dep LinkIn'!$D$5:$AN$16,MATCH('AccDep LinkIn'!$A5,'Dep LinkIn'!$A$5:$A$16,0),MATCH('AccDep LinkIn'!AG$2,'Dep LinkIn'!$D$2:$AN$2,0))</f>
        <v>0</v>
      </c>
      <c r="AH5" s="44">
        <f>AG5+INDEX('Dep LinkIn'!$D$5:$AN$16,MATCH('AccDep LinkIn'!$A5,'Dep LinkIn'!$A$5:$A$16,0),MATCH('AccDep LinkIn'!AH$2,'Dep LinkIn'!$D$2:$AN$2,0))</f>
        <v>0</v>
      </c>
      <c r="AI5" s="44">
        <f>AH5+INDEX('Dep LinkIn'!$D$5:$AN$16,MATCH('AccDep LinkIn'!$A5,'Dep LinkIn'!$A$5:$A$16,0),MATCH('AccDep LinkIn'!AI$2,'Dep LinkIn'!$D$2:$AN$2,0))</f>
        <v>0</v>
      </c>
      <c r="AJ5" s="44">
        <f>AI5+INDEX('Dep LinkIn'!$D$5:$AN$16,MATCH('AccDep LinkIn'!$A5,'Dep LinkIn'!$A$5:$A$16,0),MATCH('AccDep LinkIn'!AJ$2,'Dep LinkIn'!$D$2:$AN$2,0))</f>
        <v>0</v>
      </c>
      <c r="AK5" s="44">
        <f>AJ5+INDEX('Dep LinkIn'!$D$5:$AN$16,MATCH('AccDep LinkIn'!$A5,'Dep LinkIn'!$A$5:$A$16,0),MATCH('AccDep LinkIn'!AK$2,'Dep LinkIn'!$D$2:$AN$2,0))</f>
        <v>0</v>
      </c>
      <c r="AL5" s="44">
        <f>AK5+INDEX('Dep LinkIn'!$D$5:$AN$16,MATCH('AccDep LinkIn'!$A5,'Dep LinkIn'!$A$5:$A$16,0),MATCH('AccDep LinkIn'!AL$2,'Dep LinkIn'!$D$2:$AN$2,0))</f>
        <v>0</v>
      </c>
      <c r="AM5" s="44">
        <f>AL5+INDEX('Dep LinkIn'!$D$5:$AN$17,MATCH('AccDep LinkIn'!$A5,'Dep LinkIn'!$A$5:$A$17,0),MATCH('AccDep LinkIn'!AM$2,'Dep LinkIn'!$D$2:$AN$2,0))</f>
        <v>0</v>
      </c>
    </row>
    <row r="6" spans="1:39" x14ac:dyDescent="0.45">
      <c r="A6" s="23">
        <v>310.10000000000002</v>
      </c>
      <c r="B6" s="23" t="s">
        <v>23</v>
      </c>
      <c r="C6" s="44">
        <f>D6-INDEX('Dep LinkIn'!$D$5:$AN$16,MATCH('AccDep LinkIn'!$A6,'Dep LinkIn'!$A$5:$A$16,0),MATCH('AccDep LinkIn'!C$2,'Dep LinkIn'!$D$2:$AN$2,0))</f>
        <v>0</v>
      </c>
      <c r="D6" s="44">
        <f>E6-INDEX('Dep LinkIn'!$E$5:$AN$16,MATCH('AccDep LinkIn'!$A6,'Dep LinkIn'!$A$5:$A$16,0),MATCH('AccDep LinkIn'!D$2,'Dep LinkIn'!$E$2:$AN$2,0))</f>
        <v>0</v>
      </c>
      <c r="E6" s="44">
        <f>F6-INDEX('Dep LinkIn'!$E$5:$AN$16,MATCH('AccDep LinkIn'!$A6,'Dep LinkIn'!$A$5:$A$16,0),MATCH('AccDep LinkIn'!E$2,'Dep LinkIn'!$E$2:$AN$2,0))</f>
        <v>0</v>
      </c>
      <c r="F6" s="44">
        <f>G6-INDEX('Dep LinkIn'!$E$5:$AN$16,MATCH('AccDep LinkIn'!$A6,'Dep LinkIn'!$A$5:$A$16,0),MATCH('AccDep LinkIn'!F$2,'Dep LinkIn'!$E$2:$AN$2,0))</f>
        <v>0</v>
      </c>
      <c r="G6" s="44">
        <f>H6-INDEX('Dep LinkIn'!$E$5:$AN$16,MATCH('AccDep LinkIn'!$A6,'Dep LinkIn'!$A$5:$A$16,0),MATCH('AccDep LinkIn'!G$2,'Dep LinkIn'!$E$2:$AN$2,0))</f>
        <v>0</v>
      </c>
      <c r="H6" s="44">
        <f>I6-INDEX('Dep LinkIn'!$E$5:$AN$16,MATCH('AccDep LinkIn'!$A6,'Dep LinkIn'!$A$5:$A$16,0),MATCH('AccDep LinkIn'!H$2,'Dep LinkIn'!$E$2:$AN$2,0))</f>
        <v>0</v>
      </c>
      <c r="I6" s="37">
        <v>0</v>
      </c>
      <c r="J6" s="44">
        <f>I6+INDEX('Dep LinkIn'!$D$5:$AN$16,MATCH('AccDep LinkIn'!$A6,'Dep LinkIn'!$A$5:$A$16,0),MATCH('AccDep LinkIn'!J$2,'Dep LinkIn'!$D$2:$AN$2,0))</f>
        <v>0</v>
      </c>
      <c r="K6" s="44">
        <f>J6+INDEX('Dep LinkIn'!$D$5:$AN$16,MATCH('AccDep LinkIn'!$A6,'Dep LinkIn'!$A$5:$A$16,0),MATCH('AccDep LinkIn'!K$2,'Dep LinkIn'!$D$2:$AN$2,0))</f>
        <v>0</v>
      </c>
      <c r="L6" s="44">
        <f>K6+INDEX('Dep LinkIn'!$D$5:$AN$16,MATCH('AccDep LinkIn'!$A6,'Dep LinkIn'!$A$5:$A$16,0),MATCH('AccDep LinkIn'!L$2,'Dep LinkIn'!$D$2:$AN$2,0))</f>
        <v>0</v>
      </c>
      <c r="M6" s="44">
        <f>L6+INDEX('Dep LinkIn'!$D$5:$AN$16,MATCH('AccDep LinkIn'!$A6,'Dep LinkIn'!$A$5:$A$16,0),MATCH('AccDep LinkIn'!M$2,'Dep LinkIn'!$D$2:$AN$2,0))</f>
        <v>0</v>
      </c>
      <c r="N6" s="44">
        <f>M6+INDEX('Dep LinkIn'!$D$5:$AN$16,MATCH('AccDep LinkIn'!$A6,'Dep LinkIn'!$A$5:$A$16,0),MATCH('AccDep LinkIn'!N$2,'Dep LinkIn'!$D$2:$AN$2,0))</f>
        <v>0</v>
      </c>
      <c r="O6" s="44">
        <f>N6+INDEX('Dep LinkIn'!$D$5:$AN$16,MATCH('AccDep LinkIn'!$A6,'Dep LinkIn'!$A$5:$A$16,0),MATCH('AccDep LinkIn'!O$2,'Dep LinkIn'!$D$2:$AN$2,0))</f>
        <v>0</v>
      </c>
      <c r="P6" s="44">
        <f>O6+INDEX('Dep LinkIn'!$D$5:$AN$16,MATCH('AccDep LinkIn'!$A6,'Dep LinkIn'!$A$5:$A$16,0),MATCH('AccDep LinkIn'!P$2,'Dep LinkIn'!$D$2:$AN$2,0))</f>
        <v>0</v>
      </c>
      <c r="Q6" s="44">
        <f>P6+INDEX('Dep LinkIn'!$D$5:$AN$16,MATCH('AccDep LinkIn'!$A6,'Dep LinkIn'!$A$5:$A$16,0),MATCH('AccDep LinkIn'!Q$2,'Dep LinkIn'!$D$2:$AN$2,0))</f>
        <v>0</v>
      </c>
      <c r="R6" s="44">
        <f>Q6+INDEX('Dep LinkIn'!$D$5:$AN$16,MATCH('AccDep LinkIn'!$A6,'Dep LinkIn'!$A$5:$A$16,0),MATCH('AccDep LinkIn'!R$2,'Dep LinkIn'!$D$2:$AN$2,0))</f>
        <v>0</v>
      </c>
      <c r="S6" s="44">
        <f>R6+INDEX('Dep LinkIn'!$D$5:$AN$16,MATCH('AccDep LinkIn'!$A6,'Dep LinkIn'!$A$5:$A$16,0),MATCH('AccDep LinkIn'!S$2,'Dep LinkIn'!$D$2:$AN$2,0))</f>
        <v>0</v>
      </c>
      <c r="T6" s="44">
        <f>S6+INDEX('Dep LinkIn'!$D$5:$AN$16,MATCH('AccDep LinkIn'!$A6,'Dep LinkIn'!$A$5:$A$16,0),MATCH('AccDep LinkIn'!T$2,'Dep LinkIn'!$D$2:$AN$2,0))</f>
        <v>0</v>
      </c>
      <c r="U6" s="44">
        <f>T6+INDEX('Dep LinkIn'!$D$5:$AN$16,MATCH('AccDep LinkIn'!$A6,'Dep LinkIn'!$A$5:$A$16,0),MATCH('AccDep LinkIn'!U$2,'Dep LinkIn'!$D$2:$AN$2,0))</f>
        <v>0</v>
      </c>
      <c r="V6" s="44">
        <f>U6+INDEX('Dep LinkIn'!$D$5:$AN$16,MATCH('AccDep LinkIn'!$A6,'Dep LinkIn'!$A$5:$A$16,0),MATCH('AccDep LinkIn'!V$2,'Dep LinkIn'!$D$2:$AN$2,0))</f>
        <v>0</v>
      </c>
      <c r="W6" s="44">
        <f>V6+INDEX('Dep LinkIn'!$D$5:$AN$16,MATCH('AccDep LinkIn'!$A6,'Dep LinkIn'!$A$5:$A$16,0),MATCH('AccDep LinkIn'!W$2,'Dep LinkIn'!$D$2:$AN$2,0))</f>
        <v>0</v>
      </c>
      <c r="X6" s="44">
        <f>W6+INDEX('Dep LinkIn'!$D$5:$AN$16,MATCH('AccDep LinkIn'!$A6,'Dep LinkIn'!$A$5:$A$16,0),MATCH('AccDep LinkIn'!X$2,'Dep LinkIn'!$D$2:$AN$2,0))</f>
        <v>0</v>
      </c>
      <c r="Y6" s="44">
        <f>X6+INDEX('Dep LinkIn'!$D$5:$AN$16,MATCH('AccDep LinkIn'!$A6,'Dep LinkIn'!$A$5:$A$16,0),MATCH('AccDep LinkIn'!Y$2,'Dep LinkIn'!$D$2:$AN$2,0))</f>
        <v>0</v>
      </c>
      <c r="Z6" s="44">
        <f>Y6+INDEX('Dep LinkIn'!$D$5:$AN$16,MATCH('AccDep LinkIn'!$A6,'Dep LinkIn'!$A$5:$A$16,0),MATCH('AccDep LinkIn'!Z$2,'Dep LinkIn'!$D$2:$AN$2,0))</f>
        <v>0</v>
      </c>
      <c r="AA6" s="44">
        <f>Z6+INDEX('Dep LinkIn'!$D$5:$AN$16,MATCH('AccDep LinkIn'!$A6,'Dep LinkIn'!$A$5:$A$16,0),MATCH('AccDep LinkIn'!AA$2,'Dep LinkIn'!$D$2:$AN$2,0))</f>
        <v>0</v>
      </c>
      <c r="AB6" s="44">
        <f>AA6+INDEX('Dep LinkIn'!$D$5:$AN$16,MATCH('AccDep LinkIn'!$A6,'Dep LinkIn'!$A$5:$A$16,0),MATCH('AccDep LinkIn'!AB$2,'Dep LinkIn'!$D$2:$AN$2,0))</f>
        <v>0</v>
      </c>
      <c r="AC6" s="44">
        <f>AB6+INDEX('Dep LinkIn'!$D$5:$AN$16,MATCH('AccDep LinkIn'!$A6,'Dep LinkIn'!$A$5:$A$16,0),MATCH('AccDep LinkIn'!AC$2,'Dep LinkIn'!$D$2:$AN$2,0))</f>
        <v>0</v>
      </c>
      <c r="AD6" s="44">
        <f>AC6+INDEX('Dep LinkIn'!$D$5:$AN$16,MATCH('AccDep LinkIn'!$A6,'Dep LinkIn'!$A$5:$A$16,0),MATCH('AccDep LinkIn'!AD$2,'Dep LinkIn'!$D$2:$AN$2,0))</f>
        <v>0</v>
      </c>
      <c r="AE6" s="44">
        <f>AD6+INDEX('Dep LinkIn'!$D$5:$AN$16,MATCH('AccDep LinkIn'!$A6,'Dep LinkIn'!$A$5:$A$16,0),MATCH('AccDep LinkIn'!AE$2,'Dep LinkIn'!$D$2:$AN$2,0))</f>
        <v>0</v>
      </c>
      <c r="AF6" s="44">
        <f>AE6+INDEX('Dep LinkIn'!$D$5:$AN$16,MATCH('AccDep LinkIn'!$A6,'Dep LinkIn'!$A$5:$A$16,0),MATCH('AccDep LinkIn'!AF$2,'Dep LinkIn'!$D$2:$AN$2,0))</f>
        <v>0</v>
      </c>
      <c r="AG6" s="44">
        <f>AF6+INDEX('Dep LinkIn'!$D$5:$AN$16,MATCH('AccDep LinkIn'!$A6,'Dep LinkIn'!$A$5:$A$16,0),MATCH('AccDep LinkIn'!AG$2,'Dep LinkIn'!$D$2:$AN$2,0))</f>
        <v>0</v>
      </c>
      <c r="AH6" s="44">
        <f>AG6+INDEX('Dep LinkIn'!$D$5:$AN$16,MATCH('AccDep LinkIn'!$A6,'Dep LinkIn'!$A$5:$A$16,0),MATCH('AccDep LinkIn'!AH$2,'Dep LinkIn'!$D$2:$AN$2,0))</f>
        <v>0</v>
      </c>
      <c r="AI6" s="44">
        <f>AH6+INDEX('Dep LinkIn'!$D$5:$AN$16,MATCH('AccDep LinkIn'!$A6,'Dep LinkIn'!$A$5:$A$16,0),MATCH('AccDep LinkIn'!AI$2,'Dep LinkIn'!$D$2:$AN$2,0))</f>
        <v>0</v>
      </c>
      <c r="AJ6" s="44">
        <f>AI6+INDEX('Dep LinkIn'!$D$5:$AN$16,MATCH('AccDep LinkIn'!$A6,'Dep LinkIn'!$A$5:$A$16,0),MATCH('AccDep LinkIn'!AJ$2,'Dep LinkIn'!$D$2:$AN$2,0))</f>
        <v>0</v>
      </c>
      <c r="AK6" s="44">
        <f>AJ6+INDEX('Dep LinkIn'!$D$5:$AN$16,MATCH('AccDep LinkIn'!$A6,'Dep LinkIn'!$A$5:$A$16,0),MATCH('AccDep LinkIn'!AK$2,'Dep LinkIn'!$D$2:$AN$2,0))</f>
        <v>0</v>
      </c>
      <c r="AL6" s="44">
        <f>AK6+INDEX('Dep LinkIn'!$D$5:$AN$16,MATCH('AccDep LinkIn'!$A6,'Dep LinkIn'!$A$5:$A$16,0),MATCH('AccDep LinkIn'!AL$2,'Dep LinkIn'!$D$2:$AN$2,0))</f>
        <v>0</v>
      </c>
      <c r="AM6" s="44">
        <f>AL6+INDEX('Dep LinkIn'!$D$5:$AN$17,MATCH('AccDep LinkIn'!$A6,'Dep LinkIn'!$A$5:$A$17,0),MATCH('AccDep LinkIn'!AM$2,'Dep LinkIn'!$D$2:$AN$2,0))</f>
        <v>0</v>
      </c>
    </row>
    <row r="7" spans="1:39" x14ac:dyDescent="0.45">
      <c r="A7" s="23">
        <v>311</v>
      </c>
      <c r="B7" s="23" t="s">
        <v>24</v>
      </c>
      <c r="C7" s="44">
        <f>D7-INDEX('Dep LinkIn'!$D$5:$AN$16,MATCH('AccDep LinkIn'!$A7,'Dep LinkIn'!$A$5:$A$16,0),MATCH('AccDep LinkIn'!C$2,'Dep LinkIn'!$D$2:$AN$2,0))</f>
        <v>39963.776779860476</v>
      </c>
      <c r="D7" s="44">
        <f>E7-INDEX('Dep LinkIn'!$E$5:$AN$16,MATCH('AccDep LinkIn'!$A7,'Dep LinkIn'!$A$5:$A$16,0),MATCH('AccDep LinkIn'!D$2,'Dep LinkIn'!$E$2:$AN$2,0))</f>
        <v>40030.780111368993</v>
      </c>
      <c r="E7" s="44">
        <f>F7-INDEX('Dep LinkIn'!$E$5:$AN$16,MATCH('AccDep LinkIn'!$A7,'Dep LinkIn'!$A$5:$A$16,0),MATCH('AccDep LinkIn'!E$2,'Dep LinkIn'!$E$2:$AN$2,0))</f>
        <v>40097.78344287751</v>
      </c>
      <c r="F7" s="44">
        <f>G7-INDEX('Dep LinkIn'!$E$5:$AN$16,MATCH('AccDep LinkIn'!$A7,'Dep LinkIn'!$A$5:$A$16,0),MATCH('AccDep LinkIn'!F$2,'Dep LinkIn'!$E$2:$AN$2,0))</f>
        <v>40164.786774386026</v>
      </c>
      <c r="G7" s="44">
        <f>H7-INDEX('Dep LinkIn'!$E$5:$AN$16,MATCH('AccDep LinkIn'!$A7,'Dep LinkIn'!$A$5:$A$16,0),MATCH('AccDep LinkIn'!G$2,'Dep LinkIn'!$E$2:$AN$2,0))</f>
        <v>40231.790105894543</v>
      </c>
      <c r="H7" s="44">
        <f>I7-INDEX('Dep LinkIn'!$E$5:$AN$16,MATCH('AccDep LinkIn'!$A7,'Dep LinkIn'!$A$5:$A$16,0),MATCH('AccDep LinkIn'!H$2,'Dep LinkIn'!$E$2:$AN$2,0))</f>
        <v>40298.793437403059</v>
      </c>
      <c r="I7" s="44">
        <v>40365.796768911576</v>
      </c>
      <c r="J7" s="44">
        <f>I7+INDEX('Dep LinkIn'!$D$5:$AN$16,MATCH('AccDep LinkIn'!$A7,'Dep LinkIn'!$A$5:$A$16,0),MATCH('AccDep LinkIn'!J$2,'Dep LinkIn'!$D$2:$AN$2,0))</f>
        <v>40942.942996689351</v>
      </c>
      <c r="K7" s="44">
        <f>J7+INDEX('Dep LinkIn'!$D$5:$AN$16,MATCH('AccDep LinkIn'!$A7,'Dep LinkIn'!$A$5:$A$16,0),MATCH('AccDep LinkIn'!K$2,'Dep LinkIn'!$D$2:$AN$2,0))</f>
        <v>41520.089224467127</v>
      </c>
      <c r="L7" s="44">
        <f>K7+INDEX('Dep LinkIn'!$D$5:$AN$16,MATCH('AccDep LinkIn'!$A7,'Dep LinkIn'!$A$5:$A$16,0),MATCH('AccDep LinkIn'!L$2,'Dep LinkIn'!$D$2:$AN$2,0))</f>
        <v>42153.847655022684</v>
      </c>
      <c r="M7" s="44">
        <f>L7+INDEX('Dep LinkIn'!$D$5:$AN$16,MATCH('AccDep LinkIn'!$A7,'Dep LinkIn'!$A$5:$A$16,0),MATCH('AccDep LinkIn'!M$2,'Dep LinkIn'!$D$2:$AN$2,0))</f>
        <v>42787.606085578242</v>
      </c>
      <c r="N7" s="44">
        <f>M7+INDEX('Dep LinkIn'!$D$5:$AN$16,MATCH('AccDep LinkIn'!$A7,'Dep LinkIn'!$A$5:$A$16,0),MATCH('AccDep LinkIn'!N$2,'Dep LinkIn'!$D$2:$AN$2,0))</f>
        <v>43421.364516133799</v>
      </c>
      <c r="O7" s="44">
        <f>N7+INDEX('Dep LinkIn'!$D$5:$AN$16,MATCH('AccDep LinkIn'!$A7,'Dep LinkIn'!$A$5:$A$16,0),MATCH('AccDep LinkIn'!O$2,'Dep LinkIn'!$D$2:$AN$2,0))</f>
        <v>44055.122946689356</v>
      </c>
      <c r="P7" s="44">
        <f>O7+INDEX('Dep LinkIn'!$D$5:$AN$16,MATCH('AccDep LinkIn'!$A7,'Dep LinkIn'!$A$5:$A$16,0),MATCH('AccDep LinkIn'!P$2,'Dep LinkIn'!$D$2:$AN$2,0))</f>
        <v>44688.881377244914</v>
      </c>
      <c r="Q7" s="44">
        <f>P7+INDEX('Dep LinkIn'!$D$5:$AN$16,MATCH('AccDep LinkIn'!$A7,'Dep LinkIn'!$A$5:$A$16,0),MATCH('AccDep LinkIn'!Q$2,'Dep LinkIn'!$D$2:$AN$2,0))</f>
        <v>45399.028696689362</v>
      </c>
      <c r="R7" s="44">
        <f>Q7+INDEX('Dep LinkIn'!$D$5:$AN$16,MATCH('AccDep LinkIn'!$A7,'Dep LinkIn'!$A$5:$A$16,0),MATCH('AccDep LinkIn'!R$2,'Dep LinkIn'!$D$2:$AN$2,0))</f>
        <v>46219.17601613381</v>
      </c>
      <c r="S7" s="44">
        <f>R7+INDEX('Dep LinkIn'!$D$5:$AN$16,MATCH('AccDep LinkIn'!$A7,'Dep LinkIn'!$A$5:$A$16,0),MATCH('AccDep LinkIn'!S$2,'Dep LinkIn'!$D$2:$AN$2,0))</f>
        <v>47329.601113356031</v>
      </c>
      <c r="T7" s="44">
        <f>S7+INDEX('Dep LinkIn'!$D$5:$AN$16,MATCH('AccDep LinkIn'!$A7,'Dep LinkIn'!$A$5:$A$16,0),MATCH('AccDep LinkIn'!T$2,'Dep LinkIn'!$D$2:$AN$2,0))</f>
        <v>48485.859543911589</v>
      </c>
      <c r="U7" s="44">
        <f>T7+INDEX('Dep LinkIn'!$D$5:$AN$16,MATCH('AccDep LinkIn'!$A7,'Dep LinkIn'!$A$5:$A$16,0),MATCH('AccDep LinkIn'!U$2,'Dep LinkIn'!$D$2:$AN$2,0))</f>
        <v>49642.117974467146</v>
      </c>
      <c r="V7" s="44">
        <f>U7+INDEX('Dep LinkIn'!$D$5:$AN$16,MATCH('AccDep LinkIn'!$A7,'Dep LinkIn'!$A$5:$A$16,0),MATCH('AccDep LinkIn'!V$2,'Dep LinkIn'!$D$2:$AN$2,0))</f>
        <v>50798.376405022704</v>
      </c>
      <c r="W7" s="44">
        <f>V7+INDEX('Dep LinkIn'!$D$5:$AN$16,MATCH('AccDep LinkIn'!$A7,'Dep LinkIn'!$A$5:$A$16,0),MATCH('AccDep LinkIn'!W$2,'Dep LinkIn'!$D$2:$AN$2,0))</f>
        <v>51954.634835578261</v>
      </c>
      <c r="X7" s="44">
        <f>W7+INDEX('Dep LinkIn'!$D$5:$AN$16,MATCH('AccDep LinkIn'!$A7,'Dep LinkIn'!$A$5:$A$16,0),MATCH('AccDep LinkIn'!X$2,'Dep LinkIn'!$D$2:$AN$2,0))</f>
        <v>53110.893266133819</v>
      </c>
      <c r="Y7" s="44">
        <f>X7+INDEX('Dep LinkIn'!$D$5:$AN$16,MATCH('AccDep LinkIn'!$A7,'Dep LinkIn'!$A$5:$A$16,0),MATCH('AccDep LinkIn'!Y$2,'Dep LinkIn'!$D$2:$AN$2,0))</f>
        <v>54267.151696689376</v>
      </c>
      <c r="Z7" s="44">
        <f>Y7+INDEX('Dep LinkIn'!$D$5:$AN$16,MATCH('AccDep LinkIn'!$A7,'Dep LinkIn'!$A$5:$A$16,0),MATCH('AccDep LinkIn'!Z$2,'Dep LinkIn'!$D$2:$AN$2,0))</f>
        <v>55423.410127244933</v>
      </c>
      <c r="AA7" s="44">
        <f>Z7+INDEX('Dep LinkIn'!$D$5:$AN$16,MATCH('AccDep LinkIn'!$A7,'Dep LinkIn'!$A$5:$A$16,0),MATCH('AccDep LinkIn'!AA$2,'Dep LinkIn'!$D$2:$AN$2,0))</f>
        <v>56579.668557800491</v>
      </c>
      <c r="AB7" s="44">
        <f>AA7+INDEX('Dep LinkIn'!$D$5:$AN$16,MATCH('AccDep LinkIn'!$A7,'Dep LinkIn'!$A$5:$A$16,0),MATCH('AccDep LinkIn'!AB$2,'Dep LinkIn'!$D$2:$AN$2,0))</f>
        <v>58117.871432800493</v>
      </c>
      <c r="AC7" s="44">
        <f>AB7+INDEX('Dep LinkIn'!$D$5:$AN$16,MATCH('AccDep LinkIn'!$A7,'Dep LinkIn'!$A$5:$A$16,0),MATCH('AccDep LinkIn'!AC$2,'Dep LinkIn'!$D$2:$AN$2,0))</f>
        <v>59656.074307800496</v>
      </c>
      <c r="AD7" s="44">
        <f>AC7+INDEX('Dep LinkIn'!$D$5:$AN$16,MATCH('AccDep LinkIn'!$A7,'Dep LinkIn'!$A$5:$A$16,0),MATCH('AccDep LinkIn'!AD$2,'Dep LinkIn'!$D$2:$AN$2,0))</f>
        <v>61194.277182800499</v>
      </c>
      <c r="AE7" s="44">
        <f>AD7+INDEX('Dep LinkIn'!$D$5:$AN$16,MATCH('AccDep LinkIn'!$A7,'Dep LinkIn'!$A$5:$A$16,0),MATCH('AccDep LinkIn'!AE$2,'Dep LinkIn'!$D$2:$AN$2,0))</f>
        <v>63067.06339113383</v>
      </c>
      <c r="AF7" s="44">
        <f>AE7+INDEX('Dep LinkIn'!$D$5:$AN$16,MATCH('AccDep LinkIn'!$A7,'Dep LinkIn'!$A$5:$A$16,0),MATCH('AccDep LinkIn'!AF$2,'Dep LinkIn'!$D$2:$AN$2,0))</f>
        <v>64939.849599467161</v>
      </c>
      <c r="AG7" s="44">
        <f>AF7+INDEX('Dep LinkIn'!$D$5:$AN$16,MATCH('AccDep LinkIn'!$A7,'Dep LinkIn'!$A$5:$A$16,0),MATCH('AccDep LinkIn'!AG$2,'Dep LinkIn'!$D$2:$AN$2,0))</f>
        <v>66812.6358078005</v>
      </c>
      <c r="AH7" s="44">
        <f>AG7+INDEX('Dep LinkIn'!$D$5:$AN$16,MATCH('AccDep LinkIn'!$A7,'Dep LinkIn'!$A$5:$A$16,0),MATCH('AccDep LinkIn'!AH$2,'Dep LinkIn'!$D$2:$AN$2,0))</f>
        <v>68685.422016133831</v>
      </c>
      <c r="AI7" s="44">
        <f>AH7+INDEX('Dep LinkIn'!$D$5:$AN$16,MATCH('AccDep LinkIn'!$A7,'Dep LinkIn'!$A$5:$A$16,0),MATCH('AccDep LinkIn'!AI$2,'Dep LinkIn'!$D$2:$AN$2,0))</f>
        <v>70558.208224467162</v>
      </c>
      <c r="AJ7" s="44">
        <f>AI7+INDEX('Dep LinkIn'!$D$5:$AN$16,MATCH('AccDep LinkIn'!$A7,'Dep LinkIn'!$A$5:$A$16,0),MATCH('AccDep LinkIn'!AJ$2,'Dep LinkIn'!$D$2:$AN$2,0))</f>
        <v>72430.994432800493</v>
      </c>
      <c r="AK7" s="44">
        <f>AJ7+INDEX('Dep LinkIn'!$D$5:$AN$16,MATCH('AccDep LinkIn'!$A7,'Dep LinkIn'!$A$5:$A$16,0),MATCH('AccDep LinkIn'!AK$2,'Dep LinkIn'!$D$2:$AN$2,0))</f>
        <v>74303.780641133824</v>
      </c>
      <c r="AL7" s="44">
        <f>AK7+INDEX('Dep LinkIn'!$D$5:$AN$16,MATCH('AccDep LinkIn'!$A7,'Dep LinkIn'!$A$5:$A$16,0),MATCH('AccDep LinkIn'!AL$2,'Dep LinkIn'!$D$2:$AN$2,0))</f>
        <v>76176.566849467155</v>
      </c>
      <c r="AM7" s="44">
        <f>AL7+INDEX('Dep LinkIn'!$D$5:$AN$17,MATCH('AccDep LinkIn'!$A7,'Dep LinkIn'!$A$5:$A$17,0),MATCH('AccDep LinkIn'!AM$2,'Dep LinkIn'!$D$2:$AN$2,0))</f>
        <v>78049.353057800487</v>
      </c>
    </row>
    <row r="8" spans="1:39" x14ac:dyDescent="0.45">
      <c r="A8" s="23">
        <v>352.1</v>
      </c>
      <c r="B8" s="23" t="s">
        <v>25</v>
      </c>
      <c r="C8" s="44">
        <f>D8-INDEX('Dep LinkIn'!$D$5:$AN$16,MATCH('AccDep LinkIn'!$A8,'Dep LinkIn'!$A$5:$A$16,0),MATCH('AccDep LinkIn'!C$2,'Dep LinkIn'!$D$2:$AN$2,0))</f>
        <v>0</v>
      </c>
      <c r="D8" s="44">
        <f>E8-INDEX('Dep LinkIn'!$E$5:$AN$16,MATCH('AccDep LinkIn'!$A8,'Dep LinkIn'!$A$5:$A$16,0),MATCH('AccDep LinkIn'!D$2,'Dep LinkIn'!$E$2:$AN$2,0))</f>
        <v>0</v>
      </c>
      <c r="E8" s="44">
        <f>F8-INDEX('Dep LinkIn'!$E$5:$AN$16,MATCH('AccDep LinkIn'!$A8,'Dep LinkIn'!$A$5:$A$16,0),MATCH('AccDep LinkIn'!E$2,'Dep LinkIn'!$E$2:$AN$2,0))</f>
        <v>0</v>
      </c>
      <c r="F8" s="44">
        <f>G8-INDEX('Dep LinkIn'!$E$5:$AN$16,MATCH('AccDep LinkIn'!$A8,'Dep LinkIn'!$A$5:$A$16,0),MATCH('AccDep LinkIn'!F$2,'Dep LinkIn'!$E$2:$AN$2,0))</f>
        <v>0</v>
      </c>
      <c r="G8" s="44">
        <f>H8-INDEX('Dep LinkIn'!$E$5:$AN$16,MATCH('AccDep LinkIn'!$A8,'Dep LinkIn'!$A$5:$A$16,0),MATCH('AccDep LinkIn'!G$2,'Dep LinkIn'!$E$2:$AN$2,0))</f>
        <v>0</v>
      </c>
      <c r="H8" s="44">
        <f>I8-INDEX('Dep LinkIn'!$E$5:$AN$16,MATCH('AccDep LinkIn'!$A8,'Dep LinkIn'!$A$5:$A$16,0),MATCH('AccDep LinkIn'!H$2,'Dep LinkIn'!$E$2:$AN$2,0))</f>
        <v>0</v>
      </c>
      <c r="I8" s="44">
        <v>0</v>
      </c>
      <c r="J8" s="44">
        <f>I8+INDEX('Dep LinkIn'!$D$5:$AN$16,MATCH('AccDep LinkIn'!$A8,'Dep LinkIn'!$A$5:$A$16,0),MATCH('AccDep LinkIn'!J$2,'Dep LinkIn'!$D$2:$AN$2,0))</f>
        <v>1981.8343500000003</v>
      </c>
      <c r="K8" s="44">
        <f>J8+INDEX('Dep LinkIn'!$D$5:$AN$16,MATCH('AccDep LinkIn'!$A8,'Dep LinkIn'!$A$5:$A$16,0),MATCH('AccDep LinkIn'!K$2,'Dep LinkIn'!$D$2:$AN$2,0))</f>
        <v>3963.6687000000006</v>
      </c>
      <c r="L8" s="44">
        <f>K8+INDEX('Dep LinkIn'!$D$5:$AN$16,MATCH('AccDep LinkIn'!$A8,'Dep LinkIn'!$A$5:$A$16,0),MATCH('AccDep LinkIn'!L$2,'Dep LinkIn'!$D$2:$AN$2,0))</f>
        <v>5980.4696833333346</v>
      </c>
      <c r="M8" s="44">
        <f>L8+INDEX('Dep LinkIn'!$D$5:$AN$16,MATCH('AccDep LinkIn'!$A8,'Dep LinkIn'!$A$5:$A$16,0),MATCH('AccDep LinkIn'!M$2,'Dep LinkIn'!$D$2:$AN$2,0))</f>
        <v>7997.2706666666681</v>
      </c>
      <c r="N8" s="44">
        <f>M8+INDEX('Dep LinkIn'!$D$5:$AN$16,MATCH('AccDep LinkIn'!$A8,'Dep LinkIn'!$A$5:$A$16,0),MATCH('AccDep LinkIn'!N$2,'Dep LinkIn'!$D$2:$AN$2,0))</f>
        <v>10014.071650000002</v>
      </c>
      <c r="O8" s="44">
        <f>N8+INDEX('Dep LinkIn'!$D$5:$AN$16,MATCH('AccDep LinkIn'!$A8,'Dep LinkIn'!$A$5:$A$16,0),MATCH('AccDep LinkIn'!O$2,'Dep LinkIn'!$D$2:$AN$2,0))</f>
        <v>12322.091483333335</v>
      </c>
      <c r="P8" s="44">
        <f>O8+INDEX('Dep LinkIn'!$D$5:$AN$16,MATCH('AccDep LinkIn'!$A8,'Dep LinkIn'!$A$5:$A$16,0),MATCH('AccDep LinkIn'!P$2,'Dep LinkIn'!$D$2:$AN$2,0))</f>
        <v>14751.777983333335</v>
      </c>
      <c r="Q8" s="44">
        <f>P8+INDEX('Dep LinkIn'!$D$5:$AN$16,MATCH('AccDep LinkIn'!$A8,'Dep LinkIn'!$A$5:$A$16,0),MATCH('AccDep LinkIn'!Q$2,'Dep LinkIn'!$D$2:$AN$2,0))</f>
        <v>17181.464483333337</v>
      </c>
      <c r="R8" s="44">
        <f>Q8+INDEX('Dep LinkIn'!$D$5:$AN$16,MATCH('AccDep LinkIn'!$A8,'Dep LinkIn'!$A$5:$A$16,0),MATCH('AccDep LinkIn'!R$2,'Dep LinkIn'!$D$2:$AN$2,0))</f>
        <v>19878.976716666672</v>
      </c>
      <c r="S8" s="44">
        <f>R8+INDEX('Dep LinkIn'!$D$5:$AN$16,MATCH('AccDep LinkIn'!$A8,'Dep LinkIn'!$A$5:$A$16,0),MATCH('AccDep LinkIn'!S$2,'Dep LinkIn'!$D$2:$AN$2,0))</f>
        <v>22580.655616666671</v>
      </c>
      <c r="T8" s="44">
        <f>S8+INDEX('Dep LinkIn'!$D$5:$AN$16,MATCH('AccDep LinkIn'!$A8,'Dep LinkIn'!$A$5:$A$16,0),MATCH('AccDep LinkIn'!T$2,'Dep LinkIn'!$D$2:$AN$2,0))</f>
        <v>25365.667850000005</v>
      </c>
      <c r="U8" s="44">
        <f>T8+INDEX('Dep LinkIn'!$D$5:$AN$16,MATCH('AccDep LinkIn'!$A8,'Dep LinkIn'!$A$5:$A$16,0),MATCH('AccDep LinkIn'!U$2,'Dep LinkIn'!$D$2:$AN$2,0))</f>
        <v>28150.68008333334</v>
      </c>
      <c r="V8" s="44">
        <f>U8+INDEX('Dep LinkIn'!$D$5:$AN$16,MATCH('AccDep LinkIn'!$A8,'Dep LinkIn'!$A$5:$A$16,0),MATCH('AccDep LinkIn'!V$2,'Dep LinkIn'!$D$2:$AN$2,0))</f>
        <v>30935.692316666675</v>
      </c>
      <c r="W8" s="44">
        <f>V8+INDEX('Dep LinkIn'!$D$5:$AN$16,MATCH('AccDep LinkIn'!$A8,'Dep LinkIn'!$A$5:$A$16,0),MATCH('AccDep LinkIn'!W$2,'Dep LinkIn'!$D$2:$AN$2,0))</f>
        <v>33720.704550000009</v>
      </c>
      <c r="X8" s="44">
        <f>W8+INDEX('Dep LinkIn'!$D$5:$AN$16,MATCH('AccDep LinkIn'!$A8,'Dep LinkIn'!$A$5:$A$16,0),MATCH('AccDep LinkIn'!X$2,'Dep LinkIn'!$D$2:$AN$2,0))</f>
        <v>36505.716783333344</v>
      </c>
      <c r="Y8" s="44">
        <f>X8+INDEX('Dep LinkIn'!$D$5:$AN$16,MATCH('AccDep LinkIn'!$A8,'Dep LinkIn'!$A$5:$A$16,0),MATCH('AccDep LinkIn'!Y$2,'Dep LinkIn'!$D$2:$AN$2,0))</f>
        <v>39290.729016666679</v>
      </c>
      <c r="Z8" s="44">
        <f>Y8+INDEX('Dep LinkIn'!$D$5:$AN$16,MATCH('AccDep LinkIn'!$A8,'Dep LinkIn'!$A$5:$A$16,0),MATCH('AccDep LinkIn'!Z$2,'Dep LinkIn'!$D$2:$AN$2,0))</f>
        <v>42075.741250000014</v>
      </c>
      <c r="AA8" s="44">
        <f>Z8+INDEX('Dep LinkIn'!$D$5:$AN$16,MATCH('AccDep LinkIn'!$A8,'Dep LinkIn'!$A$5:$A$16,0),MATCH('AccDep LinkIn'!AA$2,'Dep LinkIn'!$D$2:$AN$2,0))</f>
        <v>45077.420150000013</v>
      </c>
      <c r="AB8" s="44">
        <f>AA8+INDEX('Dep LinkIn'!$D$5:$AN$16,MATCH('AccDep LinkIn'!$A8,'Dep LinkIn'!$A$5:$A$16,0),MATCH('AccDep LinkIn'!AB$2,'Dep LinkIn'!$D$2:$AN$2,0))</f>
        <v>48216.599050000012</v>
      </c>
      <c r="AC8" s="44">
        <f>AB8+INDEX('Dep LinkIn'!$D$5:$AN$16,MATCH('AccDep LinkIn'!$A8,'Dep LinkIn'!$A$5:$A$16,0),MATCH('AccDep LinkIn'!AC$2,'Dep LinkIn'!$D$2:$AN$2,0))</f>
        <v>51355.777950000011</v>
      </c>
      <c r="AD8" s="44">
        <f>AC8+INDEX('Dep LinkIn'!$D$5:$AN$16,MATCH('AccDep LinkIn'!$A8,'Dep LinkIn'!$A$5:$A$16,0),MATCH('AccDep LinkIn'!AD$2,'Dep LinkIn'!$D$2:$AN$2,0))</f>
        <v>54494.95685000001</v>
      </c>
      <c r="AE8" s="44">
        <f>AD8+INDEX('Dep LinkIn'!$D$5:$AN$16,MATCH('AccDep LinkIn'!$A8,'Dep LinkIn'!$A$5:$A$16,0),MATCH('AccDep LinkIn'!AE$2,'Dep LinkIn'!$D$2:$AN$2,0))</f>
        <v>57634.135750000009</v>
      </c>
      <c r="AF8" s="44">
        <f>AE8+INDEX('Dep LinkIn'!$D$5:$AN$16,MATCH('AccDep LinkIn'!$A8,'Dep LinkIn'!$A$5:$A$16,0),MATCH('AccDep LinkIn'!AF$2,'Dep LinkIn'!$D$2:$AN$2,0))</f>
        <v>60773.314650000008</v>
      </c>
      <c r="AG8" s="44">
        <f>AF8+INDEX('Dep LinkIn'!$D$5:$AN$16,MATCH('AccDep LinkIn'!$A8,'Dep LinkIn'!$A$5:$A$16,0),MATCH('AccDep LinkIn'!AG$2,'Dep LinkIn'!$D$2:$AN$2,0))</f>
        <v>63912.493550000007</v>
      </c>
      <c r="AH8" s="44">
        <f>AG8+INDEX('Dep LinkIn'!$D$5:$AN$16,MATCH('AccDep LinkIn'!$A8,'Dep LinkIn'!$A$5:$A$16,0),MATCH('AccDep LinkIn'!AH$2,'Dep LinkIn'!$D$2:$AN$2,0))</f>
        <v>67051.672450000013</v>
      </c>
      <c r="AI8" s="44">
        <f>AH8+INDEX('Dep LinkIn'!$D$5:$AN$16,MATCH('AccDep LinkIn'!$A8,'Dep LinkIn'!$A$5:$A$16,0),MATCH('AccDep LinkIn'!AI$2,'Dep LinkIn'!$D$2:$AN$2,0))</f>
        <v>70190.851350000012</v>
      </c>
      <c r="AJ8" s="44">
        <f>AI8+INDEX('Dep LinkIn'!$D$5:$AN$16,MATCH('AccDep LinkIn'!$A8,'Dep LinkIn'!$A$5:$A$16,0),MATCH('AccDep LinkIn'!AJ$2,'Dep LinkIn'!$D$2:$AN$2,0))</f>
        <v>73330.030250000011</v>
      </c>
      <c r="AK8" s="44">
        <f>AJ8+INDEX('Dep LinkIn'!$D$5:$AN$16,MATCH('AccDep LinkIn'!$A8,'Dep LinkIn'!$A$5:$A$16,0),MATCH('AccDep LinkIn'!AK$2,'Dep LinkIn'!$D$2:$AN$2,0))</f>
        <v>76469.20915000001</v>
      </c>
      <c r="AL8" s="44">
        <f>AK8+INDEX('Dep LinkIn'!$D$5:$AN$16,MATCH('AccDep LinkIn'!$A8,'Dep LinkIn'!$A$5:$A$16,0),MATCH('AccDep LinkIn'!AL$2,'Dep LinkIn'!$D$2:$AN$2,0))</f>
        <v>79608.388050000009</v>
      </c>
      <c r="AM8" s="44">
        <f>AL8+INDEX('Dep LinkIn'!$D$5:$AN$17,MATCH('AccDep LinkIn'!$A8,'Dep LinkIn'!$A$5:$A$17,0),MATCH('AccDep LinkIn'!AM$2,'Dep LinkIn'!$D$2:$AN$2,0))</f>
        <v>82747.566950000008</v>
      </c>
    </row>
    <row r="9" spans="1:39" x14ac:dyDescent="0.45">
      <c r="A9" s="23">
        <v>352.2</v>
      </c>
      <c r="B9" s="23" t="s">
        <v>26</v>
      </c>
      <c r="C9" s="44">
        <f>D9-INDEX('Dep LinkIn'!$D$5:$AN$16,MATCH('AccDep LinkIn'!$A9,'Dep LinkIn'!$A$5:$A$16,0),MATCH('AccDep LinkIn'!C$2,'Dep LinkIn'!$D$2:$AN$2,0))</f>
        <v>474313.60904544889</v>
      </c>
      <c r="D9" s="44">
        <f>E9-INDEX('Dep LinkIn'!$E$5:$AN$16,MATCH('AccDep LinkIn'!$A9,'Dep LinkIn'!$A$5:$A$16,0),MATCH('AccDep LinkIn'!D$2,'Dep LinkIn'!$E$2:$AN$2,0))</f>
        <v>474823.03238060704</v>
      </c>
      <c r="E9" s="44">
        <f>F9-INDEX('Dep LinkIn'!$E$5:$AN$16,MATCH('AccDep LinkIn'!$A9,'Dep LinkIn'!$A$5:$A$16,0),MATCH('AccDep LinkIn'!E$2,'Dep LinkIn'!$E$2:$AN$2,0))</f>
        <v>475332.45571576519</v>
      </c>
      <c r="F9" s="44">
        <f>G9-INDEX('Dep LinkIn'!$E$5:$AN$16,MATCH('AccDep LinkIn'!$A9,'Dep LinkIn'!$A$5:$A$16,0),MATCH('AccDep LinkIn'!F$2,'Dep LinkIn'!$E$2:$AN$2,0))</f>
        <v>475841.87905092334</v>
      </c>
      <c r="G9" s="44">
        <f>H9-INDEX('Dep LinkIn'!$E$5:$AN$16,MATCH('AccDep LinkIn'!$A9,'Dep LinkIn'!$A$5:$A$16,0),MATCH('AccDep LinkIn'!G$2,'Dep LinkIn'!$E$2:$AN$2,0))</f>
        <v>476351.30238608149</v>
      </c>
      <c r="H9" s="44">
        <f>I9-INDEX('Dep LinkIn'!$E$5:$AN$16,MATCH('AccDep LinkIn'!$A9,'Dep LinkIn'!$A$5:$A$16,0),MATCH('AccDep LinkIn'!H$2,'Dep LinkIn'!$E$2:$AN$2,0))</f>
        <v>476860.72572123964</v>
      </c>
      <c r="I9" s="44">
        <v>477370.14905639779</v>
      </c>
      <c r="J9" s="44">
        <f>I9+INDEX('Dep LinkIn'!$D$5:$AN$16,MATCH('AccDep LinkIn'!$A9,'Dep LinkIn'!$A$5:$A$16,0),MATCH('AccDep LinkIn'!J$2,'Dep LinkIn'!$D$2:$AN$2,0))</f>
        <v>478405.25505639781</v>
      </c>
      <c r="K9" s="44">
        <f>J9+INDEX('Dep LinkIn'!$D$5:$AN$16,MATCH('AccDep LinkIn'!$A9,'Dep LinkIn'!$A$5:$A$16,0),MATCH('AccDep LinkIn'!K$2,'Dep LinkIn'!$D$2:$AN$2,0))</f>
        <v>479440.36105639784</v>
      </c>
      <c r="L9" s="44">
        <f>K9+INDEX('Dep LinkIn'!$D$5:$AN$16,MATCH('AccDep LinkIn'!$A9,'Dep LinkIn'!$A$5:$A$16,0),MATCH('AccDep LinkIn'!L$2,'Dep LinkIn'!$D$2:$AN$2,0))</f>
        <v>480475.46705639787</v>
      </c>
      <c r="M9" s="44">
        <f>L9+INDEX('Dep LinkIn'!$D$5:$AN$16,MATCH('AccDep LinkIn'!$A9,'Dep LinkIn'!$A$5:$A$16,0),MATCH('AccDep LinkIn'!M$2,'Dep LinkIn'!$D$2:$AN$2,0))</f>
        <v>481510.5730563979</v>
      </c>
      <c r="N9" s="44">
        <f>M9+INDEX('Dep LinkIn'!$D$5:$AN$16,MATCH('AccDep LinkIn'!$A9,'Dep LinkIn'!$A$5:$A$16,0),MATCH('AccDep LinkIn'!N$2,'Dep LinkIn'!$D$2:$AN$2,0))</f>
        <v>482545.67905639793</v>
      </c>
      <c r="O9" s="44">
        <f>N9+INDEX('Dep LinkIn'!$D$5:$AN$16,MATCH('AccDep LinkIn'!$A9,'Dep LinkIn'!$A$5:$A$16,0),MATCH('AccDep LinkIn'!O$2,'Dep LinkIn'!$D$2:$AN$2,0))</f>
        <v>483580.78505639796</v>
      </c>
      <c r="P9" s="44">
        <f>O9+INDEX('Dep LinkIn'!$D$5:$AN$16,MATCH('AccDep LinkIn'!$A9,'Dep LinkIn'!$A$5:$A$16,0),MATCH('AccDep LinkIn'!P$2,'Dep LinkIn'!$D$2:$AN$2,0))</f>
        <v>484751.7243897313</v>
      </c>
      <c r="Q9" s="44">
        <f>P9+INDEX('Dep LinkIn'!$D$5:$AN$16,MATCH('AccDep LinkIn'!$A9,'Dep LinkIn'!$A$5:$A$16,0),MATCH('AccDep LinkIn'!Q$2,'Dep LinkIn'!$D$2:$AN$2,0))</f>
        <v>486014.33038973133</v>
      </c>
      <c r="R9" s="44">
        <f>Q9+INDEX('Dep LinkIn'!$D$5:$AN$16,MATCH('AccDep LinkIn'!$A9,'Dep LinkIn'!$A$5:$A$16,0),MATCH('AccDep LinkIn'!R$2,'Dep LinkIn'!$D$2:$AN$2,0))</f>
        <v>487439.43638973136</v>
      </c>
      <c r="S9" s="44">
        <f>R9+INDEX('Dep LinkIn'!$D$5:$AN$16,MATCH('AccDep LinkIn'!$A9,'Dep LinkIn'!$A$5:$A$16,0),MATCH('AccDep LinkIn'!S$2,'Dep LinkIn'!$D$2:$AN$2,0))</f>
        <v>488864.54238973139</v>
      </c>
      <c r="T9" s="44">
        <f>S9+INDEX('Dep LinkIn'!$D$5:$AN$16,MATCH('AccDep LinkIn'!$A9,'Dep LinkIn'!$A$5:$A$16,0),MATCH('AccDep LinkIn'!T$2,'Dep LinkIn'!$D$2:$AN$2,0))</f>
        <v>490342.14838973142</v>
      </c>
      <c r="U9" s="44">
        <f>T9+INDEX('Dep LinkIn'!$D$5:$AN$16,MATCH('AccDep LinkIn'!$A9,'Dep LinkIn'!$A$5:$A$16,0),MATCH('AccDep LinkIn'!U$2,'Dep LinkIn'!$D$2:$AN$2,0))</f>
        <v>491819.75438973145</v>
      </c>
      <c r="V9" s="44">
        <f>U9+INDEX('Dep LinkIn'!$D$5:$AN$16,MATCH('AccDep LinkIn'!$A9,'Dep LinkIn'!$A$5:$A$16,0),MATCH('AccDep LinkIn'!V$2,'Dep LinkIn'!$D$2:$AN$2,0))</f>
        <v>493347.36038973148</v>
      </c>
      <c r="W9" s="44">
        <f>V9+INDEX('Dep LinkIn'!$D$5:$AN$16,MATCH('AccDep LinkIn'!$A9,'Dep LinkIn'!$A$5:$A$16,0),MATCH('AccDep LinkIn'!W$2,'Dep LinkIn'!$D$2:$AN$2,0))</f>
        <v>494874.9663897315</v>
      </c>
      <c r="X9" s="44">
        <f>W9+INDEX('Dep LinkIn'!$D$5:$AN$16,MATCH('AccDep LinkIn'!$A9,'Dep LinkIn'!$A$5:$A$16,0),MATCH('AccDep LinkIn'!X$2,'Dep LinkIn'!$D$2:$AN$2,0))</f>
        <v>496402.57238973153</v>
      </c>
      <c r="Y9" s="44">
        <f>X9+INDEX('Dep LinkIn'!$D$5:$AN$16,MATCH('AccDep LinkIn'!$A9,'Dep LinkIn'!$A$5:$A$16,0),MATCH('AccDep LinkIn'!Y$2,'Dep LinkIn'!$D$2:$AN$2,0))</f>
        <v>497930.17838973156</v>
      </c>
      <c r="Z9" s="44">
        <f>Y9+INDEX('Dep LinkIn'!$D$5:$AN$16,MATCH('AccDep LinkIn'!$A9,'Dep LinkIn'!$A$5:$A$16,0),MATCH('AccDep LinkIn'!Z$2,'Dep LinkIn'!$D$2:$AN$2,0))</f>
        <v>499457.78438973159</v>
      </c>
      <c r="AA9" s="44">
        <f>Z9+INDEX('Dep LinkIn'!$D$5:$AN$16,MATCH('AccDep LinkIn'!$A9,'Dep LinkIn'!$A$5:$A$16,0),MATCH('AccDep LinkIn'!AA$2,'Dep LinkIn'!$D$2:$AN$2,0))</f>
        <v>500985.39038973162</v>
      </c>
      <c r="AB9" s="44">
        <f>AA9+INDEX('Dep LinkIn'!$D$5:$AN$16,MATCH('AccDep LinkIn'!$A9,'Dep LinkIn'!$A$5:$A$16,0),MATCH('AccDep LinkIn'!AB$2,'Dep LinkIn'!$D$2:$AN$2,0))</f>
        <v>502596.32972306496</v>
      </c>
      <c r="AC9" s="44">
        <f>AB9+INDEX('Dep LinkIn'!$D$5:$AN$16,MATCH('AccDep LinkIn'!$A9,'Dep LinkIn'!$A$5:$A$16,0),MATCH('AccDep LinkIn'!AC$2,'Dep LinkIn'!$D$2:$AN$2,0))</f>
        <v>504207.26905639831</v>
      </c>
      <c r="AD9" s="44">
        <f>AC9+INDEX('Dep LinkIn'!$D$5:$AN$16,MATCH('AccDep LinkIn'!$A9,'Dep LinkIn'!$A$5:$A$16,0),MATCH('AccDep LinkIn'!AD$2,'Dep LinkIn'!$D$2:$AN$2,0))</f>
        <v>505818.20838973165</v>
      </c>
      <c r="AE9" s="44">
        <f>AD9+INDEX('Dep LinkIn'!$D$5:$AN$16,MATCH('AccDep LinkIn'!$A9,'Dep LinkIn'!$A$5:$A$16,0),MATCH('AccDep LinkIn'!AE$2,'Dep LinkIn'!$D$2:$AN$2,0))</f>
        <v>507429.14772306499</v>
      </c>
      <c r="AF9" s="44">
        <f>AE9+INDEX('Dep LinkIn'!$D$5:$AN$16,MATCH('AccDep LinkIn'!$A9,'Dep LinkIn'!$A$5:$A$16,0),MATCH('AccDep LinkIn'!AF$2,'Dep LinkIn'!$D$2:$AN$2,0))</f>
        <v>509040.08705639833</v>
      </c>
      <c r="AG9" s="44">
        <f>AF9+INDEX('Dep LinkIn'!$D$5:$AN$16,MATCH('AccDep LinkIn'!$A9,'Dep LinkIn'!$A$5:$A$16,0),MATCH('AccDep LinkIn'!AG$2,'Dep LinkIn'!$D$2:$AN$2,0))</f>
        <v>510651.02638973168</v>
      </c>
      <c r="AH9" s="44">
        <f>AG9+INDEX('Dep LinkIn'!$D$5:$AN$16,MATCH('AccDep LinkIn'!$A9,'Dep LinkIn'!$A$5:$A$16,0),MATCH('AccDep LinkIn'!AH$2,'Dep LinkIn'!$D$2:$AN$2,0))</f>
        <v>512261.96572306502</v>
      </c>
      <c r="AI9" s="44">
        <f>AH9+INDEX('Dep LinkIn'!$D$5:$AN$16,MATCH('AccDep LinkIn'!$A9,'Dep LinkIn'!$A$5:$A$16,0),MATCH('AccDep LinkIn'!AI$2,'Dep LinkIn'!$D$2:$AN$2,0))</f>
        <v>513872.90505639836</v>
      </c>
      <c r="AJ9" s="44">
        <f>AI9+INDEX('Dep LinkIn'!$D$5:$AN$16,MATCH('AccDep LinkIn'!$A9,'Dep LinkIn'!$A$5:$A$16,0),MATCH('AccDep LinkIn'!AJ$2,'Dep LinkIn'!$D$2:$AN$2,0))</f>
        <v>515483.8443897317</v>
      </c>
      <c r="AK9" s="44">
        <f>AJ9+INDEX('Dep LinkIn'!$D$5:$AN$16,MATCH('AccDep LinkIn'!$A9,'Dep LinkIn'!$A$5:$A$16,0),MATCH('AccDep LinkIn'!AK$2,'Dep LinkIn'!$D$2:$AN$2,0))</f>
        <v>517094.78372306505</v>
      </c>
      <c r="AL9" s="44">
        <f>AK9+INDEX('Dep LinkIn'!$D$5:$AN$16,MATCH('AccDep LinkIn'!$A9,'Dep LinkIn'!$A$5:$A$16,0),MATCH('AccDep LinkIn'!AL$2,'Dep LinkIn'!$D$2:$AN$2,0))</f>
        <v>518705.72305639839</v>
      </c>
      <c r="AM9" s="44">
        <f>AL9+INDEX('Dep LinkIn'!$D$5:$AN$17,MATCH('AccDep LinkIn'!$A9,'Dep LinkIn'!$A$5:$A$17,0),MATCH('AccDep LinkIn'!AM$2,'Dep LinkIn'!$D$2:$AN$2,0))</f>
        <v>520316.66238973173</v>
      </c>
    </row>
    <row r="10" spans="1:39" x14ac:dyDescent="0.45">
      <c r="A10" s="23">
        <v>363</v>
      </c>
      <c r="B10" s="23" t="s">
        <v>27</v>
      </c>
      <c r="C10" s="44">
        <f>D10-INDEX('Dep LinkIn'!$D$5:$AN$16,MATCH('AccDep LinkIn'!$A10,'Dep LinkIn'!$A$5:$A$16,0),MATCH('AccDep LinkIn'!C$2,'Dep LinkIn'!$D$2:$AN$2,0))</f>
        <v>24515.05324999999</v>
      </c>
      <c r="D10" s="44">
        <f>E10-INDEX('Dep LinkIn'!$E$5:$AN$16,MATCH('AccDep LinkIn'!$A10,'Dep LinkIn'!$A$5:$A$16,0),MATCH('AccDep LinkIn'!D$2,'Dep LinkIn'!$E$2:$AN$2,0))</f>
        <v>24558.404333333325</v>
      </c>
      <c r="E10" s="44">
        <f>F10-INDEX('Dep LinkIn'!$E$5:$AN$16,MATCH('AccDep LinkIn'!$A10,'Dep LinkIn'!$A$5:$A$16,0),MATCH('AccDep LinkIn'!E$2,'Dep LinkIn'!$E$2:$AN$2,0))</f>
        <v>24601.75541666666</v>
      </c>
      <c r="F10" s="44">
        <f>G10-INDEX('Dep LinkIn'!$E$5:$AN$16,MATCH('AccDep LinkIn'!$A10,'Dep LinkIn'!$A$5:$A$16,0),MATCH('AccDep LinkIn'!F$2,'Dep LinkIn'!$E$2:$AN$2,0))</f>
        <v>24645.106499999994</v>
      </c>
      <c r="G10" s="44">
        <f>H10-INDEX('Dep LinkIn'!$E$5:$AN$16,MATCH('AccDep LinkIn'!$A10,'Dep LinkIn'!$A$5:$A$16,0),MATCH('AccDep LinkIn'!G$2,'Dep LinkIn'!$E$2:$AN$2,0))</f>
        <v>24688.457583333329</v>
      </c>
      <c r="H10" s="44">
        <f>I10-INDEX('Dep LinkIn'!$E$5:$AN$16,MATCH('AccDep LinkIn'!$A10,'Dep LinkIn'!$A$5:$A$16,0),MATCH('AccDep LinkIn'!H$2,'Dep LinkIn'!$E$2:$AN$2,0))</f>
        <v>24731.808666666664</v>
      </c>
      <c r="I10" s="44">
        <v>24775.159749999999</v>
      </c>
      <c r="J10" s="44">
        <f>I10+INDEX('Dep LinkIn'!$D$5:$AN$16,MATCH('AccDep LinkIn'!$A10,'Dep LinkIn'!$A$5:$A$16,0),MATCH('AccDep LinkIn'!J$2,'Dep LinkIn'!$D$2:$AN$2,0))</f>
        <v>25318.456166666667</v>
      </c>
      <c r="K10" s="44">
        <f>J10+INDEX('Dep LinkIn'!$D$5:$AN$16,MATCH('AccDep LinkIn'!$A10,'Dep LinkIn'!$A$5:$A$16,0),MATCH('AccDep LinkIn'!K$2,'Dep LinkIn'!$D$2:$AN$2,0))</f>
        <v>25861.752583333335</v>
      </c>
      <c r="L10" s="44">
        <f>K10+INDEX('Dep LinkIn'!$D$5:$AN$16,MATCH('AccDep LinkIn'!$A10,'Dep LinkIn'!$A$5:$A$16,0),MATCH('AccDep LinkIn'!L$2,'Dep LinkIn'!$D$2:$AN$2,0))</f>
        <v>26636.924000000003</v>
      </c>
      <c r="M10" s="44">
        <f>L10+INDEX('Dep LinkIn'!$D$5:$AN$16,MATCH('AccDep LinkIn'!$A10,'Dep LinkIn'!$A$5:$A$16,0),MATCH('AccDep LinkIn'!M$2,'Dep LinkIn'!$D$2:$AN$2,0))</f>
        <v>27412.095416666671</v>
      </c>
      <c r="N10" s="44">
        <f>M10+INDEX('Dep LinkIn'!$D$5:$AN$16,MATCH('AccDep LinkIn'!$A10,'Dep LinkIn'!$A$5:$A$16,0),MATCH('AccDep LinkIn'!N$2,'Dep LinkIn'!$D$2:$AN$2,0))</f>
        <v>28187.266833333339</v>
      </c>
      <c r="O10" s="44">
        <f>N10+INDEX('Dep LinkIn'!$D$5:$AN$16,MATCH('AccDep LinkIn'!$A10,'Dep LinkIn'!$A$5:$A$16,0),MATCH('AccDep LinkIn'!O$2,'Dep LinkIn'!$D$2:$AN$2,0))</f>
        <v>28962.438250000007</v>
      </c>
      <c r="P10" s="44">
        <f>O10+INDEX('Dep LinkIn'!$D$5:$AN$16,MATCH('AccDep LinkIn'!$A10,'Dep LinkIn'!$A$5:$A$16,0),MATCH('AccDep LinkIn'!P$2,'Dep LinkIn'!$D$2:$AN$2,0))</f>
        <v>29737.609666666674</v>
      </c>
      <c r="Q10" s="44">
        <f>P10+INDEX('Dep LinkIn'!$D$5:$AN$16,MATCH('AccDep LinkIn'!$A10,'Dep LinkIn'!$A$5:$A$16,0),MATCH('AccDep LinkIn'!Q$2,'Dep LinkIn'!$D$2:$AN$2,0))</f>
        <v>30512.781083333342</v>
      </c>
      <c r="R10" s="44">
        <f>Q10+INDEX('Dep LinkIn'!$D$5:$AN$16,MATCH('AccDep LinkIn'!$A10,'Dep LinkIn'!$A$5:$A$16,0),MATCH('AccDep LinkIn'!R$2,'Dep LinkIn'!$D$2:$AN$2,0))</f>
        <v>31287.95250000001</v>
      </c>
      <c r="S10" s="44">
        <f>R10+INDEX('Dep LinkIn'!$D$5:$AN$16,MATCH('AccDep LinkIn'!$A10,'Dep LinkIn'!$A$5:$A$16,0),MATCH('AccDep LinkIn'!S$2,'Dep LinkIn'!$D$2:$AN$2,0))</f>
        <v>32646.45725000001</v>
      </c>
      <c r="T10" s="44">
        <f>S10+INDEX('Dep LinkIn'!$D$5:$AN$16,MATCH('AccDep LinkIn'!$A10,'Dep LinkIn'!$A$5:$A$16,0),MATCH('AccDep LinkIn'!T$2,'Dep LinkIn'!$D$2:$AN$2,0))</f>
        <v>34004.962000000014</v>
      </c>
      <c r="U10" s="44">
        <f>T10+INDEX('Dep LinkIn'!$D$5:$AN$16,MATCH('AccDep LinkIn'!$A10,'Dep LinkIn'!$A$5:$A$16,0),MATCH('AccDep LinkIn'!U$2,'Dep LinkIn'!$D$2:$AN$2,0))</f>
        <v>35363.466750000014</v>
      </c>
      <c r="V10" s="44">
        <f>U10+INDEX('Dep LinkIn'!$D$5:$AN$16,MATCH('AccDep LinkIn'!$A10,'Dep LinkIn'!$A$5:$A$16,0),MATCH('AccDep LinkIn'!V$2,'Dep LinkIn'!$D$2:$AN$2,0))</f>
        <v>36721.971500000014</v>
      </c>
      <c r="W10" s="44">
        <f>V10+INDEX('Dep LinkIn'!$D$5:$AN$16,MATCH('AccDep LinkIn'!$A10,'Dep LinkIn'!$A$5:$A$16,0),MATCH('AccDep LinkIn'!W$2,'Dep LinkIn'!$D$2:$AN$2,0))</f>
        <v>38080.476250000014</v>
      </c>
      <c r="X10" s="44">
        <f>W10+INDEX('Dep LinkIn'!$D$5:$AN$16,MATCH('AccDep LinkIn'!$A10,'Dep LinkIn'!$A$5:$A$16,0),MATCH('AccDep LinkIn'!X$2,'Dep LinkIn'!$D$2:$AN$2,0))</f>
        <v>39438.981000000014</v>
      </c>
      <c r="Y10" s="44">
        <f>X10+INDEX('Dep LinkIn'!$D$5:$AN$16,MATCH('AccDep LinkIn'!$A10,'Dep LinkIn'!$A$5:$A$16,0),MATCH('AccDep LinkIn'!Y$2,'Dep LinkIn'!$D$2:$AN$2,0))</f>
        <v>40797.485750000014</v>
      </c>
      <c r="Z10" s="44">
        <f>Y10+INDEX('Dep LinkIn'!$D$5:$AN$16,MATCH('AccDep LinkIn'!$A10,'Dep LinkIn'!$A$5:$A$16,0),MATCH('AccDep LinkIn'!Z$2,'Dep LinkIn'!$D$2:$AN$2,0))</f>
        <v>42155.990500000014</v>
      </c>
      <c r="AA10" s="44">
        <f>Z10+INDEX('Dep LinkIn'!$D$5:$AN$16,MATCH('AccDep LinkIn'!$A10,'Dep LinkIn'!$A$5:$A$16,0),MATCH('AccDep LinkIn'!AA$2,'Dep LinkIn'!$D$2:$AN$2,0))</f>
        <v>43514.495250000014</v>
      </c>
      <c r="AB10" s="44">
        <f>AA10+INDEX('Dep LinkIn'!$D$5:$AN$16,MATCH('AccDep LinkIn'!$A10,'Dep LinkIn'!$A$5:$A$16,0),MATCH('AccDep LinkIn'!AB$2,'Dep LinkIn'!$D$2:$AN$2,0))</f>
        <v>45189.666666666679</v>
      </c>
      <c r="AC10" s="44">
        <f>AB10+INDEX('Dep LinkIn'!$D$5:$AN$16,MATCH('AccDep LinkIn'!$A10,'Dep LinkIn'!$A$5:$A$16,0),MATCH('AccDep LinkIn'!AC$2,'Dep LinkIn'!$D$2:$AN$2,0))</f>
        <v>46864.838083333343</v>
      </c>
      <c r="AD10" s="44">
        <f>AC10+INDEX('Dep LinkIn'!$D$5:$AN$16,MATCH('AccDep LinkIn'!$A10,'Dep LinkIn'!$A$5:$A$16,0),MATCH('AccDep LinkIn'!AD$2,'Dep LinkIn'!$D$2:$AN$2,0))</f>
        <v>48540.009500000007</v>
      </c>
      <c r="AE10" s="44">
        <f>AD10+INDEX('Dep LinkIn'!$D$5:$AN$16,MATCH('AccDep LinkIn'!$A10,'Dep LinkIn'!$A$5:$A$16,0),MATCH('AccDep LinkIn'!AE$2,'Dep LinkIn'!$D$2:$AN$2,0))</f>
        <v>50481.847583333343</v>
      </c>
      <c r="AF10" s="44">
        <f>AE10+INDEX('Dep LinkIn'!$D$5:$AN$16,MATCH('AccDep LinkIn'!$A10,'Dep LinkIn'!$A$5:$A$16,0),MATCH('AccDep LinkIn'!AF$2,'Dep LinkIn'!$D$2:$AN$2,0))</f>
        <v>52423.685666666679</v>
      </c>
      <c r="AG10" s="44">
        <f>AF10+INDEX('Dep LinkIn'!$D$5:$AN$16,MATCH('AccDep LinkIn'!$A10,'Dep LinkIn'!$A$5:$A$16,0),MATCH('AccDep LinkIn'!AG$2,'Dep LinkIn'!$D$2:$AN$2,0))</f>
        <v>54365.523750000015</v>
      </c>
      <c r="AH10" s="44">
        <f>AG10+INDEX('Dep LinkIn'!$D$5:$AN$16,MATCH('AccDep LinkIn'!$A10,'Dep LinkIn'!$A$5:$A$16,0),MATCH('AccDep LinkIn'!AH$2,'Dep LinkIn'!$D$2:$AN$2,0))</f>
        <v>56307.361833333351</v>
      </c>
      <c r="AI10" s="44">
        <f>AH10+INDEX('Dep LinkIn'!$D$5:$AN$16,MATCH('AccDep LinkIn'!$A10,'Dep LinkIn'!$A$5:$A$16,0),MATCH('AccDep LinkIn'!AI$2,'Dep LinkIn'!$D$2:$AN$2,0))</f>
        <v>58249.199916666686</v>
      </c>
      <c r="AJ10" s="44">
        <f>AI10+INDEX('Dep LinkIn'!$D$5:$AN$16,MATCH('AccDep LinkIn'!$A10,'Dep LinkIn'!$A$5:$A$16,0),MATCH('AccDep LinkIn'!AJ$2,'Dep LinkIn'!$D$2:$AN$2,0))</f>
        <v>60191.038000000022</v>
      </c>
      <c r="AK10" s="44">
        <f>AJ10+INDEX('Dep LinkIn'!$D$5:$AN$16,MATCH('AccDep LinkIn'!$A10,'Dep LinkIn'!$A$5:$A$16,0),MATCH('AccDep LinkIn'!AK$2,'Dep LinkIn'!$D$2:$AN$2,0))</f>
        <v>62132.876083333358</v>
      </c>
      <c r="AL10" s="44">
        <f>AK10+INDEX('Dep LinkIn'!$D$5:$AN$16,MATCH('AccDep LinkIn'!$A10,'Dep LinkIn'!$A$5:$A$16,0),MATCH('AccDep LinkIn'!AL$2,'Dep LinkIn'!$D$2:$AN$2,0))</f>
        <v>64074.714166666694</v>
      </c>
      <c r="AM10" s="44">
        <f>AL10+INDEX('Dep LinkIn'!$D$5:$AN$17,MATCH('AccDep LinkIn'!$A10,'Dep LinkIn'!$A$5:$A$17,0),MATCH('AccDep LinkIn'!AM$2,'Dep LinkIn'!$D$2:$AN$2,0))</f>
        <v>66016.552250000022</v>
      </c>
    </row>
    <row r="11" spans="1:39" x14ac:dyDescent="0.45">
      <c r="A11" s="23">
        <v>370</v>
      </c>
      <c r="B11" s="23" t="s">
        <v>23</v>
      </c>
      <c r="C11" s="44">
        <f>D11-INDEX('Dep LinkIn'!$D$5:$AN$16,MATCH('AccDep LinkIn'!$A11,'Dep LinkIn'!$A$5:$A$16,0),MATCH('AccDep LinkIn'!C$2,'Dep LinkIn'!$D$2:$AN$2,0))</f>
        <v>0</v>
      </c>
      <c r="D11" s="44">
        <f>E11-INDEX('Dep LinkIn'!$E$5:$AN$16,MATCH('AccDep LinkIn'!$A11,'Dep LinkIn'!$A$5:$A$16,0),MATCH('AccDep LinkIn'!D$2,'Dep LinkIn'!$E$2:$AN$2,0))</f>
        <v>0</v>
      </c>
      <c r="E11" s="44">
        <f>F11-INDEX('Dep LinkIn'!$E$5:$AN$16,MATCH('AccDep LinkIn'!$A11,'Dep LinkIn'!$A$5:$A$16,0),MATCH('AccDep LinkIn'!E$2,'Dep LinkIn'!$E$2:$AN$2,0))</f>
        <v>0</v>
      </c>
      <c r="F11" s="44">
        <f>G11-INDEX('Dep LinkIn'!$E$5:$AN$16,MATCH('AccDep LinkIn'!$A11,'Dep LinkIn'!$A$5:$A$16,0),MATCH('AccDep LinkIn'!F$2,'Dep LinkIn'!$E$2:$AN$2,0))</f>
        <v>0</v>
      </c>
      <c r="G11" s="44">
        <f>H11-INDEX('Dep LinkIn'!$E$5:$AN$16,MATCH('AccDep LinkIn'!$A11,'Dep LinkIn'!$A$5:$A$16,0),MATCH('AccDep LinkIn'!G$2,'Dep LinkIn'!$E$2:$AN$2,0))</f>
        <v>0</v>
      </c>
      <c r="H11" s="44">
        <f>I11-INDEX('Dep LinkIn'!$E$5:$AN$16,MATCH('AccDep LinkIn'!$A11,'Dep LinkIn'!$A$5:$A$16,0),MATCH('AccDep LinkIn'!H$2,'Dep LinkIn'!$E$2:$AN$2,0))</f>
        <v>0</v>
      </c>
      <c r="I11" s="44">
        <v>0</v>
      </c>
      <c r="J11" s="44">
        <f>I11+INDEX('Dep LinkIn'!$D$5:$AN$16,MATCH('AccDep LinkIn'!$A11,'Dep LinkIn'!$A$5:$A$16,0),MATCH('AccDep LinkIn'!J$2,'Dep LinkIn'!$D$2:$AN$2,0))</f>
        <v>0</v>
      </c>
      <c r="K11" s="44">
        <f>J11+INDEX('Dep LinkIn'!$D$5:$AN$16,MATCH('AccDep LinkIn'!$A11,'Dep LinkIn'!$A$5:$A$16,0),MATCH('AccDep LinkIn'!K$2,'Dep LinkIn'!$D$2:$AN$2,0))</f>
        <v>0</v>
      </c>
      <c r="L11" s="44">
        <f>K11+INDEX('Dep LinkIn'!$D$5:$AN$16,MATCH('AccDep LinkIn'!$A11,'Dep LinkIn'!$A$5:$A$16,0),MATCH('AccDep LinkIn'!L$2,'Dep LinkIn'!$D$2:$AN$2,0))</f>
        <v>0</v>
      </c>
      <c r="M11" s="44">
        <f>L11+INDEX('Dep LinkIn'!$D$5:$AN$16,MATCH('AccDep LinkIn'!$A11,'Dep LinkIn'!$A$5:$A$16,0),MATCH('AccDep LinkIn'!M$2,'Dep LinkIn'!$D$2:$AN$2,0))</f>
        <v>0</v>
      </c>
      <c r="N11" s="44">
        <f>M11+INDEX('Dep LinkIn'!$D$5:$AN$16,MATCH('AccDep LinkIn'!$A11,'Dep LinkIn'!$A$5:$A$16,0),MATCH('AccDep LinkIn'!N$2,'Dep LinkIn'!$D$2:$AN$2,0))</f>
        <v>0</v>
      </c>
      <c r="O11" s="44">
        <f>N11+INDEX('Dep LinkIn'!$D$5:$AN$16,MATCH('AccDep LinkIn'!$A11,'Dep LinkIn'!$A$5:$A$16,0),MATCH('AccDep LinkIn'!O$2,'Dep LinkIn'!$D$2:$AN$2,0))</f>
        <v>0</v>
      </c>
      <c r="P11" s="44">
        <f>O11+INDEX('Dep LinkIn'!$D$5:$AN$16,MATCH('AccDep LinkIn'!$A11,'Dep LinkIn'!$A$5:$A$16,0),MATCH('AccDep LinkIn'!P$2,'Dep LinkIn'!$D$2:$AN$2,0))</f>
        <v>0</v>
      </c>
      <c r="Q11" s="44">
        <f>P11+INDEX('Dep LinkIn'!$D$5:$AN$16,MATCH('AccDep LinkIn'!$A11,'Dep LinkIn'!$A$5:$A$16,0),MATCH('AccDep LinkIn'!Q$2,'Dep LinkIn'!$D$2:$AN$2,0))</f>
        <v>0</v>
      </c>
      <c r="R11" s="44">
        <f>Q11+INDEX('Dep LinkIn'!$D$5:$AN$16,MATCH('AccDep LinkIn'!$A11,'Dep LinkIn'!$A$5:$A$16,0),MATCH('AccDep LinkIn'!R$2,'Dep LinkIn'!$D$2:$AN$2,0))</f>
        <v>0</v>
      </c>
      <c r="S11" s="44">
        <f>R11+INDEX('Dep LinkIn'!$D$5:$AN$16,MATCH('AccDep LinkIn'!$A11,'Dep LinkIn'!$A$5:$A$16,0),MATCH('AccDep LinkIn'!S$2,'Dep LinkIn'!$D$2:$AN$2,0))</f>
        <v>0</v>
      </c>
      <c r="T11" s="44">
        <f>S11+INDEX('Dep LinkIn'!$D$5:$AN$16,MATCH('AccDep LinkIn'!$A11,'Dep LinkIn'!$A$5:$A$16,0),MATCH('AccDep LinkIn'!T$2,'Dep LinkIn'!$D$2:$AN$2,0))</f>
        <v>0</v>
      </c>
      <c r="U11" s="44">
        <f>T11+INDEX('Dep LinkIn'!$D$5:$AN$16,MATCH('AccDep LinkIn'!$A11,'Dep LinkIn'!$A$5:$A$16,0),MATCH('AccDep LinkIn'!U$2,'Dep LinkIn'!$D$2:$AN$2,0))</f>
        <v>0</v>
      </c>
      <c r="V11" s="44">
        <f>U11+INDEX('Dep LinkIn'!$D$5:$AN$16,MATCH('AccDep LinkIn'!$A11,'Dep LinkIn'!$A$5:$A$16,0),MATCH('AccDep LinkIn'!V$2,'Dep LinkIn'!$D$2:$AN$2,0))</f>
        <v>0</v>
      </c>
      <c r="W11" s="44">
        <f>V11+INDEX('Dep LinkIn'!$D$5:$AN$16,MATCH('AccDep LinkIn'!$A11,'Dep LinkIn'!$A$5:$A$16,0),MATCH('AccDep LinkIn'!W$2,'Dep LinkIn'!$D$2:$AN$2,0))</f>
        <v>0</v>
      </c>
      <c r="X11" s="44">
        <f>W11+INDEX('Dep LinkIn'!$D$5:$AN$16,MATCH('AccDep LinkIn'!$A11,'Dep LinkIn'!$A$5:$A$16,0),MATCH('AccDep LinkIn'!X$2,'Dep LinkIn'!$D$2:$AN$2,0))</f>
        <v>0</v>
      </c>
      <c r="Y11" s="44">
        <f>X11+INDEX('Dep LinkIn'!$D$5:$AN$16,MATCH('AccDep LinkIn'!$A11,'Dep LinkIn'!$A$5:$A$16,0),MATCH('AccDep LinkIn'!Y$2,'Dep LinkIn'!$D$2:$AN$2,0))</f>
        <v>0</v>
      </c>
      <c r="Z11" s="44">
        <f>Y11+INDEX('Dep LinkIn'!$D$5:$AN$16,MATCH('AccDep LinkIn'!$A11,'Dep LinkIn'!$A$5:$A$16,0),MATCH('AccDep LinkIn'!Z$2,'Dep LinkIn'!$D$2:$AN$2,0))</f>
        <v>0</v>
      </c>
      <c r="AA11" s="44">
        <f>Z11+INDEX('Dep LinkIn'!$D$5:$AN$16,MATCH('AccDep LinkIn'!$A11,'Dep LinkIn'!$A$5:$A$16,0),MATCH('AccDep LinkIn'!AA$2,'Dep LinkIn'!$D$2:$AN$2,0))</f>
        <v>0</v>
      </c>
      <c r="AB11" s="44">
        <f>AA11+INDEX('Dep LinkIn'!$D$5:$AN$16,MATCH('AccDep LinkIn'!$A11,'Dep LinkIn'!$A$5:$A$16,0),MATCH('AccDep LinkIn'!AB$2,'Dep LinkIn'!$D$2:$AN$2,0))</f>
        <v>0</v>
      </c>
      <c r="AC11" s="44">
        <f>AB11+INDEX('Dep LinkIn'!$D$5:$AN$16,MATCH('AccDep LinkIn'!$A11,'Dep LinkIn'!$A$5:$A$16,0),MATCH('AccDep LinkIn'!AC$2,'Dep LinkIn'!$D$2:$AN$2,0))</f>
        <v>0</v>
      </c>
      <c r="AD11" s="44">
        <f>AC11+INDEX('Dep LinkIn'!$D$5:$AN$16,MATCH('AccDep LinkIn'!$A11,'Dep LinkIn'!$A$5:$A$16,0),MATCH('AccDep LinkIn'!AD$2,'Dep LinkIn'!$D$2:$AN$2,0))</f>
        <v>0</v>
      </c>
      <c r="AE11" s="44">
        <f>AD11+INDEX('Dep LinkIn'!$D$5:$AN$16,MATCH('AccDep LinkIn'!$A11,'Dep LinkIn'!$A$5:$A$16,0),MATCH('AccDep LinkIn'!AE$2,'Dep LinkIn'!$D$2:$AN$2,0))</f>
        <v>0</v>
      </c>
      <c r="AF11" s="44">
        <f>AE11+INDEX('Dep LinkIn'!$D$5:$AN$16,MATCH('AccDep LinkIn'!$A11,'Dep LinkIn'!$A$5:$A$16,0),MATCH('AccDep LinkIn'!AF$2,'Dep LinkIn'!$D$2:$AN$2,0))</f>
        <v>0</v>
      </c>
      <c r="AG11" s="44">
        <f>AF11+INDEX('Dep LinkIn'!$D$5:$AN$16,MATCH('AccDep LinkIn'!$A11,'Dep LinkIn'!$A$5:$A$16,0),MATCH('AccDep LinkIn'!AG$2,'Dep LinkIn'!$D$2:$AN$2,0))</f>
        <v>0</v>
      </c>
      <c r="AH11" s="44">
        <f>AG11+INDEX('Dep LinkIn'!$D$5:$AN$16,MATCH('AccDep LinkIn'!$A11,'Dep LinkIn'!$A$5:$A$16,0),MATCH('AccDep LinkIn'!AH$2,'Dep LinkIn'!$D$2:$AN$2,0))</f>
        <v>0</v>
      </c>
      <c r="AI11" s="44">
        <f>AH11+INDEX('Dep LinkIn'!$D$5:$AN$16,MATCH('AccDep LinkIn'!$A11,'Dep LinkIn'!$A$5:$A$16,0),MATCH('AccDep LinkIn'!AI$2,'Dep LinkIn'!$D$2:$AN$2,0))</f>
        <v>0</v>
      </c>
      <c r="AJ11" s="44">
        <f>AI11+INDEX('Dep LinkIn'!$D$5:$AN$16,MATCH('AccDep LinkIn'!$A11,'Dep LinkIn'!$A$5:$A$16,0),MATCH('AccDep LinkIn'!AJ$2,'Dep LinkIn'!$D$2:$AN$2,0))</f>
        <v>0</v>
      </c>
      <c r="AK11" s="44">
        <f>AJ11+INDEX('Dep LinkIn'!$D$5:$AN$16,MATCH('AccDep LinkIn'!$A11,'Dep LinkIn'!$A$5:$A$16,0),MATCH('AccDep LinkIn'!AK$2,'Dep LinkIn'!$D$2:$AN$2,0))</f>
        <v>0</v>
      </c>
      <c r="AL11" s="44">
        <f>AK11+INDEX('Dep LinkIn'!$D$5:$AN$16,MATCH('AccDep LinkIn'!$A11,'Dep LinkIn'!$A$5:$A$16,0),MATCH('AccDep LinkIn'!AL$2,'Dep LinkIn'!$D$2:$AN$2,0))</f>
        <v>0</v>
      </c>
      <c r="AM11" s="44">
        <f>AL11+INDEX('Dep LinkIn'!$D$5:$AN$17,MATCH('AccDep LinkIn'!$A11,'Dep LinkIn'!$A$5:$A$17,0),MATCH('AccDep LinkIn'!AM$2,'Dep LinkIn'!$D$2:$AN$2,0))</f>
        <v>0</v>
      </c>
    </row>
    <row r="12" spans="1:39" x14ac:dyDescent="0.45">
      <c r="A12" s="23">
        <v>372</v>
      </c>
      <c r="B12" s="23" t="s">
        <v>28</v>
      </c>
      <c r="C12" s="44">
        <f>D12-INDEX('Dep LinkIn'!$D$5:$AN$16,MATCH('AccDep LinkIn'!$A12,'Dep LinkIn'!$A$5:$A$16,0),MATCH('AccDep LinkIn'!C$2,'Dep LinkIn'!$D$2:$AN$2,0))</f>
        <v>338880.97595551261</v>
      </c>
      <c r="D12" s="44">
        <f>E12-INDEX('Dep LinkIn'!$E$5:$AN$16,MATCH('AccDep LinkIn'!$A12,'Dep LinkIn'!$A$5:$A$16,0),MATCH('AccDep LinkIn'!D$2,'Dep LinkIn'!$E$2:$AN$2,0))</f>
        <v>339739.29262217926</v>
      </c>
      <c r="E12" s="44">
        <f>F12-INDEX('Dep LinkIn'!$E$5:$AN$16,MATCH('AccDep LinkIn'!$A12,'Dep LinkIn'!$A$5:$A$16,0),MATCH('AccDep LinkIn'!E$2,'Dep LinkIn'!$E$2:$AN$2,0))</f>
        <v>340597.60928884591</v>
      </c>
      <c r="F12" s="44">
        <f>G12-INDEX('Dep LinkIn'!$E$5:$AN$16,MATCH('AccDep LinkIn'!$A12,'Dep LinkIn'!$A$5:$A$16,0),MATCH('AccDep LinkIn'!F$2,'Dep LinkIn'!$E$2:$AN$2,0))</f>
        <v>341455.92595551256</v>
      </c>
      <c r="G12" s="44">
        <f>H12-INDEX('Dep LinkIn'!$E$5:$AN$16,MATCH('AccDep LinkIn'!$A12,'Dep LinkIn'!$A$5:$A$16,0),MATCH('AccDep LinkIn'!G$2,'Dep LinkIn'!$E$2:$AN$2,0))</f>
        <v>342314.24262217921</v>
      </c>
      <c r="H12" s="44">
        <f>I12-INDEX('Dep LinkIn'!$E$5:$AN$16,MATCH('AccDep LinkIn'!$A12,'Dep LinkIn'!$A$5:$A$16,0),MATCH('AccDep LinkIn'!H$2,'Dep LinkIn'!$E$2:$AN$2,0))</f>
        <v>343172.55928884586</v>
      </c>
      <c r="I12" s="44">
        <v>344030.87595551251</v>
      </c>
      <c r="J12" s="44">
        <f>I12+INDEX('Dep LinkIn'!$D$5:$AN$16,MATCH('AccDep LinkIn'!$A12,'Dep LinkIn'!$A$5:$A$16,0),MATCH('AccDep LinkIn'!J$2,'Dep LinkIn'!$D$2:$AN$2,0))</f>
        <v>345727.6051221792</v>
      </c>
      <c r="K12" s="44">
        <f>J12+INDEX('Dep LinkIn'!$D$5:$AN$16,MATCH('AccDep LinkIn'!$A12,'Dep LinkIn'!$A$5:$A$16,0),MATCH('AccDep LinkIn'!K$2,'Dep LinkIn'!$D$2:$AN$2,0))</f>
        <v>347424.33428884589</v>
      </c>
      <c r="L12" s="44">
        <f>K12+INDEX('Dep LinkIn'!$D$5:$AN$16,MATCH('AccDep LinkIn'!$A12,'Dep LinkIn'!$A$5:$A$16,0),MATCH('AccDep LinkIn'!L$2,'Dep LinkIn'!$D$2:$AN$2,0))</f>
        <v>349121.06345551257</v>
      </c>
      <c r="M12" s="44">
        <f>L12+INDEX('Dep LinkIn'!$D$5:$AN$16,MATCH('AccDep LinkIn'!$A12,'Dep LinkIn'!$A$5:$A$16,0),MATCH('AccDep LinkIn'!M$2,'Dep LinkIn'!$D$2:$AN$2,0))</f>
        <v>350817.79262217926</v>
      </c>
      <c r="N12" s="44">
        <f>M12+INDEX('Dep LinkIn'!$D$5:$AN$16,MATCH('AccDep LinkIn'!$A12,'Dep LinkIn'!$A$5:$A$16,0),MATCH('AccDep LinkIn'!N$2,'Dep LinkIn'!$D$2:$AN$2,0))</f>
        <v>352514.52178884594</v>
      </c>
      <c r="O12" s="44">
        <f>N12+INDEX('Dep LinkIn'!$D$5:$AN$16,MATCH('AccDep LinkIn'!$A12,'Dep LinkIn'!$A$5:$A$16,0),MATCH('AccDep LinkIn'!O$2,'Dep LinkIn'!$D$2:$AN$2,0))</f>
        <v>354211.25095551263</v>
      </c>
      <c r="P12" s="44">
        <f>O12+INDEX('Dep LinkIn'!$D$5:$AN$16,MATCH('AccDep LinkIn'!$A12,'Dep LinkIn'!$A$5:$A$16,0),MATCH('AccDep LinkIn'!P$2,'Dep LinkIn'!$D$2:$AN$2,0))</f>
        <v>356439.23012217932</v>
      </c>
      <c r="Q12" s="44">
        <f>P12+INDEX('Dep LinkIn'!$D$5:$AN$16,MATCH('AccDep LinkIn'!$A12,'Dep LinkIn'!$A$5:$A$16,0),MATCH('AccDep LinkIn'!Q$2,'Dep LinkIn'!$D$2:$AN$2,0))</f>
        <v>358979.709288846</v>
      </c>
      <c r="R12" s="44">
        <f>Q12+INDEX('Dep LinkIn'!$D$5:$AN$16,MATCH('AccDep LinkIn'!$A12,'Dep LinkIn'!$A$5:$A$16,0),MATCH('AccDep LinkIn'!R$2,'Dep LinkIn'!$D$2:$AN$2,0))</f>
        <v>363130.60512217932</v>
      </c>
      <c r="S12" s="44">
        <f>R12+INDEX('Dep LinkIn'!$D$5:$AN$16,MATCH('AccDep LinkIn'!$A12,'Dep LinkIn'!$A$5:$A$16,0),MATCH('AccDep LinkIn'!S$2,'Dep LinkIn'!$D$2:$AN$2,0))</f>
        <v>368156.50095551263</v>
      </c>
      <c r="T12" s="44">
        <f>S12+INDEX('Dep LinkIn'!$D$5:$AN$16,MATCH('AccDep LinkIn'!$A12,'Dep LinkIn'!$A$5:$A$16,0),MATCH('AccDep LinkIn'!T$2,'Dep LinkIn'!$D$2:$AN$2,0))</f>
        <v>375911.56345551263</v>
      </c>
      <c r="U12" s="44">
        <f>T12+INDEX('Dep LinkIn'!$D$5:$AN$16,MATCH('AccDep LinkIn'!$A12,'Dep LinkIn'!$A$5:$A$16,0),MATCH('AccDep LinkIn'!U$2,'Dep LinkIn'!$D$2:$AN$2,0))</f>
        <v>383666.62595551263</v>
      </c>
      <c r="V12" s="44">
        <f>U12+INDEX('Dep LinkIn'!$D$5:$AN$16,MATCH('AccDep LinkIn'!$A12,'Dep LinkIn'!$A$5:$A$16,0),MATCH('AccDep LinkIn'!V$2,'Dep LinkIn'!$D$2:$AN$2,0))</f>
        <v>391546.68845551263</v>
      </c>
      <c r="W12" s="44">
        <f>V12+INDEX('Dep LinkIn'!$D$5:$AN$16,MATCH('AccDep LinkIn'!$A12,'Dep LinkIn'!$A$5:$A$16,0),MATCH('AccDep LinkIn'!W$2,'Dep LinkIn'!$D$2:$AN$2,0))</f>
        <v>399426.75095551263</v>
      </c>
      <c r="X12" s="44">
        <f>W12+INDEX('Dep LinkIn'!$D$5:$AN$16,MATCH('AccDep LinkIn'!$A12,'Dep LinkIn'!$A$5:$A$16,0),MATCH('AccDep LinkIn'!X$2,'Dep LinkIn'!$D$2:$AN$2,0))</f>
        <v>407306.81345551263</v>
      </c>
      <c r="Y12" s="44">
        <f>X12+INDEX('Dep LinkIn'!$D$5:$AN$16,MATCH('AccDep LinkIn'!$A12,'Dep LinkIn'!$A$5:$A$16,0),MATCH('AccDep LinkIn'!Y$2,'Dep LinkIn'!$D$2:$AN$2,0))</f>
        <v>415186.87595551263</v>
      </c>
      <c r="Z12" s="44">
        <f>Y12+INDEX('Dep LinkIn'!$D$5:$AN$16,MATCH('AccDep LinkIn'!$A12,'Dep LinkIn'!$A$5:$A$16,0),MATCH('AccDep LinkIn'!Z$2,'Dep LinkIn'!$D$2:$AN$2,0))</f>
        <v>423066.93845551263</v>
      </c>
      <c r="AA12" s="44">
        <f>Z12+INDEX('Dep LinkIn'!$D$5:$AN$16,MATCH('AccDep LinkIn'!$A12,'Dep LinkIn'!$A$5:$A$16,0),MATCH('AccDep LinkIn'!AA$2,'Dep LinkIn'!$D$2:$AN$2,0))</f>
        <v>430947.00095551263</v>
      </c>
      <c r="AB12" s="44">
        <f>AA12+INDEX('Dep LinkIn'!$D$5:$AN$16,MATCH('AccDep LinkIn'!$A12,'Dep LinkIn'!$A$5:$A$16,0),MATCH('AccDep LinkIn'!AB$2,'Dep LinkIn'!$D$2:$AN$2,0))</f>
        <v>439785.39678884594</v>
      </c>
      <c r="AC12" s="44">
        <f>AB12+INDEX('Dep LinkIn'!$D$5:$AN$16,MATCH('AccDep LinkIn'!$A12,'Dep LinkIn'!$A$5:$A$16,0),MATCH('AccDep LinkIn'!AC$2,'Dep LinkIn'!$D$2:$AN$2,0))</f>
        <v>448623.79262217926</v>
      </c>
      <c r="AD12" s="44">
        <f>AC12+INDEX('Dep LinkIn'!$D$5:$AN$16,MATCH('AccDep LinkIn'!$A12,'Dep LinkIn'!$A$5:$A$16,0),MATCH('AccDep LinkIn'!AD$2,'Dep LinkIn'!$D$2:$AN$2,0))</f>
        <v>457462.18845551257</v>
      </c>
      <c r="AE12" s="44">
        <f>AD12+INDEX('Dep LinkIn'!$D$5:$AN$16,MATCH('AccDep LinkIn'!$A12,'Dep LinkIn'!$A$5:$A$16,0),MATCH('AccDep LinkIn'!AE$2,'Dep LinkIn'!$D$2:$AN$2,0))</f>
        <v>469431.83428884589</v>
      </c>
      <c r="AF12" s="44">
        <f>AE12+INDEX('Dep LinkIn'!$D$5:$AN$16,MATCH('AccDep LinkIn'!$A12,'Dep LinkIn'!$A$5:$A$16,0),MATCH('AccDep LinkIn'!AF$2,'Dep LinkIn'!$D$2:$AN$2,0))</f>
        <v>481401.4801221792</v>
      </c>
      <c r="AG12" s="44">
        <f>AF12+INDEX('Dep LinkIn'!$D$5:$AN$16,MATCH('AccDep LinkIn'!$A12,'Dep LinkIn'!$A$5:$A$16,0),MATCH('AccDep LinkIn'!AG$2,'Dep LinkIn'!$D$2:$AN$2,0))</f>
        <v>493371.12595551251</v>
      </c>
      <c r="AH12" s="44">
        <f>AG12+INDEX('Dep LinkIn'!$D$5:$AN$16,MATCH('AccDep LinkIn'!$A12,'Dep LinkIn'!$A$5:$A$16,0),MATCH('AccDep LinkIn'!AH$2,'Dep LinkIn'!$D$2:$AN$2,0))</f>
        <v>505340.77178884583</v>
      </c>
      <c r="AI12" s="44">
        <f>AH12+INDEX('Dep LinkIn'!$D$5:$AN$16,MATCH('AccDep LinkIn'!$A12,'Dep LinkIn'!$A$5:$A$16,0),MATCH('AccDep LinkIn'!AI$2,'Dep LinkIn'!$D$2:$AN$2,0))</f>
        <v>517310.41762217914</v>
      </c>
      <c r="AJ12" s="44">
        <f>AI12+INDEX('Dep LinkIn'!$D$5:$AN$16,MATCH('AccDep LinkIn'!$A12,'Dep LinkIn'!$A$5:$A$16,0),MATCH('AccDep LinkIn'!AJ$2,'Dep LinkIn'!$D$2:$AN$2,0))</f>
        <v>529280.06345551251</v>
      </c>
      <c r="AK12" s="44">
        <f>AJ12+INDEX('Dep LinkIn'!$D$5:$AN$16,MATCH('AccDep LinkIn'!$A12,'Dep LinkIn'!$A$5:$A$16,0),MATCH('AccDep LinkIn'!AK$2,'Dep LinkIn'!$D$2:$AN$2,0))</f>
        <v>541249.70928884589</v>
      </c>
      <c r="AL12" s="44">
        <f>AK12+INDEX('Dep LinkIn'!$D$5:$AN$16,MATCH('AccDep LinkIn'!$A12,'Dep LinkIn'!$A$5:$A$16,0),MATCH('AccDep LinkIn'!AL$2,'Dep LinkIn'!$D$2:$AN$2,0))</f>
        <v>553219.35512217926</v>
      </c>
      <c r="AM12" s="44">
        <f>AL12+INDEX('Dep LinkIn'!$D$5:$AN$17,MATCH('AccDep LinkIn'!$A12,'Dep LinkIn'!$A$5:$A$17,0),MATCH('AccDep LinkIn'!AM$2,'Dep LinkIn'!$D$2:$AN$2,0))</f>
        <v>565189.00095551263</v>
      </c>
    </row>
    <row r="13" spans="1:39" x14ac:dyDescent="0.45">
      <c r="A13" s="23">
        <v>373</v>
      </c>
      <c r="B13" s="23" t="s">
        <v>29</v>
      </c>
      <c r="C13" s="44">
        <f>D13-INDEX('Dep LinkIn'!$D$5:$AN$16,MATCH('AccDep LinkIn'!$A13,'Dep LinkIn'!$A$5:$A$16,0),MATCH('AccDep LinkIn'!C$2,'Dep LinkIn'!$D$2:$AN$2,0))</f>
        <v>166029.66</v>
      </c>
      <c r="D13" s="44">
        <f>E13-INDEX('Dep LinkIn'!$E$5:$AN$16,MATCH('AccDep LinkIn'!$A13,'Dep LinkIn'!$A$5:$A$16,0),MATCH('AccDep LinkIn'!D$2,'Dep LinkIn'!$E$2:$AN$2,0))</f>
        <v>166358.24333333335</v>
      </c>
      <c r="E13" s="44">
        <f>F13-INDEX('Dep LinkIn'!$E$5:$AN$16,MATCH('AccDep LinkIn'!$A13,'Dep LinkIn'!$A$5:$A$16,0),MATCH('AccDep LinkIn'!E$2,'Dep LinkIn'!$E$2:$AN$2,0))</f>
        <v>166686.82666666669</v>
      </c>
      <c r="F13" s="44">
        <f>G13-INDEX('Dep LinkIn'!$E$5:$AN$16,MATCH('AccDep LinkIn'!$A13,'Dep LinkIn'!$A$5:$A$16,0),MATCH('AccDep LinkIn'!F$2,'Dep LinkIn'!$E$2:$AN$2,0))</f>
        <v>167015.41000000003</v>
      </c>
      <c r="G13" s="44">
        <f>H13-INDEX('Dep LinkIn'!$E$5:$AN$16,MATCH('AccDep LinkIn'!$A13,'Dep LinkIn'!$A$5:$A$16,0),MATCH('AccDep LinkIn'!G$2,'Dep LinkIn'!$E$2:$AN$2,0))</f>
        <v>167343.99333333338</v>
      </c>
      <c r="H13" s="44">
        <f>I13-INDEX('Dep LinkIn'!$E$5:$AN$16,MATCH('AccDep LinkIn'!$A13,'Dep LinkIn'!$A$5:$A$16,0),MATCH('AccDep LinkIn'!H$2,'Dep LinkIn'!$E$2:$AN$2,0))</f>
        <v>167672.57666666672</v>
      </c>
      <c r="I13" s="44">
        <v>168001.16000000006</v>
      </c>
      <c r="J13" s="44">
        <f>I13+INDEX('Dep LinkIn'!$D$5:$AN$16,MATCH('AccDep LinkIn'!$A13,'Dep LinkIn'!$A$5:$A$16,0),MATCH('AccDep LinkIn'!J$2,'Dep LinkIn'!$D$2:$AN$2,0))</f>
        <v>169174.33908229173</v>
      </c>
      <c r="K13" s="44">
        <f>J13+INDEX('Dep LinkIn'!$D$5:$AN$16,MATCH('AccDep LinkIn'!$A13,'Dep LinkIn'!$A$5:$A$16,0),MATCH('AccDep LinkIn'!K$2,'Dep LinkIn'!$D$2:$AN$2,0))</f>
        <v>170347.51816458339</v>
      </c>
      <c r="L13" s="44">
        <f>K13+INDEX('Dep LinkIn'!$D$5:$AN$16,MATCH('AccDep LinkIn'!$A13,'Dep LinkIn'!$A$5:$A$16,0),MATCH('AccDep LinkIn'!L$2,'Dep LinkIn'!$D$2:$AN$2,0))</f>
        <v>171536.25026770838</v>
      </c>
      <c r="M13" s="44">
        <f>L13+INDEX('Dep LinkIn'!$D$5:$AN$16,MATCH('AccDep LinkIn'!$A13,'Dep LinkIn'!$A$5:$A$16,0),MATCH('AccDep LinkIn'!M$2,'Dep LinkIn'!$D$2:$AN$2,0))</f>
        <v>172724.98237083337</v>
      </c>
      <c r="N13" s="44">
        <f>M13+INDEX('Dep LinkIn'!$D$5:$AN$16,MATCH('AccDep LinkIn'!$A13,'Dep LinkIn'!$A$5:$A$16,0),MATCH('AccDep LinkIn'!N$2,'Dep LinkIn'!$D$2:$AN$2,0))</f>
        <v>173913.71447395836</v>
      </c>
      <c r="O13" s="44">
        <f>N13+INDEX('Dep LinkIn'!$D$5:$AN$16,MATCH('AccDep LinkIn'!$A13,'Dep LinkIn'!$A$5:$A$16,0),MATCH('AccDep LinkIn'!O$2,'Dep LinkIn'!$D$2:$AN$2,0))</f>
        <v>175119.71359791671</v>
      </c>
      <c r="P13" s="44">
        <f>O13+INDEX('Dep LinkIn'!$D$5:$AN$16,MATCH('AccDep LinkIn'!$A13,'Dep LinkIn'!$A$5:$A$16,0),MATCH('AccDep LinkIn'!P$2,'Dep LinkIn'!$D$2:$AN$2,0))</f>
        <v>176325.71272187505</v>
      </c>
      <c r="Q13" s="44">
        <f>P13+INDEX('Dep LinkIn'!$D$5:$AN$16,MATCH('AccDep LinkIn'!$A13,'Dep LinkIn'!$A$5:$A$16,0),MATCH('AccDep LinkIn'!Q$2,'Dep LinkIn'!$D$2:$AN$2,0))</f>
        <v>177531.7118458334</v>
      </c>
      <c r="R13" s="44">
        <f>Q13+INDEX('Dep LinkIn'!$D$5:$AN$16,MATCH('AccDep LinkIn'!$A13,'Dep LinkIn'!$A$5:$A$16,0),MATCH('AccDep LinkIn'!R$2,'Dep LinkIn'!$D$2:$AN$2,0))</f>
        <v>178768.96096979175</v>
      </c>
      <c r="S13" s="44">
        <f>R13+INDEX('Dep LinkIn'!$D$5:$AN$16,MATCH('AccDep LinkIn'!$A13,'Dep LinkIn'!$A$5:$A$16,0),MATCH('AccDep LinkIn'!S$2,'Dep LinkIn'!$D$2:$AN$2,0))</f>
        <v>180006.21009375009</v>
      </c>
      <c r="T13" s="44">
        <f>S13+INDEX('Dep LinkIn'!$D$5:$AN$16,MATCH('AccDep LinkIn'!$A13,'Dep LinkIn'!$A$5:$A$16,0),MATCH('AccDep LinkIn'!T$2,'Dep LinkIn'!$D$2:$AN$2,0))</f>
        <v>181243.45921770844</v>
      </c>
      <c r="U13" s="44">
        <f>T13+INDEX('Dep LinkIn'!$D$5:$AN$16,MATCH('AccDep LinkIn'!$A13,'Dep LinkIn'!$A$5:$A$16,0),MATCH('AccDep LinkIn'!U$2,'Dep LinkIn'!$D$2:$AN$2,0))</f>
        <v>182480.70834166679</v>
      </c>
      <c r="V13" s="44">
        <f>U13+INDEX('Dep LinkIn'!$D$5:$AN$16,MATCH('AccDep LinkIn'!$A13,'Dep LinkIn'!$A$5:$A$16,0),MATCH('AccDep LinkIn'!V$2,'Dep LinkIn'!$D$2:$AN$2,0))</f>
        <v>183717.95746562514</v>
      </c>
      <c r="W13" s="44">
        <f>V13+INDEX('Dep LinkIn'!$D$5:$AN$16,MATCH('AccDep LinkIn'!$A13,'Dep LinkIn'!$A$5:$A$16,0),MATCH('AccDep LinkIn'!W$2,'Dep LinkIn'!$D$2:$AN$2,0))</f>
        <v>184955.20658958348</v>
      </c>
      <c r="X13" s="44">
        <f>W13+INDEX('Dep LinkIn'!$D$5:$AN$16,MATCH('AccDep LinkIn'!$A13,'Dep LinkIn'!$A$5:$A$16,0),MATCH('AccDep LinkIn'!X$2,'Dep LinkIn'!$D$2:$AN$2,0))</f>
        <v>186192.45571354183</v>
      </c>
      <c r="Y13" s="44">
        <f>X13+INDEX('Dep LinkIn'!$D$5:$AN$16,MATCH('AccDep LinkIn'!$A13,'Dep LinkIn'!$A$5:$A$16,0),MATCH('AccDep LinkIn'!Y$2,'Dep LinkIn'!$D$2:$AN$2,0))</f>
        <v>187429.70483750018</v>
      </c>
      <c r="Z13" s="44">
        <f>Y13+INDEX('Dep LinkIn'!$D$5:$AN$16,MATCH('AccDep LinkIn'!$A13,'Dep LinkIn'!$A$5:$A$16,0),MATCH('AccDep LinkIn'!Z$2,'Dep LinkIn'!$D$2:$AN$2,0))</f>
        <v>188666.95396145852</v>
      </c>
      <c r="AA13" s="44">
        <f>Z13+INDEX('Dep LinkIn'!$D$5:$AN$16,MATCH('AccDep LinkIn'!$A13,'Dep LinkIn'!$A$5:$A$16,0),MATCH('AccDep LinkIn'!AA$2,'Dep LinkIn'!$D$2:$AN$2,0))</f>
        <v>190707.32808541687</v>
      </c>
      <c r="AB13" s="44">
        <f>AA13+INDEX('Dep LinkIn'!$D$5:$AN$16,MATCH('AccDep LinkIn'!$A13,'Dep LinkIn'!$A$5:$A$16,0),MATCH('AccDep LinkIn'!AB$2,'Dep LinkIn'!$D$2:$AN$2,0))</f>
        <v>192822.70220937522</v>
      </c>
      <c r="AC13" s="44">
        <f>AB13+INDEX('Dep LinkIn'!$D$5:$AN$16,MATCH('AccDep LinkIn'!$A13,'Dep LinkIn'!$A$5:$A$16,0),MATCH('AccDep LinkIn'!AC$2,'Dep LinkIn'!$D$2:$AN$2,0))</f>
        <v>194938.07633333356</v>
      </c>
      <c r="AD13" s="44">
        <f>AC13+INDEX('Dep LinkIn'!$D$5:$AN$16,MATCH('AccDep LinkIn'!$A13,'Dep LinkIn'!$A$5:$A$16,0),MATCH('AccDep LinkIn'!AD$2,'Dep LinkIn'!$D$2:$AN$2,0))</f>
        <v>197053.45045729191</v>
      </c>
      <c r="AE13" s="44">
        <f>AD13+INDEX('Dep LinkIn'!$D$5:$AN$16,MATCH('AccDep LinkIn'!$A13,'Dep LinkIn'!$A$5:$A$16,0),MATCH('AccDep LinkIn'!AE$2,'Dep LinkIn'!$D$2:$AN$2,0))</f>
        <v>199227.57458125026</v>
      </c>
      <c r="AF13" s="44">
        <f>AE13+INDEX('Dep LinkIn'!$D$5:$AN$16,MATCH('AccDep LinkIn'!$A13,'Dep LinkIn'!$A$5:$A$16,0),MATCH('AccDep LinkIn'!AF$2,'Dep LinkIn'!$D$2:$AN$2,0))</f>
        <v>201401.6987052086</v>
      </c>
      <c r="AG13" s="44">
        <f>AF13+INDEX('Dep LinkIn'!$D$5:$AN$16,MATCH('AccDep LinkIn'!$A13,'Dep LinkIn'!$A$5:$A$16,0),MATCH('AccDep LinkIn'!AG$2,'Dep LinkIn'!$D$2:$AN$2,0))</f>
        <v>203575.82282916695</v>
      </c>
      <c r="AH13" s="44">
        <f>AG13+INDEX('Dep LinkIn'!$D$5:$AN$16,MATCH('AccDep LinkIn'!$A13,'Dep LinkIn'!$A$5:$A$16,0),MATCH('AccDep LinkIn'!AH$2,'Dep LinkIn'!$D$2:$AN$2,0))</f>
        <v>205749.9469531253</v>
      </c>
      <c r="AI13" s="44">
        <f>AH13+INDEX('Dep LinkIn'!$D$5:$AN$16,MATCH('AccDep LinkIn'!$A13,'Dep LinkIn'!$A$5:$A$16,0),MATCH('AccDep LinkIn'!AI$2,'Dep LinkIn'!$D$2:$AN$2,0))</f>
        <v>207924.07107708364</v>
      </c>
      <c r="AJ13" s="44">
        <f>AI13+INDEX('Dep LinkIn'!$D$5:$AN$16,MATCH('AccDep LinkIn'!$A13,'Dep LinkIn'!$A$5:$A$16,0),MATCH('AccDep LinkIn'!AJ$2,'Dep LinkIn'!$D$2:$AN$2,0))</f>
        <v>210098.19520104199</v>
      </c>
      <c r="AK13" s="44">
        <f>AJ13+INDEX('Dep LinkIn'!$D$5:$AN$16,MATCH('AccDep LinkIn'!$A13,'Dep LinkIn'!$A$5:$A$16,0),MATCH('AccDep LinkIn'!AK$2,'Dep LinkIn'!$D$2:$AN$2,0))</f>
        <v>212272.31932500034</v>
      </c>
      <c r="AL13" s="44">
        <f>AK13+INDEX('Dep LinkIn'!$D$5:$AN$16,MATCH('AccDep LinkIn'!$A13,'Dep LinkIn'!$A$5:$A$16,0),MATCH('AccDep LinkIn'!AL$2,'Dep LinkIn'!$D$2:$AN$2,0))</f>
        <v>214446.44344895869</v>
      </c>
      <c r="AM13" s="44">
        <f>AL13+INDEX('Dep LinkIn'!$D$5:$AN$17,MATCH('AccDep LinkIn'!$A13,'Dep LinkIn'!$A$5:$A$17,0),MATCH('AccDep LinkIn'!AM$2,'Dep LinkIn'!$D$2:$AN$2,0))</f>
        <v>216620.56757291703</v>
      </c>
    </row>
    <row r="14" spans="1:39" x14ac:dyDescent="0.45">
      <c r="A14" s="23">
        <v>375</v>
      </c>
      <c r="B14" s="23" t="s">
        <v>30</v>
      </c>
      <c r="C14" s="44">
        <f>D14-INDEX('Dep LinkIn'!$D$5:$AN$16,MATCH('AccDep LinkIn'!$A14,'Dep LinkIn'!$A$5:$A$16,0),MATCH('AccDep LinkIn'!C$2,'Dep LinkIn'!$D$2:$AN$2,0))</f>
        <v>0</v>
      </c>
      <c r="D14" s="44">
        <f>E14-INDEX('Dep LinkIn'!$E$5:$AN$16,MATCH('AccDep LinkIn'!$A14,'Dep LinkIn'!$A$5:$A$16,0),MATCH('AccDep LinkIn'!D$2,'Dep LinkIn'!$E$2:$AN$2,0))</f>
        <v>0</v>
      </c>
      <c r="E14" s="44">
        <f>F14-INDEX('Dep LinkIn'!$E$5:$AN$16,MATCH('AccDep LinkIn'!$A14,'Dep LinkIn'!$A$5:$A$16,0),MATCH('AccDep LinkIn'!E$2,'Dep LinkIn'!$E$2:$AN$2,0))</f>
        <v>0</v>
      </c>
      <c r="F14" s="44">
        <f>G14-INDEX('Dep LinkIn'!$E$5:$AN$16,MATCH('AccDep LinkIn'!$A14,'Dep LinkIn'!$A$5:$A$16,0),MATCH('AccDep LinkIn'!F$2,'Dep LinkIn'!$E$2:$AN$2,0))</f>
        <v>0</v>
      </c>
      <c r="G14" s="44">
        <f>H14-INDEX('Dep LinkIn'!$E$5:$AN$16,MATCH('AccDep LinkIn'!$A14,'Dep LinkIn'!$A$5:$A$16,0),MATCH('AccDep LinkIn'!G$2,'Dep LinkIn'!$E$2:$AN$2,0))</f>
        <v>0</v>
      </c>
      <c r="H14" s="44">
        <f>I14-INDEX('Dep LinkIn'!$E$5:$AN$16,MATCH('AccDep LinkIn'!$A14,'Dep LinkIn'!$A$5:$A$16,0),MATCH('AccDep LinkIn'!H$2,'Dep LinkIn'!$E$2:$AN$2,0))</f>
        <v>0</v>
      </c>
      <c r="I14" s="44">
        <v>0</v>
      </c>
      <c r="J14" s="44">
        <f>I14+INDEX('Dep LinkIn'!$D$5:$AN$16,MATCH('AccDep LinkIn'!$A14,'Dep LinkIn'!$A$5:$A$16,0),MATCH('AccDep LinkIn'!J$2,'Dep LinkIn'!$D$2:$AN$2,0))</f>
        <v>7.9273000000000007</v>
      </c>
      <c r="K14" s="44">
        <f>J14+INDEX('Dep LinkIn'!$D$5:$AN$16,MATCH('AccDep LinkIn'!$A14,'Dep LinkIn'!$A$5:$A$16,0),MATCH('AccDep LinkIn'!K$2,'Dep LinkIn'!$D$2:$AN$2,0))</f>
        <v>15.854600000000001</v>
      </c>
      <c r="L14" s="44">
        <f>K14+INDEX('Dep LinkIn'!$D$5:$AN$16,MATCH('AccDep LinkIn'!$A14,'Dep LinkIn'!$A$5:$A$16,0),MATCH('AccDep LinkIn'!L$2,'Dep LinkIn'!$D$2:$AN$2,0))</f>
        <v>23.7819</v>
      </c>
      <c r="M14" s="44">
        <f>L14+INDEX('Dep LinkIn'!$D$5:$AN$16,MATCH('AccDep LinkIn'!$A14,'Dep LinkIn'!$A$5:$A$16,0),MATCH('AccDep LinkIn'!M$2,'Dep LinkIn'!$D$2:$AN$2,0))</f>
        <v>31.709200000000003</v>
      </c>
      <c r="N14" s="44">
        <f>M14+INDEX('Dep LinkIn'!$D$5:$AN$16,MATCH('AccDep LinkIn'!$A14,'Dep LinkIn'!$A$5:$A$16,0),MATCH('AccDep LinkIn'!N$2,'Dep LinkIn'!$D$2:$AN$2,0))</f>
        <v>39.636500000000005</v>
      </c>
      <c r="O14" s="44">
        <f>N14+INDEX('Dep LinkIn'!$D$5:$AN$16,MATCH('AccDep LinkIn'!$A14,'Dep LinkIn'!$A$5:$A$16,0),MATCH('AccDep LinkIn'!O$2,'Dep LinkIn'!$D$2:$AN$2,0))</f>
        <v>47.563800000000008</v>
      </c>
      <c r="P14" s="44">
        <f>O14+INDEX('Dep LinkIn'!$D$5:$AN$16,MATCH('AccDep LinkIn'!$A14,'Dep LinkIn'!$A$5:$A$16,0),MATCH('AccDep LinkIn'!P$2,'Dep LinkIn'!$D$2:$AN$2,0))</f>
        <v>55.49110000000001</v>
      </c>
      <c r="Q14" s="44">
        <f>P14+INDEX('Dep LinkIn'!$D$5:$AN$16,MATCH('AccDep LinkIn'!$A14,'Dep LinkIn'!$A$5:$A$16,0),MATCH('AccDep LinkIn'!Q$2,'Dep LinkIn'!$D$2:$AN$2,0))</f>
        <v>63.418400000000013</v>
      </c>
      <c r="R14" s="44">
        <f>Q14+INDEX('Dep LinkIn'!$D$5:$AN$16,MATCH('AccDep LinkIn'!$A14,'Dep LinkIn'!$A$5:$A$16,0),MATCH('AccDep LinkIn'!R$2,'Dep LinkIn'!$D$2:$AN$2,0))</f>
        <v>71.345700000000008</v>
      </c>
      <c r="S14" s="44">
        <f>R14+INDEX('Dep LinkIn'!$D$5:$AN$16,MATCH('AccDep LinkIn'!$A14,'Dep LinkIn'!$A$5:$A$16,0),MATCH('AccDep LinkIn'!S$2,'Dep LinkIn'!$D$2:$AN$2,0))</f>
        <v>85.939666666666682</v>
      </c>
      <c r="T14" s="44">
        <f>S14+INDEX('Dep LinkIn'!$D$5:$AN$16,MATCH('AccDep LinkIn'!$A14,'Dep LinkIn'!$A$5:$A$16,0),MATCH('AccDep LinkIn'!T$2,'Dep LinkIn'!$D$2:$AN$2,0))</f>
        <v>142.20030000000003</v>
      </c>
      <c r="U14" s="44">
        <f>T14+INDEX('Dep LinkIn'!$D$5:$AN$16,MATCH('AccDep LinkIn'!$A14,'Dep LinkIn'!$A$5:$A$16,0),MATCH('AccDep LinkIn'!U$2,'Dep LinkIn'!$D$2:$AN$2,0))</f>
        <v>198.46093333333337</v>
      </c>
      <c r="V14" s="44">
        <f>U14+INDEX('Dep LinkIn'!$D$5:$AN$16,MATCH('AccDep LinkIn'!$A14,'Dep LinkIn'!$A$5:$A$16,0),MATCH('AccDep LinkIn'!V$2,'Dep LinkIn'!$D$2:$AN$2,0))</f>
        <v>254.72156666666672</v>
      </c>
      <c r="W14" s="44">
        <f>V14+INDEX('Dep LinkIn'!$D$5:$AN$16,MATCH('AccDep LinkIn'!$A14,'Dep LinkIn'!$A$5:$A$16,0),MATCH('AccDep LinkIn'!W$2,'Dep LinkIn'!$D$2:$AN$2,0))</f>
        <v>310.98220000000003</v>
      </c>
      <c r="X14" s="44">
        <f>W14+INDEX('Dep LinkIn'!$D$5:$AN$16,MATCH('AccDep LinkIn'!$A14,'Dep LinkIn'!$A$5:$A$16,0),MATCH('AccDep LinkIn'!X$2,'Dep LinkIn'!$D$2:$AN$2,0))</f>
        <v>367.24283333333335</v>
      </c>
      <c r="Y14" s="44">
        <f>X14+INDEX('Dep LinkIn'!$D$5:$AN$16,MATCH('AccDep LinkIn'!$A14,'Dep LinkIn'!$A$5:$A$16,0),MATCH('AccDep LinkIn'!Y$2,'Dep LinkIn'!$D$2:$AN$2,0))</f>
        <v>423.50346666666667</v>
      </c>
      <c r="Z14" s="44">
        <f>Y14+INDEX('Dep LinkIn'!$D$5:$AN$16,MATCH('AccDep LinkIn'!$A14,'Dep LinkIn'!$A$5:$A$16,0),MATCH('AccDep LinkIn'!Z$2,'Dep LinkIn'!$D$2:$AN$2,0))</f>
        <v>479.76409999999998</v>
      </c>
      <c r="AA14" s="44">
        <f>Z14+INDEX('Dep LinkIn'!$D$5:$AN$16,MATCH('AccDep LinkIn'!$A14,'Dep LinkIn'!$A$5:$A$16,0),MATCH('AccDep LinkIn'!AA$2,'Dep LinkIn'!$D$2:$AN$2,0))</f>
        <v>536.0247333333333</v>
      </c>
      <c r="AB14" s="44">
        <f>AA14+INDEX('Dep LinkIn'!$D$5:$AN$16,MATCH('AccDep LinkIn'!$A14,'Dep LinkIn'!$A$5:$A$16,0),MATCH('AccDep LinkIn'!AB$2,'Dep LinkIn'!$D$2:$AN$2,0))</f>
        <v>592.28536666666662</v>
      </c>
      <c r="AC14" s="44">
        <f>AB14+INDEX('Dep LinkIn'!$D$5:$AN$16,MATCH('AccDep LinkIn'!$A14,'Dep LinkIn'!$A$5:$A$16,0),MATCH('AccDep LinkIn'!AC$2,'Dep LinkIn'!$D$2:$AN$2,0))</f>
        <v>648.54599999999994</v>
      </c>
      <c r="AD14" s="44">
        <f>AC14+INDEX('Dep LinkIn'!$D$5:$AN$16,MATCH('AccDep LinkIn'!$A14,'Dep LinkIn'!$A$5:$A$16,0),MATCH('AccDep LinkIn'!AD$2,'Dep LinkIn'!$D$2:$AN$2,0))</f>
        <v>704.80663333333325</v>
      </c>
      <c r="AE14" s="44">
        <f>AD14+INDEX('Dep LinkIn'!$D$5:$AN$16,MATCH('AccDep LinkIn'!$A14,'Dep LinkIn'!$A$5:$A$16,0),MATCH('AccDep LinkIn'!AE$2,'Dep LinkIn'!$D$2:$AN$2,0))</f>
        <v>761.06726666666657</v>
      </c>
      <c r="AF14" s="44">
        <f>AE14+INDEX('Dep LinkIn'!$D$5:$AN$16,MATCH('AccDep LinkIn'!$A14,'Dep LinkIn'!$A$5:$A$16,0),MATCH('AccDep LinkIn'!AF$2,'Dep LinkIn'!$D$2:$AN$2,0))</f>
        <v>817.32789999999989</v>
      </c>
      <c r="AG14" s="44">
        <f>AF14+INDEX('Dep LinkIn'!$D$5:$AN$16,MATCH('AccDep LinkIn'!$A14,'Dep LinkIn'!$A$5:$A$16,0),MATCH('AccDep LinkIn'!AG$2,'Dep LinkIn'!$D$2:$AN$2,0))</f>
        <v>873.5885333333332</v>
      </c>
      <c r="AH14" s="44">
        <f>AG14+INDEX('Dep LinkIn'!$D$5:$AN$16,MATCH('AccDep LinkIn'!$A14,'Dep LinkIn'!$A$5:$A$16,0),MATCH('AccDep LinkIn'!AH$2,'Dep LinkIn'!$D$2:$AN$2,0))</f>
        <v>929.84916666666652</v>
      </c>
      <c r="AI14" s="44">
        <f>AH14+INDEX('Dep LinkIn'!$D$5:$AN$16,MATCH('AccDep LinkIn'!$A14,'Dep LinkIn'!$A$5:$A$16,0),MATCH('AccDep LinkIn'!AI$2,'Dep LinkIn'!$D$2:$AN$2,0))</f>
        <v>986.10979999999984</v>
      </c>
      <c r="AJ14" s="44">
        <f>AI14+INDEX('Dep LinkIn'!$D$5:$AN$16,MATCH('AccDep LinkIn'!$A14,'Dep LinkIn'!$A$5:$A$16,0),MATCH('AccDep LinkIn'!AJ$2,'Dep LinkIn'!$D$2:$AN$2,0))</f>
        <v>1042.3704333333333</v>
      </c>
      <c r="AK14" s="44">
        <f>AJ14+INDEX('Dep LinkIn'!$D$5:$AN$16,MATCH('AccDep LinkIn'!$A14,'Dep LinkIn'!$A$5:$A$16,0),MATCH('AccDep LinkIn'!AK$2,'Dep LinkIn'!$D$2:$AN$2,0))</f>
        <v>1098.6310666666666</v>
      </c>
      <c r="AL14" s="44">
        <f>AK14+INDEX('Dep LinkIn'!$D$5:$AN$16,MATCH('AccDep LinkIn'!$A14,'Dep LinkIn'!$A$5:$A$16,0),MATCH('AccDep LinkIn'!AL$2,'Dep LinkIn'!$D$2:$AN$2,0))</f>
        <v>1154.8916999999999</v>
      </c>
      <c r="AM14" s="44">
        <f>AL14+INDEX('Dep LinkIn'!$D$5:$AN$17,MATCH('AccDep LinkIn'!$A14,'Dep LinkIn'!$A$5:$A$17,0),MATCH('AccDep LinkIn'!AM$2,'Dep LinkIn'!$D$2:$AN$2,0))</f>
        <v>1211.1523333333332</v>
      </c>
    </row>
    <row r="15" spans="1:39" x14ac:dyDescent="0.45">
      <c r="A15" s="23">
        <v>391.1</v>
      </c>
      <c r="B15" s="23" t="s">
        <v>31</v>
      </c>
      <c r="C15" s="44">
        <f>D15-INDEX('Dep LinkIn'!$D$5:$AN$16,MATCH('AccDep LinkIn'!$A15,'Dep LinkIn'!$A$5:$A$16,0),MATCH('AccDep LinkIn'!C$2,'Dep LinkIn'!$D$2:$AN$2,0))</f>
        <v>1853</v>
      </c>
      <c r="D15" s="44">
        <f>E15-INDEX('Dep LinkIn'!$E$5:$AN$16,MATCH('AccDep LinkIn'!$A15,'Dep LinkIn'!$A$5:$A$16,0),MATCH('AccDep LinkIn'!D$2,'Dep LinkIn'!$E$2:$AN$2,0))</f>
        <v>1853</v>
      </c>
      <c r="E15" s="44">
        <f>F15-INDEX('Dep LinkIn'!$E$5:$AN$16,MATCH('AccDep LinkIn'!$A15,'Dep LinkIn'!$A$5:$A$16,0),MATCH('AccDep LinkIn'!E$2,'Dep LinkIn'!$E$2:$AN$2,0))</f>
        <v>1853</v>
      </c>
      <c r="F15" s="44">
        <f>G15-INDEX('Dep LinkIn'!$E$5:$AN$16,MATCH('AccDep LinkIn'!$A15,'Dep LinkIn'!$A$5:$A$16,0),MATCH('AccDep LinkIn'!F$2,'Dep LinkIn'!$E$2:$AN$2,0))</f>
        <v>1853</v>
      </c>
      <c r="G15" s="44">
        <f>H15-INDEX('Dep LinkIn'!$E$5:$AN$16,MATCH('AccDep LinkIn'!$A15,'Dep LinkIn'!$A$5:$A$16,0),MATCH('AccDep LinkIn'!G$2,'Dep LinkIn'!$E$2:$AN$2,0))</f>
        <v>1853</v>
      </c>
      <c r="H15" s="44">
        <f>I15-INDEX('Dep LinkIn'!$E$5:$AN$16,MATCH('AccDep LinkIn'!$A15,'Dep LinkIn'!$A$5:$A$16,0),MATCH('AccDep LinkIn'!H$2,'Dep LinkIn'!$E$2:$AN$2,0))</f>
        <v>1853</v>
      </c>
      <c r="I15" s="44">
        <v>1853</v>
      </c>
      <c r="J15" s="44">
        <f>I15+INDEX('Dep LinkIn'!$D$5:$AN$16,MATCH('AccDep LinkIn'!$A15,'Dep LinkIn'!$A$5:$A$16,0),MATCH('AccDep LinkIn'!J$2,'Dep LinkIn'!$D$2:$AN$2,0))</f>
        <v>1853</v>
      </c>
      <c r="K15" s="44">
        <f>J15+INDEX('Dep LinkIn'!$D$5:$AN$16,MATCH('AccDep LinkIn'!$A15,'Dep LinkIn'!$A$5:$A$16,0),MATCH('AccDep LinkIn'!K$2,'Dep LinkIn'!$D$2:$AN$2,0))</f>
        <v>1853</v>
      </c>
      <c r="L15" s="44">
        <f>K15+INDEX('Dep LinkIn'!$D$5:$AN$16,MATCH('AccDep LinkIn'!$A15,'Dep LinkIn'!$A$5:$A$16,0),MATCH('AccDep LinkIn'!L$2,'Dep LinkIn'!$D$2:$AN$2,0))</f>
        <v>1853</v>
      </c>
      <c r="M15" s="44">
        <f>L15+INDEX('Dep LinkIn'!$D$5:$AN$16,MATCH('AccDep LinkIn'!$A15,'Dep LinkIn'!$A$5:$A$16,0),MATCH('AccDep LinkIn'!M$2,'Dep LinkIn'!$D$2:$AN$2,0))</f>
        <v>1853</v>
      </c>
      <c r="N15" s="44">
        <f>M15+INDEX('Dep LinkIn'!$D$5:$AN$16,MATCH('AccDep LinkIn'!$A15,'Dep LinkIn'!$A$5:$A$16,0),MATCH('AccDep LinkIn'!N$2,'Dep LinkIn'!$D$2:$AN$2,0))</f>
        <v>1853</v>
      </c>
      <c r="O15" s="44">
        <f>N15+INDEX('Dep LinkIn'!$D$5:$AN$16,MATCH('AccDep LinkIn'!$A15,'Dep LinkIn'!$A$5:$A$16,0),MATCH('AccDep LinkIn'!O$2,'Dep LinkIn'!$D$2:$AN$2,0))</f>
        <v>1853</v>
      </c>
      <c r="P15" s="44">
        <f>O15+INDEX('Dep LinkIn'!$D$5:$AN$16,MATCH('AccDep LinkIn'!$A15,'Dep LinkIn'!$A$5:$A$16,0),MATCH('AccDep LinkIn'!P$2,'Dep LinkIn'!$D$2:$AN$2,0))</f>
        <v>1853</v>
      </c>
      <c r="Q15" s="44">
        <f>P15+INDEX('Dep LinkIn'!$D$5:$AN$16,MATCH('AccDep LinkIn'!$A15,'Dep LinkIn'!$A$5:$A$16,0),MATCH('AccDep LinkIn'!Q$2,'Dep LinkIn'!$D$2:$AN$2,0))</f>
        <v>1853</v>
      </c>
      <c r="R15" s="44">
        <f>Q15+INDEX('Dep LinkIn'!$D$5:$AN$16,MATCH('AccDep LinkIn'!$A15,'Dep LinkIn'!$A$5:$A$16,0),MATCH('AccDep LinkIn'!R$2,'Dep LinkIn'!$D$2:$AN$2,0))</f>
        <v>1853</v>
      </c>
      <c r="S15" s="44">
        <f>R15+INDEX('Dep LinkIn'!$D$5:$AN$16,MATCH('AccDep LinkIn'!$A15,'Dep LinkIn'!$A$5:$A$16,0),MATCH('AccDep LinkIn'!S$2,'Dep LinkIn'!$D$2:$AN$2,0))</f>
        <v>1853</v>
      </c>
      <c r="T15" s="44">
        <f>S15+INDEX('Dep LinkIn'!$D$5:$AN$16,MATCH('AccDep LinkIn'!$A15,'Dep LinkIn'!$A$5:$A$16,0),MATCH('AccDep LinkIn'!T$2,'Dep LinkIn'!$D$2:$AN$2,0))</f>
        <v>1853</v>
      </c>
      <c r="U15" s="44">
        <f>T15+INDEX('Dep LinkIn'!$D$5:$AN$16,MATCH('AccDep LinkIn'!$A15,'Dep LinkIn'!$A$5:$A$16,0),MATCH('AccDep LinkIn'!U$2,'Dep LinkIn'!$D$2:$AN$2,0))</f>
        <v>1853</v>
      </c>
      <c r="V15" s="44">
        <f>U15+INDEX('Dep LinkIn'!$D$5:$AN$16,MATCH('AccDep LinkIn'!$A15,'Dep LinkIn'!$A$5:$A$16,0),MATCH('AccDep LinkIn'!V$2,'Dep LinkIn'!$D$2:$AN$2,0))</f>
        <v>1853</v>
      </c>
      <c r="W15" s="44">
        <f>V15+INDEX('Dep LinkIn'!$D$5:$AN$16,MATCH('AccDep LinkIn'!$A15,'Dep LinkIn'!$A$5:$A$16,0),MATCH('AccDep LinkIn'!W$2,'Dep LinkIn'!$D$2:$AN$2,0))</f>
        <v>1853</v>
      </c>
      <c r="X15" s="44">
        <f>W15+INDEX('Dep LinkIn'!$D$5:$AN$16,MATCH('AccDep LinkIn'!$A15,'Dep LinkIn'!$A$5:$A$16,0),MATCH('AccDep LinkIn'!X$2,'Dep LinkIn'!$D$2:$AN$2,0))</f>
        <v>1853</v>
      </c>
      <c r="Y15" s="44">
        <f>X15+INDEX('Dep LinkIn'!$D$5:$AN$16,MATCH('AccDep LinkIn'!$A15,'Dep LinkIn'!$A$5:$A$16,0),MATCH('AccDep LinkIn'!Y$2,'Dep LinkIn'!$D$2:$AN$2,0))</f>
        <v>1853</v>
      </c>
      <c r="Z15" s="44">
        <f>Y15+INDEX('Dep LinkIn'!$D$5:$AN$16,MATCH('AccDep LinkIn'!$A15,'Dep LinkIn'!$A$5:$A$16,0),MATCH('AccDep LinkIn'!Z$2,'Dep LinkIn'!$D$2:$AN$2,0))</f>
        <v>1853</v>
      </c>
      <c r="AA15" s="44">
        <f>Z15+INDEX('Dep LinkIn'!$D$5:$AN$16,MATCH('AccDep LinkIn'!$A15,'Dep LinkIn'!$A$5:$A$16,0),MATCH('AccDep LinkIn'!AA$2,'Dep LinkIn'!$D$2:$AN$2,0))</f>
        <v>1853</v>
      </c>
      <c r="AB15" s="44">
        <f>AA15+INDEX('Dep LinkIn'!$D$5:$AN$16,MATCH('AccDep LinkIn'!$A15,'Dep LinkIn'!$A$5:$A$16,0),MATCH('AccDep LinkIn'!AB$2,'Dep LinkIn'!$D$2:$AN$2,0))</f>
        <v>1853</v>
      </c>
      <c r="AC15" s="44">
        <f>AB15+INDEX('Dep LinkIn'!$D$5:$AN$16,MATCH('AccDep LinkIn'!$A15,'Dep LinkIn'!$A$5:$A$16,0),MATCH('AccDep LinkIn'!AC$2,'Dep LinkIn'!$D$2:$AN$2,0))</f>
        <v>1853</v>
      </c>
      <c r="AD15" s="44">
        <f>AC15+INDEX('Dep LinkIn'!$D$5:$AN$16,MATCH('AccDep LinkIn'!$A15,'Dep LinkIn'!$A$5:$A$16,0),MATCH('AccDep LinkIn'!AD$2,'Dep LinkIn'!$D$2:$AN$2,0))</f>
        <v>1853</v>
      </c>
      <c r="AE15" s="44">
        <f>AD15+INDEX('Dep LinkIn'!$D$5:$AN$16,MATCH('AccDep LinkIn'!$A15,'Dep LinkIn'!$A$5:$A$16,0),MATCH('AccDep LinkIn'!AE$2,'Dep LinkIn'!$D$2:$AN$2,0))</f>
        <v>1853</v>
      </c>
      <c r="AF15" s="44">
        <f>AE15+INDEX('Dep LinkIn'!$D$5:$AN$16,MATCH('AccDep LinkIn'!$A15,'Dep LinkIn'!$A$5:$A$16,0),MATCH('AccDep LinkIn'!AF$2,'Dep LinkIn'!$D$2:$AN$2,0))</f>
        <v>1853</v>
      </c>
      <c r="AG15" s="44">
        <f>AF15+INDEX('Dep LinkIn'!$D$5:$AN$16,MATCH('AccDep LinkIn'!$A15,'Dep LinkIn'!$A$5:$A$16,0),MATCH('AccDep LinkIn'!AG$2,'Dep LinkIn'!$D$2:$AN$2,0))</f>
        <v>1853</v>
      </c>
      <c r="AH15" s="44">
        <f>AG15+INDEX('Dep LinkIn'!$D$5:$AN$16,MATCH('AccDep LinkIn'!$A15,'Dep LinkIn'!$A$5:$A$16,0),MATCH('AccDep LinkIn'!AH$2,'Dep LinkIn'!$D$2:$AN$2,0))</f>
        <v>1853</v>
      </c>
      <c r="AI15" s="44">
        <f>AH15+INDEX('Dep LinkIn'!$D$5:$AN$16,MATCH('AccDep LinkIn'!$A15,'Dep LinkIn'!$A$5:$A$16,0),MATCH('AccDep LinkIn'!AI$2,'Dep LinkIn'!$D$2:$AN$2,0))</f>
        <v>1853</v>
      </c>
      <c r="AJ15" s="44">
        <f>AI15+INDEX('Dep LinkIn'!$D$5:$AN$16,MATCH('AccDep LinkIn'!$A15,'Dep LinkIn'!$A$5:$A$16,0),MATCH('AccDep LinkIn'!AJ$2,'Dep LinkIn'!$D$2:$AN$2,0))</f>
        <v>1853</v>
      </c>
      <c r="AK15" s="44">
        <f>AJ15+INDEX('Dep LinkIn'!$D$5:$AN$16,MATCH('AccDep LinkIn'!$A15,'Dep LinkIn'!$A$5:$A$16,0),MATCH('AccDep LinkIn'!AK$2,'Dep LinkIn'!$D$2:$AN$2,0))</f>
        <v>1853</v>
      </c>
      <c r="AL15" s="44">
        <f>AK15+INDEX('Dep LinkIn'!$D$5:$AN$16,MATCH('AccDep LinkIn'!$A15,'Dep LinkIn'!$A$5:$A$16,0),MATCH('AccDep LinkIn'!AL$2,'Dep LinkIn'!$D$2:$AN$2,0))</f>
        <v>1853</v>
      </c>
      <c r="AM15" s="44">
        <f>AL15+INDEX('Dep LinkIn'!$D$5:$AN$17,MATCH('AccDep LinkIn'!$A15,'Dep LinkIn'!$A$5:$A$17,0),MATCH('AccDep LinkIn'!AM$2,'Dep LinkIn'!$D$2:$AN$2,0))</f>
        <v>1853</v>
      </c>
    </row>
    <row r="16" spans="1:39" x14ac:dyDescent="0.45">
      <c r="A16" s="23">
        <v>393</v>
      </c>
      <c r="B16" s="23" t="s">
        <v>32</v>
      </c>
      <c r="C16" s="44">
        <f>D16-INDEX('Dep LinkIn'!$D$5:$AN$16,MATCH('AccDep LinkIn'!$A16,'Dep LinkIn'!$A$5:$A$16,0),MATCH('AccDep LinkIn'!C$2,'Dep LinkIn'!$D$2:$AN$2,0))</f>
        <v>0</v>
      </c>
      <c r="D16" s="44">
        <f>E16-INDEX('Dep LinkIn'!$E$5:$AN$16,MATCH('AccDep LinkIn'!$A16,'Dep LinkIn'!$A$5:$A$16,0),MATCH('AccDep LinkIn'!D$2,'Dep LinkIn'!$E$2:$AN$2,0))</f>
        <v>0</v>
      </c>
      <c r="E16" s="44">
        <f>F16-INDEX('Dep LinkIn'!$E$5:$AN$16,MATCH('AccDep LinkIn'!$A16,'Dep LinkIn'!$A$5:$A$16,0),MATCH('AccDep LinkIn'!E$2,'Dep LinkIn'!$E$2:$AN$2,0))</f>
        <v>0</v>
      </c>
      <c r="F16" s="44">
        <f>G16-INDEX('Dep LinkIn'!$E$5:$AN$16,MATCH('AccDep LinkIn'!$A16,'Dep LinkIn'!$A$5:$A$16,0),MATCH('AccDep LinkIn'!F$2,'Dep LinkIn'!$E$2:$AN$2,0))</f>
        <v>0</v>
      </c>
      <c r="G16" s="44">
        <f>H16-INDEX('Dep LinkIn'!$E$5:$AN$16,MATCH('AccDep LinkIn'!$A16,'Dep LinkIn'!$A$5:$A$16,0),MATCH('AccDep LinkIn'!G$2,'Dep LinkIn'!$E$2:$AN$2,0))</f>
        <v>0</v>
      </c>
      <c r="H16" s="44">
        <f>I16-INDEX('Dep LinkIn'!$E$5:$AN$16,MATCH('AccDep LinkIn'!$A16,'Dep LinkIn'!$A$5:$A$16,0),MATCH('AccDep LinkIn'!H$2,'Dep LinkIn'!$E$2:$AN$2,0))</f>
        <v>0</v>
      </c>
      <c r="I16" s="37">
        <v>0</v>
      </c>
      <c r="J16" s="44">
        <f>IF(I16&gt;='UPIS LinkIn'!I16,0,I16+INDEX('Dep LinkIn'!$D$5:$AN$16,MATCH('AccDep LinkIn'!$A16,'Dep LinkIn'!$A$5:$A$16,0),MATCH('AccDep LinkIn'!J$2,'Dep LinkIn'!$D$2:$AN$2,0)))</f>
        <v>644.70388611111116</v>
      </c>
      <c r="K16" s="44">
        <f>J16+INDEX('Dep LinkIn'!$D$5:$AN$16,MATCH('AccDep LinkIn'!$A16,'Dep LinkIn'!$A$5:$A$16,0),MATCH('AccDep LinkIn'!K$2,'Dep LinkIn'!$D$2:$AN$2,0))</f>
        <v>1289.4077722222223</v>
      </c>
      <c r="L16" s="44">
        <f>K16+INDEX('Dep LinkIn'!$D$5:$AN$16,MATCH('AccDep LinkIn'!$A16,'Dep LinkIn'!$A$5:$A$16,0),MATCH('AccDep LinkIn'!L$2,'Dep LinkIn'!$D$2:$AN$2,0))</f>
        <v>1934.1116583333335</v>
      </c>
      <c r="M16" s="44">
        <f>L16+INDEX('Dep LinkIn'!$D$5:$AN$16,MATCH('AccDep LinkIn'!$A16,'Dep LinkIn'!$A$5:$A$16,0),MATCH('AccDep LinkIn'!M$2,'Dep LinkIn'!$D$2:$AN$2,0))</f>
        <v>2578.8155444444446</v>
      </c>
      <c r="N16" s="44">
        <f>M16+INDEX('Dep LinkIn'!$D$5:$AN$16,MATCH('AccDep LinkIn'!$A16,'Dep LinkIn'!$A$5:$A$16,0),MATCH('AccDep LinkIn'!N$2,'Dep LinkIn'!$D$2:$AN$2,0))</f>
        <v>3223.519430555556</v>
      </c>
      <c r="O16" s="44">
        <f>N16+INDEX('Dep LinkIn'!$D$5:$AN$16,MATCH('AccDep LinkIn'!$A16,'Dep LinkIn'!$A$5:$A$16,0),MATCH('AccDep LinkIn'!O$2,'Dep LinkIn'!$D$2:$AN$2,0))</f>
        <v>3868.2233166666674</v>
      </c>
      <c r="P16" s="44">
        <f>O16+INDEX('Dep LinkIn'!$D$5:$AN$16,MATCH('AccDep LinkIn'!$A16,'Dep LinkIn'!$A$5:$A$16,0),MATCH('AccDep LinkIn'!P$2,'Dep LinkIn'!$D$2:$AN$2,0))</f>
        <v>4557.3716472222231</v>
      </c>
      <c r="Q16" s="44">
        <f>P16+INDEX('Dep LinkIn'!$D$5:$AN$16,MATCH('AccDep LinkIn'!$A16,'Dep LinkIn'!$A$5:$A$16,0),MATCH('AccDep LinkIn'!Q$2,'Dep LinkIn'!$D$2:$AN$2,0))</f>
        <v>5246.5199777777789</v>
      </c>
      <c r="R16" s="44">
        <f>Q16+INDEX('Dep LinkIn'!$D$5:$AN$16,MATCH('AccDep LinkIn'!$A16,'Dep LinkIn'!$A$5:$A$16,0),MATCH('AccDep LinkIn'!R$2,'Dep LinkIn'!$D$2:$AN$2,0))</f>
        <v>5935.6683083333346</v>
      </c>
      <c r="S16" s="44">
        <f>R16+INDEX('Dep LinkIn'!$D$5:$AN$16,MATCH('AccDep LinkIn'!$A16,'Dep LinkIn'!$A$5:$A$16,0),MATCH('AccDep LinkIn'!S$2,'Dep LinkIn'!$D$2:$AN$2,0))</f>
        <v>6624.8166388888903</v>
      </c>
      <c r="T16" s="44">
        <f>S16+INDEX('Dep LinkIn'!$D$5:$AN$16,MATCH('AccDep LinkIn'!$A16,'Dep LinkIn'!$A$5:$A$16,0),MATCH('AccDep LinkIn'!T$2,'Dep LinkIn'!$D$2:$AN$2,0))</f>
        <v>7369.5205250000017</v>
      </c>
      <c r="U16" s="44">
        <f>T16+INDEX('Dep LinkIn'!$D$5:$AN$16,MATCH('AccDep LinkIn'!$A16,'Dep LinkIn'!$A$5:$A$16,0),MATCH('AccDep LinkIn'!U$2,'Dep LinkIn'!$D$2:$AN$2,0))</f>
        <v>8114.2244111111131</v>
      </c>
      <c r="V16" s="44">
        <f>U16+INDEX('Dep LinkIn'!$D$5:$AN$16,MATCH('AccDep LinkIn'!$A16,'Dep LinkIn'!$A$5:$A$16,0),MATCH('AccDep LinkIn'!V$2,'Dep LinkIn'!$D$2:$AN$2,0))</f>
        <v>8858.9282972222245</v>
      </c>
      <c r="W16" s="44">
        <f>V16+INDEX('Dep LinkIn'!$D$5:$AN$16,MATCH('AccDep LinkIn'!$A16,'Dep LinkIn'!$A$5:$A$16,0),MATCH('AccDep LinkIn'!W$2,'Dep LinkIn'!$D$2:$AN$2,0))</f>
        <v>9603.632183333335</v>
      </c>
      <c r="X16" s="44">
        <f>W16+INDEX('Dep LinkIn'!$D$5:$AN$16,MATCH('AccDep LinkIn'!$A16,'Dep LinkIn'!$A$5:$A$16,0),MATCH('AccDep LinkIn'!X$2,'Dep LinkIn'!$D$2:$AN$2,0))</f>
        <v>10348.336069444445</v>
      </c>
      <c r="Y16" s="44">
        <f>X16+INDEX('Dep LinkIn'!$D$5:$AN$16,MATCH('AccDep LinkIn'!$A16,'Dep LinkIn'!$A$5:$A$16,0),MATCH('AccDep LinkIn'!Y$2,'Dep LinkIn'!$D$2:$AN$2,0))</f>
        <v>11093.039955555556</v>
      </c>
      <c r="Z16" s="44">
        <f>Y16+INDEX('Dep LinkIn'!$D$5:$AN$16,MATCH('AccDep LinkIn'!$A16,'Dep LinkIn'!$A$5:$A$16,0),MATCH('AccDep LinkIn'!Z$2,'Dep LinkIn'!$D$2:$AN$2,0))</f>
        <v>11837.743841666666</v>
      </c>
      <c r="AA16" s="44">
        <f>Z16+INDEX('Dep LinkIn'!$D$5:$AN$16,MATCH('AccDep LinkIn'!$A16,'Dep LinkIn'!$A$5:$A$16,0),MATCH('AccDep LinkIn'!AA$2,'Dep LinkIn'!$D$2:$AN$2,0))</f>
        <v>12582.447727777777</v>
      </c>
      <c r="AB16" s="44">
        <f>AA16+INDEX('Dep LinkIn'!$D$5:$AN$16,MATCH('AccDep LinkIn'!$A16,'Dep LinkIn'!$A$5:$A$16,0),MATCH('AccDep LinkIn'!AB$2,'Dep LinkIn'!$D$2:$AN$2,0))</f>
        <v>13854.929391666665</v>
      </c>
      <c r="AC16" s="44">
        <f>AB16+INDEX('Dep LinkIn'!$D$5:$AN$16,MATCH('AccDep LinkIn'!$A16,'Dep LinkIn'!$A$5:$A$16,0),MATCH('AccDep LinkIn'!AC$2,'Dep LinkIn'!$D$2:$AN$2,0))</f>
        <v>15127.411055555553</v>
      </c>
      <c r="AD16" s="44">
        <f>AC16+INDEX('Dep LinkIn'!$D$5:$AN$16,MATCH('AccDep LinkIn'!$A16,'Dep LinkIn'!$A$5:$A$16,0),MATCH('AccDep LinkIn'!AD$2,'Dep LinkIn'!$D$2:$AN$2,0))</f>
        <v>16399.89271944444</v>
      </c>
      <c r="AE16" s="44">
        <f>AD16+INDEX('Dep LinkIn'!$D$5:$AN$16,MATCH('AccDep LinkIn'!$A16,'Dep LinkIn'!$A$5:$A$16,0),MATCH('AccDep LinkIn'!AE$2,'Dep LinkIn'!$D$2:$AN$2,0))</f>
        <v>17672.374383333328</v>
      </c>
      <c r="AF16" s="44">
        <f>AE16+INDEX('Dep LinkIn'!$D$5:$AN$16,MATCH('AccDep LinkIn'!$A16,'Dep LinkIn'!$A$5:$A$16,0),MATCH('AccDep LinkIn'!AF$2,'Dep LinkIn'!$D$2:$AN$2,0))</f>
        <v>18944.856047222216</v>
      </c>
      <c r="AG16" s="44">
        <f>AF16+INDEX('Dep LinkIn'!$D$5:$AN$16,MATCH('AccDep LinkIn'!$A16,'Dep LinkIn'!$A$5:$A$16,0),MATCH('AccDep LinkIn'!AG$2,'Dep LinkIn'!$D$2:$AN$2,0))</f>
        <v>20217.337711111104</v>
      </c>
      <c r="AH16" s="44">
        <f>AG16+INDEX('Dep LinkIn'!$D$5:$AN$16,MATCH('AccDep LinkIn'!$A16,'Dep LinkIn'!$A$5:$A$16,0),MATCH('AccDep LinkIn'!AH$2,'Dep LinkIn'!$D$2:$AN$2,0))</f>
        <v>21489.819374999992</v>
      </c>
      <c r="AI16" s="44">
        <f>AH16+INDEX('Dep LinkIn'!$D$5:$AN$16,MATCH('AccDep LinkIn'!$A16,'Dep LinkIn'!$A$5:$A$16,0),MATCH('AccDep LinkIn'!AI$2,'Dep LinkIn'!$D$2:$AN$2,0))</f>
        <v>22762.30103888888</v>
      </c>
      <c r="AJ16" s="44">
        <f>AI16+INDEX('Dep LinkIn'!$D$5:$AN$16,MATCH('AccDep LinkIn'!$A16,'Dep LinkIn'!$A$5:$A$16,0),MATCH('AccDep LinkIn'!AJ$2,'Dep LinkIn'!$D$2:$AN$2,0))</f>
        <v>24034.782702777768</v>
      </c>
      <c r="AK16" s="44">
        <f>AJ16+INDEX('Dep LinkIn'!$D$5:$AN$16,MATCH('AccDep LinkIn'!$A16,'Dep LinkIn'!$A$5:$A$16,0),MATCH('AccDep LinkIn'!AK$2,'Dep LinkIn'!$D$2:$AN$2,0))</f>
        <v>25307.264366666655</v>
      </c>
      <c r="AL16" s="44">
        <f>AK16+INDEX('Dep LinkIn'!$D$5:$AN$16,MATCH('AccDep LinkIn'!$A16,'Dep LinkIn'!$A$5:$A$16,0),MATCH('AccDep LinkIn'!AL$2,'Dep LinkIn'!$D$2:$AN$2,0))</f>
        <v>26579.746030555543</v>
      </c>
      <c r="AM16" s="44">
        <f>AL16+INDEX('Dep LinkIn'!$D$5:$AN$17,MATCH('AccDep LinkIn'!$A16,'Dep LinkIn'!$A$5:$A$17,0),MATCH('AccDep LinkIn'!AM$2,'Dep LinkIn'!$D$2:$AN$2,0))</f>
        <v>27852.227694444431</v>
      </c>
    </row>
    <row r="17" spans="1:39" x14ac:dyDescent="0.45">
      <c r="A17" s="23" t="s">
        <v>135</v>
      </c>
      <c r="B17" s="23" t="s">
        <v>136</v>
      </c>
      <c r="C17" s="44">
        <v>0</v>
      </c>
      <c r="D17" s="44">
        <f>C17+INDEX('Dep LinkIn'!$D$5:$AN$17,MATCH('AccDep LinkIn'!$A17,'Dep LinkIn'!$A$5:$A$17,0),MATCH('AccDep LinkIn'!D$2,'Dep LinkIn'!$D$2:$AN$2,0))+D22</f>
        <v>0</v>
      </c>
      <c r="E17" s="44">
        <f>D17+INDEX('Dep LinkIn'!$D$5:$AN$17,MATCH('AccDep LinkIn'!$A17,'Dep LinkIn'!$A$5:$A$17,0),MATCH('AccDep LinkIn'!E$2,'Dep LinkIn'!$D$2:$AN$2,0))+E22</f>
        <v>0</v>
      </c>
      <c r="F17" s="44">
        <f>E17+INDEX('Dep LinkIn'!$D$5:$AN$17,MATCH('AccDep LinkIn'!$A17,'Dep LinkIn'!$A$5:$A$17,0),MATCH('AccDep LinkIn'!F$2,'Dep LinkIn'!$D$2:$AN$2,0))+F22</f>
        <v>0</v>
      </c>
      <c r="G17" s="44">
        <f>F17+INDEX('Dep LinkIn'!$D$5:$AN$17,MATCH('AccDep LinkIn'!$A17,'Dep LinkIn'!$A$5:$A$17,0),MATCH('AccDep LinkIn'!G$2,'Dep LinkIn'!$D$2:$AN$2,0))+G22</f>
        <v>0</v>
      </c>
      <c r="H17" s="44">
        <f>G17+INDEX('Dep LinkIn'!$D$5:$AN$17,MATCH('AccDep LinkIn'!$A17,'Dep LinkIn'!$A$5:$A$17,0),MATCH('AccDep LinkIn'!H$2,'Dep LinkIn'!$D$2:$AN$2,0))+H22</f>
        <v>0</v>
      </c>
      <c r="I17" s="44">
        <f>H17+INDEX('Dep LinkIn'!$D$5:$AN$17,MATCH('AccDep LinkIn'!$A17,'Dep LinkIn'!$A$5:$A$17,0),MATCH('AccDep LinkIn'!I$2,'Dep LinkIn'!$D$2:$AN$2,0))+I22</f>
        <v>0</v>
      </c>
      <c r="J17" s="44">
        <f>I17+INDEX('Dep LinkIn'!$D$5:$AN$17,MATCH('AccDep LinkIn'!$A17,'Dep LinkIn'!$A$5:$A$17,0),MATCH('AccDep LinkIn'!J$2,'Dep LinkIn'!$D$2:$AN$2,0))+J22</f>
        <v>0</v>
      </c>
      <c r="K17" s="44">
        <f>J17+INDEX('Dep LinkIn'!$D$5:$AN$17,MATCH('AccDep LinkIn'!$A17,'Dep LinkIn'!$A$5:$A$17,0),MATCH('AccDep LinkIn'!K$2,'Dep LinkIn'!$D$2:$AN$2,0))+K22</f>
        <v>0</v>
      </c>
      <c r="L17" s="44">
        <f>K17+INDEX('Dep LinkIn'!$D$5:$AN$17,MATCH('AccDep LinkIn'!$A17,'Dep LinkIn'!$A$5:$A$17,0),MATCH('AccDep LinkIn'!L$2,'Dep LinkIn'!$D$2:$AN$2,0))+L22</f>
        <v>0</v>
      </c>
      <c r="M17" s="44">
        <f>L17+INDEX('Dep LinkIn'!$D$5:$AN$17,MATCH('AccDep LinkIn'!$A17,'Dep LinkIn'!$A$5:$A$17,0),MATCH('AccDep LinkIn'!M$2,'Dep LinkIn'!$D$2:$AN$2,0))+M22</f>
        <v>0</v>
      </c>
      <c r="N17" s="44">
        <f>M17+INDEX('Dep LinkIn'!$D$5:$AN$17,MATCH('AccDep LinkIn'!$A17,'Dep LinkIn'!$A$5:$A$17,0),MATCH('AccDep LinkIn'!N$2,'Dep LinkIn'!$D$2:$AN$2,0))+N22</f>
        <v>179.74305555555557</v>
      </c>
      <c r="O17" s="44">
        <f>N17+INDEX('Dep LinkIn'!$D$5:$AN$17,MATCH('AccDep LinkIn'!$A17,'Dep LinkIn'!$A$5:$A$17,0),MATCH('AccDep LinkIn'!O$2,'Dep LinkIn'!$D$2:$AN$2,0))+O22</f>
        <v>359.48611111111114</v>
      </c>
      <c r="P17" s="44">
        <f>O17+INDEX('Dep LinkIn'!$D$5:$AN$17,MATCH('AccDep LinkIn'!$A17,'Dep LinkIn'!$A$5:$A$17,0),MATCH('AccDep LinkIn'!P$2,'Dep LinkIn'!$D$2:$AN$2,0))+P22</f>
        <v>1252866.2413888888</v>
      </c>
      <c r="Q17" s="44">
        <f>P17+INDEX('Dep LinkIn'!$D$5:$AN$17,MATCH('AccDep LinkIn'!$A17,'Dep LinkIn'!$A$5:$A$17,0),MATCH('AccDep LinkIn'!Q$2,'Dep LinkIn'!$D$2:$AN$2,0))+Q22</f>
        <v>1259568.9966666666</v>
      </c>
      <c r="R17" s="44">
        <f>Q17+INDEX('Dep LinkIn'!$D$5:$AN$17,MATCH('AccDep LinkIn'!$A17,'Dep LinkIn'!$A$5:$A$17,0),MATCH('AccDep LinkIn'!R$2,'Dep LinkIn'!$D$2:$AN$2,0))+R22</f>
        <v>1266271.7519444444</v>
      </c>
      <c r="S17" s="44">
        <f>R17+INDEX('Dep LinkIn'!$D$5:$AN$17,MATCH('AccDep LinkIn'!$A17,'Dep LinkIn'!$A$5:$A$17,0),MATCH('AccDep LinkIn'!S$2,'Dep LinkIn'!$D$2:$AN$2,0))+S22</f>
        <v>1272974.5072222222</v>
      </c>
      <c r="T17" s="44">
        <f>S17+INDEX('Dep LinkIn'!$D$5:$AN$17,MATCH('AccDep LinkIn'!$A17,'Dep LinkIn'!$A$5:$A$17,0),MATCH('AccDep LinkIn'!T$2,'Dep LinkIn'!$D$2:$AN$2,0))+T22</f>
        <v>1279677.2625</v>
      </c>
      <c r="U17" s="44">
        <f>T17+INDEX('Dep LinkIn'!$D$5:$AN$17,MATCH('AccDep LinkIn'!$A17,'Dep LinkIn'!$A$5:$A$17,0),MATCH('AccDep LinkIn'!U$2,'Dep LinkIn'!$D$2:$AN$2,0))+U22</f>
        <v>1286380.0177777777</v>
      </c>
      <c r="V17" s="44">
        <f>U17+INDEX('Dep LinkIn'!$D$5:$AN$17,MATCH('AccDep LinkIn'!$A17,'Dep LinkIn'!$A$5:$A$17,0),MATCH('AccDep LinkIn'!V$2,'Dep LinkIn'!$D$2:$AN$2,0))+V22</f>
        <v>1293082.7730555555</v>
      </c>
      <c r="W17" s="44">
        <f>V17+INDEX('Dep LinkIn'!$D$5:$AN$17,MATCH('AccDep LinkIn'!$A17,'Dep LinkIn'!$A$5:$A$17,0),MATCH('AccDep LinkIn'!W$2,'Dep LinkIn'!$D$2:$AN$2,0))+W22</f>
        <v>1299785.5283333333</v>
      </c>
      <c r="X17" s="44">
        <f>W17+INDEX('Dep LinkIn'!$D$5:$AN$17,MATCH('AccDep LinkIn'!$A17,'Dep LinkIn'!$A$5:$A$17,0),MATCH('AccDep LinkIn'!X$2,'Dep LinkIn'!$D$2:$AN$2,0))+X22</f>
        <v>1306488.2836111111</v>
      </c>
      <c r="Y17" s="44">
        <f>X17+INDEX('Dep LinkIn'!$D$5:$AN$17,MATCH('AccDep LinkIn'!$A17,'Dep LinkIn'!$A$5:$A$17,0),MATCH('AccDep LinkIn'!Y$2,'Dep LinkIn'!$D$2:$AN$2,0))+Y22</f>
        <v>1313191.0388888889</v>
      </c>
      <c r="Z17" s="44">
        <f>Y17+INDEX('Dep LinkIn'!$D$5:$AN$17,MATCH('AccDep LinkIn'!$A17,'Dep LinkIn'!$A$5:$A$17,0),MATCH('AccDep LinkIn'!Z$2,'Dep LinkIn'!$D$2:$AN$2,0))+Z22</f>
        <v>1319893.7941666667</v>
      </c>
      <c r="AA17" s="44">
        <f>Z17+INDEX('Dep LinkIn'!$D$5:$AN$17,MATCH('AccDep LinkIn'!$A17,'Dep LinkIn'!$A$5:$A$17,0),MATCH('AccDep LinkIn'!AA$2,'Dep LinkIn'!$D$2:$AN$2,0))+AA22</f>
        <v>1326596.5494444445</v>
      </c>
      <c r="AB17" s="44">
        <f>AA17+INDEX('Dep LinkIn'!$D$5:$AN$17,MATCH('AccDep LinkIn'!$A17,'Dep LinkIn'!$A$5:$A$17,0),MATCH('AccDep LinkIn'!AB$2,'Dep LinkIn'!$D$2:$AN$2,0))+AB22</f>
        <v>1333299.3047222223</v>
      </c>
      <c r="AC17" s="44">
        <f>AB17+INDEX('Dep LinkIn'!$D$5:$AN$17,MATCH('AccDep LinkIn'!$A17,'Dep LinkIn'!$A$5:$A$17,0),MATCH('AccDep LinkIn'!AC$2,'Dep LinkIn'!$D$2:$AN$2,0))+AC22</f>
        <v>1340002.06</v>
      </c>
      <c r="AD17" s="44">
        <f>AC17+INDEX('Dep LinkIn'!$D$5:$AN$17,MATCH('AccDep LinkIn'!$A17,'Dep LinkIn'!$A$5:$A$17,0),MATCH('AccDep LinkIn'!AD$2,'Dep LinkIn'!$D$2:$AN$2,0))+AD22</f>
        <v>1346704.8152777778</v>
      </c>
      <c r="AE17" s="44">
        <f>AD17+INDEX('Dep LinkIn'!$D$5:$AN$17,MATCH('AccDep LinkIn'!$A17,'Dep LinkIn'!$A$5:$A$17,0),MATCH('AccDep LinkIn'!AE$2,'Dep LinkIn'!$D$2:$AN$2,0))+AE22</f>
        <v>1353407.5705555556</v>
      </c>
      <c r="AF17" s="44">
        <f>AE17+INDEX('Dep LinkIn'!$D$5:$AN$17,MATCH('AccDep LinkIn'!$A17,'Dep LinkIn'!$A$5:$A$17,0),MATCH('AccDep LinkIn'!AF$2,'Dep LinkIn'!$D$2:$AN$2,0))+AF22</f>
        <v>1360110.3258333334</v>
      </c>
      <c r="AG17" s="44">
        <f>AF17+INDEX('Dep LinkIn'!$D$5:$AN$17,MATCH('AccDep LinkIn'!$A17,'Dep LinkIn'!$A$5:$A$17,0),MATCH('AccDep LinkIn'!AG$2,'Dep LinkIn'!$D$2:$AN$2,0))+AG22</f>
        <v>1366813.0811111112</v>
      </c>
      <c r="AH17" s="44">
        <f>AG17+INDEX('Dep LinkIn'!$D$5:$AN$17,MATCH('AccDep LinkIn'!$A17,'Dep LinkIn'!$A$5:$A$17,0),MATCH('AccDep LinkIn'!AH$2,'Dep LinkIn'!$D$2:$AN$2,0))+AH22</f>
        <v>1373515.836388889</v>
      </c>
      <c r="AI17" s="44">
        <f>AH17+INDEX('Dep LinkIn'!$D$5:$AN$17,MATCH('AccDep LinkIn'!$A17,'Dep LinkIn'!$A$5:$A$17,0),MATCH('AccDep LinkIn'!AI$2,'Dep LinkIn'!$D$2:$AN$2,0))+AI22</f>
        <v>1380218.5916666668</v>
      </c>
      <c r="AJ17" s="44">
        <f>AI17+INDEX('Dep LinkIn'!$D$5:$AN$17,MATCH('AccDep LinkIn'!$A17,'Dep LinkIn'!$A$5:$A$17,0),MATCH('AccDep LinkIn'!AJ$2,'Dep LinkIn'!$D$2:$AN$2,0))+AJ22</f>
        <v>1386921.3469444446</v>
      </c>
      <c r="AK17" s="44">
        <f>AJ17+INDEX('Dep LinkIn'!$D$5:$AN$17,MATCH('AccDep LinkIn'!$A17,'Dep LinkIn'!$A$5:$A$17,0),MATCH('AccDep LinkIn'!AK$2,'Dep LinkIn'!$D$2:$AN$2,0))+AK22</f>
        <v>1393624.1022222224</v>
      </c>
      <c r="AL17" s="44">
        <f>AK17+INDEX('Dep LinkIn'!$D$5:$AN$17,MATCH('AccDep LinkIn'!$A17,'Dep LinkIn'!$A$5:$A$17,0),MATCH('AccDep LinkIn'!AL$2,'Dep LinkIn'!$D$2:$AN$2,0))+AL22</f>
        <v>1400326.8575000002</v>
      </c>
      <c r="AM17" s="44">
        <f>AL17+INDEX('Dep LinkIn'!$D$5:$AN$17,MATCH('AccDep LinkIn'!$A17,'Dep LinkIn'!$A$5:$A$17,0),MATCH('AccDep LinkIn'!AM$2,'Dep LinkIn'!$D$2:$AN$2,0))+AM22</f>
        <v>1407029.6127777779</v>
      </c>
    </row>
    <row r="22" spans="1:39" x14ac:dyDescent="0.45">
      <c r="B22" t="s">
        <v>141</v>
      </c>
      <c r="M22">
        <v>0</v>
      </c>
      <c r="P22">
        <v>1245804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529D0-25B8-49CC-AC9C-687345FABBA4}">
  <dimension ref="A1:AN17"/>
  <sheetViews>
    <sheetView workbookViewId="0">
      <selection activeCell="G23" sqref="G23"/>
    </sheetView>
  </sheetViews>
  <sheetFormatPr defaultRowHeight="14.25" x14ac:dyDescent="0.45"/>
  <cols>
    <col min="1" max="1" width="6.86328125" bestFit="1" customWidth="1"/>
    <col min="2" max="2" width="25.3984375" bestFit="1" customWidth="1"/>
    <col min="3" max="4" width="8" customWidth="1"/>
    <col min="5" max="5" width="8" bestFit="1" customWidth="1"/>
  </cols>
  <sheetData>
    <row r="1" spans="1:40" ht="28.5" x14ac:dyDescent="0.45">
      <c r="A1" s="5" t="s">
        <v>16</v>
      </c>
      <c r="B1" s="30"/>
      <c r="C1" s="35"/>
      <c r="D1" s="35"/>
      <c r="E1" s="35"/>
    </row>
    <row r="2" spans="1:40" ht="14.65" thickBot="1" x14ac:dyDescent="0.5">
      <c r="A2" s="8" t="s">
        <v>3</v>
      </c>
      <c r="B2" s="8" t="s">
        <v>21</v>
      </c>
      <c r="C2" s="38" t="s">
        <v>71</v>
      </c>
      <c r="D2" s="38">
        <v>43830</v>
      </c>
      <c r="E2" s="38">
        <v>43861</v>
      </c>
      <c r="F2" s="38">
        <f t="shared" ref="F2:AF2" si="0">EOMONTH(E2,1)</f>
        <v>43890</v>
      </c>
      <c r="G2" s="38">
        <f t="shared" si="0"/>
        <v>43921</v>
      </c>
      <c r="H2" s="38">
        <f t="shared" si="0"/>
        <v>43951</v>
      </c>
      <c r="I2" s="38">
        <f t="shared" si="0"/>
        <v>43982</v>
      </c>
      <c r="J2" s="45">
        <f t="shared" si="0"/>
        <v>44012</v>
      </c>
      <c r="K2" s="38">
        <f t="shared" si="0"/>
        <v>44043</v>
      </c>
      <c r="L2" s="38">
        <f t="shared" si="0"/>
        <v>44074</v>
      </c>
      <c r="M2" s="106">
        <f t="shared" si="0"/>
        <v>44104</v>
      </c>
      <c r="N2" s="38">
        <f t="shared" si="0"/>
        <v>44135</v>
      </c>
      <c r="O2" s="38">
        <f t="shared" si="0"/>
        <v>44165</v>
      </c>
      <c r="P2" s="38">
        <f t="shared" si="0"/>
        <v>44196</v>
      </c>
      <c r="Q2" s="38">
        <f t="shared" si="0"/>
        <v>44227</v>
      </c>
      <c r="R2" s="38">
        <f t="shared" si="0"/>
        <v>44255</v>
      </c>
      <c r="S2" s="38">
        <f t="shared" si="0"/>
        <v>44286</v>
      </c>
      <c r="T2" s="38">
        <f t="shared" si="0"/>
        <v>44316</v>
      </c>
      <c r="U2" s="38">
        <f t="shared" si="0"/>
        <v>44347</v>
      </c>
      <c r="V2" s="38">
        <f t="shared" si="0"/>
        <v>44377</v>
      </c>
      <c r="W2" s="38">
        <f t="shared" si="0"/>
        <v>44408</v>
      </c>
      <c r="X2" s="38">
        <f t="shared" si="0"/>
        <v>44439</v>
      </c>
      <c r="Y2" s="38">
        <f t="shared" si="0"/>
        <v>44469</v>
      </c>
      <c r="Z2" s="38">
        <f t="shared" si="0"/>
        <v>44500</v>
      </c>
      <c r="AA2" s="38">
        <f t="shared" si="0"/>
        <v>44530</v>
      </c>
      <c r="AB2" s="38">
        <f t="shared" si="0"/>
        <v>44561</v>
      </c>
      <c r="AC2" s="38">
        <f t="shared" si="0"/>
        <v>44592</v>
      </c>
      <c r="AD2" s="38">
        <f t="shared" si="0"/>
        <v>44620</v>
      </c>
      <c r="AE2" s="38">
        <f t="shared" si="0"/>
        <v>44651</v>
      </c>
      <c r="AF2" s="38">
        <f t="shared" si="0"/>
        <v>44681</v>
      </c>
      <c r="AG2" s="38">
        <f t="shared" ref="AG2" si="1">EOMONTH(AF2,1)</f>
        <v>44712</v>
      </c>
      <c r="AH2" s="38">
        <f t="shared" ref="AH2" si="2">EOMONTH(AG2,1)</f>
        <v>44742</v>
      </c>
      <c r="AI2" s="38">
        <f t="shared" ref="AI2" si="3">EOMONTH(AH2,1)</f>
        <v>44773</v>
      </c>
      <c r="AJ2" s="38">
        <f t="shared" ref="AJ2" si="4">EOMONTH(AI2,1)</f>
        <v>44804</v>
      </c>
      <c r="AK2" s="38">
        <f t="shared" ref="AK2" si="5">EOMONTH(AJ2,1)</f>
        <v>44834</v>
      </c>
      <c r="AL2" s="38">
        <f t="shared" ref="AL2" si="6">EOMONTH(AK2,1)</f>
        <v>44865</v>
      </c>
      <c r="AM2" s="38">
        <f t="shared" ref="AM2:AN2" si="7">EOMONTH(AL2,1)</f>
        <v>44895</v>
      </c>
      <c r="AN2" s="38">
        <f t="shared" si="7"/>
        <v>44926</v>
      </c>
    </row>
    <row r="3" spans="1:40" x14ac:dyDescent="0.45">
      <c r="A3" s="11"/>
      <c r="B3" s="12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</row>
    <row r="4" spans="1:40" x14ac:dyDescent="0.45">
      <c r="A4" s="11"/>
      <c r="B4" s="11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</row>
    <row r="5" spans="1:40" x14ac:dyDescent="0.45">
      <c r="A5" s="23">
        <v>303</v>
      </c>
      <c r="B5" s="23" t="s">
        <v>22</v>
      </c>
      <c r="C5" s="108">
        <f>'Dep - BY B3.1'!I14</f>
        <v>0</v>
      </c>
      <c r="D5" s="37"/>
      <c r="E5" s="37"/>
      <c r="F5" s="37"/>
      <c r="G5" s="37"/>
      <c r="H5" s="37"/>
      <c r="I5" s="37"/>
      <c r="J5" s="37"/>
      <c r="K5" s="44">
        <f>IF('AccDep LinkIn'!I5&gt;='UPIS LinkIn'!I5,0,$C5/12*INDEX('UPIS LinkIn'!$C$5:$AM$16,MATCH('Dep LinkIn'!$A5,'UPIS LinkIn'!$A$5:$A$16,0),MATCH('Dep LinkIn'!K$2,'UPIS LinkIn'!$C$2:$AM$2,0)))</f>
        <v>0</v>
      </c>
      <c r="L5" s="44">
        <f>IF('AccDep LinkIn'!J5&gt;='UPIS LinkIn'!J5,0,$C5/12*INDEX('UPIS LinkIn'!$C$5:$AM$16,MATCH('Dep LinkIn'!$A5,'UPIS LinkIn'!$A$5:$A$16,0),MATCH('Dep LinkIn'!L$2,'UPIS LinkIn'!$C$2:$AM$2,0)))</f>
        <v>0</v>
      </c>
      <c r="M5" s="44">
        <f>IF('AccDep LinkIn'!K5&gt;='UPIS LinkIn'!K5,0,$C5/12*INDEX('UPIS LinkIn'!$C$5:$AM$16,MATCH('Dep LinkIn'!$A5,'UPIS LinkIn'!$A$5:$A$16,0),MATCH('Dep LinkIn'!M$2,'UPIS LinkIn'!$C$2:$AM$2,0)))</f>
        <v>0</v>
      </c>
      <c r="N5" s="44">
        <f>IF('AccDep LinkIn'!L5&gt;='UPIS LinkIn'!L5,0,$C5/12*INDEX('UPIS LinkIn'!$C$5:$AM$16,MATCH('Dep LinkIn'!$A5,'UPIS LinkIn'!$A$5:$A$16,0),MATCH('Dep LinkIn'!N$2,'UPIS LinkIn'!$C$2:$AM$2,0)))</f>
        <v>0</v>
      </c>
      <c r="O5" s="44">
        <f>IF('AccDep LinkIn'!M5&gt;='UPIS LinkIn'!M5,0,$C5/12*INDEX('UPIS LinkIn'!$C$5:$AM$16,MATCH('Dep LinkIn'!$A5,'UPIS LinkIn'!$A$5:$A$16,0),MATCH('Dep LinkIn'!O$2,'UPIS LinkIn'!$C$2:$AM$2,0)))</f>
        <v>0</v>
      </c>
      <c r="P5" s="44">
        <f>IF('AccDep LinkIn'!N5&gt;='UPIS LinkIn'!N5,0,$C5/12*INDEX('UPIS LinkIn'!$C$5:$AM$16,MATCH('Dep LinkIn'!$A5,'UPIS LinkIn'!$A$5:$A$16,0),MATCH('Dep LinkIn'!P$2,'UPIS LinkIn'!$C$2:$AM$2,0)))</f>
        <v>0</v>
      </c>
      <c r="Q5" s="44">
        <f>IF('AccDep LinkIn'!O5&gt;='UPIS LinkIn'!O5,0,$C5/12*INDEX('UPIS LinkIn'!$C$5:$AM$16,MATCH('Dep LinkIn'!$A5,'UPIS LinkIn'!$A$5:$A$16,0),MATCH('Dep LinkIn'!Q$2,'UPIS LinkIn'!$C$2:$AM$2,0)))</f>
        <v>0</v>
      </c>
      <c r="R5" s="44">
        <f>IF('AccDep LinkIn'!P5&gt;='UPIS LinkIn'!P5,0,$C5/12*INDEX('UPIS LinkIn'!$C$5:$AM$16,MATCH('Dep LinkIn'!$A5,'UPIS LinkIn'!$A$5:$A$16,0),MATCH('Dep LinkIn'!R$2,'UPIS LinkIn'!$C$2:$AM$2,0)))</f>
        <v>0</v>
      </c>
      <c r="S5" s="44">
        <f>IF('AccDep LinkIn'!Q5&gt;='UPIS LinkIn'!Q5,0,$C5/12*INDEX('UPIS LinkIn'!$C$5:$AM$16,MATCH('Dep LinkIn'!$A5,'UPIS LinkIn'!$A$5:$A$16,0),MATCH('Dep LinkIn'!S$2,'UPIS LinkIn'!$C$2:$AM$2,0)))</f>
        <v>0</v>
      </c>
      <c r="T5" s="44">
        <f>IF('AccDep LinkIn'!R5&gt;='UPIS LinkIn'!R5,0,$C5/12*INDEX('UPIS LinkIn'!$C$5:$AM$16,MATCH('Dep LinkIn'!$A5,'UPIS LinkIn'!$A$5:$A$16,0),MATCH('Dep LinkIn'!T$2,'UPIS LinkIn'!$C$2:$AM$2,0)))</f>
        <v>0</v>
      </c>
      <c r="U5" s="44">
        <f>IF('AccDep LinkIn'!S5&gt;='UPIS LinkIn'!S5,0,$C5/12*INDEX('UPIS LinkIn'!$C$5:$AM$16,MATCH('Dep LinkIn'!$A5,'UPIS LinkIn'!$A$5:$A$16,0),MATCH('Dep LinkIn'!U$2,'UPIS LinkIn'!$C$2:$AM$2,0)))</f>
        <v>0</v>
      </c>
      <c r="V5" s="44">
        <f>IF('AccDep LinkIn'!T5&gt;='UPIS LinkIn'!T5,0,$C5/12*INDEX('UPIS LinkIn'!$C$5:$AM$16,MATCH('Dep LinkIn'!$A5,'UPIS LinkIn'!$A$5:$A$16,0),MATCH('Dep LinkIn'!V$2,'UPIS LinkIn'!$C$2:$AM$2,0)))</f>
        <v>0</v>
      </c>
      <c r="W5" s="44">
        <f>IF('AccDep LinkIn'!U5&gt;='UPIS LinkIn'!U5,0,$C5/12*INDEX('UPIS LinkIn'!$C$5:$AM$16,MATCH('Dep LinkIn'!$A5,'UPIS LinkIn'!$A$5:$A$16,0),MATCH('Dep LinkIn'!W$2,'UPIS LinkIn'!$C$2:$AM$2,0)))</f>
        <v>0</v>
      </c>
      <c r="X5" s="44">
        <f>IF('AccDep LinkIn'!V5&gt;='UPIS LinkIn'!V5,0,$C5/12*INDEX('UPIS LinkIn'!$C$5:$AM$16,MATCH('Dep LinkIn'!$A5,'UPIS LinkIn'!$A$5:$A$16,0),MATCH('Dep LinkIn'!X$2,'UPIS LinkIn'!$C$2:$AM$2,0)))</f>
        <v>0</v>
      </c>
      <c r="Y5" s="44">
        <f>IF('AccDep LinkIn'!W5&gt;='UPIS LinkIn'!W5,0,$C5/12*INDEX('UPIS LinkIn'!$C$5:$AM$16,MATCH('Dep LinkIn'!$A5,'UPIS LinkIn'!$A$5:$A$16,0),MATCH('Dep LinkIn'!Y$2,'UPIS LinkIn'!$C$2:$AM$2,0)))</f>
        <v>0</v>
      </c>
      <c r="Z5" s="44">
        <f>IF('AccDep LinkIn'!X5&gt;='UPIS LinkIn'!X5,0,$C5/12*INDEX('UPIS LinkIn'!$C$5:$AM$16,MATCH('Dep LinkIn'!$A5,'UPIS LinkIn'!$A$5:$A$16,0),MATCH('Dep LinkIn'!Z$2,'UPIS LinkIn'!$C$2:$AM$2,0)))</f>
        <v>0</v>
      </c>
      <c r="AA5" s="44">
        <f>IF('AccDep LinkIn'!Y5&gt;='UPIS LinkIn'!Y5,0,$C5/12*INDEX('UPIS LinkIn'!$C$5:$AM$16,MATCH('Dep LinkIn'!$A5,'UPIS LinkIn'!$A$5:$A$16,0),MATCH('Dep LinkIn'!AA$2,'UPIS LinkIn'!$C$2:$AM$2,0)))</f>
        <v>0</v>
      </c>
      <c r="AB5" s="44">
        <f>IF('AccDep LinkIn'!Z5&gt;='UPIS LinkIn'!Z5,0,$C5/12*INDEX('UPIS LinkIn'!$C$5:$AM$16,MATCH('Dep LinkIn'!$A5,'UPIS LinkIn'!$A$5:$A$16,0),MATCH('Dep LinkIn'!AB$2,'UPIS LinkIn'!$C$2:$AM$2,0)))</f>
        <v>0</v>
      </c>
      <c r="AC5" s="44">
        <f>IF('AccDep LinkIn'!AA5&gt;='UPIS LinkIn'!AA5,0,$C5/12*INDEX('UPIS LinkIn'!$C$5:$AM$16,MATCH('Dep LinkIn'!$A5,'UPIS LinkIn'!$A$5:$A$16,0),MATCH('Dep LinkIn'!AC$2,'UPIS LinkIn'!$C$2:$AM$2,0)))</f>
        <v>0</v>
      </c>
      <c r="AD5" s="44">
        <f>IF('AccDep LinkIn'!AB5&gt;='UPIS LinkIn'!AB5,0,$C5/12*INDEX('UPIS LinkIn'!$C$5:$AM$16,MATCH('Dep LinkIn'!$A5,'UPIS LinkIn'!$A$5:$A$16,0),MATCH('Dep LinkIn'!AD$2,'UPIS LinkIn'!$C$2:$AM$2,0)))</f>
        <v>0</v>
      </c>
      <c r="AE5" s="44">
        <f>IF('AccDep LinkIn'!AC5&gt;='UPIS LinkIn'!AC5,0,$C5/12*INDEX('UPIS LinkIn'!$C$5:$AM$16,MATCH('Dep LinkIn'!$A5,'UPIS LinkIn'!$A$5:$A$16,0),MATCH('Dep LinkIn'!AE$2,'UPIS LinkIn'!$C$2:$AM$2,0)))</f>
        <v>0</v>
      </c>
      <c r="AF5" s="44">
        <f>IF('AccDep LinkIn'!AD5&gt;='UPIS LinkIn'!AD5,0,$C5/12*INDEX('UPIS LinkIn'!$C$5:$AM$16,MATCH('Dep LinkIn'!$A5,'UPIS LinkIn'!$A$5:$A$16,0),MATCH('Dep LinkIn'!AF$2,'UPIS LinkIn'!$C$2:$AM$2,0)))</f>
        <v>0</v>
      </c>
      <c r="AG5" s="44">
        <f>IF('AccDep LinkIn'!AE5&gt;='UPIS LinkIn'!AE5,0,$C5/12*INDEX('UPIS LinkIn'!$C$5:$AM$16,MATCH('Dep LinkIn'!$A5,'UPIS LinkIn'!$A$5:$A$16,0),MATCH('Dep LinkIn'!AG$2,'UPIS LinkIn'!$C$2:$AM$2,0)))</f>
        <v>0</v>
      </c>
      <c r="AH5" s="44">
        <f>IF('AccDep LinkIn'!AF5&gt;='UPIS LinkIn'!AF5,0,$C5/12*INDEX('UPIS LinkIn'!$C$5:$AM$16,MATCH('Dep LinkIn'!$A5,'UPIS LinkIn'!$A$5:$A$16,0),MATCH('Dep LinkIn'!AH$2,'UPIS LinkIn'!$C$2:$AM$2,0)))</f>
        <v>0</v>
      </c>
      <c r="AI5" s="44">
        <f>IF('AccDep LinkIn'!AG5&gt;='UPIS LinkIn'!AG5,0,$C5/12*INDEX('UPIS LinkIn'!$C$5:$AM$16,MATCH('Dep LinkIn'!$A5,'UPIS LinkIn'!$A$5:$A$16,0),MATCH('Dep LinkIn'!AI$2,'UPIS LinkIn'!$C$2:$AM$2,0)))</f>
        <v>0</v>
      </c>
      <c r="AJ5" s="44">
        <f>IF('AccDep LinkIn'!AH5&gt;='UPIS LinkIn'!AH5,0,$C5/12*INDEX('UPIS LinkIn'!$C$5:$AM$16,MATCH('Dep LinkIn'!$A5,'UPIS LinkIn'!$A$5:$A$16,0),MATCH('Dep LinkIn'!AJ$2,'UPIS LinkIn'!$C$2:$AM$2,0)))</f>
        <v>0</v>
      </c>
      <c r="AK5" s="44">
        <f>IF('AccDep LinkIn'!AI5&gt;='UPIS LinkIn'!AI5,0,$C5/12*INDEX('UPIS LinkIn'!$C$5:$AM$16,MATCH('Dep LinkIn'!$A5,'UPIS LinkIn'!$A$5:$A$16,0),MATCH('Dep LinkIn'!AK$2,'UPIS LinkIn'!$C$2:$AM$2,0)))</f>
        <v>0</v>
      </c>
      <c r="AL5" s="44">
        <f>IF('AccDep LinkIn'!AJ5&gt;='UPIS LinkIn'!AJ5,0,$C5/12*INDEX('UPIS LinkIn'!$C$5:$AM$16,MATCH('Dep LinkIn'!$A5,'UPIS LinkIn'!$A$5:$A$16,0),MATCH('Dep LinkIn'!AL$2,'UPIS LinkIn'!$C$2:$AM$2,0)))</f>
        <v>0</v>
      </c>
      <c r="AM5" s="44">
        <f>IF('AccDep LinkIn'!AK5&gt;='UPIS LinkIn'!AK5,0,$C5/12*INDEX('UPIS LinkIn'!$C$5:$AM$16,MATCH('Dep LinkIn'!$A5,'UPIS LinkIn'!$A$5:$A$16,0),MATCH('Dep LinkIn'!AM$2,'UPIS LinkIn'!$C$2:$AM$2,0)))</f>
        <v>0</v>
      </c>
      <c r="AN5" s="44">
        <f>IF('AccDep LinkIn'!AL5&gt;='UPIS LinkIn'!AL5,0,$C5/12*INDEX('UPIS LinkIn'!$C$5:$AM$16,MATCH('Dep LinkIn'!$A5,'UPIS LinkIn'!$A$5:$A$16,0),MATCH('Dep LinkIn'!AN$2,'UPIS LinkIn'!$C$2:$AM$2,0)))</f>
        <v>0</v>
      </c>
    </row>
    <row r="6" spans="1:40" x14ac:dyDescent="0.45">
      <c r="A6" s="23">
        <v>310.10000000000002</v>
      </c>
      <c r="B6" s="23" t="s">
        <v>23</v>
      </c>
      <c r="C6" s="46">
        <f>'Dep - BY B3.1'!I15</f>
        <v>0</v>
      </c>
      <c r="D6" s="37"/>
      <c r="E6" s="37"/>
      <c r="F6" s="37"/>
      <c r="G6" s="37"/>
      <c r="H6" s="37"/>
      <c r="I6" s="37"/>
      <c r="J6" s="37"/>
      <c r="K6" s="44">
        <f>IF('AccDep LinkIn'!I6&gt;='UPIS LinkIn'!I6,0,$C6/12*INDEX('UPIS LinkIn'!$C$5:$AM$16,MATCH('Dep LinkIn'!$A6,'UPIS LinkIn'!$A$5:$A$16,0),MATCH('Dep LinkIn'!K$2,'UPIS LinkIn'!$C$2:$AM$2,0)))</f>
        <v>0</v>
      </c>
      <c r="L6" s="44">
        <f>IF('AccDep LinkIn'!J6&gt;='UPIS LinkIn'!J6,0,$C6/12*INDEX('UPIS LinkIn'!$C$5:$AM$16,MATCH('Dep LinkIn'!$A6,'UPIS LinkIn'!$A$5:$A$16,0),MATCH('Dep LinkIn'!L$2,'UPIS LinkIn'!$C$2:$AM$2,0)))</f>
        <v>0</v>
      </c>
      <c r="M6" s="44">
        <f>IF('AccDep LinkIn'!K6&gt;='UPIS LinkIn'!K6,0,$C6/12*INDEX('UPIS LinkIn'!$C$5:$AM$16,MATCH('Dep LinkIn'!$A6,'UPIS LinkIn'!$A$5:$A$16,0),MATCH('Dep LinkIn'!M$2,'UPIS LinkIn'!$C$2:$AM$2,0)))</f>
        <v>0</v>
      </c>
      <c r="N6" s="44">
        <f>IF('AccDep LinkIn'!L6&gt;='UPIS LinkIn'!L6,0,$C6/12*INDEX('UPIS LinkIn'!$C$5:$AM$16,MATCH('Dep LinkIn'!$A6,'UPIS LinkIn'!$A$5:$A$16,0),MATCH('Dep LinkIn'!N$2,'UPIS LinkIn'!$C$2:$AM$2,0)))</f>
        <v>0</v>
      </c>
      <c r="O6" s="44">
        <f>IF('AccDep LinkIn'!M6&gt;='UPIS LinkIn'!M6,0,$C6/12*INDEX('UPIS LinkIn'!$C$5:$AM$16,MATCH('Dep LinkIn'!$A6,'UPIS LinkIn'!$A$5:$A$16,0),MATCH('Dep LinkIn'!O$2,'UPIS LinkIn'!$C$2:$AM$2,0)))</f>
        <v>0</v>
      </c>
      <c r="P6" s="44">
        <f>IF('AccDep LinkIn'!N6&gt;='UPIS LinkIn'!N6,0,$C6/12*INDEX('UPIS LinkIn'!$C$5:$AM$16,MATCH('Dep LinkIn'!$A6,'UPIS LinkIn'!$A$5:$A$16,0),MATCH('Dep LinkIn'!P$2,'UPIS LinkIn'!$C$2:$AM$2,0)))</f>
        <v>0</v>
      </c>
      <c r="Q6" s="44">
        <f>IF('AccDep LinkIn'!O6&gt;='UPIS LinkIn'!O6,0,$C6/12*INDEX('UPIS LinkIn'!$C$5:$AM$16,MATCH('Dep LinkIn'!$A6,'UPIS LinkIn'!$A$5:$A$16,0),MATCH('Dep LinkIn'!Q$2,'UPIS LinkIn'!$C$2:$AM$2,0)))</f>
        <v>0</v>
      </c>
      <c r="R6" s="44">
        <f>IF('AccDep LinkIn'!P6&gt;='UPIS LinkIn'!P6,0,$C6/12*INDEX('UPIS LinkIn'!$C$5:$AM$16,MATCH('Dep LinkIn'!$A6,'UPIS LinkIn'!$A$5:$A$16,0),MATCH('Dep LinkIn'!R$2,'UPIS LinkIn'!$C$2:$AM$2,0)))</f>
        <v>0</v>
      </c>
      <c r="S6" s="44">
        <f>IF('AccDep LinkIn'!Q6&gt;='UPIS LinkIn'!Q6,0,$C6/12*INDEX('UPIS LinkIn'!$C$5:$AM$16,MATCH('Dep LinkIn'!$A6,'UPIS LinkIn'!$A$5:$A$16,0),MATCH('Dep LinkIn'!S$2,'UPIS LinkIn'!$C$2:$AM$2,0)))</f>
        <v>0</v>
      </c>
      <c r="T6" s="44">
        <f>IF('AccDep LinkIn'!R6&gt;='UPIS LinkIn'!R6,0,$C6/12*INDEX('UPIS LinkIn'!$C$5:$AM$16,MATCH('Dep LinkIn'!$A6,'UPIS LinkIn'!$A$5:$A$16,0),MATCH('Dep LinkIn'!T$2,'UPIS LinkIn'!$C$2:$AM$2,0)))</f>
        <v>0</v>
      </c>
      <c r="U6" s="44">
        <f>IF('AccDep LinkIn'!S6&gt;='UPIS LinkIn'!S6,0,$C6/12*INDEX('UPIS LinkIn'!$C$5:$AM$16,MATCH('Dep LinkIn'!$A6,'UPIS LinkIn'!$A$5:$A$16,0),MATCH('Dep LinkIn'!U$2,'UPIS LinkIn'!$C$2:$AM$2,0)))</f>
        <v>0</v>
      </c>
      <c r="V6" s="44">
        <f>IF('AccDep LinkIn'!T6&gt;='UPIS LinkIn'!T6,0,$C6/12*INDEX('UPIS LinkIn'!$C$5:$AM$16,MATCH('Dep LinkIn'!$A6,'UPIS LinkIn'!$A$5:$A$16,0),MATCH('Dep LinkIn'!V$2,'UPIS LinkIn'!$C$2:$AM$2,0)))</f>
        <v>0</v>
      </c>
      <c r="W6" s="44">
        <f>IF('AccDep LinkIn'!U6&gt;='UPIS LinkIn'!U6,0,$C6/12*INDEX('UPIS LinkIn'!$C$5:$AM$16,MATCH('Dep LinkIn'!$A6,'UPIS LinkIn'!$A$5:$A$16,0),MATCH('Dep LinkIn'!W$2,'UPIS LinkIn'!$C$2:$AM$2,0)))</f>
        <v>0</v>
      </c>
      <c r="X6" s="44">
        <f>IF('AccDep LinkIn'!V6&gt;='UPIS LinkIn'!V6,0,$C6/12*INDEX('UPIS LinkIn'!$C$5:$AM$16,MATCH('Dep LinkIn'!$A6,'UPIS LinkIn'!$A$5:$A$16,0),MATCH('Dep LinkIn'!X$2,'UPIS LinkIn'!$C$2:$AM$2,0)))</f>
        <v>0</v>
      </c>
      <c r="Y6" s="44">
        <f>IF('AccDep LinkIn'!W6&gt;='UPIS LinkIn'!W6,0,$C6/12*INDEX('UPIS LinkIn'!$C$5:$AM$16,MATCH('Dep LinkIn'!$A6,'UPIS LinkIn'!$A$5:$A$16,0),MATCH('Dep LinkIn'!Y$2,'UPIS LinkIn'!$C$2:$AM$2,0)))</f>
        <v>0</v>
      </c>
      <c r="Z6" s="44">
        <f>IF('AccDep LinkIn'!X6&gt;='UPIS LinkIn'!X6,0,$C6/12*INDEX('UPIS LinkIn'!$C$5:$AM$16,MATCH('Dep LinkIn'!$A6,'UPIS LinkIn'!$A$5:$A$16,0),MATCH('Dep LinkIn'!Z$2,'UPIS LinkIn'!$C$2:$AM$2,0)))</f>
        <v>0</v>
      </c>
      <c r="AA6" s="44">
        <f>IF('AccDep LinkIn'!Y6&gt;='UPIS LinkIn'!Y6,0,$C6/12*INDEX('UPIS LinkIn'!$C$5:$AM$16,MATCH('Dep LinkIn'!$A6,'UPIS LinkIn'!$A$5:$A$16,0),MATCH('Dep LinkIn'!AA$2,'UPIS LinkIn'!$C$2:$AM$2,0)))</f>
        <v>0</v>
      </c>
      <c r="AB6" s="44">
        <f>IF('AccDep LinkIn'!Z6&gt;='UPIS LinkIn'!Z6,0,$C6/12*INDEX('UPIS LinkIn'!$C$5:$AM$16,MATCH('Dep LinkIn'!$A6,'UPIS LinkIn'!$A$5:$A$16,0),MATCH('Dep LinkIn'!AB$2,'UPIS LinkIn'!$C$2:$AM$2,0)))</f>
        <v>0</v>
      </c>
      <c r="AC6" s="44">
        <f>IF('AccDep LinkIn'!AA6&gt;='UPIS LinkIn'!AA6,0,$C6/12*INDEX('UPIS LinkIn'!$C$5:$AM$16,MATCH('Dep LinkIn'!$A6,'UPIS LinkIn'!$A$5:$A$16,0),MATCH('Dep LinkIn'!AC$2,'UPIS LinkIn'!$C$2:$AM$2,0)))</f>
        <v>0</v>
      </c>
      <c r="AD6" s="44">
        <f>IF('AccDep LinkIn'!AB6&gt;='UPIS LinkIn'!AB6,0,$C6/12*INDEX('UPIS LinkIn'!$C$5:$AM$16,MATCH('Dep LinkIn'!$A6,'UPIS LinkIn'!$A$5:$A$16,0),MATCH('Dep LinkIn'!AD$2,'UPIS LinkIn'!$C$2:$AM$2,0)))</f>
        <v>0</v>
      </c>
      <c r="AE6" s="44">
        <f>IF('AccDep LinkIn'!AC6&gt;='UPIS LinkIn'!AC6,0,$C6/12*INDEX('UPIS LinkIn'!$C$5:$AM$16,MATCH('Dep LinkIn'!$A6,'UPIS LinkIn'!$A$5:$A$16,0),MATCH('Dep LinkIn'!AE$2,'UPIS LinkIn'!$C$2:$AM$2,0)))</f>
        <v>0</v>
      </c>
      <c r="AF6" s="44">
        <f>IF('AccDep LinkIn'!AD6&gt;='UPIS LinkIn'!AD6,0,$C6/12*INDEX('UPIS LinkIn'!$C$5:$AM$16,MATCH('Dep LinkIn'!$A6,'UPIS LinkIn'!$A$5:$A$16,0),MATCH('Dep LinkIn'!AF$2,'UPIS LinkIn'!$C$2:$AM$2,0)))</f>
        <v>0</v>
      </c>
      <c r="AG6" s="44">
        <f>IF('AccDep LinkIn'!AE6&gt;='UPIS LinkIn'!AE6,0,$C6/12*INDEX('UPIS LinkIn'!$C$5:$AM$16,MATCH('Dep LinkIn'!$A6,'UPIS LinkIn'!$A$5:$A$16,0),MATCH('Dep LinkIn'!AG$2,'UPIS LinkIn'!$C$2:$AM$2,0)))</f>
        <v>0</v>
      </c>
      <c r="AH6" s="44">
        <f>IF('AccDep LinkIn'!AF6&gt;='UPIS LinkIn'!AF6,0,$C6/12*INDEX('UPIS LinkIn'!$C$5:$AM$16,MATCH('Dep LinkIn'!$A6,'UPIS LinkIn'!$A$5:$A$16,0),MATCH('Dep LinkIn'!AH$2,'UPIS LinkIn'!$C$2:$AM$2,0)))</f>
        <v>0</v>
      </c>
      <c r="AI6" s="44">
        <f>IF('AccDep LinkIn'!AG6&gt;='UPIS LinkIn'!AG6,0,$C6/12*INDEX('UPIS LinkIn'!$C$5:$AM$16,MATCH('Dep LinkIn'!$A6,'UPIS LinkIn'!$A$5:$A$16,0),MATCH('Dep LinkIn'!AI$2,'UPIS LinkIn'!$C$2:$AM$2,0)))</f>
        <v>0</v>
      </c>
      <c r="AJ6" s="44">
        <f>IF('AccDep LinkIn'!AH6&gt;='UPIS LinkIn'!AH6,0,$C6/12*INDEX('UPIS LinkIn'!$C$5:$AM$16,MATCH('Dep LinkIn'!$A6,'UPIS LinkIn'!$A$5:$A$16,0),MATCH('Dep LinkIn'!AJ$2,'UPIS LinkIn'!$C$2:$AM$2,0)))</f>
        <v>0</v>
      </c>
      <c r="AK6" s="44">
        <f>IF('AccDep LinkIn'!AI6&gt;='UPIS LinkIn'!AI6,0,$C6/12*INDEX('UPIS LinkIn'!$C$5:$AM$16,MATCH('Dep LinkIn'!$A6,'UPIS LinkIn'!$A$5:$A$16,0),MATCH('Dep LinkIn'!AK$2,'UPIS LinkIn'!$C$2:$AM$2,0)))</f>
        <v>0</v>
      </c>
      <c r="AL6" s="44">
        <f>IF('AccDep LinkIn'!AJ6&gt;='UPIS LinkIn'!AJ6,0,$C6/12*INDEX('UPIS LinkIn'!$C$5:$AM$16,MATCH('Dep LinkIn'!$A6,'UPIS LinkIn'!$A$5:$A$16,0),MATCH('Dep LinkIn'!AL$2,'UPIS LinkIn'!$C$2:$AM$2,0)))</f>
        <v>0</v>
      </c>
      <c r="AM6" s="44">
        <f>IF('AccDep LinkIn'!AK6&gt;='UPIS LinkIn'!AK6,0,$C6/12*INDEX('UPIS LinkIn'!$C$5:$AM$16,MATCH('Dep LinkIn'!$A6,'UPIS LinkIn'!$A$5:$A$16,0),MATCH('Dep LinkIn'!AM$2,'UPIS LinkIn'!$C$2:$AM$2,0)))</f>
        <v>0</v>
      </c>
      <c r="AN6" s="44">
        <f>IF('AccDep LinkIn'!AL6&gt;='UPIS LinkIn'!AL6,0,$C6/12*INDEX('UPIS LinkIn'!$C$5:$AM$16,MATCH('Dep LinkIn'!$A6,'UPIS LinkIn'!$A$5:$A$16,0),MATCH('Dep LinkIn'!AN$2,'UPIS LinkIn'!$C$2:$AM$2,0)))</f>
        <v>0</v>
      </c>
    </row>
    <row r="7" spans="1:40" x14ac:dyDescent="0.45">
      <c r="A7" s="23">
        <v>311</v>
      </c>
      <c r="B7" s="23" t="s">
        <v>24</v>
      </c>
      <c r="C7" s="46">
        <f>'Dep - BY B3.1'!I16</f>
        <v>3.6666666666666667E-2</v>
      </c>
      <c r="D7" s="43">
        <v>67.003331508516837</v>
      </c>
      <c r="E7" s="43">
        <v>67.003331508516837</v>
      </c>
      <c r="F7" s="43">
        <v>67.003331508516837</v>
      </c>
      <c r="G7" s="43">
        <v>67.003331508516837</v>
      </c>
      <c r="H7" s="43">
        <v>67.003331508516837</v>
      </c>
      <c r="I7" s="43">
        <v>67.003331508516837</v>
      </c>
      <c r="J7" s="43">
        <v>67.003331508516837</v>
      </c>
      <c r="K7" s="44">
        <f>IF('AccDep LinkIn'!I7&gt;='UPIS LinkIn'!I7,0,$C7/12*INDEX('UPIS LinkIn'!$C$5:$AM$16,MATCH('Dep LinkIn'!$A7,'UPIS LinkIn'!$A$5:$A$16,0),MATCH('Dep LinkIn'!K$2,'UPIS LinkIn'!$C$2:$AM$2,0)))</f>
        <v>577.14622777777777</v>
      </c>
      <c r="L7" s="44">
        <f>IF('AccDep LinkIn'!J7&gt;='UPIS LinkIn'!J7,0,$C7/12*INDEX('UPIS LinkIn'!$C$5:$AM$16,MATCH('Dep LinkIn'!$A7,'UPIS LinkIn'!$A$5:$A$16,0),MATCH('Dep LinkIn'!L$2,'UPIS LinkIn'!$C$2:$AM$2,0)))</f>
        <v>577.14622777777777</v>
      </c>
      <c r="M7" s="44">
        <f>IF('AccDep LinkIn'!K7&gt;='UPIS LinkIn'!K7,0,$C7/12*INDEX('UPIS LinkIn'!$C$5:$AM$16,MATCH('Dep LinkIn'!$A7,'UPIS LinkIn'!$A$5:$A$16,0),MATCH('Dep LinkIn'!M$2,'UPIS LinkIn'!$C$2:$AM$2,0)))</f>
        <v>633.75843055555561</v>
      </c>
      <c r="N7" s="44">
        <f>IF('AccDep LinkIn'!L7&gt;='UPIS LinkIn'!L7,0,$C7/12*INDEX('UPIS LinkIn'!$C$5:$AM$16,MATCH('Dep LinkIn'!$A7,'UPIS LinkIn'!$A$5:$A$16,0),MATCH('Dep LinkIn'!N$2,'UPIS LinkIn'!$C$2:$AM$2,0)))</f>
        <v>633.75843055555561</v>
      </c>
      <c r="O7" s="44">
        <f>IF('AccDep LinkIn'!M7&gt;='UPIS LinkIn'!M7,0,$C7/12*INDEX('UPIS LinkIn'!$C$5:$AM$16,MATCH('Dep LinkIn'!$A7,'UPIS LinkIn'!$A$5:$A$16,0),MATCH('Dep LinkIn'!O$2,'UPIS LinkIn'!$C$2:$AM$2,0)))</f>
        <v>633.75843055555561</v>
      </c>
      <c r="P7" s="44">
        <f>IF('AccDep LinkIn'!N7&gt;='UPIS LinkIn'!N7,0,$C7/12*INDEX('UPIS LinkIn'!$C$5:$AM$16,MATCH('Dep LinkIn'!$A7,'UPIS LinkIn'!$A$5:$A$16,0),MATCH('Dep LinkIn'!P$2,'UPIS LinkIn'!$C$2:$AM$2,0)))</f>
        <v>633.75843055555561</v>
      </c>
      <c r="Q7" s="44">
        <f>IF('AccDep LinkIn'!O7&gt;='UPIS LinkIn'!O7,0,$C7/12*INDEX('UPIS LinkIn'!$C$5:$AM$16,MATCH('Dep LinkIn'!$A7,'UPIS LinkIn'!$A$5:$A$16,0),MATCH('Dep LinkIn'!Q$2,'UPIS LinkIn'!$C$2:$AM$2,0)))</f>
        <v>633.75843055555561</v>
      </c>
      <c r="R7" s="44">
        <f>IF('AccDep LinkIn'!P7&gt;='UPIS LinkIn'!P7,0,$C7/12*INDEX('UPIS LinkIn'!$C$5:$AM$16,MATCH('Dep LinkIn'!$A7,'UPIS LinkIn'!$A$5:$A$16,0),MATCH('Dep LinkIn'!R$2,'UPIS LinkIn'!$C$2:$AM$2,0)))</f>
        <v>710.14731944444452</v>
      </c>
      <c r="S7" s="44">
        <f>IF('AccDep LinkIn'!Q7&gt;='UPIS LinkIn'!Q7,0,$C7/12*INDEX('UPIS LinkIn'!$C$5:$AM$16,MATCH('Dep LinkIn'!$A7,'UPIS LinkIn'!$A$5:$A$16,0),MATCH('Dep LinkIn'!S$2,'UPIS LinkIn'!$C$2:$AM$2,0)))</f>
        <v>820.14731944444441</v>
      </c>
      <c r="T7" s="44">
        <f>IF('AccDep LinkIn'!R7&gt;='UPIS LinkIn'!R7,0,$C7/12*INDEX('UPIS LinkIn'!$C$5:$AM$16,MATCH('Dep LinkIn'!$A7,'UPIS LinkIn'!$A$5:$A$16,0),MATCH('Dep LinkIn'!T$2,'UPIS LinkIn'!$C$2:$AM$2,0)))</f>
        <v>1110.4250972222221</v>
      </c>
      <c r="U7" s="44">
        <f>IF('AccDep LinkIn'!S7&gt;='UPIS LinkIn'!S7,0,$C7/12*INDEX('UPIS LinkIn'!$C$5:$AM$16,MATCH('Dep LinkIn'!$A7,'UPIS LinkIn'!$A$5:$A$16,0),MATCH('Dep LinkIn'!U$2,'UPIS LinkIn'!$C$2:$AM$2,0)))</f>
        <v>1156.2584305555556</v>
      </c>
      <c r="V7" s="44">
        <f>IF('AccDep LinkIn'!T7&gt;='UPIS LinkIn'!T7,0,$C7/12*INDEX('UPIS LinkIn'!$C$5:$AM$16,MATCH('Dep LinkIn'!$A7,'UPIS LinkIn'!$A$5:$A$16,0),MATCH('Dep LinkIn'!V$2,'UPIS LinkIn'!$C$2:$AM$2,0)))</f>
        <v>1156.2584305555556</v>
      </c>
      <c r="W7" s="44">
        <f>IF('AccDep LinkIn'!U7&gt;='UPIS LinkIn'!U7,0,$C7/12*INDEX('UPIS LinkIn'!$C$5:$AM$16,MATCH('Dep LinkIn'!$A7,'UPIS LinkIn'!$A$5:$A$16,0),MATCH('Dep LinkIn'!W$2,'UPIS LinkIn'!$C$2:$AM$2,0)))</f>
        <v>1156.2584305555556</v>
      </c>
      <c r="X7" s="44">
        <f>IF('AccDep LinkIn'!V7&gt;='UPIS LinkIn'!V7,0,$C7/12*INDEX('UPIS LinkIn'!$C$5:$AM$16,MATCH('Dep LinkIn'!$A7,'UPIS LinkIn'!$A$5:$A$16,0),MATCH('Dep LinkIn'!X$2,'UPIS LinkIn'!$C$2:$AM$2,0)))</f>
        <v>1156.2584305555556</v>
      </c>
      <c r="Y7" s="44">
        <f>IF('AccDep LinkIn'!W7&gt;='UPIS LinkIn'!W7,0,$C7/12*INDEX('UPIS LinkIn'!$C$5:$AM$16,MATCH('Dep LinkIn'!$A7,'UPIS LinkIn'!$A$5:$A$16,0),MATCH('Dep LinkIn'!Y$2,'UPIS LinkIn'!$C$2:$AM$2,0)))</f>
        <v>1156.2584305555556</v>
      </c>
      <c r="Z7" s="44">
        <f>IF('AccDep LinkIn'!X7&gt;='UPIS LinkIn'!X7,0,$C7/12*INDEX('UPIS LinkIn'!$C$5:$AM$16,MATCH('Dep LinkIn'!$A7,'UPIS LinkIn'!$A$5:$A$16,0),MATCH('Dep LinkIn'!Z$2,'UPIS LinkIn'!$C$2:$AM$2,0)))</f>
        <v>1156.2584305555556</v>
      </c>
      <c r="AA7" s="44">
        <f>IF('AccDep LinkIn'!Y7&gt;='UPIS LinkIn'!Y7,0,$C7/12*INDEX('UPIS LinkIn'!$C$5:$AM$16,MATCH('Dep LinkIn'!$A7,'UPIS LinkIn'!$A$5:$A$16,0),MATCH('Dep LinkIn'!AA$2,'UPIS LinkIn'!$C$2:$AM$2,0)))</f>
        <v>1156.2584305555556</v>
      </c>
      <c r="AB7" s="44">
        <f>IF('AccDep LinkIn'!Z7&gt;='UPIS LinkIn'!Z7,0,$C7/12*INDEX('UPIS LinkIn'!$C$5:$AM$16,MATCH('Dep LinkIn'!$A7,'UPIS LinkIn'!$A$5:$A$16,0),MATCH('Dep LinkIn'!AB$2,'UPIS LinkIn'!$C$2:$AM$2,0)))</f>
        <v>1156.2584305555556</v>
      </c>
      <c r="AC7" s="44">
        <f>IF('AccDep LinkIn'!AA7&gt;='UPIS LinkIn'!AA7,0,$C7/12*INDEX('UPIS LinkIn'!$C$5:$AM$16,MATCH('Dep LinkIn'!$A7,'UPIS LinkIn'!$A$5:$A$16,0),MATCH('Dep LinkIn'!AC$2,'UPIS LinkIn'!$C$2:$AM$2,0)))</f>
        <v>1538.2028749999999</v>
      </c>
      <c r="AD7" s="44">
        <f>IF('AccDep LinkIn'!AB7&gt;='UPIS LinkIn'!AB7,0,$C7/12*INDEX('UPIS LinkIn'!$C$5:$AM$16,MATCH('Dep LinkIn'!$A7,'UPIS LinkIn'!$A$5:$A$16,0),MATCH('Dep LinkIn'!AD$2,'UPIS LinkIn'!$C$2:$AM$2,0)))</f>
        <v>1538.2028749999999</v>
      </c>
      <c r="AE7" s="44">
        <f>IF('AccDep LinkIn'!AC7&gt;='UPIS LinkIn'!AC7,0,$C7/12*INDEX('UPIS LinkIn'!$C$5:$AM$16,MATCH('Dep LinkIn'!$A7,'UPIS LinkIn'!$A$5:$A$16,0),MATCH('Dep LinkIn'!AE$2,'UPIS LinkIn'!$C$2:$AM$2,0)))</f>
        <v>1538.2028749999999</v>
      </c>
      <c r="AF7" s="44">
        <f>IF('AccDep LinkIn'!AD7&gt;='UPIS LinkIn'!AD7,0,$C7/12*INDEX('UPIS LinkIn'!$C$5:$AM$16,MATCH('Dep LinkIn'!$A7,'UPIS LinkIn'!$A$5:$A$16,0),MATCH('Dep LinkIn'!AF$2,'UPIS LinkIn'!$C$2:$AM$2,0)))</f>
        <v>1872.7862083333334</v>
      </c>
      <c r="AG7" s="44">
        <f>IF('AccDep LinkIn'!AE7&gt;='UPIS LinkIn'!AE7,0,$C7/12*INDEX('UPIS LinkIn'!$C$5:$AM$16,MATCH('Dep LinkIn'!$A7,'UPIS LinkIn'!$A$5:$A$16,0),MATCH('Dep LinkIn'!AG$2,'UPIS LinkIn'!$C$2:$AM$2,0)))</f>
        <v>1872.7862083333334</v>
      </c>
      <c r="AH7" s="44">
        <f>IF('AccDep LinkIn'!AF7&gt;='UPIS LinkIn'!AF7,0,$C7/12*INDEX('UPIS LinkIn'!$C$5:$AM$16,MATCH('Dep LinkIn'!$A7,'UPIS LinkIn'!$A$5:$A$16,0),MATCH('Dep LinkIn'!AH$2,'UPIS LinkIn'!$C$2:$AM$2,0)))</f>
        <v>1872.7862083333334</v>
      </c>
      <c r="AI7" s="44">
        <f>IF('AccDep LinkIn'!AG7&gt;='UPIS LinkIn'!AG7,0,$C7/12*INDEX('UPIS LinkIn'!$C$5:$AM$16,MATCH('Dep LinkIn'!$A7,'UPIS LinkIn'!$A$5:$A$16,0),MATCH('Dep LinkIn'!AI$2,'UPIS LinkIn'!$C$2:$AM$2,0)))</f>
        <v>1872.7862083333334</v>
      </c>
      <c r="AJ7" s="44">
        <f>IF('AccDep LinkIn'!AH7&gt;='UPIS LinkIn'!AH7,0,$C7/12*INDEX('UPIS LinkIn'!$C$5:$AM$16,MATCH('Dep LinkIn'!$A7,'UPIS LinkIn'!$A$5:$A$16,0),MATCH('Dep LinkIn'!AJ$2,'UPIS LinkIn'!$C$2:$AM$2,0)))</f>
        <v>1872.7862083333334</v>
      </c>
      <c r="AK7" s="44">
        <f>IF('AccDep LinkIn'!AI7&gt;='UPIS LinkIn'!AI7,0,$C7/12*INDEX('UPIS LinkIn'!$C$5:$AM$16,MATCH('Dep LinkIn'!$A7,'UPIS LinkIn'!$A$5:$A$16,0),MATCH('Dep LinkIn'!AK$2,'UPIS LinkIn'!$C$2:$AM$2,0)))</f>
        <v>1872.7862083333334</v>
      </c>
      <c r="AL7" s="44">
        <f>IF('AccDep LinkIn'!AJ7&gt;='UPIS LinkIn'!AJ7,0,$C7/12*INDEX('UPIS LinkIn'!$C$5:$AM$16,MATCH('Dep LinkIn'!$A7,'UPIS LinkIn'!$A$5:$A$16,0),MATCH('Dep LinkIn'!AL$2,'UPIS LinkIn'!$C$2:$AM$2,0)))</f>
        <v>1872.7862083333334</v>
      </c>
      <c r="AM7" s="44">
        <f>IF('AccDep LinkIn'!AK7&gt;='UPIS LinkIn'!AK7,0,$C7/12*INDEX('UPIS LinkIn'!$C$5:$AM$16,MATCH('Dep LinkIn'!$A7,'UPIS LinkIn'!$A$5:$A$16,0),MATCH('Dep LinkIn'!AM$2,'UPIS LinkIn'!$C$2:$AM$2,0)))</f>
        <v>1872.7862083333334</v>
      </c>
      <c r="AN7" s="44">
        <f>IF('AccDep LinkIn'!AL7&gt;='UPIS LinkIn'!AL7,0,$C7/12*INDEX('UPIS LinkIn'!$C$5:$AM$16,MATCH('Dep LinkIn'!$A7,'UPIS LinkIn'!$A$5:$A$16,0),MATCH('Dep LinkIn'!AN$2,'UPIS LinkIn'!$C$2:$AM$2,0)))</f>
        <v>1872.7862083333334</v>
      </c>
    </row>
    <row r="8" spans="1:40" x14ac:dyDescent="0.45">
      <c r="A8" s="23">
        <v>352.1</v>
      </c>
      <c r="B8" s="23" t="s">
        <v>25</v>
      </c>
      <c r="C8" s="46">
        <f>'Dep - BY B3.1'!I17</f>
        <v>0.02</v>
      </c>
      <c r="D8" s="43"/>
      <c r="E8" s="43"/>
      <c r="F8" s="43"/>
      <c r="G8" s="43"/>
      <c r="H8" s="43"/>
      <c r="I8" s="43"/>
      <c r="J8" s="43"/>
      <c r="K8" s="44">
        <f>IF('AccDep LinkIn'!I8&gt;='UPIS LinkIn'!I8,0,$C8/12*INDEX('UPIS LinkIn'!$C$5:$AM$16,MATCH('Dep LinkIn'!$A8,'UPIS LinkIn'!$A$5:$A$16,0),MATCH('Dep LinkIn'!K$2,'UPIS LinkIn'!$C$2:$AM$2,0)))</f>
        <v>1981.8343500000003</v>
      </c>
      <c r="L8" s="44">
        <f>IF('AccDep LinkIn'!J8&gt;='UPIS LinkIn'!J8,0,$C8/12*INDEX('UPIS LinkIn'!$C$5:$AM$16,MATCH('Dep LinkIn'!$A8,'UPIS LinkIn'!$A$5:$A$16,0),MATCH('Dep LinkIn'!L$2,'UPIS LinkIn'!$C$2:$AM$2,0)))</f>
        <v>1981.8343500000003</v>
      </c>
      <c r="M8" s="44">
        <f>IF('AccDep LinkIn'!K8&gt;='UPIS LinkIn'!K8,0,$C8/12*INDEX('UPIS LinkIn'!$C$5:$AM$16,MATCH('Dep LinkIn'!$A8,'UPIS LinkIn'!$A$5:$A$16,0),MATCH('Dep LinkIn'!M$2,'UPIS LinkIn'!$C$2:$AM$2,0)))</f>
        <v>2016.8009833333335</v>
      </c>
      <c r="N8" s="44">
        <f>IF('AccDep LinkIn'!L8&gt;='UPIS LinkIn'!L8,0,$C8/12*INDEX('UPIS LinkIn'!$C$5:$AM$16,MATCH('Dep LinkIn'!$A8,'UPIS LinkIn'!$A$5:$A$16,0),MATCH('Dep LinkIn'!N$2,'UPIS LinkIn'!$C$2:$AM$2,0)))</f>
        <v>2016.8009833333335</v>
      </c>
      <c r="O8" s="44">
        <f>IF('AccDep LinkIn'!M8&gt;='UPIS LinkIn'!M8,0,$C8/12*INDEX('UPIS LinkIn'!$C$5:$AM$16,MATCH('Dep LinkIn'!$A8,'UPIS LinkIn'!$A$5:$A$16,0),MATCH('Dep LinkIn'!O$2,'UPIS LinkIn'!$C$2:$AM$2,0)))</f>
        <v>2016.8009833333335</v>
      </c>
      <c r="P8" s="44">
        <f>IF('AccDep LinkIn'!N8&gt;='UPIS LinkIn'!N8,0,$C8/12*INDEX('UPIS LinkIn'!$C$5:$AM$16,MATCH('Dep LinkIn'!$A8,'UPIS LinkIn'!$A$5:$A$16,0),MATCH('Dep LinkIn'!P$2,'UPIS LinkIn'!$C$2:$AM$2,0)))</f>
        <v>2308.0198333333337</v>
      </c>
      <c r="Q8" s="44">
        <f>IF('AccDep LinkIn'!O8&gt;='UPIS LinkIn'!O8,0,$C8/12*INDEX('UPIS LinkIn'!$C$5:$AM$16,MATCH('Dep LinkIn'!$A8,'UPIS LinkIn'!$A$5:$A$16,0),MATCH('Dep LinkIn'!Q$2,'UPIS LinkIn'!$C$2:$AM$2,0)))</f>
        <v>2429.6865000000003</v>
      </c>
      <c r="R8" s="44">
        <f>IF('AccDep LinkIn'!P8&gt;='UPIS LinkIn'!P8,0,$C8/12*INDEX('UPIS LinkIn'!$C$5:$AM$16,MATCH('Dep LinkIn'!$A8,'UPIS LinkIn'!$A$5:$A$16,0),MATCH('Dep LinkIn'!R$2,'UPIS LinkIn'!$C$2:$AM$2,0)))</f>
        <v>2429.6865000000003</v>
      </c>
      <c r="S8" s="44">
        <f>IF('AccDep LinkIn'!Q8&gt;='UPIS LinkIn'!Q8,0,$C8/12*INDEX('UPIS LinkIn'!$C$5:$AM$16,MATCH('Dep LinkIn'!$A8,'UPIS LinkIn'!$A$5:$A$16,0),MATCH('Dep LinkIn'!S$2,'UPIS LinkIn'!$C$2:$AM$2,0)))</f>
        <v>2697.5122333333338</v>
      </c>
      <c r="T8" s="44">
        <f>IF('AccDep LinkIn'!R8&gt;='UPIS LinkIn'!R8,0,$C8/12*INDEX('UPIS LinkIn'!$C$5:$AM$16,MATCH('Dep LinkIn'!$A8,'UPIS LinkIn'!$A$5:$A$16,0),MATCH('Dep LinkIn'!T$2,'UPIS LinkIn'!$C$2:$AM$2,0)))</f>
        <v>2701.6789000000008</v>
      </c>
      <c r="U8" s="44">
        <f>IF('AccDep LinkIn'!S8&gt;='UPIS LinkIn'!S8,0,$C8/12*INDEX('UPIS LinkIn'!$C$5:$AM$16,MATCH('Dep LinkIn'!$A8,'UPIS LinkIn'!$A$5:$A$16,0),MATCH('Dep LinkIn'!U$2,'UPIS LinkIn'!$C$2:$AM$2,0)))</f>
        <v>2785.0122333333338</v>
      </c>
      <c r="V8" s="44">
        <f>IF('AccDep LinkIn'!T8&gt;='UPIS LinkIn'!T8,0,$C8/12*INDEX('UPIS LinkIn'!$C$5:$AM$16,MATCH('Dep LinkIn'!$A8,'UPIS LinkIn'!$A$5:$A$16,0),MATCH('Dep LinkIn'!V$2,'UPIS LinkIn'!$C$2:$AM$2,0)))</f>
        <v>2785.0122333333338</v>
      </c>
      <c r="W8" s="44">
        <f>IF('AccDep LinkIn'!U8&gt;='UPIS LinkIn'!U8,0,$C8/12*INDEX('UPIS LinkIn'!$C$5:$AM$16,MATCH('Dep LinkIn'!$A8,'UPIS LinkIn'!$A$5:$A$16,0),MATCH('Dep LinkIn'!W$2,'UPIS LinkIn'!$C$2:$AM$2,0)))</f>
        <v>2785.0122333333338</v>
      </c>
      <c r="X8" s="44">
        <f>IF('AccDep LinkIn'!V8&gt;='UPIS LinkIn'!V8,0,$C8/12*INDEX('UPIS LinkIn'!$C$5:$AM$16,MATCH('Dep LinkIn'!$A8,'UPIS LinkIn'!$A$5:$A$16,0),MATCH('Dep LinkIn'!X$2,'UPIS LinkIn'!$C$2:$AM$2,0)))</f>
        <v>2785.0122333333338</v>
      </c>
      <c r="Y8" s="44">
        <f>IF('AccDep LinkIn'!W8&gt;='UPIS LinkIn'!W8,0,$C8/12*INDEX('UPIS LinkIn'!$C$5:$AM$16,MATCH('Dep LinkIn'!$A8,'UPIS LinkIn'!$A$5:$A$16,0),MATCH('Dep LinkIn'!Y$2,'UPIS LinkIn'!$C$2:$AM$2,0)))</f>
        <v>2785.0122333333338</v>
      </c>
      <c r="Z8" s="44">
        <f>IF('AccDep LinkIn'!X8&gt;='UPIS LinkIn'!X8,0,$C8/12*INDEX('UPIS LinkIn'!$C$5:$AM$16,MATCH('Dep LinkIn'!$A8,'UPIS LinkIn'!$A$5:$A$16,0),MATCH('Dep LinkIn'!Z$2,'UPIS LinkIn'!$C$2:$AM$2,0)))</f>
        <v>2785.0122333333338</v>
      </c>
      <c r="AA8" s="44">
        <f>IF('AccDep LinkIn'!Y8&gt;='UPIS LinkIn'!Y8,0,$C8/12*INDEX('UPIS LinkIn'!$C$5:$AM$16,MATCH('Dep LinkIn'!$A8,'UPIS LinkIn'!$A$5:$A$16,0),MATCH('Dep LinkIn'!AA$2,'UPIS LinkIn'!$C$2:$AM$2,0)))</f>
        <v>2785.0122333333338</v>
      </c>
      <c r="AB8" s="44">
        <f>IF('AccDep LinkIn'!Z8&gt;='UPIS LinkIn'!Z8,0,$C8/12*INDEX('UPIS LinkIn'!$C$5:$AM$16,MATCH('Dep LinkIn'!$A8,'UPIS LinkIn'!$A$5:$A$16,0),MATCH('Dep LinkIn'!AB$2,'UPIS LinkIn'!$C$2:$AM$2,0)))</f>
        <v>3001.6789000000008</v>
      </c>
      <c r="AC8" s="44">
        <f>IF('AccDep LinkIn'!AA8&gt;='UPIS LinkIn'!AA8,0,$C8/12*INDEX('UPIS LinkIn'!$C$5:$AM$16,MATCH('Dep LinkIn'!$A8,'UPIS LinkIn'!$A$5:$A$16,0),MATCH('Dep LinkIn'!AC$2,'UPIS LinkIn'!$C$2:$AM$2,0)))</f>
        <v>3139.1789000000008</v>
      </c>
      <c r="AD8" s="44">
        <f>IF('AccDep LinkIn'!AB8&gt;='UPIS LinkIn'!AB8,0,$C8/12*INDEX('UPIS LinkIn'!$C$5:$AM$16,MATCH('Dep LinkIn'!$A8,'UPIS LinkIn'!$A$5:$A$16,0),MATCH('Dep LinkIn'!AD$2,'UPIS LinkIn'!$C$2:$AM$2,0)))</f>
        <v>3139.1789000000008</v>
      </c>
      <c r="AE8" s="44">
        <f>IF('AccDep LinkIn'!AC8&gt;='UPIS LinkIn'!AC8,0,$C8/12*INDEX('UPIS LinkIn'!$C$5:$AM$16,MATCH('Dep LinkIn'!$A8,'UPIS LinkIn'!$A$5:$A$16,0),MATCH('Dep LinkIn'!AE$2,'UPIS LinkIn'!$C$2:$AM$2,0)))</f>
        <v>3139.1789000000008</v>
      </c>
      <c r="AF8" s="44">
        <f>IF('AccDep LinkIn'!AD8&gt;='UPIS LinkIn'!AD8,0,$C8/12*INDEX('UPIS LinkIn'!$C$5:$AM$16,MATCH('Dep LinkIn'!$A8,'UPIS LinkIn'!$A$5:$A$16,0),MATCH('Dep LinkIn'!AF$2,'UPIS LinkIn'!$C$2:$AM$2,0)))</f>
        <v>3139.1789000000008</v>
      </c>
      <c r="AG8" s="44">
        <f>IF('AccDep LinkIn'!AE8&gt;='UPIS LinkIn'!AE8,0,$C8/12*INDEX('UPIS LinkIn'!$C$5:$AM$16,MATCH('Dep LinkIn'!$A8,'UPIS LinkIn'!$A$5:$A$16,0),MATCH('Dep LinkIn'!AG$2,'UPIS LinkIn'!$C$2:$AM$2,0)))</f>
        <v>3139.1789000000008</v>
      </c>
      <c r="AH8" s="44">
        <f>IF('AccDep LinkIn'!AF8&gt;='UPIS LinkIn'!AF8,0,$C8/12*INDEX('UPIS LinkIn'!$C$5:$AM$16,MATCH('Dep LinkIn'!$A8,'UPIS LinkIn'!$A$5:$A$16,0),MATCH('Dep LinkIn'!AH$2,'UPIS LinkIn'!$C$2:$AM$2,0)))</f>
        <v>3139.1789000000008</v>
      </c>
      <c r="AI8" s="44">
        <f>IF('AccDep LinkIn'!AG8&gt;='UPIS LinkIn'!AG8,0,$C8/12*INDEX('UPIS LinkIn'!$C$5:$AM$16,MATCH('Dep LinkIn'!$A8,'UPIS LinkIn'!$A$5:$A$16,0),MATCH('Dep LinkIn'!AI$2,'UPIS LinkIn'!$C$2:$AM$2,0)))</f>
        <v>3139.1789000000008</v>
      </c>
      <c r="AJ8" s="44">
        <f>IF('AccDep LinkIn'!AH8&gt;='UPIS LinkIn'!AH8,0,$C8/12*INDEX('UPIS LinkIn'!$C$5:$AM$16,MATCH('Dep LinkIn'!$A8,'UPIS LinkIn'!$A$5:$A$16,0),MATCH('Dep LinkIn'!AJ$2,'UPIS LinkIn'!$C$2:$AM$2,0)))</f>
        <v>3139.1789000000008</v>
      </c>
      <c r="AK8" s="44">
        <f>IF('AccDep LinkIn'!AI8&gt;='UPIS LinkIn'!AI8,0,$C8/12*INDEX('UPIS LinkIn'!$C$5:$AM$16,MATCH('Dep LinkIn'!$A8,'UPIS LinkIn'!$A$5:$A$16,0),MATCH('Dep LinkIn'!AK$2,'UPIS LinkIn'!$C$2:$AM$2,0)))</f>
        <v>3139.1789000000008</v>
      </c>
      <c r="AL8" s="44">
        <f>IF('AccDep LinkIn'!AJ8&gt;='UPIS LinkIn'!AJ8,0,$C8/12*INDEX('UPIS LinkIn'!$C$5:$AM$16,MATCH('Dep LinkIn'!$A8,'UPIS LinkIn'!$A$5:$A$16,0),MATCH('Dep LinkIn'!AL$2,'UPIS LinkIn'!$C$2:$AM$2,0)))</f>
        <v>3139.1789000000008</v>
      </c>
      <c r="AM8" s="44">
        <f>IF('AccDep LinkIn'!AK8&gt;='UPIS LinkIn'!AK8,0,$C8/12*INDEX('UPIS LinkIn'!$C$5:$AM$16,MATCH('Dep LinkIn'!$A8,'UPIS LinkIn'!$A$5:$A$16,0),MATCH('Dep LinkIn'!AM$2,'UPIS LinkIn'!$C$2:$AM$2,0)))</f>
        <v>3139.1789000000008</v>
      </c>
      <c r="AN8" s="44">
        <f>IF('AccDep LinkIn'!AL8&gt;='UPIS LinkIn'!AL8,0,$C8/12*INDEX('UPIS LinkIn'!$C$5:$AM$16,MATCH('Dep LinkIn'!$A8,'UPIS LinkIn'!$A$5:$A$16,0),MATCH('Dep LinkIn'!AN$2,'UPIS LinkIn'!$C$2:$AM$2,0)))</f>
        <v>3139.1789000000008</v>
      </c>
    </row>
    <row r="9" spans="1:40" x14ac:dyDescent="0.45">
      <c r="A9" s="23">
        <v>352.2</v>
      </c>
      <c r="B9" s="23" t="s">
        <v>26</v>
      </c>
      <c r="C9" s="46">
        <f>'Dep - BY B3.1'!I18</f>
        <v>0.02</v>
      </c>
      <c r="D9" s="43">
        <v>509.42333515814983</v>
      </c>
      <c r="E9" s="43">
        <v>509.42333515814983</v>
      </c>
      <c r="F9" s="43">
        <v>509.42333515814983</v>
      </c>
      <c r="G9" s="43">
        <v>509.42333515814983</v>
      </c>
      <c r="H9" s="43">
        <v>509.42333515814983</v>
      </c>
      <c r="I9" s="43">
        <v>509.42333515814983</v>
      </c>
      <c r="J9" s="43">
        <v>509.42333515814983</v>
      </c>
      <c r="K9" s="44">
        <f>IF('AccDep LinkIn'!I9&gt;='UPIS LinkIn'!I9,0,$C9/12*INDEX('UPIS LinkIn'!$C$5:$AM$16,MATCH('Dep LinkIn'!$A9,'UPIS LinkIn'!$A$5:$A$16,0),MATCH('Dep LinkIn'!K$2,'UPIS LinkIn'!$C$2:$AM$2,0)))</f>
        <v>1035.106</v>
      </c>
      <c r="L9" s="44">
        <f>IF('AccDep LinkIn'!J9&gt;='UPIS LinkIn'!J9,0,$C9/12*INDEX('UPIS LinkIn'!$C$5:$AM$16,MATCH('Dep LinkIn'!$A9,'UPIS LinkIn'!$A$5:$A$16,0),MATCH('Dep LinkIn'!L$2,'UPIS LinkIn'!$C$2:$AM$2,0)))</f>
        <v>1035.106</v>
      </c>
      <c r="M9" s="44">
        <f>IF('AccDep LinkIn'!K9&gt;='UPIS LinkIn'!K9,0,$C9/12*INDEX('UPIS LinkIn'!$C$5:$AM$16,MATCH('Dep LinkIn'!$A9,'UPIS LinkIn'!$A$5:$A$16,0),MATCH('Dep LinkIn'!M$2,'UPIS LinkIn'!$C$2:$AM$2,0)))</f>
        <v>1035.106</v>
      </c>
      <c r="N9" s="44">
        <f>IF('AccDep LinkIn'!L9&gt;='UPIS LinkIn'!L9,0,$C9/12*INDEX('UPIS LinkIn'!$C$5:$AM$16,MATCH('Dep LinkIn'!$A9,'UPIS LinkIn'!$A$5:$A$16,0),MATCH('Dep LinkIn'!N$2,'UPIS LinkIn'!$C$2:$AM$2,0)))</f>
        <v>1035.106</v>
      </c>
      <c r="O9" s="44">
        <f>IF('AccDep LinkIn'!M9&gt;='UPIS LinkIn'!M9,0,$C9/12*INDEX('UPIS LinkIn'!$C$5:$AM$16,MATCH('Dep LinkIn'!$A9,'UPIS LinkIn'!$A$5:$A$16,0),MATCH('Dep LinkIn'!O$2,'UPIS LinkIn'!$C$2:$AM$2,0)))</f>
        <v>1035.106</v>
      </c>
      <c r="P9" s="44">
        <f>IF('AccDep LinkIn'!N9&gt;='UPIS LinkIn'!N9,0,$C9/12*INDEX('UPIS LinkIn'!$C$5:$AM$16,MATCH('Dep LinkIn'!$A9,'UPIS LinkIn'!$A$5:$A$16,0),MATCH('Dep LinkIn'!P$2,'UPIS LinkIn'!$C$2:$AM$2,0)))</f>
        <v>1035.106</v>
      </c>
      <c r="Q9" s="44">
        <f>IF('AccDep LinkIn'!O9&gt;='UPIS LinkIn'!O9,0,$C9/12*INDEX('UPIS LinkIn'!$C$5:$AM$16,MATCH('Dep LinkIn'!$A9,'UPIS LinkIn'!$A$5:$A$16,0),MATCH('Dep LinkIn'!Q$2,'UPIS LinkIn'!$C$2:$AM$2,0)))</f>
        <v>1170.9393333333335</v>
      </c>
      <c r="R9" s="44">
        <f>IF('AccDep LinkIn'!P9&gt;='UPIS LinkIn'!P9,0,$C9/12*INDEX('UPIS LinkIn'!$C$5:$AM$16,MATCH('Dep LinkIn'!$A9,'UPIS LinkIn'!$A$5:$A$16,0),MATCH('Dep LinkIn'!R$2,'UPIS LinkIn'!$C$2:$AM$2,0)))</f>
        <v>1262.606</v>
      </c>
      <c r="S9" s="44">
        <f>IF('AccDep LinkIn'!Q9&gt;='UPIS LinkIn'!Q9,0,$C9/12*INDEX('UPIS LinkIn'!$C$5:$AM$16,MATCH('Dep LinkIn'!$A9,'UPIS LinkIn'!$A$5:$A$16,0),MATCH('Dep LinkIn'!S$2,'UPIS LinkIn'!$C$2:$AM$2,0)))</f>
        <v>1425.106</v>
      </c>
      <c r="T9" s="44">
        <f>IF('AccDep LinkIn'!R9&gt;='UPIS LinkIn'!R9,0,$C9/12*INDEX('UPIS LinkIn'!$C$5:$AM$16,MATCH('Dep LinkIn'!$A9,'UPIS LinkIn'!$A$5:$A$16,0),MATCH('Dep LinkIn'!T$2,'UPIS LinkIn'!$C$2:$AM$2,0)))</f>
        <v>1425.106</v>
      </c>
      <c r="U9" s="44">
        <f>IF('AccDep LinkIn'!S9&gt;='UPIS LinkIn'!S9,0,$C9/12*INDEX('UPIS LinkIn'!$C$5:$AM$16,MATCH('Dep LinkIn'!$A9,'UPIS LinkIn'!$A$5:$A$16,0),MATCH('Dep LinkIn'!U$2,'UPIS LinkIn'!$C$2:$AM$2,0)))</f>
        <v>1477.606</v>
      </c>
      <c r="V9" s="44">
        <f>IF('AccDep LinkIn'!T9&gt;='UPIS LinkIn'!T9,0,$C9/12*INDEX('UPIS LinkIn'!$C$5:$AM$16,MATCH('Dep LinkIn'!$A9,'UPIS LinkIn'!$A$5:$A$16,0),MATCH('Dep LinkIn'!V$2,'UPIS LinkIn'!$C$2:$AM$2,0)))</f>
        <v>1477.606</v>
      </c>
      <c r="W9" s="44">
        <f>IF('AccDep LinkIn'!U9&gt;='UPIS LinkIn'!U9,0,$C9/12*INDEX('UPIS LinkIn'!$C$5:$AM$16,MATCH('Dep LinkIn'!$A9,'UPIS LinkIn'!$A$5:$A$16,0),MATCH('Dep LinkIn'!W$2,'UPIS LinkIn'!$C$2:$AM$2,0)))</f>
        <v>1527.606</v>
      </c>
      <c r="X9" s="44">
        <f>IF('AccDep LinkIn'!V9&gt;='UPIS LinkIn'!V9,0,$C9/12*INDEX('UPIS LinkIn'!$C$5:$AM$16,MATCH('Dep LinkIn'!$A9,'UPIS LinkIn'!$A$5:$A$16,0),MATCH('Dep LinkIn'!X$2,'UPIS LinkIn'!$C$2:$AM$2,0)))</f>
        <v>1527.606</v>
      </c>
      <c r="Y9" s="44">
        <f>IF('AccDep LinkIn'!W9&gt;='UPIS LinkIn'!W9,0,$C9/12*INDEX('UPIS LinkIn'!$C$5:$AM$16,MATCH('Dep LinkIn'!$A9,'UPIS LinkIn'!$A$5:$A$16,0),MATCH('Dep LinkIn'!Y$2,'UPIS LinkIn'!$C$2:$AM$2,0)))</f>
        <v>1527.606</v>
      </c>
      <c r="Z9" s="44">
        <f>IF('AccDep LinkIn'!X9&gt;='UPIS LinkIn'!X9,0,$C9/12*INDEX('UPIS LinkIn'!$C$5:$AM$16,MATCH('Dep LinkIn'!$A9,'UPIS LinkIn'!$A$5:$A$16,0),MATCH('Dep LinkIn'!Z$2,'UPIS LinkIn'!$C$2:$AM$2,0)))</f>
        <v>1527.606</v>
      </c>
      <c r="AA9" s="44">
        <f>IF('AccDep LinkIn'!Y9&gt;='UPIS LinkIn'!Y9,0,$C9/12*INDEX('UPIS LinkIn'!$C$5:$AM$16,MATCH('Dep LinkIn'!$A9,'UPIS LinkIn'!$A$5:$A$16,0),MATCH('Dep LinkIn'!AA$2,'UPIS LinkIn'!$C$2:$AM$2,0)))</f>
        <v>1527.606</v>
      </c>
      <c r="AB9" s="44">
        <f>IF('AccDep LinkIn'!Z9&gt;='UPIS LinkIn'!Z9,0,$C9/12*INDEX('UPIS LinkIn'!$C$5:$AM$16,MATCH('Dep LinkIn'!$A9,'UPIS LinkIn'!$A$5:$A$16,0),MATCH('Dep LinkIn'!AB$2,'UPIS LinkIn'!$C$2:$AM$2,0)))</f>
        <v>1527.606</v>
      </c>
      <c r="AC9" s="44">
        <f>IF('AccDep LinkIn'!AA9&gt;='UPIS LinkIn'!AA9,0,$C9/12*INDEX('UPIS LinkIn'!$C$5:$AM$16,MATCH('Dep LinkIn'!$A9,'UPIS LinkIn'!$A$5:$A$16,0),MATCH('Dep LinkIn'!AC$2,'UPIS LinkIn'!$C$2:$AM$2,0)))</f>
        <v>1610.9393333333335</v>
      </c>
      <c r="AD9" s="44">
        <f>IF('AccDep LinkIn'!AB9&gt;='UPIS LinkIn'!AB9,0,$C9/12*INDEX('UPIS LinkIn'!$C$5:$AM$16,MATCH('Dep LinkIn'!$A9,'UPIS LinkIn'!$A$5:$A$16,0),MATCH('Dep LinkIn'!AD$2,'UPIS LinkIn'!$C$2:$AM$2,0)))</f>
        <v>1610.9393333333335</v>
      </c>
      <c r="AE9" s="44">
        <f>IF('AccDep LinkIn'!AC9&gt;='UPIS LinkIn'!AC9,0,$C9/12*INDEX('UPIS LinkIn'!$C$5:$AM$16,MATCH('Dep LinkIn'!$A9,'UPIS LinkIn'!$A$5:$A$16,0),MATCH('Dep LinkIn'!AE$2,'UPIS LinkIn'!$C$2:$AM$2,0)))</f>
        <v>1610.9393333333335</v>
      </c>
      <c r="AF9" s="44">
        <f>IF('AccDep LinkIn'!AD9&gt;='UPIS LinkIn'!AD9,0,$C9/12*INDEX('UPIS LinkIn'!$C$5:$AM$16,MATCH('Dep LinkIn'!$A9,'UPIS LinkIn'!$A$5:$A$16,0),MATCH('Dep LinkIn'!AF$2,'UPIS LinkIn'!$C$2:$AM$2,0)))</f>
        <v>1610.9393333333335</v>
      </c>
      <c r="AG9" s="44">
        <f>IF('AccDep LinkIn'!AE9&gt;='UPIS LinkIn'!AE9,0,$C9/12*INDEX('UPIS LinkIn'!$C$5:$AM$16,MATCH('Dep LinkIn'!$A9,'UPIS LinkIn'!$A$5:$A$16,0),MATCH('Dep LinkIn'!AG$2,'UPIS LinkIn'!$C$2:$AM$2,0)))</f>
        <v>1610.9393333333335</v>
      </c>
      <c r="AH9" s="44">
        <f>IF('AccDep LinkIn'!AF9&gt;='UPIS LinkIn'!AF9,0,$C9/12*INDEX('UPIS LinkIn'!$C$5:$AM$16,MATCH('Dep LinkIn'!$A9,'UPIS LinkIn'!$A$5:$A$16,0),MATCH('Dep LinkIn'!AH$2,'UPIS LinkIn'!$C$2:$AM$2,0)))</f>
        <v>1610.9393333333335</v>
      </c>
      <c r="AI9" s="44">
        <f>IF('AccDep LinkIn'!AG9&gt;='UPIS LinkIn'!AG9,0,$C9/12*INDEX('UPIS LinkIn'!$C$5:$AM$16,MATCH('Dep LinkIn'!$A9,'UPIS LinkIn'!$A$5:$A$16,0),MATCH('Dep LinkIn'!AI$2,'UPIS LinkIn'!$C$2:$AM$2,0)))</f>
        <v>1610.9393333333335</v>
      </c>
      <c r="AJ9" s="44">
        <f>IF('AccDep LinkIn'!AH9&gt;='UPIS LinkIn'!AH9,0,$C9/12*INDEX('UPIS LinkIn'!$C$5:$AM$16,MATCH('Dep LinkIn'!$A9,'UPIS LinkIn'!$A$5:$A$16,0),MATCH('Dep LinkIn'!AJ$2,'UPIS LinkIn'!$C$2:$AM$2,0)))</f>
        <v>1610.9393333333335</v>
      </c>
      <c r="AK9" s="44">
        <f>IF('AccDep LinkIn'!AI9&gt;='UPIS LinkIn'!AI9,0,$C9/12*INDEX('UPIS LinkIn'!$C$5:$AM$16,MATCH('Dep LinkIn'!$A9,'UPIS LinkIn'!$A$5:$A$16,0),MATCH('Dep LinkIn'!AK$2,'UPIS LinkIn'!$C$2:$AM$2,0)))</f>
        <v>1610.9393333333335</v>
      </c>
      <c r="AL9" s="44">
        <f>IF('AccDep LinkIn'!AJ9&gt;='UPIS LinkIn'!AJ9,0,$C9/12*INDEX('UPIS LinkIn'!$C$5:$AM$16,MATCH('Dep LinkIn'!$A9,'UPIS LinkIn'!$A$5:$A$16,0),MATCH('Dep LinkIn'!AL$2,'UPIS LinkIn'!$C$2:$AM$2,0)))</f>
        <v>1610.9393333333335</v>
      </c>
      <c r="AM9" s="44">
        <f>IF('AccDep LinkIn'!AK9&gt;='UPIS LinkIn'!AK9,0,$C9/12*INDEX('UPIS LinkIn'!$C$5:$AM$16,MATCH('Dep LinkIn'!$A9,'UPIS LinkIn'!$A$5:$A$16,0),MATCH('Dep LinkIn'!AM$2,'UPIS LinkIn'!$C$2:$AM$2,0)))</f>
        <v>1610.9393333333335</v>
      </c>
      <c r="AN9" s="44">
        <f>IF('AccDep LinkIn'!AL9&gt;='UPIS LinkIn'!AL9,0,$C9/12*INDEX('UPIS LinkIn'!$C$5:$AM$16,MATCH('Dep LinkIn'!$A9,'UPIS LinkIn'!$A$5:$A$16,0),MATCH('Dep LinkIn'!AN$2,'UPIS LinkIn'!$C$2:$AM$2,0)))</f>
        <v>1610.9393333333335</v>
      </c>
    </row>
    <row r="10" spans="1:40" x14ac:dyDescent="0.45">
      <c r="A10" s="23">
        <v>363</v>
      </c>
      <c r="B10" s="23" t="s">
        <v>27</v>
      </c>
      <c r="C10" s="46">
        <f>'Dep - BY B3.1'!I19</f>
        <v>0.1</v>
      </c>
      <c r="D10" s="43">
        <v>43.351083333333342</v>
      </c>
      <c r="E10" s="43">
        <v>43.351083333333342</v>
      </c>
      <c r="F10" s="43">
        <v>43.351083333333342</v>
      </c>
      <c r="G10" s="43">
        <v>43.351083333333342</v>
      </c>
      <c r="H10" s="43">
        <v>43.351083333333342</v>
      </c>
      <c r="I10" s="43">
        <v>43.351083333333342</v>
      </c>
      <c r="J10" s="43">
        <v>43.351083333333342</v>
      </c>
      <c r="K10" s="44">
        <f>IF('AccDep LinkIn'!I10&gt;='UPIS LinkIn'!I10,0,$C10/12*INDEX('UPIS LinkIn'!$C$5:$AM$16,MATCH('Dep LinkIn'!$A10,'UPIS LinkIn'!$A$5:$A$16,0),MATCH('Dep LinkIn'!K$2,'UPIS LinkIn'!$C$2:$AM$2,0)))</f>
        <v>543.29641666666669</v>
      </c>
      <c r="L10" s="44">
        <f>IF('AccDep LinkIn'!J10&gt;='UPIS LinkIn'!J10,0,$C10/12*INDEX('UPIS LinkIn'!$C$5:$AM$16,MATCH('Dep LinkIn'!$A10,'UPIS LinkIn'!$A$5:$A$16,0),MATCH('Dep LinkIn'!L$2,'UPIS LinkIn'!$C$2:$AM$2,0)))</f>
        <v>543.29641666666669</v>
      </c>
      <c r="M10" s="44">
        <f>IF('AccDep LinkIn'!K10&gt;='UPIS LinkIn'!K10,0,$C10/12*INDEX('UPIS LinkIn'!$C$5:$AM$16,MATCH('Dep LinkIn'!$A10,'UPIS LinkIn'!$A$5:$A$16,0),MATCH('Dep LinkIn'!M$2,'UPIS LinkIn'!$C$2:$AM$2,0)))</f>
        <v>775.17141666666669</v>
      </c>
      <c r="N10" s="44">
        <f>IF('AccDep LinkIn'!L10&gt;='UPIS LinkIn'!L10,0,$C10/12*INDEX('UPIS LinkIn'!$C$5:$AM$16,MATCH('Dep LinkIn'!$A10,'UPIS LinkIn'!$A$5:$A$16,0),MATCH('Dep LinkIn'!N$2,'UPIS LinkIn'!$C$2:$AM$2,0)))</f>
        <v>775.17141666666669</v>
      </c>
      <c r="O10" s="44">
        <f>IF('AccDep LinkIn'!M10&gt;='UPIS LinkIn'!M10,0,$C10/12*INDEX('UPIS LinkIn'!$C$5:$AM$16,MATCH('Dep LinkIn'!$A10,'UPIS LinkIn'!$A$5:$A$16,0),MATCH('Dep LinkIn'!O$2,'UPIS LinkIn'!$C$2:$AM$2,0)))</f>
        <v>775.17141666666669</v>
      </c>
      <c r="P10" s="44">
        <f>IF('AccDep LinkIn'!N10&gt;='UPIS LinkIn'!N10,0,$C10/12*INDEX('UPIS LinkIn'!$C$5:$AM$16,MATCH('Dep LinkIn'!$A10,'UPIS LinkIn'!$A$5:$A$16,0),MATCH('Dep LinkIn'!P$2,'UPIS LinkIn'!$C$2:$AM$2,0)))</f>
        <v>775.17141666666669</v>
      </c>
      <c r="Q10" s="44">
        <f>IF('AccDep LinkIn'!O10&gt;='UPIS LinkIn'!O10,0,$C10/12*INDEX('UPIS LinkIn'!$C$5:$AM$16,MATCH('Dep LinkIn'!$A10,'UPIS LinkIn'!$A$5:$A$16,0),MATCH('Dep LinkIn'!Q$2,'UPIS LinkIn'!$C$2:$AM$2,0)))</f>
        <v>775.17141666666669</v>
      </c>
      <c r="R10" s="44">
        <f>IF('AccDep LinkIn'!P10&gt;='UPIS LinkIn'!P10,0,$C10/12*INDEX('UPIS LinkIn'!$C$5:$AM$16,MATCH('Dep LinkIn'!$A10,'UPIS LinkIn'!$A$5:$A$16,0),MATCH('Dep LinkIn'!R$2,'UPIS LinkIn'!$C$2:$AM$2,0)))</f>
        <v>775.17141666666669</v>
      </c>
      <c r="S10" s="44">
        <f>IF('AccDep LinkIn'!Q10&gt;='UPIS LinkIn'!Q10,0,$C10/12*INDEX('UPIS LinkIn'!$C$5:$AM$16,MATCH('Dep LinkIn'!$A10,'UPIS LinkIn'!$A$5:$A$16,0),MATCH('Dep LinkIn'!S$2,'UPIS LinkIn'!$C$2:$AM$2,0)))</f>
        <v>775.17141666666669</v>
      </c>
      <c r="T10" s="44">
        <f>IF('AccDep LinkIn'!R10&gt;='UPIS LinkIn'!R10,0,$C10/12*INDEX('UPIS LinkIn'!$C$5:$AM$16,MATCH('Dep LinkIn'!$A10,'UPIS LinkIn'!$A$5:$A$16,0),MATCH('Dep LinkIn'!T$2,'UPIS LinkIn'!$C$2:$AM$2,0)))</f>
        <v>1358.5047500000001</v>
      </c>
      <c r="U10" s="44">
        <f>IF('AccDep LinkIn'!S10&gt;='UPIS LinkIn'!S10,0,$C10/12*INDEX('UPIS LinkIn'!$C$5:$AM$16,MATCH('Dep LinkIn'!$A10,'UPIS LinkIn'!$A$5:$A$16,0),MATCH('Dep LinkIn'!U$2,'UPIS LinkIn'!$C$2:$AM$2,0)))</f>
        <v>1358.5047500000001</v>
      </c>
      <c r="V10" s="44">
        <f>IF('AccDep LinkIn'!T10&gt;='UPIS LinkIn'!T10,0,$C10/12*INDEX('UPIS LinkIn'!$C$5:$AM$16,MATCH('Dep LinkIn'!$A10,'UPIS LinkIn'!$A$5:$A$16,0),MATCH('Dep LinkIn'!V$2,'UPIS LinkIn'!$C$2:$AM$2,0)))</f>
        <v>1358.5047500000001</v>
      </c>
      <c r="W10" s="44">
        <f>IF('AccDep LinkIn'!U10&gt;='UPIS LinkIn'!U10,0,$C10/12*INDEX('UPIS LinkIn'!$C$5:$AM$16,MATCH('Dep LinkIn'!$A10,'UPIS LinkIn'!$A$5:$A$16,0),MATCH('Dep LinkIn'!W$2,'UPIS LinkIn'!$C$2:$AM$2,0)))</f>
        <v>1358.5047500000001</v>
      </c>
      <c r="X10" s="44">
        <f>IF('AccDep LinkIn'!V10&gt;='UPIS LinkIn'!V10,0,$C10/12*INDEX('UPIS LinkIn'!$C$5:$AM$16,MATCH('Dep LinkIn'!$A10,'UPIS LinkIn'!$A$5:$A$16,0),MATCH('Dep LinkIn'!X$2,'UPIS LinkIn'!$C$2:$AM$2,0)))</f>
        <v>1358.5047500000001</v>
      </c>
      <c r="Y10" s="44">
        <f>IF('AccDep LinkIn'!W10&gt;='UPIS LinkIn'!W10,0,$C10/12*INDEX('UPIS LinkIn'!$C$5:$AM$16,MATCH('Dep LinkIn'!$A10,'UPIS LinkIn'!$A$5:$A$16,0),MATCH('Dep LinkIn'!Y$2,'UPIS LinkIn'!$C$2:$AM$2,0)))</f>
        <v>1358.5047500000001</v>
      </c>
      <c r="Z10" s="44">
        <f>IF('AccDep LinkIn'!X10&gt;='UPIS LinkIn'!X10,0,$C10/12*INDEX('UPIS LinkIn'!$C$5:$AM$16,MATCH('Dep LinkIn'!$A10,'UPIS LinkIn'!$A$5:$A$16,0),MATCH('Dep LinkIn'!Z$2,'UPIS LinkIn'!$C$2:$AM$2,0)))</f>
        <v>1358.5047500000001</v>
      </c>
      <c r="AA10" s="44">
        <f>IF('AccDep LinkIn'!Y10&gt;='UPIS LinkIn'!Y10,0,$C10/12*INDEX('UPIS LinkIn'!$C$5:$AM$16,MATCH('Dep LinkIn'!$A10,'UPIS LinkIn'!$A$5:$A$16,0),MATCH('Dep LinkIn'!AA$2,'UPIS LinkIn'!$C$2:$AM$2,0)))</f>
        <v>1358.5047500000001</v>
      </c>
      <c r="AB10" s="44">
        <f>IF('AccDep LinkIn'!Z10&gt;='UPIS LinkIn'!Z10,0,$C10/12*INDEX('UPIS LinkIn'!$C$5:$AM$16,MATCH('Dep LinkIn'!$A10,'UPIS LinkIn'!$A$5:$A$16,0),MATCH('Dep LinkIn'!AB$2,'UPIS LinkIn'!$C$2:$AM$2,0)))</f>
        <v>1358.5047500000001</v>
      </c>
      <c r="AC10" s="44">
        <f>IF('AccDep LinkIn'!AA10&gt;='UPIS LinkIn'!AA10,0,$C10/12*INDEX('UPIS LinkIn'!$C$5:$AM$16,MATCH('Dep LinkIn'!$A10,'UPIS LinkIn'!$A$5:$A$16,0),MATCH('Dep LinkIn'!AC$2,'UPIS LinkIn'!$C$2:$AM$2,0)))</f>
        <v>1675.1714166666668</v>
      </c>
      <c r="AD10" s="44">
        <f>IF('AccDep LinkIn'!AB10&gt;='UPIS LinkIn'!AB10,0,$C10/12*INDEX('UPIS LinkIn'!$C$5:$AM$16,MATCH('Dep LinkIn'!$A10,'UPIS LinkIn'!$A$5:$A$16,0),MATCH('Dep LinkIn'!AD$2,'UPIS LinkIn'!$C$2:$AM$2,0)))</f>
        <v>1675.1714166666668</v>
      </c>
      <c r="AE10" s="44">
        <f>IF('AccDep LinkIn'!AC10&gt;='UPIS LinkIn'!AC10,0,$C10/12*INDEX('UPIS LinkIn'!$C$5:$AM$16,MATCH('Dep LinkIn'!$A10,'UPIS LinkIn'!$A$5:$A$16,0),MATCH('Dep LinkIn'!AE$2,'UPIS LinkIn'!$C$2:$AM$2,0)))</f>
        <v>1675.1714166666668</v>
      </c>
      <c r="AF10" s="44">
        <f>IF('AccDep LinkIn'!AD10&gt;='UPIS LinkIn'!AD10,0,$C10/12*INDEX('UPIS LinkIn'!$C$5:$AM$16,MATCH('Dep LinkIn'!$A10,'UPIS LinkIn'!$A$5:$A$16,0),MATCH('Dep LinkIn'!AF$2,'UPIS LinkIn'!$C$2:$AM$2,0)))</f>
        <v>1941.8380833333333</v>
      </c>
      <c r="AG10" s="44">
        <f>IF('AccDep LinkIn'!AE10&gt;='UPIS LinkIn'!AE10,0,$C10/12*INDEX('UPIS LinkIn'!$C$5:$AM$16,MATCH('Dep LinkIn'!$A10,'UPIS LinkIn'!$A$5:$A$16,0),MATCH('Dep LinkIn'!AG$2,'UPIS LinkIn'!$C$2:$AM$2,0)))</f>
        <v>1941.8380833333333</v>
      </c>
      <c r="AH10" s="44">
        <f>IF('AccDep LinkIn'!AF10&gt;='UPIS LinkIn'!AF10,0,$C10/12*INDEX('UPIS LinkIn'!$C$5:$AM$16,MATCH('Dep LinkIn'!$A10,'UPIS LinkIn'!$A$5:$A$16,0),MATCH('Dep LinkIn'!AH$2,'UPIS LinkIn'!$C$2:$AM$2,0)))</f>
        <v>1941.8380833333333</v>
      </c>
      <c r="AI10" s="44">
        <f>IF('AccDep LinkIn'!AG10&gt;='UPIS LinkIn'!AG10,0,$C10/12*INDEX('UPIS LinkIn'!$C$5:$AM$16,MATCH('Dep LinkIn'!$A10,'UPIS LinkIn'!$A$5:$A$16,0),MATCH('Dep LinkIn'!AI$2,'UPIS LinkIn'!$C$2:$AM$2,0)))</f>
        <v>1941.8380833333333</v>
      </c>
      <c r="AJ10" s="44">
        <f>IF('AccDep LinkIn'!AH10&gt;='UPIS LinkIn'!AH10,0,$C10/12*INDEX('UPIS LinkIn'!$C$5:$AM$16,MATCH('Dep LinkIn'!$A10,'UPIS LinkIn'!$A$5:$A$16,0),MATCH('Dep LinkIn'!AJ$2,'UPIS LinkIn'!$C$2:$AM$2,0)))</f>
        <v>1941.8380833333333</v>
      </c>
      <c r="AK10" s="44">
        <f>IF('AccDep LinkIn'!AI10&gt;='UPIS LinkIn'!AI10,0,$C10/12*INDEX('UPIS LinkIn'!$C$5:$AM$16,MATCH('Dep LinkIn'!$A10,'UPIS LinkIn'!$A$5:$A$16,0),MATCH('Dep LinkIn'!AK$2,'UPIS LinkIn'!$C$2:$AM$2,0)))</f>
        <v>1941.8380833333333</v>
      </c>
      <c r="AL10" s="44">
        <f>IF('AccDep LinkIn'!AJ10&gt;='UPIS LinkIn'!AJ10,0,$C10/12*INDEX('UPIS LinkIn'!$C$5:$AM$16,MATCH('Dep LinkIn'!$A10,'UPIS LinkIn'!$A$5:$A$16,0),MATCH('Dep LinkIn'!AL$2,'UPIS LinkIn'!$C$2:$AM$2,0)))</f>
        <v>1941.8380833333333</v>
      </c>
      <c r="AM10" s="44">
        <f>IF('AccDep LinkIn'!AK10&gt;='UPIS LinkIn'!AK10,0,$C10/12*INDEX('UPIS LinkIn'!$C$5:$AM$16,MATCH('Dep LinkIn'!$A10,'UPIS LinkIn'!$A$5:$A$16,0),MATCH('Dep LinkIn'!AM$2,'UPIS LinkIn'!$C$2:$AM$2,0)))</f>
        <v>1941.8380833333333</v>
      </c>
      <c r="AN10" s="44">
        <f>IF('AccDep LinkIn'!AL10&gt;='UPIS LinkIn'!AL10,0,$C10/12*INDEX('UPIS LinkIn'!$C$5:$AM$16,MATCH('Dep LinkIn'!$A10,'UPIS LinkIn'!$A$5:$A$16,0),MATCH('Dep LinkIn'!AN$2,'UPIS LinkIn'!$C$2:$AM$2,0)))</f>
        <v>1941.8380833333333</v>
      </c>
    </row>
    <row r="11" spans="1:40" x14ac:dyDescent="0.45">
      <c r="A11" s="23">
        <v>370</v>
      </c>
      <c r="B11" s="23" t="s">
        <v>23</v>
      </c>
      <c r="C11" s="46">
        <f>'Dep - BY B3.1'!I20</f>
        <v>0</v>
      </c>
      <c r="D11" s="43"/>
      <c r="E11" s="43"/>
      <c r="F11" s="43"/>
      <c r="G11" s="43"/>
      <c r="H11" s="43"/>
      <c r="I11" s="43"/>
      <c r="J11" s="43"/>
      <c r="K11" s="44">
        <f>IF('AccDep LinkIn'!I11&gt;='UPIS LinkIn'!I11,0,$C11/12*INDEX('UPIS LinkIn'!$C$5:$AM$16,MATCH('Dep LinkIn'!$A11,'UPIS LinkIn'!$A$5:$A$16,0),MATCH('Dep LinkIn'!K$2,'UPIS LinkIn'!$C$2:$AM$2,0)))</f>
        <v>0</v>
      </c>
      <c r="L11" s="44">
        <f>IF('AccDep LinkIn'!J11&gt;='UPIS LinkIn'!J11,0,$C11/12*INDEX('UPIS LinkIn'!$C$5:$AM$16,MATCH('Dep LinkIn'!$A11,'UPIS LinkIn'!$A$5:$A$16,0),MATCH('Dep LinkIn'!L$2,'UPIS LinkIn'!$C$2:$AM$2,0)))</f>
        <v>0</v>
      </c>
      <c r="M11" s="44">
        <f>IF('AccDep LinkIn'!K11&gt;='UPIS LinkIn'!K11,0,$C11/12*INDEX('UPIS LinkIn'!$C$5:$AM$16,MATCH('Dep LinkIn'!$A11,'UPIS LinkIn'!$A$5:$A$16,0),MATCH('Dep LinkIn'!M$2,'UPIS LinkIn'!$C$2:$AM$2,0)))</f>
        <v>0</v>
      </c>
      <c r="N11" s="44">
        <f>IF('AccDep LinkIn'!L11&gt;='UPIS LinkIn'!L11,0,$C11/12*INDEX('UPIS LinkIn'!$C$5:$AM$16,MATCH('Dep LinkIn'!$A11,'UPIS LinkIn'!$A$5:$A$16,0),MATCH('Dep LinkIn'!N$2,'UPIS LinkIn'!$C$2:$AM$2,0)))</f>
        <v>0</v>
      </c>
      <c r="O11" s="44">
        <f>IF('AccDep LinkIn'!M11&gt;='UPIS LinkIn'!M11,0,$C11/12*INDEX('UPIS LinkIn'!$C$5:$AM$16,MATCH('Dep LinkIn'!$A11,'UPIS LinkIn'!$A$5:$A$16,0),MATCH('Dep LinkIn'!O$2,'UPIS LinkIn'!$C$2:$AM$2,0)))</f>
        <v>0</v>
      </c>
      <c r="P11" s="44">
        <f>IF('AccDep LinkIn'!N11&gt;='UPIS LinkIn'!N11,0,$C11/12*INDEX('UPIS LinkIn'!$C$5:$AM$16,MATCH('Dep LinkIn'!$A11,'UPIS LinkIn'!$A$5:$A$16,0),MATCH('Dep LinkIn'!P$2,'UPIS LinkIn'!$C$2:$AM$2,0)))</f>
        <v>0</v>
      </c>
      <c r="Q11" s="44">
        <f>IF('AccDep LinkIn'!O11&gt;='UPIS LinkIn'!O11,0,$C11/12*INDEX('UPIS LinkIn'!$C$5:$AM$16,MATCH('Dep LinkIn'!$A11,'UPIS LinkIn'!$A$5:$A$16,0),MATCH('Dep LinkIn'!Q$2,'UPIS LinkIn'!$C$2:$AM$2,0)))</f>
        <v>0</v>
      </c>
      <c r="R11" s="44">
        <f>IF('AccDep LinkIn'!P11&gt;='UPIS LinkIn'!P11,0,$C11/12*INDEX('UPIS LinkIn'!$C$5:$AM$16,MATCH('Dep LinkIn'!$A11,'UPIS LinkIn'!$A$5:$A$16,0),MATCH('Dep LinkIn'!R$2,'UPIS LinkIn'!$C$2:$AM$2,0)))</f>
        <v>0</v>
      </c>
      <c r="S11" s="44">
        <f>IF('AccDep LinkIn'!Q11&gt;='UPIS LinkIn'!Q11,0,$C11/12*INDEX('UPIS LinkIn'!$C$5:$AM$16,MATCH('Dep LinkIn'!$A11,'UPIS LinkIn'!$A$5:$A$16,0),MATCH('Dep LinkIn'!S$2,'UPIS LinkIn'!$C$2:$AM$2,0)))</f>
        <v>0</v>
      </c>
      <c r="T11" s="44">
        <f>IF('AccDep LinkIn'!R11&gt;='UPIS LinkIn'!R11,0,$C11/12*INDEX('UPIS LinkIn'!$C$5:$AM$16,MATCH('Dep LinkIn'!$A11,'UPIS LinkIn'!$A$5:$A$16,0),MATCH('Dep LinkIn'!T$2,'UPIS LinkIn'!$C$2:$AM$2,0)))</f>
        <v>0</v>
      </c>
      <c r="U11" s="44">
        <f>IF('AccDep LinkIn'!S11&gt;='UPIS LinkIn'!S11,0,$C11/12*INDEX('UPIS LinkIn'!$C$5:$AM$16,MATCH('Dep LinkIn'!$A11,'UPIS LinkIn'!$A$5:$A$16,0),MATCH('Dep LinkIn'!U$2,'UPIS LinkIn'!$C$2:$AM$2,0)))</f>
        <v>0</v>
      </c>
      <c r="V11" s="44">
        <f>IF('AccDep LinkIn'!T11&gt;='UPIS LinkIn'!T11,0,$C11/12*INDEX('UPIS LinkIn'!$C$5:$AM$16,MATCH('Dep LinkIn'!$A11,'UPIS LinkIn'!$A$5:$A$16,0),MATCH('Dep LinkIn'!V$2,'UPIS LinkIn'!$C$2:$AM$2,0)))</f>
        <v>0</v>
      </c>
      <c r="W11" s="44">
        <f>IF('AccDep LinkIn'!U11&gt;='UPIS LinkIn'!U11,0,$C11/12*INDEX('UPIS LinkIn'!$C$5:$AM$16,MATCH('Dep LinkIn'!$A11,'UPIS LinkIn'!$A$5:$A$16,0),MATCH('Dep LinkIn'!W$2,'UPIS LinkIn'!$C$2:$AM$2,0)))</f>
        <v>0</v>
      </c>
      <c r="X11" s="44">
        <f>IF('AccDep LinkIn'!V11&gt;='UPIS LinkIn'!V11,0,$C11/12*INDEX('UPIS LinkIn'!$C$5:$AM$16,MATCH('Dep LinkIn'!$A11,'UPIS LinkIn'!$A$5:$A$16,0),MATCH('Dep LinkIn'!X$2,'UPIS LinkIn'!$C$2:$AM$2,0)))</f>
        <v>0</v>
      </c>
      <c r="Y11" s="44">
        <f>IF('AccDep LinkIn'!W11&gt;='UPIS LinkIn'!W11,0,$C11/12*INDEX('UPIS LinkIn'!$C$5:$AM$16,MATCH('Dep LinkIn'!$A11,'UPIS LinkIn'!$A$5:$A$16,0),MATCH('Dep LinkIn'!Y$2,'UPIS LinkIn'!$C$2:$AM$2,0)))</f>
        <v>0</v>
      </c>
      <c r="Z11" s="44">
        <f>IF('AccDep LinkIn'!X11&gt;='UPIS LinkIn'!X11,0,$C11/12*INDEX('UPIS LinkIn'!$C$5:$AM$16,MATCH('Dep LinkIn'!$A11,'UPIS LinkIn'!$A$5:$A$16,0),MATCH('Dep LinkIn'!Z$2,'UPIS LinkIn'!$C$2:$AM$2,0)))</f>
        <v>0</v>
      </c>
      <c r="AA11" s="44">
        <f>IF('AccDep LinkIn'!Y11&gt;='UPIS LinkIn'!Y11,0,$C11/12*INDEX('UPIS LinkIn'!$C$5:$AM$16,MATCH('Dep LinkIn'!$A11,'UPIS LinkIn'!$A$5:$A$16,0),MATCH('Dep LinkIn'!AA$2,'UPIS LinkIn'!$C$2:$AM$2,0)))</f>
        <v>0</v>
      </c>
      <c r="AB11" s="44">
        <f>IF('AccDep LinkIn'!Z11&gt;='UPIS LinkIn'!Z11,0,$C11/12*INDEX('UPIS LinkIn'!$C$5:$AM$16,MATCH('Dep LinkIn'!$A11,'UPIS LinkIn'!$A$5:$A$16,0),MATCH('Dep LinkIn'!AB$2,'UPIS LinkIn'!$C$2:$AM$2,0)))</f>
        <v>0</v>
      </c>
      <c r="AC11" s="44">
        <f>IF('AccDep LinkIn'!AA11&gt;='UPIS LinkIn'!AA11,0,$C11/12*INDEX('UPIS LinkIn'!$C$5:$AM$16,MATCH('Dep LinkIn'!$A11,'UPIS LinkIn'!$A$5:$A$16,0),MATCH('Dep LinkIn'!AC$2,'UPIS LinkIn'!$C$2:$AM$2,0)))</f>
        <v>0</v>
      </c>
      <c r="AD11" s="44">
        <f>IF('AccDep LinkIn'!AB11&gt;='UPIS LinkIn'!AB11,0,$C11/12*INDEX('UPIS LinkIn'!$C$5:$AM$16,MATCH('Dep LinkIn'!$A11,'UPIS LinkIn'!$A$5:$A$16,0),MATCH('Dep LinkIn'!AD$2,'UPIS LinkIn'!$C$2:$AM$2,0)))</f>
        <v>0</v>
      </c>
      <c r="AE11" s="44">
        <f>IF('AccDep LinkIn'!AC11&gt;='UPIS LinkIn'!AC11,0,$C11/12*INDEX('UPIS LinkIn'!$C$5:$AM$16,MATCH('Dep LinkIn'!$A11,'UPIS LinkIn'!$A$5:$A$16,0),MATCH('Dep LinkIn'!AE$2,'UPIS LinkIn'!$C$2:$AM$2,0)))</f>
        <v>0</v>
      </c>
      <c r="AF11" s="44">
        <f>IF('AccDep LinkIn'!AD11&gt;='UPIS LinkIn'!AD11,0,$C11/12*INDEX('UPIS LinkIn'!$C$5:$AM$16,MATCH('Dep LinkIn'!$A11,'UPIS LinkIn'!$A$5:$A$16,0),MATCH('Dep LinkIn'!AF$2,'UPIS LinkIn'!$C$2:$AM$2,0)))</f>
        <v>0</v>
      </c>
      <c r="AG11" s="44">
        <f>IF('AccDep LinkIn'!AE11&gt;='UPIS LinkIn'!AE11,0,$C11/12*INDEX('UPIS LinkIn'!$C$5:$AM$16,MATCH('Dep LinkIn'!$A11,'UPIS LinkIn'!$A$5:$A$16,0),MATCH('Dep LinkIn'!AG$2,'UPIS LinkIn'!$C$2:$AM$2,0)))</f>
        <v>0</v>
      </c>
      <c r="AH11" s="44">
        <f>IF('AccDep LinkIn'!AF11&gt;='UPIS LinkIn'!AF11,0,$C11/12*INDEX('UPIS LinkIn'!$C$5:$AM$16,MATCH('Dep LinkIn'!$A11,'UPIS LinkIn'!$A$5:$A$16,0),MATCH('Dep LinkIn'!AH$2,'UPIS LinkIn'!$C$2:$AM$2,0)))</f>
        <v>0</v>
      </c>
      <c r="AI11" s="44">
        <f>IF('AccDep LinkIn'!AG11&gt;='UPIS LinkIn'!AG11,0,$C11/12*INDEX('UPIS LinkIn'!$C$5:$AM$16,MATCH('Dep LinkIn'!$A11,'UPIS LinkIn'!$A$5:$A$16,0),MATCH('Dep LinkIn'!AI$2,'UPIS LinkIn'!$C$2:$AM$2,0)))</f>
        <v>0</v>
      </c>
      <c r="AJ11" s="44">
        <f>IF('AccDep LinkIn'!AH11&gt;='UPIS LinkIn'!AH11,0,$C11/12*INDEX('UPIS LinkIn'!$C$5:$AM$16,MATCH('Dep LinkIn'!$A11,'UPIS LinkIn'!$A$5:$A$16,0),MATCH('Dep LinkIn'!AJ$2,'UPIS LinkIn'!$C$2:$AM$2,0)))</f>
        <v>0</v>
      </c>
      <c r="AK11" s="44">
        <f>IF('AccDep LinkIn'!AI11&gt;='UPIS LinkIn'!AI11,0,$C11/12*INDEX('UPIS LinkIn'!$C$5:$AM$16,MATCH('Dep LinkIn'!$A11,'UPIS LinkIn'!$A$5:$A$16,0),MATCH('Dep LinkIn'!AK$2,'UPIS LinkIn'!$C$2:$AM$2,0)))</f>
        <v>0</v>
      </c>
      <c r="AL11" s="44">
        <f>IF('AccDep LinkIn'!AJ11&gt;='UPIS LinkIn'!AJ11,0,$C11/12*INDEX('UPIS LinkIn'!$C$5:$AM$16,MATCH('Dep LinkIn'!$A11,'UPIS LinkIn'!$A$5:$A$16,0),MATCH('Dep LinkIn'!AL$2,'UPIS LinkIn'!$C$2:$AM$2,0)))</f>
        <v>0</v>
      </c>
      <c r="AM11" s="44">
        <f>IF('AccDep LinkIn'!AK11&gt;='UPIS LinkIn'!AK11,0,$C11/12*INDEX('UPIS LinkIn'!$C$5:$AM$16,MATCH('Dep LinkIn'!$A11,'UPIS LinkIn'!$A$5:$A$16,0),MATCH('Dep LinkIn'!AM$2,'UPIS LinkIn'!$C$2:$AM$2,0)))</f>
        <v>0</v>
      </c>
      <c r="AN11" s="44">
        <f>IF('AccDep LinkIn'!AL11&gt;='UPIS LinkIn'!AL11,0,$C11/12*INDEX('UPIS LinkIn'!$C$5:$AM$16,MATCH('Dep LinkIn'!$A11,'UPIS LinkIn'!$A$5:$A$16,0),MATCH('Dep LinkIn'!AN$2,'UPIS LinkIn'!$C$2:$AM$2,0)))</f>
        <v>0</v>
      </c>
    </row>
    <row r="12" spans="1:40" x14ac:dyDescent="0.45">
      <c r="A12" s="23">
        <v>372</v>
      </c>
      <c r="B12" s="23" t="s">
        <v>28</v>
      </c>
      <c r="C12" s="46">
        <f>'Dep - BY B3.1'!I21</f>
        <v>0.05</v>
      </c>
      <c r="D12" s="43">
        <v>858.31666666666672</v>
      </c>
      <c r="E12" s="43">
        <v>858.31666666666672</v>
      </c>
      <c r="F12" s="43">
        <v>858.31666666666672</v>
      </c>
      <c r="G12" s="43">
        <v>858.31666666666672</v>
      </c>
      <c r="H12" s="43">
        <v>858.31666666666672</v>
      </c>
      <c r="I12" s="43">
        <v>858.31666666666672</v>
      </c>
      <c r="J12" s="43">
        <v>858.31666666666672</v>
      </c>
      <c r="K12" s="44">
        <f>IF('AccDep LinkIn'!I12&gt;='UPIS LinkIn'!I12,0,$C12/12*INDEX('UPIS LinkIn'!$C$5:$AM$16,MATCH('Dep LinkIn'!$A12,'UPIS LinkIn'!$A$5:$A$16,0),MATCH('Dep LinkIn'!K$2,'UPIS LinkIn'!$C$2:$AM$2,0)))</f>
        <v>1696.7291666666667</v>
      </c>
      <c r="L12" s="44">
        <f>IF('AccDep LinkIn'!J12&gt;='UPIS LinkIn'!J12,0,$C12/12*INDEX('UPIS LinkIn'!$C$5:$AM$16,MATCH('Dep LinkIn'!$A12,'UPIS LinkIn'!$A$5:$A$16,0),MATCH('Dep LinkIn'!L$2,'UPIS LinkIn'!$C$2:$AM$2,0)))</f>
        <v>1696.7291666666667</v>
      </c>
      <c r="M12" s="44">
        <f>IF('AccDep LinkIn'!K12&gt;='UPIS LinkIn'!K12,0,$C12/12*INDEX('UPIS LinkIn'!$C$5:$AM$16,MATCH('Dep LinkIn'!$A12,'UPIS LinkIn'!$A$5:$A$16,0),MATCH('Dep LinkIn'!M$2,'UPIS LinkIn'!$C$2:$AM$2,0)))</f>
        <v>1696.7291666666667</v>
      </c>
      <c r="N12" s="44">
        <f>IF('AccDep LinkIn'!L12&gt;='UPIS LinkIn'!L12,0,$C12/12*INDEX('UPIS LinkIn'!$C$5:$AM$16,MATCH('Dep LinkIn'!$A12,'UPIS LinkIn'!$A$5:$A$16,0),MATCH('Dep LinkIn'!N$2,'UPIS LinkIn'!$C$2:$AM$2,0)))</f>
        <v>1696.7291666666667</v>
      </c>
      <c r="O12" s="44">
        <f>IF('AccDep LinkIn'!M12&gt;='UPIS LinkIn'!M12,0,$C12/12*INDEX('UPIS LinkIn'!$C$5:$AM$16,MATCH('Dep LinkIn'!$A12,'UPIS LinkIn'!$A$5:$A$16,0),MATCH('Dep LinkIn'!O$2,'UPIS LinkIn'!$C$2:$AM$2,0)))</f>
        <v>1696.7291666666667</v>
      </c>
      <c r="P12" s="44">
        <f>IF('AccDep LinkIn'!N12&gt;='UPIS LinkIn'!N12,0,$C12/12*INDEX('UPIS LinkIn'!$C$5:$AM$16,MATCH('Dep LinkIn'!$A12,'UPIS LinkIn'!$A$5:$A$16,0),MATCH('Dep LinkIn'!P$2,'UPIS LinkIn'!$C$2:$AM$2,0)))</f>
        <v>1696.7291666666667</v>
      </c>
      <c r="Q12" s="44">
        <f>IF('AccDep LinkIn'!O12&gt;='UPIS LinkIn'!O12,0,$C12/12*INDEX('UPIS LinkIn'!$C$5:$AM$16,MATCH('Dep LinkIn'!$A12,'UPIS LinkIn'!$A$5:$A$16,0),MATCH('Dep LinkIn'!Q$2,'UPIS LinkIn'!$C$2:$AM$2,0)))</f>
        <v>2227.9791666666665</v>
      </c>
      <c r="R12" s="44">
        <f>IF('AccDep LinkIn'!P12&gt;='UPIS LinkIn'!P12,0,$C12/12*INDEX('UPIS LinkIn'!$C$5:$AM$16,MATCH('Dep LinkIn'!$A12,'UPIS LinkIn'!$A$5:$A$16,0),MATCH('Dep LinkIn'!R$2,'UPIS LinkIn'!$C$2:$AM$2,0)))</f>
        <v>2540.4791666666665</v>
      </c>
      <c r="S12" s="44">
        <f>IF('AccDep LinkIn'!Q12&gt;='UPIS LinkIn'!Q12,0,$C12/12*INDEX('UPIS LinkIn'!$C$5:$AM$16,MATCH('Dep LinkIn'!$A12,'UPIS LinkIn'!$A$5:$A$16,0),MATCH('Dep LinkIn'!S$2,'UPIS LinkIn'!$C$2:$AM$2,0)))</f>
        <v>4150.895833333333</v>
      </c>
      <c r="T12" s="44">
        <f>IF('AccDep LinkIn'!R12&gt;='UPIS LinkIn'!R12,0,$C12/12*INDEX('UPIS LinkIn'!$C$5:$AM$16,MATCH('Dep LinkIn'!$A12,'UPIS LinkIn'!$A$5:$A$16,0),MATCH('Dep LinkIn'!T$2,'UPIS LinkIn'!$C$2:$AM$2,0)))</f>
        <v>5025.895833333333</v>
      </c>
      <c r="U12" s="44">
        <f>IF('AccDep LinkIn'!S12&gt;='UPIS LinkIn'!S12,0,$C12/12*INDEX('UPIS LinkIn'!$C$5:$AM$16,MATCH('Dep LinkIn'!$A12,'UPIS LinkIn'!$A$5:$A$16,0),MATCH('Dep LinkIn'!U$2,'UPIS LinkIn'!$C$2:$AM$2,0)))</f>
        <v>7755.0625</v>
      </c>
      <c r="V12" s="44">
        <f>IF('AccDep LinkIn'!T12&gt;='UPIS LinkIn'!T12,0,$C12/12*INDEX('UPIS LinkIn'!$C$5:$AM$16,MATCH('Dep LinkIn'!$A12,'UPIS LinkIn'!$A$5:$A$16,0),MATCH('Dep LinkIn'!V$2,'UPIS LinkIn'!$C$2:$AM$2,0)))</f>
        <v>7755.0625</v>
      </c>
      <c r="W12" s="44">
        <f>IF('AccDep LinkIn'!U12&gt;='UPIS LinkIn'!U12,0,$C12/12*INDEX('UPIS LinkIn'!$C$5:$AM$16,MATCH('Dep LinkIn'!$A12,'UPIS LinkIn'!$A$5:$A$16,0),MATCH('Dep LinkIn'!W$2,'UPIS LinkIn'!$C$2:$AM$2,0)))</f>
        <v>7880.0625</v>
      </c>
      <c r="X12" s="44">
        <f>IF('AccDep LinkIn'!V12&gt;='UPIS LinkIn'!V12,0,$C12/12*INDEX('UPIS LinkIn'!$C$5:$AM$16,MATCH('Dep LinkIn'!$A12,'UPIS LinkIn'!$A$5:$A$16,0),MATCH('Dep LinkIn'!X$2,'UPIS LinkIn'!$C$2:$AM$2,0)))</f>
        <v>7880.0625</v>
      </c>
      <c r="Y12" s="44">
        <f>IF('AccDep LinkIn'!W12&gt;='UPIS LinkIn'!W12,0,$C12/12*INDEX('UPIS LinkIn'!$C$5:$AM$16,MATCH('Dep LinkIn'!$A12,'UPIS LinkIn'!$A$5:$A$16,0),MATCH('Dep LinkIn'!Y$2,'UPIS LinkIn'!$C$2:$AM$2,0)))</f>
        <v>7880.0625</v>
      </c>
      <c r="Z12" s="44">
        <f>IF('AccDep LinkIn'!X12&gt;='UPIS LinkIn'!X12,0,$C12/12*INDEX('UPIS LinkIn'!$C$5:$AM$16,MATCH('Dep LinkIn'!$A12,'UPIS LinkIn'!$A$5:$A$16,0),MATCH('Dep LinkIn'!Z$2,'UPIS LinkIn'!$C$2:$AM$2,0)))</f>
        <v>7880.0625</v>
      </c>
      <c r="AA12" s="44">
        <f>IF('AccDep LinkIn'!Y12&gt;='UPIS LinkIn'!Y12,0,$C12/12*INDEX('UPIS LinkIn'!$C$5:$AM$16,MATCH('Dep LinkIn'!$A12,'UPIS LinkIn'!$A$5:$A$16,0),MATCH('Dep LinkIn'!AA$2,'UPIS LinkIn'!$C$2:$AM$2,0)))</f>
        <v>7880.0625</v>
      </c>
      <c r="AB12" s="44">
        <f>IF('AccDep LinkIn'!Z12&gt;='UPIS LinkIn'!Z12,0,$C12/12*INDEX('UPIS LinkIn'!$C$5:$AM$16,MATCH('Dep LinkIn'!$A12,'UPIS LinkIn'!$A$5:$A$16,0),MATCH('Dep LinkIn'!AB$2,'UPIS LinkIn'!$C$2:$AM$2,0)))</f>
        <v>7880.0625</v>
      </c>
      <c r="AC12" s="44">
        <f>IF('AccDep LinkIn'!AA12&gt;='UPIS LinkIn'!AA12,0,$C12/12*INDEX('UPIS LinkIn'!$C$5:$AM$16,MATCH('Dep LinkIn'!$A12,'UPIS LinkIn'!$A$5:$A$16,0),MATCH('Dep LinkIn'!AC$2,'UPIS LinkIn'!$C$2:$AM$2,0)))</f>
        <v>8838.3958333333339</v>
      </c>
      <c r="AD12" s="44">
        <f>IF('AccDep LinkIn'!AB12&gt;='UPIS LinkIn'!AB12,0,$C12/12*INDEX('UPIS LinkIn'!$C$5:$AM$16,MATCH('Dep LinkIn'!$A12,'UPIS LinkIn'!$A$5:$A$16,0),MATCH('Dep LinkIn'!AD$2,'UPIS LinkIn'!$C$2:$AM$2,0)))</f>
        <v>8838.3958333333339</v>
      </c>
      <c r="AE12" s="44">
        <f>IF('AccDep LinkIn'!AC12&gt;='UPIS LinkIn'!AC12,0,$C12/12*INDEX('UPIS LinkIn'!$C$5:$AM$16,MATCH('Dep LinkIn'!$A12,'UPIS LinkIn'!$A$5:$A$16,0),MATCH('Dep LinkIn'!AE$2,'UPIS LinkIn'!$C$2:$AM$2,0)))</f>
        <v>8838.3958333333339</v>
      </c>
      <c r="AF12" s="44">
        <f>IF('AccDep LinkIn'!AD12&gt;='UPIS LinkIn'!AD12,0,$C12/12*INDEX('UPIS LinkIn'!$C$5:$AM$16,MATCH('Dep LinkIn'!$A12,'UPIS LinkIn'!$A$5:$A$16,0),MATCH('Dep LinkIn'!AF$2,'UPIS LinkIn'!$C$2:$AM$2,0)))</f>
        <v>11969.645833333334</v>
      </c>
      <c r="AG12" s="44">
        <f>IF('AccDep LinkIn'!AE12&gt;='UPIS LinkIn'!AE12,0,$C12/12*INDEX('UPIS LinkIn'!$C$5:$AM$16,MATCH('Dep LinkIn'!$A12,'UPIS LinkIn'!$A$5:$A$16,0),MATCH('Dep LinkIn'!AG$2,'UPIS LinkIn'!$C$2:$AM$2,0)))</f>
        <v>11969.645833333334</v>
      </c>
      <c r="AH12" s="44">
        <f>IF('AccDep LinkIn'!AF12&gt;='UPIS LinkIn'!AF12,0,$C12/12*INDEX('UPIS LinkIn'!$C$5:$AM$16,MATCH('Dep LinkIn'!$A12,'UPIS LinkIn'!$A$5:$A$16,0),MATCH('Dep LinkIn'!AH$2,'UPIS LinkIn'!$C$2:$AM$2,0)))</f>
        <v>11969.645833333334</v>
      </c>
      <c r="AI12" s="44">
        <f>IF('AccDep LinkIn'!AG12&gt;='UPIS LinkIn'!AG12,0,$C12/12*INDEX('UPIS LinkIn'!$C$5:$AM$16,MATCH('Dep LinkIn'!$A12,'UPIS LinkIn'!$A$5:$A$16,0),MATCH('Dep LinkIn'!AI$2,'UPIS LinkIn'!$C$2:$AM$2,0)))</f>
        <v>11969.645833333334</v>
      </c>
      <c r="AJ12" s="44">
        <f>IF('AccDep LinkIn'!AH12&gt;='UPIS LinkIn'!AH12,0,$C12/12*INDEX('UPIS LinkIn'!$C$5:$AM$16,MATCH('Dep LinkIn'!$A12,'UPIS LinkIn'!$A$5:$A$16,0),MATCH('Dep LinkIn'!AJ$2,'UPIS LinkIn'!$C$2:$AM$2,0)))</f>
        <v>11969.645833333334</v>
      </c>
      <c r="AK12" s="44">
        <f>IF('AccDep LinkIn'!AI12&gt;='UPIS LinkIn'!AI12,0,$C12/12*INDEX('UPIS LinkIn'!$C$5:$AM$16,MATCH('Dep LinkIn'!$A12,'UPIS LinkIn'!$A$5:$A$16,0),MATCH('Dep LinkIn'!AK$2,'UPIS LinkIn'!$C$2:$AM$2,0)))</f>
        <v>11969.645833333334</v>
      </c>
      <c r="AL12" s="44">
        <f>IF('AccDep LinkIn'!AJ12&gt;='UPIS LinkIn'!AJ12,0,$C12/12*INDEX('UPIS LinkIn'!$C$5:$AM$16,MATCH('Dep LinkIn'!$A12,'UPIS LinkIn'!$A$5:$A$16,0),MATCH('Dep LinkIn'!AL$2,'UPIS LinkIn'!$C$2:$AM$2,0)))</f>
        <v>11969.645833333334</v>
      </c>
      <c r="AM12" s="44">
        <f>IF('AccDep LinkIn'!AK12&gt;='UPIS LinkIn'!AK12,0,$C12/12*INDEX('UPIS LinkIn'!$C$5:$AM$16,MATCH('Dep LinkIn'!$A12,'UPIS LinkIn'!$A$5:$A$16,0),MATCH('Dep LinkIn'!AM$2,'UPIS LinkIn'!$C$2:$AM$2,0)))</f>
        <v>11969.645833333334</v>
      </c>
      <c r="AN12" s="44">
        <f>IF('AccDep LinkIn'!AL12&gt;='UPIS LinkIn'!AL12,0,$C12/12*INDEX('UPIS LinkIn'!$C$5:$AM$16,MATCH('Dep LinkIn'!$A12,'UPIS LinkIn'!$A$5:$A$16,0),MATCH('Dep LinkIn'!AN$2,'UPIS LinkIn'!$C$2:$AM$2,0)))</f>
        <v>11969.645833333334</v>
      </c>
    </row>
    <row r="13" spans="1:40" x14ac:dyDescent="0.45">
      <c r="A13" s="23">
        <v>373</v>
      </c>
      <c r="B13" s="23" t="s">
        <v>29</v>
      </c>
      <c r="C13" s="46">
        <f>'Dep - BY B3.1'!I22</f>
        <v>2.5000000000000001E-2</v>
      </c>
      <c r="D13" s="43">
        <v>328.58333333333331</v>
      </c>
      <c r="E13" s="43">
        <v>328.58333333333331</v>
      </c>
      <c r="F13" s="43">
        <v>328.58333333333331</v>
      </c>
      <c r="G13" s="43">
        <v>328.58333333333331</v>
      </c>
      <c r="H13" s="43">
        <v>328.58333333333331</v>
      </c>
      <c r="I13" s="43">
        <v>328.58333333333331</v>
      </c>
      <c r="J13" s="43">
        <v>328.58333333333331</v>
      </c>
      <c r="K13" s="44">
        <f>IF('AccDep LinkIn'!I13&gt;='UPIS LinkIn'!I13,0,$C13/12*INDEX('UPIS LinkIn'!$C$5:$AM$16,MATCH('Dep LinkIn'!$A13,'UPIS LinkIn'!$A$5:$A$16,0),MATCH('Dep LinkIn'!K$2,'UPIS LinkIn'!$C$2:$AM$2,0)))</f>
        <v>1173.1790822916666</v>
      </c>
      <c r="L13" s="44">
        <f>IF('AccDep LinkIn'!J13&gt;='UPIS LinkIn'!J13,0,$C13/12*INDEX('UPIS LinkIn'!$C$5:$AM$16,MATCH('Dep LinkIn'!$A13,'UPIS LinkIn'!$A$5:$A$16,0),MATCH('Dep LinkIn'!L$2,'UPIS LinkIn'!$C$2:$AM$2,0)))</f>
        <v>1173.1790822916666</v>
      </c>
      <c r="M13" s="44">
        <f>IF('AccDep LinkIn'!K13&gt;='UPIS LinkIn'!K13,0,$C13/12*INDEX('UPIS LinkIn'!$C$5:$AM$16,MATCH('Dep LinkIn'!$A13,'UPIS LinkIn'!$A$5:$A$16,0),MATCH('Dep LinkIn'!M$2,'UPIS LinkIn'!$C$2:$AM$2,0)))</f>
        <v>1188.7321031249999</v>
      </c>
      <c r="N13" s="44">
        <f>IF('AccDep LinkIn'!L13&gt;='UPIS LinkIn'!L13,0,$C13/12*INDEX('UPIS LinkIn'!$C$5:$AM$16,MATCH('Dep LinkIn'!$A13,'UPIS LinkIn'!$A$5:$A$16,0),MATCH('Dep LinkIn'!N$2,'UPIS LinkIn'!$C$2:$AM$2,0)))</f>
        <v>1188.7321031249999</v>
      </c>
      <c r="O13" s="44">
        <f>IF('AccDep LinkIn'!M13&gt;='UPIS LinkIn'!M13,0,$C13/12*INDEX('UPIS LinkIn'!$C$5:$AM$16,MATCH('Dep LinkIn'!$A13,'UPIS LinkIn'!$A$5:$A$16,0),MATCH('Dep LinkIn'!O$2,'UPIS LinkIn'!$C$2:$AM$2,0)))</f>
        <v>1188.7321031249999</v>
      </c>
      <c r="P13" s="44">
        <f>IF('AccDep LinkIn'!N13&gt;='UPIS LinkIn'!N13,0,$C13/12*INDEX('UPIS LinkIn'!$C$5:$AM$16,MATCH('Dep LinkIn'!$A13,'UPIS LinkIn'!$A$5:$A$16,0),MATCH('Dep LinkIn'!P$2,'UPIS LinkIn'!$C$2:$AM$2,0)))</f>
        <v>1205.9991239583333</v>
      </c>
      <c r="Q13" s="44">
        <f>IF('AccDep LinkIn'!O13&gt;='UPIS LinkIn'!O13,0,$C13/12*INDEX('UPIS LinkIn'!$C$5:$AM$16,MATCH('Dep LinkIn'!$A13,'UPIS LinkIn'!$A$5:$A$16,0),MATCH('Dep LinkIn'!Q$2,'UPIS LinkIn'!$C$2:$AM$2,0)))</f>
        <v>1205.9991239583333</v>
      </c>
      <c r="R13" s="44">
        <f>IF('AccDep LinkIn'!P13&gt;='UPIS LinkIn'!P13,0,$C13/12*INDEX('UPIS LinkIn'!$C$5:$AM$16,MATCH('Dep LinkIn'!$A13,'UPIS LinkIn'!$A$5:$A$16,0),MATCH('Dep LinkIn'!R$2,'UPIS LinkIn'!$C$2:$AM$2,0)))</f>
        <v>1205.9991239583333</v>
      </c>
      <c r="S13" s="44">
        <f>IF('AccDep LinkIn'!Q13&gt;='UPIS LinkIn'!Q13,0,$C13/12*INDEX('UPIS LinkIn'!$C$5:$AM$16,MATCH('Dep LinkIn'!$A13,'UPIS LinkIn'!$A$5:$A$16,0),MATCH('Dep LinkIn'!S$2,'UPIS LinkIn'!$C$2:$AM$2,0)))</f>
        <v>1237.2491239583333</v>
      </c>
      <c r="T13" s="44">
        <f>IF('AccDep LinkIn'!R13&gt;='UPIS LinkIn'!R13,0,$C13/12*INDEX('UPIS LinkIn'!$C$5:$AM$16,MATCH('Dep LinkIn'!$A13,'UPIS LinkIn'!$A$5:$A$16,0),MATCH('Dep LinkIn'!T$2,'UPIS LinkIn'!$C$2:$AM$2,0)))</f>
        <v>1237.2491239583333</v>
      </c>
      <c r="U13" s="44">
        <f>IF('AccDep LinkIn'!S13&gt;='UPIS LinkIn'!S13,0,$C13/12*INDEX('UPIS LinkIn'!$C$5:$AM$16,MATCH('Dep LinkIn'!$A13,'UPIS LinkIn'!$A$5:$A$16,0),MATCH('Dep LinkIn'!U$2,'UPIS LinkIn'!$C$2:$AM$2,0)))</f>
        <v>1237.2491239583333</v>
      </c>
      <c r="V13" s="44">
        <f>IF('AccDep LinkIn'!T13&gt;='UPIS LinkIn'!T13,0,$C13/12*INDEX('UPIS LinkIn'!$C$5:$AM$16,MATCH('Dep LinkIn'!$A13,'UPIS LinkIn'!$A$5:$A$16,0),MATCH('Dep LinkIn'!V$2,'UPIS LinkIn'!$C$2:$AM$2,0)))</f>
        <v>1237.2491239583333</v>
      </c>
      <c r="W13" s="44">
        <f>IF('AccDep LinkIn'!U13&gt;='UPIS LinkIn'!U13,0,$C13/12*INDEX('UPIS LinkIn'!$C$5:$AM$16,MATCH('Dep LinkIn'!$A13,'UPIS LinkIn'!$A$5:$A$16,0),MATCH('Dep LinkIn'!W$2,'UPIS LinkIn'!$C$2:$AM$2,0)))</f>
        <v>1237.2491239583333</v>
      </c>
      <c r="X13" s="44">
        <f>IF('AccDep LinkIn'!V13&gt;='UPIS LinkIn'!V13,0,$C13/12*INDEX('UPIS LinkIn'!$C$5:$AM$16,MATCH('Dep LinkIn'!$A13,'UPIS LinkIn'!$A$5:$A$16,0),MATCH('Dep LinkIn'!X$2,'UPIS LinkIn'!$C$2:$AM$2,0)))</f>
        <v>1237.2491239583333</v>
      </c>
      <c r="Y13" s="44">
        <f>IF('AccDep LinkIn'!W13&gt;='UPIS LinkIn'!W13,0,$C13/12*INDEX('UPIS LinkIn'!$C$5:$AM$16,MATCH('Dep LinkIn'!$A13,'UPIS LinkIn'!$A$5:$A$16,0),MATCH('Dep LinkIn'!Y$2,'UPIS LinkIn'!$C$2:$AM$2,0)))</f>
        <v>1237.2491239583333</v>
      </c>
      <c r="Z13" s="44">
        <f>IF('AccDep LinkIn'!X13&gt;='UPIS LinkIn'!X13,0,$C13/12*INDEX('UPIS LinkIn'!$C$5:$AM$16,MATCH('Dep LinkIn'!$A13,'UPIS LinkIn'!$A$5:$A$16,0),MATCH('Dep LinkIn'!Z$2,'UPIS LinkIn'!$C$2:$AM$2,0)))</f>
        <v>1237.2491239583333</v>
      </c>
      <c r="AA13" s="44">
        <f>IF('AccDep LinkIn'!Y13&gt;='UPIS LinkIn'!Y13,0,$C13/12*INDEX('UPIS LinkIn'!$C$5:$AM$16,MATCH('Dep LinkIn'!$A13,'UPIS LinkIn'!$A$5:$A$16,0),MATCH('Dep LinkIn'!AA$2,'UPIS LinkIn'!$C$2:$AM$2,0)))</f>
        <v>1237.2491239583333</v>
      </c>
      <c r="AB13" s="44">
        <f>IF('AccDep LinkIn'!Z13&gt;='UPIS LinkIn'!Z13,0,$C13/12*INDEX('UPIS LinkIn'!$C$5:$AM$16,MATCH('Dep LinkIn'!$A13,'UPIS LinkIn'!$A$5:$A$16,0),MATCH('Dep LinkIn'!AB$2,'UPIS LinkIn'!$C$2:$AM$2,0)))</f>
        <v>2040.3741239583333</v>
      </c>
      <c r="AC13" s="44">
        <f>IF('AccDep LinkIn'!AA13&gt;='UPIS LinkIn'!AA13,0,$C13/12*INDEX('UPIS LinkIn'!$C$5:$AM$16,MATCH('Dep LinkIn'!$A13,'UPIS LinkIn'!$A$5:$A$16,0),MATCH('Dep LinkIn'!AC$2,'UPIS LinkIn'!$C$2:$AM$2,0)))</f>
        <v>2115.3741239583333</v>
      </c>
      <c r="AD13" s="44">
        <f>IF('AccDep LinkIn'!AB13&gt;='UPIS LinkIn'!AB13,0,$C13/12*INDEX('UPIS LinkIn'!$C$5:$AM$16,MATCH('Dep LinkIn'!$A13,'UPIS LinkIn'!$A$5:$A$16,0),MATCH('Dep LinkIn'!AD$2,'UPIS LinkIn'!$C$2:$AM$2,0)))</f>
        <v>2115.3741239583333</v>
      </c>
      <c r="AE13" s="44">
        <f>IF('AccDep LinkIn'!AC13&gt;='UPIS LinkIn'!AC13,0,$C13/12*INDEX('UPIS LinkIn'!$C$5:$AM$16,MATCH('Dep LinkIn'!$A13,'UPIS LinkIn'!$A$5:$A$16,0),MATCH('Dep LinkIn'!AE$2,'UPIS LinkIn'!$C$2:$AM$2,0)))</f>
        <v>2115.3741239583333</v>
      </c>
      <c r="AF13" s="44">
        <f>IF('AccDep LinkIn'!AD13&gt;='UPIS LinkIn'!AD13,0,$C13/12*INDEX('UPIS LinkIn'!$C$5:$AM$16,MATCH('Dep LinkIn'!$A13,'UPIS LinkIn'!$A$5:$A$16,0),MATCH('Dep LinkIn'!AF$2,'UPIS LinkIn'!$C$2:$AM$2,0)))</f>
        <v>2174.1241239583333</v>
      </c>
      <c r="AG13" s="44">
        <f>IF('AccDep LinkIn'!AE13&gt;='UPIS LinkIn'!AE13,0,$C13/12*INDEX('UPIS LinkIn'!$C$5:$AM$16,MATCH('Dep LinkIn'!$A13,'UPIS LinkIn'!$A$5:$A$16,0),MATCH('Dep LinkIn'!AG$2,'UPIS LinkIn'!$C$2:$AM$2,0)))</f>
        <v>2174.1241239583333</v>
      </c>
      <c r="AH13" s="44">
        <f>IF('AccDep LinkIn'!AF13&gt;='UPIS LinkIn'!AF13,0,$C13/12*INDEX('UPIS LinkIn'!$C$5:$AM$16,MATCH('Dep LinkIn'!$A13,'UPIS LinkIn'!$A$5:$A$16,0),MATCH('Dep LinkIn'!AH$2,'UPIS LinkIn'!$C$2:$AM$2,0)))</f>
        <v>2174.1241239583333</v>
      </c>
      <c r="AI13" s="44">
        <f>IF('AccDep LinkIn'!AG13&gt;='UPIS LinkIn'!AG13,0,$C13/12*INDEX('UPIS LinkIn'!$C$5:$AM$16,MATCH('Dep LinkIn'!$A13,'UPIS LinkIn'!$A$5:$A$16,0),MATCH('Dep LinkIn'!AI$2,'UPIS LinkIn'!$C$2:$AM$2,0)))</f>
        <v>2174.1241239583333</v>
      </c>
      <c r="AJ13" s="44">
        <f>IF('AccDep LinkIn'!AH13&gt;='UPIS LinkIn'!AH13,0,$C13/12*INDEX('UPIS LinkIn'!$C$5:$AM$16,MATCH('Dep LinkIn'!$A13,'UPIS LinkIn'!$A$5:$A$16,0),MATCH('Dep LinkIn'!AJ$2,'UPIS LinkIn'!$C$2:$AM$2,0)))</f>
        <v>2174.1241239583333</v>
      </c>
      <c r="AK13" s="44">
        <f>IF('AccDep LinkIn'!AI13&gt;='UPIS LinkIn'!AI13,0,$C13/12*INDEX('UPIS LinkIn'!$C$5:$AM$16,MATCH('Dep LinkIn'!$A13,'UPIS LinkIn'!$A$5:$A$16,0),MATCH('Dep LinkIn'!AK$2,'UPIS LinkIn'!$C$2:$AM$2,0)))</f>
        <v>2174.1241239583333</v>
      </c>
      <c r="AL13" s="44">
        <f>IF('AccDep LinkIn'!AJ13&gt;='UPIS LinkIn'!AJ13,0,$C13/12*INDEX('UPIS LinkIn'!$C$5:$AM$16,MATCH('Dep LinkIn'!$A13,'UPIS LinkIn'!$A$5:$A$16,0),MATCH('Dep LinkIn'!AL$2,'UPIS LinkIn'!$C$2:$AM$2,0)))</f>
        <v>2174.1241239583333</v>
      </c>
      <c r="AM13" s="44">
        <f>IF('AccDep LinkIn'!AK13&gt;='UPIS LinkIn'!AK13,0,$C13/12*INDEX('UPIS LinkIn'!$C$5:$AM$16,MATCH('Dep LinkIn'!$A13,'UPIS LinkIn'!$A$5:$A$16,0),MATCH('Dep LinkIn'!AM$2,'UPIS LinkIn'!$C$2:$AM$2,0)))</f>
        <v>2174.1241239583333</v>
      </c>
      <c r="AN13" s="44">
        <f>IF('AccDep LinkIn'!AL13&gt;='UPIS LinkIn'!AL13,0,$C13/12*INDEX('UPIS LinkIn'!$C$5:$AM$16,MATCH('Dep LinkIn'!$A13,'UPIS LinkIn'!$A$5:$A$16,0),MATCH('Dep LinkIn'!AN$2,'UPIS LinkIn'!$C$2:$AM$2,0)))</f>
        <v>2174.1241239583333</v>
      </c>
    </row>
    <row r="14" spans="1:40" x14ac:dyDescent="0.45">
      <c r="A14" s="23">
        <v>375</v>
      </c>
      <c r="B14" s="23" t="s">
        <v>30</v>
      </c>
      <c r="C14" s="46">
        <f>'Dep - BY B3.1'!I23</f>
        <v>0.02</v>
      </c>
      <c r="D14" s="37"/>
      <c r="E14" s="37"/>
      <c r="F14" s="37"/>
      <c r="G14" s="37"/>
      <c r="H14" s="37"/>
      <c r="I14" s="37"/>
      <c r="J14" s="37"/>
      <c r="K14" s="44">
        <f>IF('AccDep LinkIn'!I14&gt;='UPIS LinkIn'!I14,0,$C14/12*INDEX('UPIS LinkIn'!$C$5:$AM$16,MATCH('Dep LinkIn'!$A14,'UPIS LinkIn'!$A$5:$A$16,0),MATCH('Dep LinkIn'!K$2,'UPIS LinkIn'!$C$2:$AM$2,0)))</f>
        <v>7.9273000000000007</v>
      </c>
      <c r="L14" s="44">
        <f>IF('AccDep LinkIn'!J14&gt;='UPIS LinkIn'!J14,0,$C14/12*INDEX('UPIS LinkIn'!$C$5:$AM$16,MATCH('Dep LinkIn'!$A14,'UPIS LinkIn'!$A$5:$A$16,0),MATCH('Dep LinkIn'!L$2,'UPIS LinkIn'!$C$2:$AM$2,0)))</f>
        <v>7.9273000000000007</v>
      </c>
      <c r="M14" s="44">
        <f>IF('AccDep LinkIn'!K14&gt;='UPIS LinkIn'!K14,0,$C14/12*INDEX('UPIS LinkIn'!$C$5:$AM$16,MATCH('Dep LinkIn'!$A14,'UPIS LinkIn'!$A$5:$A$16,0),MATCH('Dep LinkIn'!M$2,'UPIS LinkIn'!$C$2:$AM$2,0)))</f>
        <v>7.9273000000000007</v>
      </c>
      <c r="N14" s="44">
        <f>IF('AccDep LinkIn'!L14&gt;='UPIS LinkIn'!L14,0,$C14/12*INDEX('UPIS LinkIn'!$C$5:$AM$16,MATCH('Dep LinkIn'!$A14,'UPIS LinkIn'!$A$5:$A$16,0),MATCH('Dep LinkIn'!N$2,'UPIS LinkIn'!$C$2:$AM$2,0)))</f>
        <v>7.9273000000000007</v>
      </c>
      <c r="O14" s="44">
        <f>IF('AccDep LinkIn'!M14&gt;='UPIS LinkIn'!M14,0,$C14/12*INDEX('UPIS LinkIn'!$C$5:$AM$16,MATCH('Dep LinkIn'!$A14,'UPIS LinkIn'!$A$5:$A$16,0),MATCH('Dep LinkIn'!O$2,'UPIS LinkIn'!$C$2:$AM$2,0)))</f>
        <v>7.9273000000000007</v>
      </c>
      <c r="P14" s="44">
        <f>IF('AccDep LinkIn'!N14&gt;='UPIS LinkIn'!N14,0,$C14/12*INDEX('UPIS LinkIn'!$C$5:$AM$16,MATCH('Dep LinkIn'!$A14,'UPIS LinkIn'!$A$5:$A$16,0),MATCH('Dep LinkIn'!P$2,'UPIS LinkIn'!$C$2:$AM$2,0)))</f>
        <v>7.9273000000000007</v>
      </c>
      <c r="Q14" s="44">
        <f>IF('AccDep LinkIn'!O14&gt;='UPIS LinkIn'!O14,0,$C14/12*INDEX('UPIS LinkIn'!$C$5:$AM$16,MATCH('Dep LinkIn'!$A14,'UPIS LinkIn'!$A$5:$A$16,0),MATCH('Dep LinkIn'!Q$2,'UPIS LinkIn'!$C$2:$AM$2,0)))</f>
        <v>7.9273000000000007</v>
      </c>
      <c r="R14" s="44">
        <f>IF('AccDep LinkIn'!P14&gt;='UPIS LinkIn'!P14,0,$C14/12*INDEX('UPIS LinkIn'!$C$5:$AM$16,MATCH('Dep LinkIn'!$A14,'UPIS LinkIn'!$A$5:$A$16,0),MATCH('Dep LinkIn'!R$2,'UPIS LinkIn'!$C$2:$AM$2,0)))</f>
        <v>7.9273000000000007</v>
      </c>
      <c r="S14" s="44">
        <f>IF('AccDep LinkIn'!Q14&gt;='UPIS LinkIn'!Q14,0,$C14/12*INDEX('UPIS LinkIn'!$C$5:$AM$16,MATCH('Dep LinkIn'!$A14,'UPIS LinkIn'!$A$5:$A$16,0),MATCH('Dep LinkIn'!S$2,'UPIS LinkIn'!$C$2:$AM$2,0)))</f>
        <v>7.9273000000000007</v>
      </c>
      <c r="T14" s="44">
        <f>IF('AccDep LinkIn'!R14&gt;='UPIS LinkIn'!R14,0,$C14/12*INDEX('UPIS LinkIn'!$C$5:$AM$16,MATCH('Dep LinkIn'!$A14,'UPIS LinkIn'!$A$5:$A$16,0),MATCH('Dep LinkIn'!T$2,'UPIS LinkIn'!$C$2:$AM$2,0)))</f>
        <v>14.593966666666669</v>
      </c>
      <c r="U14" s="44">
        <f>IF('AccDep LinkIn'!S14&gt;='UPIS LinkIn'!S14,0,$C14/12*INDEX('UPIS LinkIn'!$C$5:$AM$16,MATCH('Dep LinkIn'!$A14,'UPIS LinkIn'!$A$5:$A$16,0),MATCH('Dep LinkIn'!U$2,'UPIS LinkIn'!$C$2:$AM$2,0)))</f>
        <v>56.260633333333345</v>
      </c>
      <c r="V14" s="44">
        <f>IF('AccDep LinkIn'!T14&gt;='UPIS LinkIn'!T14,0,$C14/12*INDEX('UPIS LinkIn'!$C$5:$AM$16,MATCH('Dep LinkIn'!$A14,'UPIS LinkIn'!$A$5:$A$16,0),MATCH('Dep LinkIn'!V$2,'UPIS LinkIn'!$C$2:$AM$2,0)))</f>
        <v>56.260633333333345</v>
      </c>
      <c r="W14" s="44">
        <f>IF('AccDep LinkIn'!U14&gt;='UPIS LinkIn'!U14,0,$C14/12*INDEX('UPIS LinkIn'!$C$5:$AM$16,MATCH('Dep LinkIn'!$A14,'UPIS LinkIn'!$A$5:$A$16,0),MATCH('Dep LinkIn'!W$2,'UPIS LinkIn'!$C$2:$AM$2,0)))</f>
        <v>56.260633333333345</v>
      </c>
      <c r="X14" s="44">
        <f>IF('AccDep LinkIn'!V14&gt;='UPIS LinkIn'!V14,0,$C14/12*INDEX('UPIS LinkIn'!$C$5:$AM$16,MATCH('Dep LinkIn'!$A14,'UPIS LinkIn'!$A$5:$A$16,0),MATCH('Dep LinkIn'!X$2,'UPIS LinkIn'!$C$2:$AM$2,0)))</f>
        <v>56.260633333333345</v>
      </c>
      <c r="Y14" s="44">
        <f>IF('AccDep LinkIn'!W14&gt;='UPIS LinkIn'!W14,0,$C14/12*INDEX('UPIS LinkIn'!$C$5:$AM$16,MATCH('Dep LinkIn'!$A14,'UPIS LinkIn'!$A$5:$A$16,0),MATCH('Dep LinkIn'!Y$2,'UPIS LinkIn'!$C$2:$AM$2,0)))</f>
        <v>56.260633333333345</v>
      </c>
      <c r="Z14" s="44">
        <f>IF('AccDep LinkIn'!X14&gt;='UPIS LinkIn'!X14,0,$C14/12*INDEX('UPIS LinkIn'!$C$5:$AM$16,MATCH('Dep LinkIn'!$A14,'UPIS LinkIn'!$A$5:$A$16,0),MATCH('Dep LinkIn'!Z$2,'UPIS LinkIn'!$C$2:$AM$2,0)))</f>
        <v>56.260633333333345</v>
      </c>
      <c r="AA14" s="44">
        <f>IF('AccDep LinkIn'!Y14&gt;='UPIS LinkIn'!Y14,0,$C14/12*INDEX('UPIS LinkIn'!$C$5:$AM$16,MATCH('Dep LinkIn'!$A14,'UPIS LinkIn'!$A$5:$A$16,0),MATCH('Dep LinkIn'!AA$2,'UPIS LinkIn'!$C$2:$AM$2,0)))</f>
        <v>56.260633333333345</v>
      </c>
      <c r="AB14" s="44">
        <f>IF('AccDep LinkIn'!Z14&gt;='UPIS LinkIn'!Z14,0,$C14/12*INDEX('UPIS LinkIn'!$C$5:$AM$16,MATCH('Dep LinkIn'!$A14,'UPIS LinkIn'!$A$5:$A$16,0),MATCH('Dep LinkIn'!AB$2,'UPIS LinkIn'!$C$2:$AM$2,0)))</f>
        <v>56.260633333333345</v>
      </c>
      <c r="AC14" s="44">
        <f>IF('AccDep LinkIn'!AA14&gt;='UPIS LinkIn'!AA14,0,$C14/12*INDEX('UPIS LinkIn'!$C$5:$AM$16,MATCH('Dep LinkIn'!$A14,'UPIS LinkIn'!$A$5:$A$16,0),MATCH('Dep LinkIn'!AC$2,'UPIS LinkIn'!$C$2:$AM$2,0)))</f>
        <v>56.260633333333345</v>
      </c>
      <c r="AD14" s="44">
        <f>IF('AccDep LinkIn'!AB14&gt;='UPIS LinkIn'!AB14,0,$C14/12*INDEX('UPIS LinkIn'!$C$5:$AM$16,MATCH('Dep LinkIn'!$A14,'UPIS LinkIn'!$A$5:$A$16,0),MATCH('Dep LinkIn'!AD$2,'UPIS LinkIn'!$C$2:$AM$2,0)))</f>
        <v>56.260633333333345</v>
      </c>
      <c r="AE14" s="44">
        <f>IF('AccDep LinkIn'!AC14&gt;='UPIS LinkIn'!AC14,0,$C14/12*INDEX('UPIS LinkIn'!$C$5:$AM$16,MATCH('Dep LinkIn'!$A14,'UPIS LinkIn'!$A$5:$A$16,0),MATCH('Dep LinkIn'!AE$2,'UPIS LinkIn'!$C$2:$AM$2,0)))</f>
        <v>56.260633333333345</v>
      </c>
      <c r="AF14" s="44">
        <f>IF('AccDep LinkIn'!AD14&gt;='UPIS LinkIn'!AD14,0,$C14/12*INDEX('UPIS LinkIn'!$C$5:$AM$16,MATCH('Dep LinkIn'!$A14,'UPIS LinkIn'!$A$5:$A$16,0),MATCH('Dep LinkIn'!AF$2,'UPIS LinkIn'!$C$2:$AM$2,0)))</f>
        <v>56.260633333333345</v>
      </c>
      <c r="AG14" s="44">
        <f>IF('AccDep LinkIn'!AE14&gt;='UPIS LinkIn'!AE14,0,$C14/12*INDEX('UPIS LinkIn'!$C$5:$AM$16,MATCH('Dep LinkIn'!$A14,'UPIS LinkIn'!$A$5:$A$16,0),MATCH('Dep LinkIn'!AG$2,'UPIS LinkIn'!$C$2:$AM$2,0)))</f>
        <v>56.260633333333345</v>
      </c>
      <c r="AH14" s="44">
        <f>IF('AccDep LinkIn'!AF14&gt;='UPIS LinkIn'!AF14,0,$C14/12*INDEX('UPIS LinkIn'!$C$5:$AM$16,MATCH('Dep LinkIn'!$A14,'UPIS LinkIn'!$A$5:$A$16,0),MATCH('Dep LinkIn'!AH$2,'UPIS LinkIn'!$C$2:$AM$2,0)))</f>
        <v>56.260633333333345</v>
      </c>
      <c r="AI14" s="44">
        <f>IF('AccDep LinkIn'!AG14&gt;='UPIS LinkIn'!AG14,0,$C14/12*INDEX('UPIS LinkIn'!$C$5:$AM$16,MATCH('Dep LinkIn'!$A14,'UPIS LinkIn'!$A$5:$A$16,0),MATCH('Dep LinkIn'!AI$2,'UPIS LinkIn'!$C$2:$AM$2,0)))</f>
        <v>56.260633333333345</v>
      </c>
      <c r="AJ14" s="44">
        <f>IF('AccDep LinkIn'!AH14&gt;='UPIS LinkIn'!AH14,0,$C14/12*INDEX('UPIS LinkIn'!$C$5:$AM$16,MATCH('Dep LinkIn'!$A14,'UPIS LinkIn'!$A$5:$A$16,0),MATCH('Dep LinkIn'!AJ$2,'UPIS LinkIn'!$C$2:$AM$2,0)))</f>
        <v>56.260633333333345</v>
      </c>
      <c r="AK14" s="44">
        <f>IF('AccDep LinkIn'!AI14&gt;='UPIS LinkIn'!AI14,0,$C14/12*INDEX('UPIS LinkIn'!$C$5:$AM$16,MATCH('Dep LinkIn'!$A14,'UPIS LinkIn'!$A$5:$A$16,0),MATCH('Dep LinkIn'!AK$2,'UPIS LinkIn'!$C$2:$AM$2,0)))</f>
        <v>56.260633333333345</v>
      </c>
      <c r="AL14" s="44">
        <f>IF('AccDep LinkIn'!AJ14&gt;='UPIS LinkIn'!AJ14,0,$C14/12*INDEX('UPIS LinkIn'!$C$5:$AM$16,MATCH('Dep LinkIn'!$A14,'UPIS LinkIn'!$A$5:$A$16,0),MATCH('Dep LinkIn'!AL$2,'UPIS LinkIn'!$C$2:$AM$2,0)))</f>
        <v>56.260633333333345</v>
      </c>
      <c r="AM14" s="44">
        <f>IF('AccDep LinkIn'!AK14&gt;='UPIS LinkIn'!AK14,0,$C14/12*INDEX('UPIS LinkIn'!$C$5:$AM$16,MATCH('Dep LinkIn'!$A14,'UPIS LinkIn'!$A$5:$A$16,0),MATCH('Dep LinkIn'!AM$2,'UPIS LinkIn'!$C$2:$AM$2,0)))</f>
        <v>56.260633333333345</v>
      </c>
      <c r="AN14" s="44">
        <f>IF('AccDep LinkIn'!AL14&gt;='UPIS LinkIn'!AL14,0,$C14/12*INDEX('UPIS LinkIn'!$C$5:$AM$16,MATCH('Dep LinkIn'!$A14,'UPIS LinkIn'!$A$5:$A$16,0),MATCH('Dep LinkIn'!AN$2,'UPIS LinkIn'!$C$2:$AM$2,0)))</f>
        <v>56.260633333333345</v>
      </c>
    </row>
    <row r="15" spans="1:40" x14ac:dyDescent="0.45">
      <c r="A15" s="23">
        <v>391.1</v>
      </c>
      <c r="B15" s="23" t="s">
        <v>31</v>
      </c>
      <c r="C15" s="46">
        <f>'Dep - BY B3.1'!I24</f>
        <v>0.05</v>
      </c>
      <c r="D15" s="37"/>
      <c r="E15" s="37"/>
      <c r="F15" s="37"/>
      <c r="G15" s="37"/>
      <c r="H15" s="37"/>
      <c r="I15" s="37"/>
      <c r="J15" s="37"/>
      <c r="K15" s="44">
        <f>IF('AccDep LinkIn'!I15&gt;='UPIS LinkIn'!I15,0,$C15/12*INDEX('UPIS LinkIn'!$C$5:$AM$16,MATCH('Dep LinkIn'!$A15,'UPIS LinkIn'!$A$5:$A$16,0),MATCH('Dep LinkIn'!K$2,'UPIS LinkIn'!$C$2:$AM$2,0)))</f>
        <v>0</v>
      </c>
      <c r="L15" s="44">
        <f>IF('AccDep LinkIn'!J15&gt;='UPIS LinkIn'!J15,0,$C15/12*INDEX('UPIS LinkIn'!$C$5:$AM$16,MATCH('Dep LinkIn'!$A15,'UPIS LinkIn'!$A$5:$A$16,0),MATCH('Dep LinkIn'!L$2,'UPIS LinkIn'!$C$2:$AM$2,0)))</f>
        <v>0</v>
      </c>
      <c r="M15" s="44">
        <f>IF('AccDep LinkIn'!K15&gt;='UPIS LinkIn'!K15,0,$C15/12*INDEX('UPIS LinkIn'!$C$5:$AM$16,MATCH('Dep LinkIn'!$A15,'UPIS LinkIn'!$A$5:$A$16,0),MATCH('Dep LinkIn'!M$2,'UPIS LinkIn'!$C$2:$AM$2,0)))</f>
        <v>0</v>
      </c>
      <c r="N15" s="44">
        <f>IF('AccDep LinkIn'!L15&gt;='UPIS LinkIn'!L15,0,$C15/12*INDEX('UPIS LinkIn'!$C$5:$AM$16,MATCH('Dep LinkIn'!$A15,'UPIS LinkIn'!$A$5:$A$16,0),MATCH('Dep LinkIn'!N$2,'UPIS LinkIn'!$C$2:$AM$2,0)))</f>
        <v>0</v>
      </c>
      <c r="O15" s="44">
        <f>IF('AccDep LinkIn'!M15&gt;='UPIS LinkIn'!M15,0,$C15/12*INDEX('UPIS LinkIn'!$C$5:$AM$16,MATCH('Dep LinkIn'!$A15,'UPIS LinkIn'!$A$5:$A$16,0),MATCH('Dep LinkIn'!O$2,'UPIS LinkIn'!$C$2:$AM$2,0)))</f>
        <v>0</v>
      </c>
      <c r="P15" s="44">
        <f>IF('AccDep LinkIn'!N15&gt;='UPIS LinkIn'!N15,0,$C15/12*INDEX('UPIS LinkIn'!$C$5:$AM$16,MATCH('Dep LinkIn'!$A15,'UPIS LinkIn'!$A$5:$A$16,0),MATCH('Dep LinkIn'!P$2,'UPIS LinkIn'!$C$2:$AM$2,0)))</f>
        <v>0</v>
      </c>
      <c r="Q15" s="44">
        <f>IF('AccDep LinkIn'!O15&gt;='UPIS LinkIn'!O15,0,$C15/12*INDEX('UPIS LinkIn'!$C$5:$AM$16,MATCH('Dep LinkIn'!$A15,'UPIS LinkIn'!$A$5:$A$16,0),MATCH('Dep LinkIn'!Q$2,'UPIS LinkIn'!$C$2:$AM$2,0)))</f>
        <v>0</v>
      </c>
      <c r="R15" s="44">
        <f>IF('AccDep LinkIn'!P15&gt;='UPIS LinkIn'!P15,0,$C15/12*INDEX('UPIS LinkIn'!$C$5:$AM$16,MATCH('Dep LinkIn'!$A15,'UPIS LinkIn'!$A$5:$A$16,0),MATCH('Dep LinkIn'!R$2,'UPIS LinkIn'!$C$2:$AM$2,0)))</f>
        <v>0</v>
      </c>
      <c r="S15" s="44">
        <f>IF('AccDep LinkIn'!Q15&gt;='UPIS LinkIn'!Q15,0,$C15/12*INDEX('UPIS LinkIn'!$C$5:$AM$16,MATCH('Dep LinkIn'!$A15,'UPIS LinkIn'!$A$5:$A$16,0),MATCH('Dep LinkIn'!S$2,'UPIS LinkIn'!$C$2:$AM$2,0)))</f>
        <v>0</v>
      </c>
      <c r="T15" s="44">
        <f>IF('AccDep LinkIn'!R15&gt;='UPIS LinkIn'!R15,0,$C15/12*INDEX('UPIS LinkIn'!$C$5:$AM$16,MATCH('Dep LinkIn'!$A15,'UPIS LinkIn'!$A$5:$A$16,0),MATCH('Dep LinkIn'!T$2,'UPIS LinkIn'!$C$2:$AM$2,0)))</f>
        <v>0</v>
      </c>
      <c r="U15" s="44">
        <f>IF('AccDep LinkIn'!S15&gt;='UPIS LinkIn'!S15,0,$C15/12*INDEX('UPIS LinkIn'!$C$5:$AM$16,MATCH('Dep LinkIn'!$A15,'UPIS LinkIn'!$A$5:$A$16,0),MATCH('Dep LinkIn'!U$2,'UPIS LinkIn'!$C$2:$AM$2,0)))</f>
        <v>0</v>
      </c>
      <c r="V15" s="44">
        <f>IF('AccDep LinkIn'!T15&gt;='UPIS LinkIn'!T15,0,$C15/12*INDEX('UPIS LinkIn'!$C$5:$AM$16,MATCH('Dep LinkIn'!$A15,'UPIS LinkIn'!$A$5:$A$16,0),MATCH('Dep LinkIn'!V$2,'UPIS LinkIn'!$C$2:$AM$2,0)))</f>
        <v>0</v>
      </c>
      <c r="W15" s="44">
        <f>IF('AccDep LinkIn'!U15&gt;='UPIS LinkIn'!U15,0,$C15/12*INDEX('UPIS LinkIn'!$C$5:$AM$16,MATCH('Dep LinkIn'!$A15,'UPIS LinkIn'!$A$5:$A$16,0),MATCH('Dep LinkIn'!W$2,'UPIS LinkIn'!$C$2:$AM$2,0)))</f>
        <v>0</v>
      </c>
      <c r="X15" s="44">
        <f>IF('AccDep LinkIn'!V15&gt;='UPIS LinkIn'!V15,0,$C15/12*INDEX('UPIS LinkIn'!$C$5:$AM$16,MATCH('Dep LinkIn'!$A15,'UPIS LinkIn'!$A$5:$A$16,0),MATCH('Dep LinkIn'!X$2,'UPIS LinkIn'!$C$2:$AM$2,0)))</f>
        <v>0</v>
      </c>
      <c r="Y15" s="44">
        <f>IF('AccDep LinkIn'!W15&gt;='UPIS LinkIn'!W15,0,$C15/12*INDEX('UPIS LinkIn'!$C$5:$AM$16,MATCH('Dep LinkIn'!$A15,'UPIS LinkIn'!$A$5:$A$16,0),MATCH('Dep LinkIn'!Y$2,'UPIS LinkIn'!$C$2:$AM$2,0)))</f>
        <v>0</v>
      </c>
      <c r="Z15" s="44">
        <f>IF('AccDep LinkIn'!X15&gt;='UPIS LinkIn'!X15,0,$C15/12*INDEX('UPIS LinkIn'!$C$5:$AM$16,MATCH('Dep LinkIn'!$A15,'UPIS LinkIn'!$A$5:$A$16,0),MATCH('Dep LinkIn'!Z$2,'UPIS LinkIn'!$C$2:$AM$2,0)))</f>
        <v>0</v>
      </c>
      <c r="AA15" s="44">
        <f>IF('AccDep LinkIn'!Y15&gt;='UPIS LinkIn'!Y15,0,$C15/12*INDEX('UPIS LinkIn'!$C$5:$AM$16,MATCH('Dep LinkIn'!$A15,'UPIS LinkIn'!$A$5:$A$16,0),MATCH('Dep LinkIn'!AA$2,'UPIS LinkIn'!$C$2:$AM$2,0)))</f>
        <v>0</v>
      </c>
      <c r="AB15" s="44">
        <f>IF('AccDep LinkIn'!Z15&gt;='UPIS LinkIn'!Z15,0,$C15/12*INDEX('UPIS LinkIn'!$C$5:$AM$16,MATCH('Dep LinkIn'!$A15,'UPIS LinkIn'!$A$5:$A$16,0),MATCH('Dep LinkIn'!AB$2,'UPIS LinkIn'!$C$2:$AM$2,0)))</f>
        <v>0</v>
      </c>
      <c r="AC15" s="44">
        <f>IF('AccDep LinkIn'!AA15&gt;='UPIS LinkIn'!AA15,0,$C15/12*INDEX('UPIS LinkIn'!$C$5:$AM$16,MATCH('Dep LinkIn'!$A15,'UPIS LinkIn'!$A$5:$A$16,0),MATCH('Dep LinkIn'!AC$2,'UPIS LinkIn'!$C$2:$AM$2,0)))</f>
        <v>0</v>
      </c>
      <c r="AD15" s="44">
        <f>IF('AccDep LinkIn'!AB15&gt;='UPIS LinkIn'!AB15,0,$C15/12*INDEX('UPIS LinkIn'!$C$5:$AM$16,MATCH('Dep LinkIn'!$A15,'UPIS LinkIn'!$A$5:$A$16,0),MATCH('Dep LinkIn'!AD$2,'UPIS LinkIn'!$C$2:$AM$2,0)))</f>
        <v>0</v>
      </c>
      <c r="AE15" s="44">
        <f>IF('AccDep LinkIn'!AC15&gt;='UPIS LinkIn'!AC15,0,$C15/12*INDEX('UPIS LinkIn'!$C$5:$AM$16,MATCH('Dep LinkIn'!$A15,'UPIS LinkIn'!$A$5:$A$16,0),MATCH('Dep LinkIn'!AE$2,'UPIS LinkIn'!$C$2:$AM$2,0)))</f>
        <v>0</v>
      </c>
      <c r="AF15" s="44">
        <f>IF('AccDep LinkIn'!AD15&gt;='UPIS LinkIn'!AD15,0,$C15/12*INDEX('UPIS LinkIn'!$C$5:$AM$16,MATCH('Dep LinkIn'!$A15,'UPIS LinkIn'!$A$5:$A$16,0),MATCH('Dep LinkIn'!AF$2,'UPIS LinkIn'!$C$2:$AM$2,0)))</f>
        <v>0</v>
      </c>
      <c r="AG15" s="44">
        <f>IF('AccDep LinkIn'!AE15&gt;='UPIS LinkIn'!AE15,0,$C15/12*INDEX('UPIS LinkIn'!$C$5:$AM$16,MATCH('Dep LinkIn'!$A15,'UPIS LinkIn'!$A$5:$A$16,0),MATCH('Dep LinkIn'!AG$2,'UPIS LinkIn'!$C$2:$AM$2,0)))</f>
        <v>0</v>
      </c>
      <c r="AH15" s="44">
        <f>IF('AccDep LinkIn'!AF15&gt;='UPIS LinkIn'!AF15,0,$C15/12*INDEX('UPIS LinkIn'!$C$5:$AM$16,MATCH('Dep LinkIn'!$A15,'UPIS LinkIn'!$A$5:$A$16,0),MATCH('Dep LinkIn'!AH$2,'UPIS LinkIn'!$C$2:$AM$2,0)))</f>
        <v>0</v>
      </c>
      <c r="AI15" s="44">
        <f>IF('AccDep LinkIn'!AG15&gt;='UPIS LinkIn'!AG15,0,$C15/12*INDEX('UPIS LinkIn'!$C$5:$AM$16,MATCH('Dep LinkIn'!$A15,'UPIS LinkIn'!$A$5:$A$16,0),MATCH('Dep LinkIn'!AI$2,'UPIS LinkIn'!$C$2:$AM$2,0)))</f>
        <v>0</v>
      </c>
      <c r="AJ15" s="44">
        <f>IF('AccDep LinkIn'!AH15&gt;='UPIS LinkIn'!AH15,0,$C15/12*INDEX('UPIS LinkIn'!$C$5:$AM$16,MATCH('Dep LinkIn'!$A15,'UPIS LinkIn'!$A$5:$A$16,0),MATCH('Dep LinkIn'!AJ$2,'UPIS LinkIn'!$C$2:$AM$2,0)))</f>
        <v>0</v>
      </c>
      <c r="AK15" s="44">
        <f>IF('AccDep LinkIn'!AI15&gt;='UPIS LinkIn'!AI15,0,$C15/12*INDEX('UPIS LinkIn'!$C$5:$AM$16,MATCH('Dep LinkIn'!$A15,'UPIS LinkIn'!$A$5:$A$16,0),MATCH('Dep LinkIn'!AK$2,'UPIS LinkIn'!$C$2:$AM$2,0)))</f>
        <v>0</v>
      </c>
      <c r="AL15" s="44">
        <f>IF('AccDep LinkIn'!AJ15&gt;='UPIS LinkIn'!AJ15,0,$C15/12*INDEX('UPIS LinkIn'!$C$5:$AM$16,MATCH('Dep LinkIn'!$A15,'UPIS LinkIn'!$A$5:$A$16,0),MATCH('Dep LinkIn'!AL$2,'UPIS LinkIn'!$C$2:$AM$2,0)))</f>
        <v>0</v>
      </c>
      <c r="AM15" s="44">
        <f>IF('AccDep LinkIn'!AK15&gt;='UPIS LinkIn'!AK15,0,$C15/12*INDEX('UPIS LinkIn'!$C$5:$AM$16,MATCH('Dep LinkIn'!$A15,'UPIS LinkIn'!$A$5:$A$16,0),MATCH('Dep LinkIn'!AM$2,'UPIS LinkIn'!$C$2:$AM$2,0)))</f>
        <v>0</v>
      </c>
      <c r="AN15" s="44">
        <f>IF('AccDep LinkIn'!AL15&gt;='UPIS LinkIn'!AL15,0,$C15/12*INDEX('UPIS LinkIn'!$C$5:$AM$16,MATCH('Dep LinkIn'!$A15,'UPIS LinkIn'!$A$5:$A$16,0),MATCH('Dep LinkIn'!AN$2,'UPIS LinkIn'!$C$2:$AM$2,0)))</f>
        <v>0</v>
      </c>
    </row>
    <row r="16" spans="1:40" x14ac:dyDescent="0.45">
      <c r="A16" s="23">
        <v>393</v>
      </c>
      <c r="B16" s="23" t="s">
        <v>32</v>
      </c>
      <c r="C16" s="46">
        <f>'Dep - BY B3.1'!I25</f>
        <v>6.6666666666666666E-2</v>
      </c>
      <c r="D16" s="37"/>
      <c r="E16" s="37"/>
      <c r="F16" s="37"/>
      <c r="G16" s="37"/>
      <c r="H16" s="37"/>
      <c r="I16" s="37"/>
      <c r="J16" s="37"/>
      <c r="K16" s="44">
        <f>IF('AccDep LinkIn'!I16&gt;='UPIS LinkIn'!I16,0,$C16/12*INDEX('UPIS LinkIn'!$C$5:$AM$16,MATCH('Dep LinkIn'!$A16,'UPIS LinkIn'!$A$5:$A$16,0),MATCH('Dep LinkIn'!K$2,'UPIS LinkIn'!$C$2:$AM$2,0)))</f>
        <v>644.70388611111116</v>
      </c>
      <c r="L16" s="44">
        <f>IF('AccDep LinkIn'!J16&gt;='UPIS LinkIn'!J16,0,$C16/12*INDEX('UPIS LinkIn'!$C$5:$AM$16,MATCH('Dep LinkIn'!$A16,'UPIS LinkIn'!$A$5:$A$16,0),MATCH('Dep LinkIn'!L$2,'UPIS LinkIn'!$C$2:$AM$2,0)))</f>
        <v>644.70388611111116</v>
      </c>
      <c r="M16" s="44">
        <f>IF('AccDep LinkIn'!K16&gt;='UPIS LinkIn'!K16,0,$C16/12*INDEX('UPIS LinkIn'!$C$5:$AM$16,MATCH('Dep LinkIn'!$A16,'UPIS LinkIn'!$A$5:$A$16,0),MATCH('Dep LinkIn'!M$2,'UPIS LinkIn'!$C$2:$AM$2,0)))</f>
        <v>644.70388611111116</v>
      </c>
      <c r="N16" s="44">
        <f>IF('AccDep LinkIn'!L16&gt;='UPIS LinkIn'!L16,0,$C16/12*INDEX('UPIS LinkIn'!$C$5:$AM$16,MATCH('Dep LinkIn'!$A16,'UPIS LinkIn'!$A$5:$A$16,0),MATCH('Dep LinkIn'!N$2,'UPIS LinkIn'!$C$2:$AM$2,0)))</f>
        <v>644.70388611111116</v>
      </c>
      <c r="O16" s="44">
        <f>IF('AccDep LinkIn'!M16&gt;='UPIS LinkIn'!M16,0,$C16/12*INDEX('UPIS LinkIn'!$C$5:$AM$16,MATCH('Dep LinkIn'!$A16,'UPIS LinkIn'!$A$5:$A$16,0),MATCH('Dep LinkIn'!O$2,'UPIS LinkIn'!$C$2:$AM$2,0)))</f>
        <v>644.70388611111116</v>
      </c>
      <c r="P16" s="44">
        <f>IF('AccDep LinkIn'!N16&gt;='UPIS LinkIn'!N16,0,$C16/12*INDEX('UPIS LinkIn'!$C$5:$AM$16,MATCH('Dep LinkIn'!$A16,'UPIS LinkIn'!$A$5:$A$16,0),MATCH('Dep LinkIn'!P$2,'UPIS LinkIn'!$C$2:$AM$2,0)))</f>
        <v>644.70388611111116</v>
      </c>
      <c r="Q16" s="44">
        <f>IF('AccDep LinkIn'!O16&gt;='UPIS LinkIn'!O16,0,$C16/12*INDEX('UPIS LinkIn'!$C$5:$AM$16,MATCH('Dep LinkIn'!$A16,'UPIS LinkIn'!$A$5:$A$16,0),MATCH('Dep LinkIn'!Q$2,'UPIS LinkIn'!$C$2:$AM$2,0)))</f>
        <v>689.14833055555562</v>
      </c>
      <c r="R16" s="44">
        <f>IF('AccDep LinkIn'!P16&gt;='UPIS LinkIn'!P16,0,$C16/12*INDEX('UPIS LinkIn'!$C$5:$AM$16,MATCH('Dep LinkIn'!$A16,'UPIS LinkIn'!$A$5:$A$16,0),MATCH('Dep LinkIn'!R$2,'UPIS LinkIn'!$C$2:$AM$2,0)))</f>
        <v>689.14833055555562</v>
      </c>
      <c r="S16" s="44">
        <f>IF('AccDep LinkIn'!Q16&gt;='UPIS LinkIn'!Q16,0,$C16/12*INDEX('UPIS LinkIn'!$C$5:$AM$16,MATCH('Dep LinkIn'!$A16,'UPIS LinkIn'!$A$5:$A$16,0),MATCH('Dep LinkIn'!S$2,'UPIS LinkIn'!$C$2:$AM$2,0)))</f>
        <v>689.14833055555562</v>
      </c>
      <c r="T16" s="44">
        <f>IF('AccDep LinkIn'!R16&gt;='UPIS LinkIn'!R16,0,$C16/12*INDEX('UPIS LinkIn'!$C$5:$AM$16,MATCH('Dep LinkIn'!$A16,'UPIS LinkIn'!$A$5:$A$16,0),MATCH('Dep LinkIn'!T$2,'UPIS LinkIn'!$C$2:$AM$2,0)))</f>
        <v>689.14833055555562</v>
      </c>
      <c r="U16" s="44">
        <f>IF('AccDep LinkIn'!S16&gt;='UPIS LinkIn'!S16,0,$C16/12*INDEX('UPIS LinkIn'!$C$5:$AM$16,MATCH('Dep LinkIn'!$A16,'UPIS LinkIn'!$A$5:$A$16,0),MATCH('Dep LinkIn'!U$2,'UPIS LinkIn'!$C$2:$AM$2,0)))</f>
        <v>744.70388611111105</v>
      </c>
      <c r="V16" s="44">
        <f>IF('AccDep LinkIn'!T16&gt;='UPIS LinkIn'!T16,0,$C16/12*INDEX('UPIS LinkIn'!$C$5:$AM$16,MATCH('Dep LinkIn'!$A16,'UPIS LinkIn'!$A$5:$A$16,0),MATCH('Dep LinkIn'!V$2,'UPIS LinkIn'!$C$2:$AM$2,0)))</f>
        <v>744.70388611111105</v>
      </c>
      <c r="W16" s="44">
        <f>IF('AccDep LinkIn'!U16&gt;='UPIS LinkIn'!U16,0,$C16/12*INDEX('UPIS LinkIn'!$C$5:$AM$16,MATCH('Dep LinkIn'!$A16,'UPIS LinkIn'!$A$5:$A$16,0),MATCH('Dep LinkIn'!W$2,'UPIS LinkIn'!$C$2:$AM$2,0)))</f>
        <v>744.70388611111105</v>
      </c>
      <c r="X16" s="44">
        <f>IF('AccDep LinkIn'!V16&gt;='UPIS LinkIn'!V16,0,$C16/12*INDEX('UPIS LinkIn'!$C$5:$AM$16,MATCH('Dep LinkIn'!$A16,'UPIS LinkIn'!$A$5:$A$16,0),MATCH('Dep LinkIn'!X$2,'UPIS LinkIn'!$C$2:$AM$2,0)))</f>
        <v>744.70388611111105</v>
      </c>
      <c r="Y16" s="44">
        <f>IF('AccDep LinkIn'!W16&gt;='UPIS LinkIn'!W16,0,$C16/12*INDEX('UPIS LinkIn'!$C$5:$AM$16,MATCH('Dep LinkIn'!$A16,'UPIS LinkIn'!$A$5:$A$16,0),MATCH('Dep LinkIn'!Y$2,'UPIS LinkIn'!$C$2:$AM$2,0)))</f>
        <v>744.70388611111105</v>
      </c>
      <c r="Z16" s="44">
        <f>IF('AccDep LinkIn'!X16&gt;='UPIS LinkIn'!X16,0,$C16/12*INDEX('UPIS LinkIn'!$C$5:$AM$16,MATCH('Dep LinkIn'!$A16,'UPIS LinkIn'!$A$5:$A$16,0),MATCH('Dep LinkIn'!Z$2,'UPIS LinkIn'!$C$2:$AM$2,0)))</f>
        <v>744.70388611111105</v>
      </c>
      <c r="AA16" s="44">
        <f>IF('AccDep LinkIn'!Y16&gt;='UPIS LinkIn'!Y16,0,$C16/12*INDEX('UPIS LinkIn'!$C$5:$AM$16,MATCH('Dep LinkIn'!$A16,'UPIS LinkIn'!$A$5:$A$16,0),MATCH('Dep LinkIn'!AA$2,'UPIS LinkIn'!$C$2:$AM$2,0)))</f>
        <v>744.70388611111105</v>
      </c>
      <c r="AB16" s="44">
        <f>IF('AccDep LinkIn'!Z16&gt;='UPIS LinkIn'!Z16,0,$C16/12*INDEX('UPIS LinkIn'!$C$5:$AM$16,MATCH('Dep LinkIn'!$A16,'UPIS LinkIn'!$A$5:$A$16,0),MATCH('Dep LinkIn'!AB$2,'UPIS LinkIn'!$C$2:$AM$2,0)))</f>
        <v>744.70388611111105</v>
      </c>
      <c r="AC16" s="44">
        <f>IF('AccDep LinkIn'!AA16&gt;='UPIS LinkIn'!AA16,0,$C16/12*INDEX('UPIS LinkIn'!$C$5:$AM$16,MATCH('Dep LinkIn'!$A16,'UPIS LinkIn'!$A$5:$A$16,0),MATCH('Dep LinkIn'!AC$2,'UPIS LinkIn'!$C$2:$AM$2,0)))</f>
        <v>1272.4816638888888</v>
      </c>
      <c r="AD16" s="44">
        <f>IF('AccDep LinkIn'!AB16&gt;='UPIS LinkIn'!AB16,0,$C16/12*INDEX('UPIS LinkIn'!$C$5:$AM$16,MATCH('Dep LinkIn'!$A16,'UPIS LinkIn'!$A$5:$A$16,0),MATCH('Dep LinkIn'!AD$2,'UPIS LinkIn'!$C$2:$AM$2,0)))</f>
        <v>1272.4816638888888</v>
      </c>
      <c r="AE16" s="44">
        <f>IF('AccDep LinkIn'!AC16&gt;='UPIS LinkIn'!AC16,0,$C16/12*INDEX('UPIS LinkIn'!$C$5:$AM$16,MATCH('Dep LinkIn'!$A16,'UPIS LinkIn'!$A$5:$A$16,0),MATCH('Dep LinkIn'!AE$2,'UPIS LinkIn'!$C$2:$AM$2,0)))</f>
        <v>1272.4816638888888</v>
      </c>
      <c r="AF16" s="44">
        <f>IF('AccDep LinkIn'!AD16&gt;='UPIS LinkIn'!AD16,0,$C16/12*INDEX('UPIS LinkIn'!$C$5:$AM$16,MATCH('Dep LinkIn'!$A16,'UPIS LinkIn'!$A$5:$A$16,0),MATCH('Dep LinkIn'!AF$2,'UPIS LinkIn'!$C$2:$AM$2,0)))</f>
        <v>1272.4816638888888</v>
      </c>
      <c r="AG16" s="44">
        <f>IF('AccDep LinkIn'!AE16&gt;='UPIS LinkIn'!AE16,0,$C16/12*INDEX('UPIS LinkIn'!$C$5:$AM$16,MATCH('Dep LinkIn'!$A16,'UPIS LinkIn'!$A$5:$A$16,0),MATCH('Dep LinkIn'!AG$2,'UPIS LinkIn'!$C$2:$AM$2,0)))</f>
        <v>1272.4816638888888</v>
      </c>
      <c r="AH16" s="44">
        <f>IF('AccDep LinkIn'!AF16&gt;='UPIS LinkIn'!AF16,0,$C16/12*INDEX('UPIS LinkIn'!$C$5:$AM$16,MATCH('Dep LinkIn'!$A16,'UPIS LinkIn'!$A$5:$A$16,0),MATCH('Dep LinkIn'!AH$2,'UPIS LinkIn'!$C$2:$AM$2,0)))</f>
        <v>1272.4816638888888</v>
      </c>
      <c r="AI16" s="44">
        <f>IF('AccDep LinkIn'!AG16&gt;='UPIS LinkIn'!AG16,0,$C16/12*INDEX('UPIS LinkIn'!$C$5:$AM$16,MATCH('Dep LinkIn'!$A16,'UPIS LinkIn'!$A$5:$A$16,0),MATCH('Dep LinkIn'!AI$2,'UPIS LinkIn'!$C$2:$AM$2,0)))</f>
        <v>1272.4816638888888</v>
      </c>
      <c r="AJ16" s="44">
        <f>IF('AccDep LinkIn'!AH16&gt;='UPIS LinkIn'!AH16,0,$C16/12*INDEX('UPIS LinkIn'!$C$5:$AM$16,MATCH('Dep LinkIn'!$A16,'UPIS LinkIn'!$A$5:$A$16,0),MATCH('Dep LinkIn'!AJ$2,'UPIS LinkIn'!$C$2:$AM$2,0)))</f>
        <v>1272.4816638888888</v>
      </c>
      <c r="AK16" s="44">
        <f>IF('AccDep LinkIn'!AI16&gt;='UPIS LinkIn'!AI16,0,$C16/12*INDEX('UPIS LinkIn'!$C$5:$AM$16,MATCH('Dep LinkIn'!$A16,'UPIS LinkIn'!$A$5:$A$16,0),MATCH('Dep LinkIn'!AK$2,'UPIS LinkIn'!$C$2:$AM$2,0)))</f>
        <v>1272.4816638888888</v>
      </c>
      <c r="AL16" s="44">
        <f>IF('AccDep LinkIn'!AJ16&gt;='UPIS LinkIn'!AJ16,0,$C16/12*INDEX('UPIS LinkIn'!$C$5:$AM$16,MATCH('Dep LinkIn'!$A16,'UPIS LinkIn'!$A$5:$A$16,0),MATCH('Dep LinkIn'!AL$2,'UPIS LinkIn'!$C$2:$AM$2,0)))</f>
        <v>1272.4816638888888</v>
      </c>
      <c r="AM16" s="44">
        <f>IF('AccDep LinkIn'!AK16&gt;='UPIS LinkIn'!AK16,0,$C16/12*INDEX('UPIS LinkIn'!$C$5:$AM$16,MATCH('Dep LinkIn'!$A16,'UPIS LinkIn'!$A$5:$A$16,0),MATCH('Dep LinkIn'!AM$2,'UPIS LinkIn'!$C$2:$AM$2,0)))</f>
        <v>1272.4816638888888</v>
      </c>
      <c r="AN16" s="44">
        <f>IF('AccDep LinkIn'!AL16&gt;='UPIS LinkIn'!AL16,0,$C16/12*INDEX('UPIS LinkIn'!$C$5:$AM$16,MATCH('Dep LinkIn'!$A16,'UPIS LinkIn'!$A$5:$A$16,0),MATCH('Dep LinkIn'!AN$2,'UPIS LinkIn'!$C$2:$AM$2,0)))</f>
        <v>1272.4816638888888</v>
      </c>
    </row>
    <row r="17" spans="1:40" x14ac:dyDescent="0.45">
      <c r="A17" s="23" t="s">
        <v>135</v>
      </c>
      <c r="B17" s="23" t="s">
        <v>136</v>
      </c>
      <c r="C17" s="46">
        <f>'Dep - BY B3.1'!I27</f>
        <v>3.6666666666666667E-2</v>
      </c>
      <c r="D17" s="37"/>
      <c r="E17" s="37"/>
      <c r="F17" s="37"/>
      <c r="G17" s="37"/>
      <c r="H17" s="37"/>
      <c r="I17" s="37"/>
      <c r="J17" s="37"/>
      <c r="K17" s="44">
        <f>IF('AccDep LinkIn'!I17&gt;='UPIS LinkIn'!I17,0,$C17/12*INDEX('UPIS LinkIn'!$C$5:$AM$16,MATCH('Dep LinkIn'!$A17,'UPIS LinkIn'!$A$5:$A$16,0),MATCH('Dep LinkIn'!K$2,'UPIS LinkIn'!$C$2:$AM$2,0)))</f>
        <v>0</v>
      </c>
      <c r="L17" s="44">
        <f>IF('AccDep LinkIn'!J17&gt;='UPIS LinkIn'!J17,0,$C17/12*INDEX('UPIS LinkIn'!$C$5:$AM$16,MATCH('Dep LinkIn'!$A17,'UPIS LinkIn'!$A$5:$A$16,0),MATCH('Dep LinkIn'!L$2,'UPIS LinkIn'!$C$2:$AM$2,0)))</f>
        <v>0</v>
      </c>
      <c r="M17" s="44">
        <f>IF('AccDep LinkIn'!K17&gt;='UPIS LinkIn'!K17,0,$C17/12*INDEX('UPIS LinkIn'!$C$5:$AM$17,MATCH('Dep LinkIn'!$A17,'UPIS LinkIn'!$A$5:$A$17,0),MATCH('Dep LinkIn'!M$2,'UPIS LinkIn'!$C$2:$AM$2,0)))</f>
        <v>0</v>
      </c>
      <c r="N17" s="44">
        <f>IF('AccDep LinkIn'!L17&gt;='UPIS LinkIn'!L17,0,$C17/12*INDEX('UPIS LinkIn'!$C$5:$AM$17,MATCH('Dep LinkIn'!$A17,'UPIS LinkIn'!$A$5:$A$17,0),MATCH('Dep LinkIn'!N$2,'UPIS LinkIn'!$C$2:$AM$2,0)))</f>
        <v>0</v>
      </c>
      <c r="O17" s="44">
        <f>IF('AccDep LinkIn'!M17&gt;='UPIS LinkIn'!M17,0,$C17/12*INDEX('UPIS LinkIn'!$C$5:$AM$17,MATCH('Dep LinkIn'!$A17,'UPIS LinkIn'!$A$5:$A$17,0),MATCH('Dep LinkIn'!O$2,'UPIS LinkIn'!$C$2:$AM$2,0)))</f>
        <v>179.74305555555557</v>
      </c>
      <c r="P17" s="44">
        <f>IF('AccDep LinkIn'!N17&gt;='UPIS LinkIn'!N17,0,$C17/12*INDEX('UPIS LinkIn'!$C$5:$AM$17,MATCH('Dep LinkIn'!$A17,'UPIS LinkIn'!$A$5:$A$17,0),MATCH('Dep LinkIn'!P$2,'UPIS LinkIn'!$C$2:$AM$2,0)))</f>
        <v>179.74305555555557</v>
      </c>
      <c r="Q17" s="44">
        <f>IF('AccDep LinkIn'!O17&gt;='UPIS LinkIn'!O17,0,$C17/12*INDEX('UPIS LinkIn'!$C$5:$AM$17,MATCH('Dep LinkIn'!$A17,'UPIS LinkIn'!$A$5:$A$17,0),MATCH('Dep LinkIn'!Q$2,'UPIS LinkIn'!$C$2:$AM$2,0)))</f>
        <v>6702.7552777777782</v>
      </c>
      <c r="R17" s="44">
        <f>IF('AccDep LinkIn'!P17&gt;='UPIS LinkIn'!P17,0,$C17/12*INDEX('UPIS LinkIn'!$C$5:$AM$17,MATCH('Dep LinkIn'!$A17,'UPIS LinkIn'!$A$5:$A$17,0),MATCH('Dep LinkIn'!R$2,'UPIS LinkIn'!$C$2:$AM$2,0)))</f>
        <v>6702.7552777777782</v>
      </c>
      <c r="S17" s="44">
        <f>IF('AccDep LinkIn'!Q17&gt;='UPIS LinkIn'!Q17,0,$C17/12*INDEX('UPIS LinkIn'!$C$5:$AM$17,MATCH('Dep LinkIn'!$A17,'UPIS LinkIn'!$A$5:$A$17,0),MATCH('Dep LinkIn'!S$2,'UPIS LinkIn'!$C$2:$AM$2,0)))</f>
        <v>6702.7552777777782</v>
      </c>
      <c r="T17" s="44">
        <f>IF('AccDep LinkIn'!R17&gt;='UPIS LinkIn'!R17,0,$C17/12*INDEX('UPIS LinkIn'!$C$5:$AM$17,MATCH('Dep LinkIn'!$A17,'UPIS LinkIn'!$A$5:$A$17,0),MATCH('Dep LinkIn'!T$2,'UPIS LinkIn'!$C$2:$AM$2,0)))</f>
        <v>6702.7552777777782</v>
      </c>
      <c r="U17" s="44">
        <f>IF('AccDep LinkIn'!S17&gt;='UPIS LinkIn'!S17,0,$C17/12*INDEX('UPIS LinkIn'!$C$5:$AM$17,MATCH('Dep LinkIn'!$A17,'UPIS LinkIn'!$A$5:$A$17,0),MATCH('Dep LinkIn'!U$2,'UPIS LinkIn'!$C$2:$AM$2,0)))</f>
        <v>6702.7552777777782</v>
      </c>
      <c r="V17" s="44">
        <f>IF('AccDep LinkIn'!T17&gt;='UPIS LinkIn'!T17,0,$C17/12*INDEX('UPIS LinkIn'!$C$5:$AM$17,MATCH('Dep LinkIn'!$A17,'UPIS LinkIn'!$A$5:$A$17,0),MATCH('Dep LinkIn'!V$2,'UPIS LinkIn'!$C$2:$AM$2,0)))</f>
        <v>6702.7552777777782</v>
      </c>
      <c r="W17" s="44">
        <f>IF('AccDep LinkIn'!U17&gt;='UPIS LinkIn'!U17,0,$C17/12*INDEX('UPIS LinkIn'!$C$5:$AM$17,MATCH('Dep LinkIn'!$A17,'UPIS LinkIn'!$A$5:$A$17,0),MATCH('Dep LinkIn'!W$2,'UPIS LinkIn'!$C$2:$AM$2,0)))</f>
        <v>6702.7552777777782</v>
      </c>
      <c r="X17" s="44">
        <f>IF('AccDep LinkIn'!V17&gt;='UPIS LinkIn'!V17,0,$C17/12*INDEX('UPIS LinkIn'!$C$5:$AM$17,MATCH('Dep LinkIn'!$A17,'UPIS LinkIn'!$A$5:$A$17,0),MATCH('Dep LinkIn'!X$2,'UPIS LinkIn'!$C$2:$AM$2,0)))</f>
        <v>6702.7552777777782</v>
      </c>
      <c r="Y17" s="44">
        <f>IF('AccDep LinkIn'!W17&gt;='UPIS LinkIn'!W17,0,$C17/12*INDEX('UPIS LinkIn'!$C$5:$AM$17,MATCH('Dep LinkIn'!$A17,'UPIS LinkIn'!$A$5:$A$17,0),MATCH('Dep LinkIn'!Y$2,'UPIS LinkIn'!$C$2:$AM$2,0)))</f>
        <v>6702.7552777777782</v>
      </c>
      <c r="Z17" s="44">
        <f>IF('AccDep LinkIn'!X17&gt;='UPIS LinkIn'!X17,0,$C17/12*INDEX('UPIS LinkIn'!$C$5:$AM$17,MATCH('Dep LinkIn'!$A17,'UPIS LinkIn'!$A$5:$A$17,0),MATCH('Dep LinkIn'!Z$2,'UPIS LinkIn'!$C$2:$AM$2,0)))</f>
        <v>6702.7552777777782</v>
      </c>
      <c r="AA17" s="44">
        <f>IF('AccDep LinkIn'!Y17&gt;='UPIS LinkIn'!Y17,0,$C17/12*INDEX('UPIS LinkIn'!$C$5:$AM$17,MATCH('Dep LinkIn'!$A17,'UPIS LinkIn'!$A$5:$A$17,0),MATCH('Dep LinkIn'!AA$2,'UPIS LinkIn'!$C$2:$AM$2,0)))</f>
        <v>6702.7552777777782</v>
      </c>
      <c r="AB17" s="44">
        <f>IF('AccDep LinkIn'!Z17&gt;='UPIS LinkIn'!Z17,0,$C17/12*INDEX('UPIS LinkIn'!$C$5:$AM$17,MATCH('Dep LinkIn'!$A17,'UPIS LinkIn'!$A$5:$A$17,0),MATCH('Dep LinkIn'!AB$2,'UPIS LinkIn'!$C$2:$AM$2,0)))</f>
        <v>6702.7552777777782</v>
      </c>
      <c r="AC17" s="44">
        <f>IF('AccDep LinkIn'!AA17&gt;='UPIS LinkIn'!AA17,0,$C17/12*INDEX('UPIS LinkIn'!$C$5:$AM$17,MATCH('Dep LinkIn'!$A17,'UPIS LinkIn'!$A$5:$A$17,0),MATCH('Dep LinkIn'!AC$2,'UPIS LinkIn'!$C$2:$AM$2,0)))</f>
        <v>6702.7552777777782</v>
      </c>
      <c r="AD17" s="44">
        <f>IF('AccDep LinkIn'!AB17&gt;='UPIS LinkIn'!AB17,0,$C17/12*INDEX('UPIS LinkIn'!$C$5:$AM$17,MATCH('Dep LinkIn'!$A17,'UPIS LinkIn'!$A$5:$A$17,0),MATCH('Dep LinkIn'!AD$2,'UPIS LinkIn'!$C$2:$AM$2,0)))</f>
        <v>6702.7552777777782</v>
      </c>
      <c r="AE17" s="44">
        <f>IF('AccDep LinkIn'!AC17&gt;='UPIS LinkIn'!AC17,0,$C17/12*INDEX('UPIS LinkIn'!$C$5:$AM$17,MATCH('Dep LinkIn'!$A17,'UPIS LinkIn'!$A$5:$A$17,0),MATCH('Dep LinkIn'!AE$2,'UPIS LinkIn'!$C$2:$AM$2,0)))</f>
        <v>6702.7552777777782</v>
      </c>
      <c r="AF17" s="44">
        <f>IF('AccDep LinkIn'!AD17&gt;='UPIS LinkIn'!AD17,0,$C17/12*INDEX('UPIS LinkIn'!$C$5:$AM$17,MATCH('Dep LinkIn'!$A17,'UPIS LinkIn'!$A$5:$A$17,0),MATCH('Dep LinkIn'!AF$2,'UPIS LinkIn'!$C$2:$AM$2,0)))</f>
        <v>6702.7552777777782</v>
      </c>
      <c r="AG17" s="44">
        <f>IF('AccDep LinkIn'!AE17&gt;='UPIS LinkIn'!AE17,0,$C17/12*INDEX('UPIS LinkIn'!$C$5:$AM$17,MATCH('Dep LinkIn'!$A17,'UPIS LinkIn'!$A$5:$A$17,0),MATCH('Dep LinkIn'!AG$2,'UPIS LinkIn'!$C$2:$AM$2,0)))</f>
        <v>6702.7552777777782</v>
      </c>
      <c r="AH17" s="44">
        <f>IF('AccDep LinkIn'!AF17&gt;='UPIS LinkIn'!AF17,0,$C17/12*INDEX('UPIS LinkIn'!$C$5:$AM$17,MATCH('Dep LinkIn'!$A17,'UPIS LinkIn'!$A$5:$A$17,0),MATCH('Dep LinkIn'!AH$2,'UPIS LinkIn'!$C$2:$AM$2,0)))</f>
        <v>6702.7552777777782</v>
      </c>
      <c r="AI17" s="44">
        <f>IF('AccDep LinkIn'!AG17&gt;='UPIS LinkIn'!AG17,0,$C17/12*INDEX('UPIS LinkIn'!$C$5:$AM$17,MATCH('Dep LinkIn'!$A17,'UPIS LinkIn'!$A$5:$A$17,0),MATCH('Dep LinkIn'!AI$2,'UPIS LinkIn'!$C$2:$AM$2,0)))</f>
        <v>6702.7552777777782</v>
      </c>
      <c r="AJ17" s="44">
        <f>IF('AccDep LinkIn'!AH17&gt;='UPIS LinkIn'!AH17,0,$C17/12*INDEX('UPIS LinkIn'!$C$5:$AM$17,MATCH('Dep LinkIn'!$A17,'UPIS LinkIn'!$A$5:$A$17,0),MATCH('Dep LinkIn'!AJ$2,'UPIS LinkIn'!$C$2:$AM$2,0)))</f>
        <v>6702.7552777777782</v>
      </c>
      <c r="AK17" s="44">
        <f>IF('AccDep LinkIn'!AI17&gt;='UPIS LinkIn'!AI17,0,$C17/12*INDEX('UPIS LinkIn'!$C$5:$AM$17,MATCH('Dep LinkIn'!$A17,'UPIS LinkIn'!$A$5:$A$17,0),MATCH('Dep LinkIn'!AK$2,'UPIS LinkIn'!$C$2:$AM$2,0)))</f>
        <v>6702.7552777777782</v>
      </c>
      <c r="AL17" s="44">
        <f>IF('AccDep LinkIn'!AJ17&gt;='UPIS LinkIn'!AJ17,0,$C17/12*INDEX('UPIS LinkIn'!$C$5:$AM$17,MATCH('Dep LinkIn'!$A17,'UPIS LinkIn'!$A$5:$A$17,0),MATCH('Dep LinkIn'!AL$2,'UPIS LinkIn'!$C$2:$AM$2,0)))</f>
        <v>6702.7552777777782</v>
      </c>
      <c r="AM17" s="44">
        <f>IF('AccDep LinkIn'!AK17&gt;='UPIS LinkIn'!AK17,0,$C17/12*INDEX('UPIS LinkIn'!$C$5:$AM$17,MATCH('Dep LinkIn'!$A17,'UPIS LinkIn'!$A$5:$A$17,0),MATCH('Dep LinkIn'!AM$2,'UPIS LinkIn'!$C$2:$AM$2,0)))</f>
        <v>6702.7552777777782</v>
      </c>
      <c r="AN17" s="44">
        <f>IF('AccDep LinkIn'!AL17&gt;='UPIS LinkIn'!AL17,0,$C17/12*INDEX('UPIS LinkIn'!$C$5:$AM$17,MATCH('Dep LinkIn'!$A17,'UPIS LinkIn'!$A$5:$A$17,0),MATCH('Dep LinkIn'!AN$2,'UPIS LinkIn'!$C$2:$AM$2,0)))</f>
        <v>6702.7552777777782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2" ma:contentTypeDescription="Create a new document." ma:contentTypeScope="" ma:versionID="ad274f5c268e6443438abf6ac2aab579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b35f0d760f0b69f295c070a8c3c1d2fa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AB972A-33DD-452C-84D2-99015CB10D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ADDC1-68C3-4C2C-A60D-CF2B225D9A6F}"/>
</file>

<file path=customXml/itemProps3.xml><?xml version="1.0" encoding="utf-8"?>
<ds:datastoreItem xmlns:ds="http://schemas.openxmlformats.org/officeDocument/2006/customXml" ds:itemID="{A9F7E6C4-4B77-49D8-9F01-28FDDC9D97C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18</vt:i4>
      </vt:variant>
    </vt:vector>
  </HeadingPairs>
  <TitlesOfParts>
    <vt:vector size="40" baseType="lpstr">
      <vt:lpstr>Constants LinkIn</vt:lpstr>
      <vt:lpstr>Link Out</vt:lpstr>
      <vt:lpstr>BY Rate Base - Sewer B1</vt:lpstr>
      <vt:lpstr>FY Rate Base - Sewer B1</vt:lpstr>
      <vt:lpstr>UPIS - BY B2</vt:lpstr>
      <vt:lpstr>UPIS - FY B2</vt:lpstr>
      <vt:lpstr>AccDep - BY B3</vt:lpstr>
      <vt:lpstr>AccDep - FY B3</vt:lpstr>
      <vt:lpstr>Dep - BY B3.1</vt:lpstr>
      <vt:lpstr>Dep - FY B3.1</vt:lpstr>
      <vt:lpstr>CWIP - BY B4</vt:lpstr>
      <vt:lpstr>CWIP - FY B4</vt:lpstr>
      <vt:lpstr>WC - BY B5</vt:lpstr>
      <vt:lpstr>WC - FY B5</vt:lpstr>
      <vt:lpstr>CIAC - BY B6</vt:lpstr>
      <vt:lpstr>CIAC - FY B6</vt:lpstr>
      <vt:lpstr>Worksheets&gt;</vt:lpstr>
      <vt:lpstr>CIAC WP</vt:lpstr>
      <vt:lpstr>UPIS LinkIn</vt:lpstr>
      <vt:lpstr>UPIS Detail</vt:lpstr>
      <vt:lpstr>AccDep LinkIn</vt:lpstr>
      <vt:lpstr>Dep LinkIn</vt:lpstr>
      <vt:lpstr>BY_end</vt:lpstr>
      <vt:lpstr>BY_Start</vt:lpstr>
      <vt:lpstr>FY_End</vt:lpstr>
      <vt:lpstr>FY_Start</vt:lpstr>
      <vt:lpstr>'AccDep - BY B3'!Print_Area</vt:lpstr>
      <vt:lpstr>'AccDep - FY B3'!Print_Area</vt:lpstr>
      <vt:lpstr>'BY Rate Base - Sewer B1'!Print_Area</vt:lpstr>
      <vt:lpstr>'CIAC - BY B6'!Print_Area</vt:lpstr>
      <vt:lpstr>'CIAC - FY B6'!Print_Area</vt:lpstr>
      <vt:lpstr>'CWIP - BY B4'!Print_Area</vt:lpstr>
      <vt:lpstr>'CWIP - FY B4'!Print_Area</vt:lpstr>
      <vt:lpstr>'Dep - BY B3.1'!Print_Area</vt:lpstr>
      <vt:lpstr>'Dep - FY B3.1'!Print_Area</vt:lpstr>
      <vt:lpstr>'FY Rate Base - Sewer B1'!Print_Area</vt:lpstr>
      <vt:lpstr>'UPIS - BY B2'!Print_Area</vt:lpstr>
      <vt:lpstr>'UPIS - FY B2'!Print_Area</vt:lpstr>
      <vt:lpstr>'WC - BY B5'!Print_Area</vt:lpstr>
      <vt:lpstr>'WC - FY B5'!Print_Area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Duncan</dc:creator>
  <cp:keywords/>
  <dc:description/>
  <cp:lastModifiedBy>Mike Duncan</cp:lastModifiedBy>
  <cp:revision/>
  <cp:lastPrinted>2020-09-30T15:35:56Z</cp:lastPrinted>
  <dcterms:created xsi:type="dcterms:W3CDTF">2020-08-25T15:57:36Z</dcterms:created>
  <dcterms:modified xsi:type="dcterms:W3CDTF">2021-01-12T15:36:34Z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{54B951DA-130A-440C-94AC-D688857A0E83}</vt:lpwstr>
  </property>
  <property fmtid="{D5CDD505-2E9C-101B-9397-08002B2CF9AE}" pid="3" name="ContentTypeId">
    <vt:lpwstr>0x01010035F955E8F06CBD48B7814246FB9E203E</vt:lpwstr>
  </property>
</Properties>
</file>