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130" documentId="8_{27EF800C-7A0B-40B7-A164-56283DA4E356}" xr6:coauthVersionLast="46" xr6:coauthVersionMax="46" xr10:uidLastSave="{41BBBE85-492B-413E-AC50-6C6D07EF2846}"/>
  <bookViews>
    <workbookView xWindow="21525" yWindow="-16320" windowWidth="29040" windowHeight="15840" tabRatio="738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Workpaper 2" sheetId="9" state="hidden" r:id="rId6"/>
    <sheet name="Notes" sheetId="4" r:id="rId7"/>
    <sheet name="Ref Out" sheetId="2" r:id="rId8"/>
  </sheets>
  <externalReferences>
    <externalReference r:id="rId9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1'!$A$1:$L$31</definedName>
    <definedName name="_xlnm.Print_Area" localSheetId="5">'Workpaper 2'!$A$1:$L$29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2" l="1"/>
  <c r="A37" i="6"/>
  <c r="A16" i="6"/>
  <c r="A16" i="5"/>
  <c r="V14" i="1"/>
  <c r="N16" i="6" s="1"/>
  <c r="D55" i="8" s="1"/>
  <c r="D57" i="8" s="1"/>
  <c r="U14" i="1"/>
  <c r="M16" i="6" s="1"/>
  <c r="T14" i="1"/>
  <c r="L16" i="6" s="1"/>
  <c r="S14" i="1"/>
  <c r="K16" i="6" s="1"/>
  <c r="R14" i="1"/>
  <c r="J16" i="6" s="1"/>
  <c r="Q14" i="1"/>
  <c r="I16" i="6" s="1"/>
  <c r="P14" i="1"/>
  <c r="H16" i="6" s="1"/>
  <c r="O14" i="1"/>
  <c r="G16" i="6" s="1"/>
  <c r="N14" i="1"/>
  <c r="F16" i="6" s="1"/>
  <c r="M14" i="1"/>
  <c r="E16" i="6" s="1"/>
  <c r="L14" i="1"/>
  <c r="D16" i="6" s="1"/>
  <c r="K14" i="1"/>
  <c r="C16" i="6" s="1"/>
  <c r="I14" i="1"/>
  <c r="B52" i="8" s="1"/>
  <c r="H14" i="1"/>
  <c r="A6" i="1"/>
  <c r="O16" i="6" l="1"/>
  <c r="E59" i="8" s="1"/>
  <c r="B16" i="5"/>
  <c r="B10" i="2" s="1"/>
  <c r="B16" i="6"/>
  <c r="B37" i="6"/>
  <c r="E55" i="8"/>
  <c r="E57" i="8" s="1"/>
  <c r="E60" i="8" s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E61" i="8" l="1"/>
  <c r="D16" i="5" s="1"/>
  <c r="D10" i="2" s="1"/>
  <c r="A15" i="5"/>
  <c r="A36" i="6"/>
  <c r="A15" i="6"/>
  <c r="N15" i="6"/>
  <c r="D41" i="8" s="1"/>
  <c r="D43" i="8" s="1"/>
  <c r="M15" i="6"/>
  <c r="L15" i="6"/>
  <c r="K15" i="6"/>
  <c r="J15" i="6"/>
  <c r="I15" i="6"/>
  <c r="H15" i="6"/>
  <c r="G15" i="6"/>
  <c r="F15" i="6"/>
  <c r="E15" i="6"/>
  <c r="D15" i="6"/>
  <c r="C15" i="6"/>
  <c r="B36" i="6"/>
  <c r="E41" i="8" l="1"/>
  <c r="E43" i="8" s="1"/>
  <c r="E46" i="8" s="1"/>
  <c r="O15" i="6"/>
  <c r="E45" i="8" s="1"/>
  <c r="B15" i="6"/>
  <c r="B15" i="5"/>
  <c r="B38" i="8"/>
  <c r="B28" i="3"/>
  <c r="A35" i="6"/>
  <c r="L33" i="6"/>
  <c r="K33" i="6" s="1"/>
  <c r="J33" i="6" s="1"/>
  <c r="I33" i="6" s="1"/>
  <c r="H33" i="6" s="1"/>
  <c r="G33" i="6" s="1"/>
  <c r="F33" i="6" s="1"/>
  <c r="E33" i="6" s="1"/>
  <c r="D33" i="6" s="1"/>
  <c r="C33" i="6" s="1"/>
  <c r="M33" i="6"/>
  <c r="N33" i="6"/>
  <c r="C32" i="6"/>
  <c r="E47" i="8" l="1"/>
  <c r="D15" i="5" s="1"/>
  <c r="D9" i="2" s="1"/>
  <c r="B25" i="8" l="1"/>
  <c r="B23" i="6" l="1"/>
  <c r="B35" i="6"/>
  <c r="W12" i="1"/>
  <c r="C14" i="5" s="1"/>
  <c r="W14" i="1"/>
  <c r="C16" i="5" s="1"/>
  <c r="E16" i="5" s="1"/>
  <c r="B25" i="6"/>
  <c r="B24" i="6"/>
  <c r="W13" i="1"/>
  <c r="A25" i="6"/>
  <c r="A24" i="6"/>
  <c r="A23" i="6"/>
  <c r="O37" i="6" l="1"/>
  <c r="E10" i="2"/>
  <c r="C15" i="5"/>
  <c r="E15" i="5" s="1"/>
  <c r="H37" i="6" l="1"/>
  <c r="M37" i="6"/>
  <c r="N37" i="6"/>
  <c r="C37" i="6"/>
  <c r="E37" i="6"/>
  <c r="L37" i="6"/>
  <c r="G37" i="6"/>
  <c r="D37" i="6"/>
  <c r="F37" i="6"/>
  <c r="J37" i="6"/>
  <c r="I37" i="6"/>
  <c r="K37" i="6"/>
  <c r="O36" i="6"/>
  <c r="E9" i="2"/>
  <c r="A14" i="5"/>
  <c r="H36" i="6" l="1"/>
  <c r="D36" i="6"/>
  <c r="C36" i="6"/>
  <c r="M36" i="6"/>
  <c r="G36" i="6"/>
  <c r="I36" i="6"/>
  <c r="N36" i="6"/>
  <c r="J36" i="6"/>
  <c r="F36" i="6"/>
  <c r="K36" i="6"/>
  <c r="L36" i="6"/>
  <c r="E36" i="6"/>
  <c r="L2" i="4"/>
  <c r="A3" i="6"/>
  <c r="O2" i="6"/>
  <c r="E2" i="5"/>
  <c r="U10" i="1"/>
  <c r="T10" i="1" s="1"/>
  <c r="S10" i="1" s="1"/>
  <c r="R10" i="1" s="1"/>
  <c r="Q10" i="1" s="1"/>
  <c r="P10" i="1" s="1"/>
  <c r="O10" i="1" s="1"/>
  <c r="N10" i="1" s="1"/>
  <c r="M10" i="1" s="1"/>
  <c r="L10" i="1" s="1"/>
  <c r="K10" i="1" s="1"/>
  <c r="V10" i="1"/>
  <c r="A9" i="1"/>
  <c r="B9" i="1"/>
  <c r="B7" i="1"/>
  <c r="C7" i="1"/>
  <c r="E9" i="1"/>
  <c r="A7" i="1"/>
  <c r="F2" i="3" l="1"/>
  <c r="A14" i="6"/>
  <c r="L2" i="8" l="1"/>
  <c r="A11" i="8" l="1"/>
  <c r="A8" i="8"/>
  <c r="L1" i="8"/>
  <c r="B14" i="5" l="1"/>
  <c r="A3" i="2"/>
  <c r="D12" i="6"/>
  <c r="E12" i="6"/>
  <c r="F12" i="6"/>
  <c r="G12" i="6"/>
  <c r="H12" i="6"/>
  <c r="I12" i="6"/>
  <c r="J12" i="6"/>
  <c r="K12" i="6"/>
  <c r="L12" i="6"/>
  <c r="M12" i="6"/>
  <c r="N12" i="6"/>
  <c r="C12" i="6"/>
  <c r="A12" i="8" l="1"/>
  <c r="K16" i="1"/>
  <c r="O16" i="1"/>
  <c r="S16" i="1"/>
  <c r="N16" i="1"/>
  <c r="R16" i="1"/>
  <c r="V16" i="1"/>
  <c r="L16" i="1"/>
  <c r="P16" i="1"/>
  <c r="T16" i="1"/>
  <c r="M16" i="1"/>
  <c r="Q16" i="1"/>
  <c r="U16" i="1"/>
  <c r="A5" i="8" l="1"/>
  <c r="A6" i="8"/>
  <c r="A7" i="8"/>
  <c r="B14" i="6"/>
  <c r="D14" i="6" l="1"/>
  <c r="H14" i="6"/>
  <c r="L14" i="6"/>
  <c r="F14" i="6"/>
  <c r="J14" i="6"/>
  <c r="N14" i="6"/>
  <c r="C14" i="6"/>
  <c r="G14" i="6"/>
  <c r="K14" i="6"/>
  <c r="E14" i="6"/>
  <c r="I14" i="6"/>
  <c r="M14" i="6"/>
  <c r="W16" i="1" l="1"/>
  <c r="O14" i="6"/>
  <c r="E32" i="8" l="1"/>
  <c r="D28" i="8"/>
  <c r="C15" i="3"/>
  <c r="E15" i="3" s="1"/>
  <c r="O18" i="6"/>
  <c r="N24" i="6"/>
  <c r="M24" i="6"/>
  <c r="L24" i="6"/>
  <c r="K24" i="6"/>
  <c r="J24" i="6"/>
  <c r="I24" i="6"/>
  <c r="H24" i="6"/>
  <c r="G24" i="6"/>
  <c r="F24" i="6"/>
  <c r="E24" i="6"/>
  <c r="D24" i="6"/>
  <c r="C24" i="6"/>
  <c r="D30" i="8" l="1"/>
  <c r="E28" i="8"/>
  <c r="E30" i="8" s="1"/>
  <c r="E33" i="8" s="1"/>
  <c r="E34" i="8" s="1"/>
  <c r="E65" i="8" s="1"/>
  <c r="D19" i="3" s="1"/>
  <c r="I23" i="6"/>
  <c r="C23" i="6"/>
  <c r="G23" i="6"/>
  <c r="K23" i="6"/>
  <c r="D23" i="6"/>
  <c r="H23" i="6"/>
  <c r="L23" i="6"/>
  <c r="O24" i="6"/>
  <c r="E23" i="6"/>
  <c r="M23" i="6"/>
  <c r="F23" i="6"/>
  <c r="J23" i="6"/>
  <c r="N23" i="6"/>
  <c r="D14" i="5" l="1"/>
  <c r="E14" i="5" s="1"/>
  <c r="E8" i="2" s="1"/>
  <c r="O23" i="6"/>
  <c r="D8" i="2" l="1"/>
  <c r="E11" i="2"/>
  <c r="E17" i="5"/>
  <c r="O35" i="6"/>
  <c r="J35" i="6" s="1"/>
  <c r="O27" i="6"/>
  <c r="A9" i="2"/>
  <c r="A8" i="2"/>
  <c r="E35" i="6" l="1"/>
  <c r="I35" i="6"/>
  <c r="M35" i="6"/>
  <c r="K35" i="6"/>
  <c r="N35" i="6"/>
  <c r="O39" i="6"/>
  <c r="C35" i="6"/>
  <c r="F35" i="6"/>
  <c r="G35" i="6"/>
  <c r="H35" i="6"/>
  <c r="D35" i="6"/>
  <c r="L35" i="6"/>
  <c r="D1" i="2"/>
  <c r="E12" i="5"/>
  <c r="C12" i="5"/>
  <c r="B9" i="2"/>
  <c r="B8" i="2"/>
  <c r="E13" i="3" l="1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0" i="6"/>
  <c r="A6" i="6"/>
  <c r="C17" i="5"/>
  <c r="A16" i="2"/>
  <c r="L1" i="4" l="1"/>
  <c r="F1" i="3"/>
  <c r="A15" i="2"/>
  <c r="A9" i="3" l="1"/>
  <c r="B3" i="2"/>
  <c r="A6" i="3" l="1"/>
  <c r="A6" i="5"/>
  <c r="A7" i="3"/>
  <c r="A5" i="3"/>
  <c r="A10" i="3"/>
  <c r="A4" i="3"/>
  <c r="D17" i="5" l="1"/>
  <c r="D3" i="2" l="1"/>
  <c r="E22" i="5" l="1"/>
  <c r="D11" i="2" s="1"/>
  <c r="M21" i="6" l="1"/>
  <c r="N21" i="6"/>
  <c r="L21" i="6" l="1"/>
  <c r="K21" i="6" l="1"/>
  <c r="J21" i="6" l="1"/>
  <c r="I21" i="6" l="1"/>
  <c r="H21" i="6" l="1"/>
  <c r="G21" i="6" l="1"/>
  <c r="F21" i="6" l="1"/>
  <c r="E21" i="6" l="1"/>
  <c r="C21" i="6" l="1"/>
  <c r="D21" i="6"/>
  <c r="D25" i="3" l="1"/>
  <c r="E25" i="3" s="1"/>
  <c r="E3" i="2" s="1"/>
  <c r="E28" i="3" l="1"/>
  <c r="F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<sst xmlns="http://schemas.openxmlformats.org/spreadsheetml/2006/main" count="103" uniqueCount="66">
  <si>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</si>
  <si>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</si>
  <si>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</si>
  <si>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</si>
  <si>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</si>
  <si>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</si>
  <si>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</si>
  <si>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</si>
  <si>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</si>
  <si>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</si>
  <si>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</si>
  <si>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</si>
  <si>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</si>
  <si>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</si>
  <si>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</si>
  <si>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Kentucky American Water Company</t>
  </si>
  <si>
    <t>Notes:</t>
  </si>
  <si>
    <t>A</t>
  </si>
  <si>
    <t>B</t>
  </si>
  <si>
    <t>C</t>
  </si>
  <si>
    <t>D</t>
  </si>
  <si>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</si>
  <si>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</si>
  <si>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</si>
  <si>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</si>
  <si>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</si>
  <si>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</si>
  <si>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</si>
  <si>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</si>
  <si>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</si>
  <si>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</si>
  <si>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</si>
  <si>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</si>
  <si>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</si>
  <si>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</si>
  <si>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</si>
  <si>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</si>
  <si>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</si>
  <si>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</si>
  <si>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June 30,2020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</si>
  <si>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</si>
  <si>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</si>
  <si>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</si>
  <si>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</si>
  <si>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</si>
  <si>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</si>
  <si>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</si>
  <si>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1</t>
  </si>
  <si>
    <t>Adjustment to Annualize Base Period Expenses</t>
  </si>
  <si>
    <t xml:space="preserve">Rationale: </t>
  </si>
  <si>
    <t>Monthly Amount</t>
  </si>
  <si>
    <t>Annual Amount</t>
  </si>
  <si>
    <t>Adjusted Annual Total</t>
  </si>
  <si>
    <t>Adjustment Total</t>
  </si>
  <si>
    <t>Total Adjustments to Annual Operations Expense</t>
  </si>
  <si>
    <t xml:space="preserve">Operations Expense must be annualized based on the Operations Contract to present a complete cost of service calculation.  </t>
  </si>
  <si>
    <t>618.300</t>
  </si>
  <si>
    <t>615.100</t>
  </si>
  <si>
    <t>Annualize Partial Base Year Expenses</t>
  </si>
  <si>
    <t xml:space="preserve">Bluegrass Water Utility Operating Company, LLC acquired the Center Ridge Systems in 2020.   </t>
  </si>
  <si>
    <t xml:space="preserve">Adjustments </t>
  </si>
  <si>
    <t>W/P - WE2</t>
  </si>
  <si>
    <t>Case No. 2020-00290</t>
  </si>
  <si>
    <t>Water Expenses</t>
  </si>
  <si>
    <t>635.300</t>
  </si>
  <si>
    <t>Base Year Adjustment Water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</si>
</sst>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  <numFmt numFmtId="183" formatCode="_(* #,##0_);_(* \(#,##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2" fontId="0" fillId="0" borderId="0" xfId="0" applyNumberFormat="1" applyFont="1" applyAlignment="1">
      <alignment horizontal="left"/>
    </xf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0" fontId="46" fillId="0" borderId="1" xfId="0" applyFont="1" applyBorder="1" applyAlignment="1">
      <alignment horizontal="center"/>
    </xf>
    <xf numFmtId="0" fontId="46" fillId="0" borderId="0" xfId="0" applyFont="1" applyFill="1" applyBorder="1"/>
    <xf numFmtId="179" fontId="48" fillId="0" borderId="0" xfId="0" applyNumberFormat="1" applyFont="1" applyFill="1" applyBorder="1" applyAlignment="1">
      <alignment horizontal="center"/>
    </xf>
    <xf numFmtId="182" fontId="0" fillId="0" borderId="0" xfId="0" applyNumberFormat="1" applyFont="1" applyFill="1" applyBorder="1"/>
    <xf numFmtId="43" fontId="0" fillId="0" borderId="0" xfId="1898" applyNumberFormat="1" applyFont="1" applyFill="1" applyBorder="1"/>
    <xf numFmtId="10" fontId="0" fillId="0" borderId="0" xfId="1898" applyNumberFormat="1" applyFont="1" applyFill="1" applyBorder="1"/>
    <xf numFmtId="183" fontId="0" fillId="0" borderId="0" xfId="0" applyNumberFormat="1" applyFont="1"/>
    <xf numFmtId="183" fontId="0" fillId="0" borderId="0" xfId="0" applyNumberFormat="1" applyFont="1" applyFill="1"/>
    <xf numFmtId="0" fontId="46" fillId="0" borderId="0" xfId="0" applyFont="1" applyFill="1" applyBorder="1" applyAlignment="1">
      <alignment horizontal="right"/>
    </xf>
    <xf numFmtId="5" fontId="0" fillId="0" borderId="0" xfId="0" applyNumberFormat="1" applyFill="1" applyBorder="1"/>
    <xf numFmtId="0" fontId="2" fillId="0" borderId="0" xfId="1523" applyFill="1" applyBorder="1" applyAlignment="1">
      <alignment vertical="top"/>
    </xf>
    <xf numFmtId="0" fontId="46" fillId="0" borderId="0" xfId="0" applyFont="1" applyFill="1" applyBorder="1" applyAlignment="1"/>
    <xf numFmtId="14" fontId="46" fillId="0" borderId="0" xfId="0" applyNumberFormat="1" applyFont="1" applyFill="1" applyBorder="1"/>
    <xf numFmtId="181" fontId="48" fillId="0" borderId="0" xfId="1" applyNumberFormat="1" applyFont="1" applyFill="1" applyBorder="1" applyAlignment="1">
      <alignment horizontal="center"/>
    </xf>
    <xf numFmtId="0" fontId="49" fillId="0" borderId="0" xfId="0" applyFont="1" applyFill="1" applyBorder="1"/>
    <xf numFmtId="0" fontId="0" fillId="0" borderId="0" xfId="0" applyFill="1" applyBorder="1" applyAlignment="1">
      <alignment horizontal="center"/>
    </xf>
    <xf numFmtId="49" fontId="0" fillId="26" borderId="0" xfId="0" quotePrefix="1" applyNumberFormat="1" applyFont="1" applyFill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 refreshError="1"/>
      <sheetData sheetId="1">
        <row r="3">
          <cell r="C3">
            <v>1739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August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Actual</v>
          </cell>
          <cell r="P3" t="str">
            <v>Actual</v>
          </cell>
          <cell r="Q3" t="str">
            <v>Actual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7599.54</v>
          </cell>
          <cell r="O7">
            <v>7115.54</v>
          </cell>
          <cell r="P7">
            <v>7385.82</v>
          </cell>
          <cell r="Q7">
            <v>7676.85</v>
          </cell>
          <cell r="S7">
            <v>51828.17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62629.99</v>
          </cell>
          <cell r="O9">
            <v>62736.71</v>
          </cell>
          <cell r="P9">
            <v>62410.27</v>
          </cell>
          <cell r="Q9">
            <v>65619.59</v>
          </cell>
          <cell r="S9">
            <v>707120.39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70229.53</v>
          </cell>
          <cell r="O12">
            <v>69852.25</v>
          </cell>
          <cell r="P12">
            <v>69796.09</v>
          </cell>
          <cell r="Q12">
            <v>73296.44</v>
          </cell>
          <cell r="S12">
            <v>756288.35000000009</v>
          </cell>
        </row>
        <row r="13">
          <cell r="D13" t="str">
            <v/>
          </cell>
        </row>
        <row r="14"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70229.53</v>
          </cell>
          <cell r="O14">
            <v>69852.25</v>
          </cell>
          <cell r="P14">
            <v>69796.09</v>
          </cell>
          <cell r="Q14">
            <v>73296.44</v>
          </cell>
          <cell r="S14">
            <v>756288.35000000009</v>
          </cell>
        </row>
        <row r="15">
          <cell r="D15" t="str">
            <v/>
          </cell>
        </row>
        <row r="16">
          <cell r="D16" t="str">
            <v>Expense</v>
          </cell>
          <cell r="E16" t="str">
            <v>Expense - Expense</v>
          </cell>
        </row>
        <row r="17">
          <cell r="D17" t="str">
            <v/>
          </cell>
        </row>
        <row r="18">
          <cell r="D18" t="str">
            <v>General &amp; Admin</v>
          </cell>
          <cell r="E18" t="str">
            <v>G&amp;A - General &amp; Admin</v>
          </cell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N19">
            <v>0</v>
          </cell>
          <cell r="O19">
            <v>0</v>
          </cell>
          <cell r="P19">
            <v>-1008</v>
          </cell>
          <cell r="Q19">
            <v>-1977.12</v>
          </cell>
          <cell r="S19">
            <v>-3358.35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N20">
            <v>0</v>
          </cell>
          <cell r="O20">
            <v>0</v>
          </cell>
          <cell r="Q20">
            <v>-45.92</v>
          </cell>
          <cell r="S20">
            <v>-45.92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-3670.4008755060727</v>
          </cell>
          <cell r="O21">
            <v>-6562.224337044534</v>
          </cell>
          <cell r="P21">
            <v>-4677.2470040485832</v>
          </cell>
          <cell r="Q21">
            <v>-4437.1155719557191</v>
          </cell>
          <cell r="S21">
            <v>-50959.527788554915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-646.03509109311744</v>
          </cell>
          <cell r="O22">
            <v>-598.20089068825905</v>
          </cell>
          <cell r="P22">
            <v>-607.04035931174087</v>
          </cell>
          <cell r="Q22">
            <v>-597.00664206642057</v>
          </cell>
          <cell r="S22">
            <v>-11895.462983159536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M23">
            <v>-1020.36</v>
          </cell>
          <cell r="N23">
            <v>-760.0891244939271</v>
          </cell>
          <cell r="O23">
            <v>-1358.9456629554657</v>
          </cell>
          <cell r="P23">
            <v>-968.59299595141704</v>
          </cell>
          <cell r="Q23">
            <v>-836.82442804428035</v>
          </cell>
          <cell r="S23">
            <v>-4944.8122114450907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M24">
            <v>-428.09</v>
          </cell>
          <cell r="N24">
            <v>-133.78490890688261</v>
          </cell>
          <cell r="O24">
            <v>-123.87910931174089</v>
          </cell>
          <cell r="P24">
            <v>-125.7096406882591</v>
          </cell>
          <cell r="Q24">
            <v>-112.59335793357931</v>
          </cell>
          <cell r="S24">
            <v>-924.05701684046198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-2255.2030493654161</v>
          </cell>
          <cell r="O25">
            <v>0</v>
          </cell>
          <cell r="P25">
            <v>0</v>
          </cell>
          <cell r="Q25">
            <v>-481.78577784268919</v>
          </cell>
          <cell r="S25">
            <v>-5433.1988272081053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N26">
            <v>-273.6469506345835</v>
          </cell>
          <cell r="O26">
            <v>0</v>
          </cell>
          <cell r="P26">
            <v>0</v>
          </cell>
          <cell r="Q26">
            <v>-56.364222157310778</v>
          </cell>
          <cell r="S26">
            <v>-330.0111727918943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-15283.085020242914</v>
          </cell>
          <cell r="O27">
            <v>-15283.085020242914</v>
          </cell>
          <cell r="P27">
            <v>-15283.085020242914</v>
          </cell>
          <cell r="Q27">
            <v>-15520.826568265684</v>
          </cell>
          <cell r="S27">
            <v>-201670.62162899435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L28">
            <v>-3165</v>
          </cell>
          <cell r="M28">
            <v>-3165</v>
          </cell>
          <cell r="N28">
            <v>-3164.9149797570849</v>
          </cell>
          <cell r="O28">
            <v>-3164.9149797570849</v>
          </cell>
          <cell r="P28">
            <v>-3164.9149797570849</v>
          </cell>
          <cell r="Q28">
            <v>-2927.1734317343171</v>
          </cell>
          <cell r="S28">
            <v>-18751.918371005569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0</v>
          </cell>
          <cell r="O29">
            <v>0</v>
          </cell>
          <cell r="P29">
            <v>-65598.177150809701</v>
          </cell>
          <cell r="Q29">
            <v>61748.264059040594</v>
          </cell>
          <cell r="S29">
            <v>-4933.8930917691032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923.500</v>
          </cell>
          <cell r="D30" t="str">
            <v>Sewer OutsideService (Audit/Accounting) (KY, Bluegra)</v>
          </cell>
          <cell r="E30" t="str">
            <v>923.500-04-012 - Sewer OutsideService (Audit/Accounting) (KY, Bluegra)</v>
          </cell>
          <cell r="P30">
            <v>-2000</v>
          </cell>
          <cell r="S30">
            <v>-2000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923.600</v>
          </cell>
          <cell r="D31" t="str">
            <v>Sewer OutsideService (Manage Consult) (KY, Bluegra)</v>
          </cell>
          <cell r="E31" t="str">
            <v>923.600-04-012 - Sewer OutsideService (Manage Consult) (KY, Bluegra)</v>
          </cell>
          <cell r="F31">
            <v>-2000</v>
          </cell>
          <cell r="G31">
            <v>-2000</v>
          </cell>
          <cell r="H31">
            <v>-2000</v>
          </cell>
          <cell r="I31">
            <v>-5311.64</v>
          </cell>
          <cell r="J31">
            <v>-3903.16</v>
          </cell>
          <cell r="K31">
            <v>-2834.27</v>
          </cell>
          <cell r="L31">
            <v>-4175.8100000000004</v>
          </cell>
          <cell r="M31">
            <v>-4862.79</v>
          </cell>
          <cell r="N31">
            <v>-2233.6848431174089</v>
          </cell>
          <cell r="O31">
            <v>-14606.43902327935</v>
          </cell>
          <cell r="P31">
            <v>-7661.0440182186239</v>
          </cell>
          <cell r="Q31">
            <v>-3629.9366789667897</v>
          </cell>
          <cell r="S31">
            <v>-55218.77456358217</v>
          </cell>
        </row>
        <row r="32">
          <cell r="A32" t="str">
            <v>CE4</v>
          </cell>
          <cell r="B32" t="str">
            <v>Administrative Services - Sewer</v>
          </cell>
          <cell r="C32" t="str">
            <v>923.900</v>
          </cell>
          <cell r="D32" t="str">
            <v>Sewer Outside Services (IT) (KY, Bluegra)</v>
          </cell>
          <cell r="E32" t="str">
            <v>923.900-04-012 - Sewer Outside Services (IT) (KY, Bluegra)</v>
          </cell>
          <cell r="F32">
            <v>-300</v>
          </cell>
          <cell r="G32">
            <v>-300</v>
          </cell>
          <cell r="H32">
            <v>-300</v>
          </cell>
          <cell r="I32">
            <v>-300</v>
          </cell>
          <cell r="J32">
            <v>-300</v>
          </cell>
          <cell r="K32">
            <v>-300</v>
          </cell>
          <cell r="L32">
            <v>-300</v>
          </cell>
          <cell r="M32">
            <v>-248.53</v>
          </cell>
          <cell r="N32">
            <v>-248.53238866396759</v>
          </cell>
          <cell r="O32">
            <v>-248.53238866396759</v>
          </cell>
          <cell r="P32">
            <v>-1855.1617307692309</v>
          </cell>
          <cell r="Q32">
            <v>-1884.0203690036903</v>
          </cell>
          <cell r="S32">
            <v>-6584.7768771008568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633.000</v>
          </cell>
          <cell r="D33" t="str">
            <v>Water Contractual Services (Legal Fees) (KY, Bluegra)</v>
          </cell>
          <cell r="E33" t="str">
            <v>633.000-04-012 - Water Contractual Services (Legal Fees) (KY, Bluegra)</v>
          </cell>
          <cell r="M33">
            <v>-2.58</v>
          </cell>
          <cell r="N33">
            <v>0</v>
          </cell>
          <cell r="O33">
            <v>0</v>
          </cell>
          <cell r="P33">
            <v>-13584.472849190282</v>
          </cell>
          <cell r="Q33">
            <v>11645.505940959409</v>
          </cell>
          <cell r="S33">
            <v>-1941.5469082308737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634.000</v>
          </cell>
          <cell r="D34" t="str">
            <v>Water Contractual Services (Manage Consult) (KY, Bluegra)</v>
          </cell>
          <cell r="E34" t="str">
            <v>634.000-04-012 - Water Contractual Services (Manage Consult) (KY, Bluegra)</v>
          </cell>
          <cell r="M34">
            <v>-1007.02</v>
          </cell>
          <cell r="N34">
            <v>-462.56515688259105</v>
          </cell>
          <cell r="O34">
            <v>-3024.7909767206474</v>
          </cell>
          <cell r="P34">
            <v>-1586.4959817813767</v>
          </cell>
          <cell r="Q34">
            <v>-684.59332103321026</v>
          </cell>
          <cell r="S34">
            <v>-6765.4654364178259</v>
          </cell>
        </row>
        <row r="35">
          <cell r="A35" t="str">
            <v>CE4</v>
          </cell>
          <cell r="B35" t="str">
            <v>Administrative Services - Water</v>
          </cell>
          <cell r="C35" t="str">
            <v>634.100</v>
          </cell>
          <cell r="D35" t="str">
            <v>Water Contractual Services (IT) (KY, Bluegra)</v>
          </cell>
          <cell r="E35" t="str">
            <v>634.100-04-012 - Water Contractual Services (IT) (KY, Bluegra)</v>
          </cell>
          <cell r="M35">
            <v>-51.47</v>
          </cell>
          <cell r="N35">
            <v>-51.467611336032384</v>
          </cell>
          <cell r="O35">
            <v>-51.467611336032384</v>
          </cell>
          <cell r="P35">
            <v>-384.17826923076922</v>
          </cell>
          <cell r="Q35">
            <v>-355.31963099630997</v>
          </cell>
          <cell r="S35">
            <v>-893.90312289914391</v>
          </cell>
        </row>
        <row r="36">
          <cell r="A36" t="str">
            <v>CE5</v>
          </cell>
          <cell r="B36" t="str">
            <v>Property Insurance - Sewer</v>
          </cell>
          <cell r="C36" t="str">
            <v>924.400</v>
          </cell>
          <cell r="D36" t="str">
            <v>Sewer Property Insurance   Commercial (KY, Bluegra)</v>
          </cell>
          <cell r="E36" t="str">
            <v>924.400-04-012 - Sewer Property Insurance   Commercial (KY, Bluegra)</v>
          </cell>
          <cell r="F36">
            <v>-13353</v>
          </cell>
          <cell r="G36">
            <v>-13353</v>
          </cell>
          <cell r="H36">
            <v>-13353</v>
          </cell>
          <cell r="I36">
            <v>-13353</v>
          </cell>
          <cell r="J36">
            <v>-13353</v>
          </cell>
          <cell r="K36">
            <v>-13353</v>
          </cell>
          <cell r="L36">
            <v>-13353</v>
          </cell>
          <cell r="M36">
            <v>-12717</v>
          </cell>
          <cell r="N36">
            <v>-11437.385966599189</v>
          </cell>
          <cell r="O36">
            <v>-11062.176619433198</v>
          </cell>
          <cell r="P36">
            <v>-11062.176619433198</v>
          </cell>
          <cell r="Q36">
            <v>-11234.258302583026</v>
          </cell>
          <cell r="S36">
            <v>-150983.99750804863</v>
          </cell>
        </row>
        <row r="37">
          <cell r="A37" t="str">
            <v>CE5</v>
          </cell>
          <cell r="B37" t="str">
            <v>Property Insurance - Water</v>
          </cell>
          <cell r="C37" t="str">
            <v>657.000</v>
          </cell>
          <cell r="D37" t="str">
            <v>Water Property Insurance Gen Liab (KY, Bluegra)</v>
          </cell>
          <cell r="E37" t="str">
            <v>657.000-04-012 - Water Property Insurance Gen Liab (KY, Bluegra)</v>
          </cell>
          <cell r="M37">
            <v>-636</v>
          </cell>
          <cell r="N37">
            <v>-2368.5240334008095</v>
          </cell>
          <cell r="O37">
            <v>-2290.8233805668015</v>
          </cell>
          <cell r="P37">
            <v>-2290.8233805668015</v>
          </cell>
          <cell r="Q37">
            <v>-2118.7416974169741</v>
          </cell>
          <cell r="S37">
            <v>-9704.912491951387</v>
          </cell>
        </row>
        <row r="38">
          <cell r="A38" t="str">
            <v>CE6</v>
          </cell>
          <cell r="B38" t="str">
            <v>Regulatory Expense and Permits - Sewer</v>
          </cell>
          <cell r="C38" t="str">
            <v>928.100</v>
          </cell>
          <cell r="D38" t="str">
            <v>Sewer Regulatory Expense   DNR (KY, Bluegra)</v>
          </cell>
          <cell r="E38" t="str">
            <v>928.100-04-012 - Sewer Regulatory Expense   DNR (KY, Bluegra)</v>
          </cell>
          <cell r="F38">
            <v>-6400</v>
          </cell>
          <cell r="G38">
            <v>-733.25</v>
          </cell>
          <cell r="H38">
            <v>-30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-33.840000000000003</v>
          </cell>
          <cell r="S38">
            <v>-7197.09</v>
          </cell>
        </row>
        <row r="39">
          <cell r="A39" t="str">
            <v>CE6</v>
          </cell>
          <cell r="B39" t="str">
            <v>Regulatory Expense and Permits - Water</v>
          </cell>
          <cell r="C39" t="str">
            <v>667.100</v>
          </cell>
          <cell r="D39" t="str">
            <v>Water Regulatory Expense DNR (KY, Bluegra)</v>
          </cell>
          <cell r="E39" t="str">
            <v>667.100-04-012 - Water Regulatory Expense DNR (KY, Bluegra)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A40" t="str">
            <v>CE6</v>
          </cell>
          <cell r="B40" t="str">
            <v>Regulatory Expense and Permits - Sewer</v>
          </cell>
          <cell r="C40" t="str">
            <v>928.200</v>
          </cell>
          <cell r="D40" t="str">
            <v>Sewer Regulatory Expense   PSC (KY, Bluegra)</v>
          </cell>
          <cell r="E40" t="str">
            <v>928.200-04-012 - Sewer Regulatory Expense   PSC (KY, Bluegra)</v>
          </cell>
          <cell r="L40">
            <v>-840.63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-840.63</v>
          </cell>
        </row>
        <row r="41">
          <cell r="A41" t="str">
            <v>CE6</v>
          </cell>
          <cell r="B41" t="str">
            <v>Regulatory Expense and Permits - Water</v>
          </cell>
          <cell r="C41" t="str">
            <v>667.200</v>
          </cell>
          <cell r="D41" t="str">
            <v>Water Regulatory Expense PSC (KY, Bluegra)</v>
          </cell>
          <cell r="E41" t="str">
            <v>667.200-04-012 - Water Regulatory Expense PSC (KY, Bluegra)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D42" t="str">
            <v>General &amp; Admin</v>
          </cell>
          <cell r="E42" t="str">
            <v>Total G&amp;A - General &amp; Admin</v>
          </cell>
          <cell r="F42">
            <v>-44417.75</v>
          </cell>
          <cell r="G42">
            <v>-39343.19</v>
          </cell>
          <cell r="H42">
            <v>-37907.94</v>
          </cell>
          <cell r="I42">
            <v>-46181.759999999995</v>
          </cell>
          <cell r="J42">
            <v>-42836.93</v>
          </cell>
          <cell r="K42">
            <v>-38443.339999999997</v>
          </cell>
          <cell r="L42">
            <v>-43057.64</v>
          </cell>
          <cell r="M42">
            <v>-46428.729999999996</v>
          </cell>
          <cell r="N42">
            <v>-42989.32</v>
          </cell>
          <cell r="O42">
            <v>-58375.479999999996</v>
          </cell>
          <cell r="P42">
            <v>-131857.12</v>
          </cell>
          <cell r="Q42">
            <v>26460.330000000005</v>
          </cell>
          <cell r="S42">
            <v>-545378.86999999988</v>
          </cell>
        </row>
        <row r="43">
          <cell r="D43" t="str">
            <v/>
          </cell>
        </row>
        <row r="44">
          <cell r="D44" t="str">
            <v>Operations &amp; Maintenance</v>
          </cell>
          <cell r="E44" t="str">
            <v>Ops &amp; Maint - Operations &amp; Maintenance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701.000</v>
          </cell>
          <cell r="D45" t="str">
            <v>Sewer - O&amp;M - Operations Labor and Expense (KY, Bluegra)</v>
          </cell>
          <cell r="E45" t="str">
            <v>701.000-04-012 - Sewer - O&amp;M - Operations Labor and Expense (KY, Bluegra)</v>
          </cell>
          <cell r="F45">
            <v>-37197</v>
          </cell>
          <cell r="G45">
            <v>-37197</v>
          </cell>
          <cell r="H45">
            <v>-38177</v>
          </cell>
          <cell r="I45">
            <v>-37197</v>
          </cell>
          <cell r="J45">
            <v>-43199</v>
          </cell>
          <cell r="K45">
            <v>-43339</v>
          </cell>
          <cell r="L45">
            <v>-43199</v>
          </cell>
          <cell r="M45">
            <v>-49201</v>
          </cell>
          <cell r="N45">
            <v>-43199</v>
          </cell>
          <cell r="O45">
            <v>-43199</v>
          </cell>
          <cell r="P45">
            <v>-48000.6</v>
          </cell>
          <cell r="Q45">
            <v>-55303</v>
          </cell>
          <cell r="S45">
            <v>-518407.6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701.100</v>
          </cell>
          <cell r="D46" t="str">
            <v>Sewer - O&amp;M - Testing Expense (KY, Bluegra)</v>
          </cell>
          <cell r="E46" t="str">
            <v>701.100-04-012 - Sewer - O&amp;M - Testing Expense (KY, Bluegra)</v>
          </cell>
          <cell r="F46">
            <v>-4053.25</v>
          </cell>
          <cell r="G46">
            <v>-4544.5</v>
          </cell>
          <cell r="H46">
            <v>-4914.5</v>
          </cell>
          <cell r="I46">
            <v>-4052.25</v>
          </cell>
          <cell r="J46">
            <v>-5019.5</v>
          </cell>
          <cell r="K46">
            <v>-7030.75</v>
          </cell>
          <cell r="L46">
            <v>-957.75</v>
          </cell>
          <cell r="M46">
            <v>-15125.75</v>
          </cell>
          <cell r="N46">
            <v>-8587.75</v>
          </cell>
          <cell r="O46">
            <v>-10295.5</v>
          </cell>
          <cell r="P46">
            <v>-9284</v>
          </cell>
          <cell r="Q46">
            <v>-8558.5</v>
          </cell>
          <cell r="S46">
            <v>-82424</v>
          </cell>
        </row>
        <row r="47">
          <cell r="A47" t="str">
            <v>SE1</v>
          </cell>
          <cell r="B47" t="str">
            <v>Sewer - Contract Operations</v>
          </cell>
          <cell r="C47" t="str">
            <v>701.200</v>
          </cell>
          <cell r="D47" t="str">
            <v>Sewer - O&amp;M - Sludge Removal (KY, Bluegra)</v>
          </cell>
          <cell r="E47" t="str">
            <v>701.200-04-012 - Sewer - O&amp;M - Sludge Removal (KY, Bluegra)</v>
          </cell>
          <cell r="G47">
            <v>-800</v>
          </cell>
          <cell r="M47">
            <v>0</v>
          </cell>
          <cell r="S47">
            <v>-800</v>
          </cell>
        </row>
        <row r="48">
          <cell r="A48" t="str">
            <v>SE2</v>
          </cell>
          <cell r="B48" t="str">
            <v>Sewer - Other Operations</v>
          </cell>
          <cell r="C48" t="str">
            <v>703.000</v>
          </cell>
          <cell r="D48" t="str">
            <v>Sewer - O&amp;M - Fuel &amp; Power for Pumping and Treatment (KY, Bluegra)</v>
          </cell>
          <cell r="E48" t="str">
            <v>703.000-04-012 - Sewer - O&amp;M - Fuel &amp; Power for Pumping and Treatment (KY, Bluegra)</v>
          </cell>
          <cell r="F48">
            <v>-6389.39</v>
          </cell>
          <cell r="G48">
            <v>-7934.68</v>
          </cell>
          <cell r="H48">
            <v>-4808.8</v>
          </cell>
          <cell r="I48">
            <v>-8803.1299999999992</v>
          </cell>
          <cell r="J48">
            <v>-7695.83</v>
          </cell>
          <cell r="K48">
            <v>-8633.56</v>
          </cell>
          <cell r="L48">
            <v>-7224.77</v>
          </cell>
          <cell r="M48">
            <v>-9082.09</v>
          </cell>
          <cell r="N48">
            <v>-9878.43</v>
          </cell>
          <cell r="O48">
            <v>-9024.7800000000007</v>
          </cell>
          <cell r="P48">
            <v>-8628.86</v>
          </cell>
          <cell r="Q48">
            <v>-13767.76</v>
          </cell>
          <cell r="S48">
            <v>-101872.07999999999</v>
          </cell>
        </row>
        <row r="49">
          <cell r="A49" t="str">
            <v>SE2</v>
          </cell>
          <cell r="B49" t="str">
            <v>Sewer - Other Operations</v>
          </cell>
          <cell r="C49" t="str">
            <v>704.000</v>
          </cell>
          <cell r="D49" t="str">
            <v>Sewer - O&amp;M - Chemicals (KY, Bluegra)</v>
          </cell>
          <cell r="E49" t="str">
            <v>704.000-04-012 - Sewer - O&amp;M - Chemicals (KY, Bluegra)</v>
          </cell>
          <cell r="F49">
            <v>-7909.1</v>
          </cell>
          <cell r="G49">
            <v>-1631.29</v>
          </cell>
          <cell r="H49">
            <v>-7418.15</v>
          </cell>
          <cell r="I49">
            <v>-6623.3</v>
          </cell>
          <cell r="J49">
            <v>-3883.58</v>
          </cell>
          <cell r="K49">
            <v>-13443.94</v>
          </cell>
          <cell r="L49">
            <v>-10479.58</v>
          </cell>
          <cell r="M49">
            <v>-6896.28</v>
          </cell>
          <cell r="N49">
            <v>-7211.92</v>
          </cell>
          <cell r="O49">
            <v>-3323.94</v>
          </cell>
          <cell r="P49">
            <v>-5009.88</v>
          </cell>
          <cell r="Q49">
            <v>-6112.6</v>
          </cell>
          <cell r="S49">
            <v>-79943.560000000012</v>
          </cell>
        </row>
        <row r="50">
          <cell r="A50" t="str">
            <v>SE3</v>
          </cell>
          <cell r="B50" t="str">
            <v>Sewer - Maintenance</v>
          </cell>
          <cell r="C50" t="str">
            <v>711.000</v>
          </cell>
          <cell r="D50" t="str">
            <v>Sewer - O&amp;M - Maintenance Structures and Improvements (KY, Bluegra)</v>
          </cell>
          <cell r="E50" t="str">
            <v>711.000-04-012 - Sewer - O&amp;M - Maintenance Structures and Improvements (KY, Bluegra)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-10584.79</v>
          </cell>
          <cell r="N50">
            <v>-5985</v>
          </cell>
          <cell r="O50">
            <v>-3522.76</v>
          </cell>
          <cell r="P50">
            <v>-1505</v>
          </cell>
          <cell r="S50">
            <v>-21597.550000000003</v>
          </cell>
        </row>
        <row r="51">
          <cell r="A51" t="str">
            <v>SE3</v>
          </cell>
          <cell r="B51" t="str">
            <v>Sewer - Maintenance</v>
          </cell>
          <cell r="C51" t="str">
            <v>712.000</v>
          </cell>
          <cell r="D51" t="str">
            <v>Sewer - O&amp;M - Maintenance of Collection Sewer System (KY, Bluegra)</v>
          </cell>
          <cell r="E51" t="str">
            <v>712.000-04-012 - Sewer - O&amp;M - Maintenance of Collection Sewer System (KY, Bluegra)</v>
          </cell>
          <cell r="F51">
            <v>0</v>
          </cell>
          <cell r="G51">
            <v>-665</v>
          </cell>
          <cell r="H51">
            <v>-1170</v>
          </cell>
          <cell r="I51">
            <v>0</v>
          </cell>
          <cell r="J51">
            <v>0</v>
          </cell>
          <cell r="K51">
            <v>-70</v>
          </cell>
          <cell r="L51">
            <v>0</v>
          </cell>
          <cell r="M51">
            <v>-1434.9999999999998</v>
          </cell>
          <cell r="N51">
            <v>-3225.81</v>
          </cell>
          <cell r="O51">
            <v>-280</v>
          </cell>
          <cell r="P51">
            <v>-1662.5</v>
          </cell>
          <cell r="Q51">
            <v>-6672.4</v>
          </cell>
          <cell r="S51">
            <v>-15180.71</v>
          </cell>
        </row>
        <row r="52">
          <cell r="A52" t="str">
            <v>SE3</v>
          </cell>
          <cell r="B52" t="str">
            <v>Sewer - Maintenance</v>
          </cell>
          <cell r="C52" t="str">
            <v>714.000</v>
          </cell>
          <cell r="D52" t="str">
            <v>Sewer - O&amp;M - Maintenance of Treatment &amp; Disposal Plant (KY, Bluegra)</v>
          </cell>
          <cell r="E52" t="str">
            <v>714.000-04-012 - Sewer - O&amp;M - Maintenance of Treatment &amp; Disposal Plant (KY, Bluegra)</v>
          </cell>
          <cell r="F52">
            <v>-570</v>
          </cell>
          <cell r="G52">
            <v>-1010</v>
          </cell>
          <cell r="H52">
            <v>-3180.49</v>
          </cell>
          <cell r="I52">
            <v>-289.27</v>
          </cell>
          <cell r="J52">
            <v>-2315.48</v>
          </cell>
          <cell r="K52">
            <v>-465</v>
          </cell>
          <cell r="L52">
            <v>0</v>
          </cell>
          <cell r="M52">
            <v>-854.91</v>
          </cell>
          <cell r="N52">
            <v>-1332.41</v>
          </cell>
          <cell r="P52">
            <v>-1173.8900000000001</v>
          </cell>
          <cell r="Q52">
            <v>-3393.22</v>
          </cell>
          <cell r="S52">
            <v>-14584.669999999998</v>
          </cell>
        </row>
        <row r="53">
          <cell r="A53" t="str">
            <v>SE3</v>
          </cell>
          <cell r="B53" t="str">
            <v>Sewer - Maintenance</v>
          </cell>
          <cell r="C53" t="str">
            <v>713.001</v>
          </cell>
          <cell r="D53" t="str">
            <v>Sewer - O&amp;M - Maintenance of Pumping System (KY, Bluegra )</v>
          </cell>
          <cell r="E53" t="str">
            <v>713.001-04-012 - Sewer - O&amp;M - Maintenance of Pumping System (KY, Bluegra )</v>
          </cell>
          <cell r="F53">
            <v>0</v>
          </cell>
          <cell r="G53">
            <v>-169.16</v>
          </cell>
          <cell r="H53">
            <v>-875</v>
          </cell>
          <cell r="I53">
            <v>0</v>
          </cell>
          <cell r="J53">
            <v>0</v>
          </cell>
          <cell r="K53">
            <v>-4685</v>
          </cell>
          <cell r="L53">
            <v>0</v>
          </cell>
          <cell r="M53">
            <v>-3657.41</v>
          </cell>
          <cell r="N53">
            <v>-8629.2099999999991</v>
          </cell>
          <cell r="O53">
            <v>-2000</v>
          </cell>
          <cell r="P53">
            <v>-5049.18</v>
          </cell>
          <cell r="Q53">
            <v>-8708.33</v>
          </cell>
          <cell r="S53">
            <v>-33773.29</v>
          </cell>
        </row>
        <row r="54">
          <cell r="A54" t="str">
            <v>SE2</v>
          </cell>
          <cell r="B54" t="str">
            <v>Sewer - Maintenance</v>
          </cell>
          <cell r="C54" t="str">
            <v>705.000</v>
          </cell>
          <cell r="D54" t="str">
            <v>Sewer - O&amp;M - Miscellaneous Supplies (KY, Bluegra )</v>
          </cell>
          <cell r="E54" t="str">
            <v>705.000-04-012 - Sewer - O&amp;M - Miscellaneous Supplies (KY, Bluegra )</v>
          </cell>
          <cell r="F54">
            <v>-759.53</v>
          </cell>
          <cell r="G54">
            <v>-373.23</v>
          </cell>
          <cell r="H54">
            <v>-291.86</v>
          </cell>
          <cell r="I54">
            <v>-563.28</v>
          </cell>
          <cell r="J54">
            <v>-442.67</v>
          </cell>
          <cell r="K54">
            <v>-333.91</v>
          </cell>
          <cell r="L54">
            <v>-623.46</v>
          </cell>
          <cell r="M54">
            <v>-1244.7</v>
          </cell>
          <cell r="N54">
            <v>-229.92</v>
          </cell>
          <cell r="O54">
            <v>-927.74</v>
          </cell>
          <cell r="P54">
            <v>-1532.57</v>
          </cell>
          <cell r="Q54">
            <v>-908.18</v>
          </cell>
          <cell r="S54">
            <v>-8231.0499999999993</v>
          </cell>
        </row>
        <row r="55">
          <cell r="A55" t="str">
            <v>WE1</v>
          </cell>
          <cell r="B55" t="str">
            <v>Water - Contract Operations</v>
          </cell>
          <cell r="C55" t="str">
            <v>636.300</v>
          </cell>
          <cell r="D55" t="str">
            <v>Water - O&amp;M - Contractual Services - Other Treatment Ops (KY, Bluegra )</v>
          </cell>
          <cell r="E55" t="str">
            <v>636.300-04-012 - Water - O&amp;M - Contractual Services - Other Treatment Ops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-6062.02</v>
          </cell>
          <cell r="K55">
            <v>-12004</v>
          </cell>
          <cell r="L55">
            <v>-12054</v>
          </cell>
          <cell r="M55">
            <v>-13397.25</v>
          </cell>
          <cell r="N55">
            <v>-12004</v>
          </cell>
          <cell r="O55">
            <v>-12004</v>
          </cell>
          <cell r="P55">
            <v>-12004</v>
          </cell>
          <cell r="Q55">
            <v>-12004</v>
          </cell>
          <cell r="S55">
            <v>-91533.27</v>
          </cell>
        </row>
        <row r="56">
          <cell r="A56" t="str">
            <v>WE2</v>
          </cell>
          <cell r="B56" t="str">
            <v>Water - Other Operations</v>
          </cell>
          <cell r="C56" t="str">
            <v>618.300</v>
          </cell>
          <cell r="D56" t="str">
            <v>Water - O&amp;M - Chemicals - Treatment (KY, Bluegra )</v>
          </cell>
          <cell r="E56" t="str">
            <v>618.300-04-012 - Water - O&amp;M - Chemicals - Treatment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-70.23</v>
          </cell>
          <cell r="L56">
            <v>-263.11</v>
          </cell>
          <cell r="M56">
            <v>-620.76</v>
          </cell>
          <cell r="N56">
            <v>-104.87</v>
          </cell>
          <cell r="P56">
            <v>-300.23</v>
          </cell>
          <cell r="S56">
            <v>-1359.2</v>
          </cell>
        </row>
        <row r="57">
          <cell r="A57" t="str">
            <v>WE2</v>
          </cell>
          <cell r="B57" t="str">
            <v>Water - Other Operations</v>
          </cell>
          <cell r="C57" t="str">
            <v>615.100</v>
          </cell>
          <cell r="D57" t="str">
            <v>Water - O&amp;M - Purchased Power - Pumping (KY, Bluegra )</v>
          </cell>
          <cell r="E57" t="str">
            <v>615.100-04-012 - Water - O&amp;M - Purchased Power - Pumping (KY, Bluegra 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-2250.44</v>
          </cell>
          <cell r="M57">
            <v>-868</v>
          </cell>
          <cell r="N57">
            <v>-571.98</v>
          </cell>
          <cell r="O57">
            <v>-509.23</v>
          </cell>
          <cell r="P57">
            <v>-550.42999999999995</v>
          </cell>
          <cell r="Q57">
            <v>-735.51</v>
          </cell>
          <cell r="S57">
            <v>-5485.59</v>
          </cell>
        </row>
        <row r="58">
          <cell r="A58" t="str">
            <v>WE2</v>
          </cell>
          <cell r="B58" t="str">
            <v>Water - Other Operations</v>
          </cell>
          <cell r="C58" t="str">
            <v>635.300</v>
          </cell>
          <cell r="D58" t="str">
            <v>Water - O&amp;M - Contractual Services - Water Testing - Treatment Ops (KY, Bluegra )</v>
          </cell>
          <cell r="E58" t="str">
            <v>635.300-04-012 - Water - O&amp;M - Contractual Services - Water Testing - Treatment Ops (KY, Bluegra )</v>
          </cell>
          <cell r="N58">
            <v>-2462.5</v>
          </cell>
          <cell r="O58">
            <v>-2468.5</v>
          </cell>
          <cell r="P58">
            <v>-550.75</v>
          </cell>
          <cell r="Q58">
            <v>-1222</v>
          </cell>
          <cell r="S58">
            <v>-6703.75</v>
          </cell>
        </row>
        <row r="59">
          <cell r="A59" t="str">
            <v>WE3</v>
          </cell>
          <cell r="B59" t="str">
            <v>Water - Maintenance</v>
          </cell>
          <cell r="C59" t="str">
            <v>636.200</v>
          </cell>
          <cell r="D59" t="str">
            <v>Water - O&amp;M - Contractual Services - Other Pumping Maint</v>
          </cell>
          <cell r="E59" t="str">
            <v>636.200-04-012 - Water - O&amp;M - Contractual Services - Other Pumping Maint</v>
          </cell>
          <cell r="S59">
            <v>0</v>
          </cell>
        </row>
        <row r="60">
          <cell r="A60" t="str">
            <v>WE3</v>
          </cell>
          <cell r="B60" t="str">
            <v>Water - Maintenance</v>
          </cell>
          <cell r="C60" t="str">
            <v>636.400</v>
          </cell>
          <cell r="D60" t="str">
            <v>Water - O&amp;M - Contractual Services - Other Treatment Maint</v>
          </cell>
          <cell r="E60" t="str">
            <v>636.400-04-012 - Water - O&amp;M - Contractual Services - Other Treatment Maint</v>
          </cell>
          <cell r="Q60">
            <v>-70</v>
          </cell>
          <cell r="S60">
            <v>-70</v>
          </cell>
        </row>
        <row r="61">
          <cell r="A61" t="str">
            <v>WE3</v>
          </cell>
          <cell r="B61" t="str">
            <v>Water - Maintenance</v>
          </cell>
          <cell r="C61" t="str">
            <v>636.600</v>
          </cell>
          <cell r="D61" t="str">
            <v>Water - O&amp;M - Contractual Services - Other Trans &amp; Distr Maint</v>
          </cell>
          <cell r="E61" t="str">
            <v>636.600-04-012 - Water - O&amp;M - Contractual Services - Other Trans &amp; Distr Maint</v>
          </cell>
          <cell r="P61">
            <v>-910</v>
          </cell>
          <cell r="Q61">
            <v>-1540</v>
          </cell>
          <cell r="S61">
            <v>-2450</v>
          </cell>
        </row>
        <row r="62">
          <cell r="A62" t="str">
            <v>WE3</v>
          </cell>
          <cell r="B62" t="str">
            <v>Water - Maintenance</v>
          </cell>
          <cell r="C62" t="str">
            <v>620.600</v>
          </cell>
          <cell r="D62" t="str">
            <v>Water - O&amp;M - Materials &amp; Supplies - Trans &amp; Distr Maint</v>
          </cell>
          <cell r="E62" t="str">
            <v>620.600-04-012 - Water - O&amp;M - Materials &amp; Supplies - Trans &amp; Distr Maint</v>
          </cell>
          <cell r="P62">
            <v>-215.01</v>
          </cell>
          <cell r="Q62">
            <v>-317.23</v>
          </cell>
          <cell r="S62">
            <v>-532.24</v>
          </cell>
        </row>
        <row r="63">
          <cell r="D63" t="str">
            <v>Operations &amp; Maintenance</v>
          </cell>
          <cell r="E63" t="str">
            <v>Total Ops &amp; Maint - Operations &amp; Maintenance</v>
          </cell>
          <cell r="F63">
            <v>-56878.27</v>
          </cell>
          <cell r="G63">
            <v>-54324.860000000008</v>
          </cell>
          <cell r="H63">
            <v>-60835.8</v>
          </cell>
          <cell r="I63">
            <v>-57528.229999999996</v>
          </cell>
          <cell r="J63">
            <v>-68618.080000000002</v>
          </cell>
          <cell r="K63">
            <v>-90075.39</v>
          </cell>
          <cell r="L63">
            <v>-77052.11</v>
          </cell>
          <cell r="M63">
            <v>-112967.94</v>
          </cell>
          <cell r="N63">
            <v>-103422.79999999999</v>
          </cell>
          <cell r="O63">
            <v>-87555.45</v>
          </cell>
          <cell r="P63">
            <v>-96376.9</v>
          </cell>
          <cell r="Q63">
            <v>-119312.72999999998</v>
          </cell>
          <cell r="S63">
            <v>-975192.57000000007</v>
          </cell>
        </row>
        <row r="64">
          <cell r="D64" t="str">
            <v/>
          </cell>
        </row>
        <row r="65">
          <cell r="D65" t="str">
            <v>Depreciation &amp; Amortization</v>
          </cell>
          <cell r="E65" t="str">
            <v>Depr &amp; Amort - Depreciation &amp; Amortization</v>
          </cell>
        </row>
        <row r="66">
          <cell r="A66" t="str">
            <v>DE1</v>
          </cell>
          <cell r="B66" t="str">
            <v>Sewer - Depreciation</v>
          </cell>
          <cell r="C66" t="str">
            <v>403.000</v>
          </cell>
          <cell r="D66" t="str">
            <v>Depreciation Expense (KY, Bluegra)</v>
          </cell>
          <cell r="E66" t="str">
            <v>403.000-04-012 - Depreciation Expense (KY, Bluegra)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-1806.68</v>
          </cell>
          <cell r="N66">
            <v>-1806.68</v>
          </cell>
          <cell r="O66">
            <v>-40131.22</v>
          </cell>
          <cell r="P66">
            <v>-7153.72</v>
          </cell>
          <cell r="Q66">
            <v>-123.22</v>
          </cell>
          <cell r="S66">
            <v>-63538.23</v>
          </cell>
        </row>
        <row r="67">
          <cell r="C67" t="str">
            <v>403.100</v>
          </cell>
          <cell r="D67" t="str">
            <v>Depreciation Expense CIAC (KY, Bluegra)</v>
          </cell>
          <cell r="E67" t="str">
            <v>403.100-04-012 - Depreciation Expense CIAC (KY, Bluegra)</v>
          </cell>
          <cell r="Q67">
            <v>11557.23</v>
          </cell>
          <cell r="S67">
            <v>11557.23</v>
          </cell>
        </row>
        <row r="68">
          <cell r="A68" t="str">
            <v>DE2</v>
          </cell>
          <cell r="B68" t="str">
            <v>Water - Depreciation</v>
          </cell>
          <cell r="D68" t="str">
            <v/>
          </cell>
        </row>
        <row r="69">
          <cell r="D69" t="str">
            <v>Depreciation &amp; Amortization</v>
          </cell>
          <cell r="E69" t="str">
            <v>Total Depr &amp; Amort - Depreciation &amp; Amortization</v>
          </cell>
          <cell r="F69">
            <v>-1763.33</v>
          </cell>
          <cell r="G69">
            <v>-1763.33</v>
          </cell>
          <cell r="H69">
            <v>-1763.33</v>
          </cell>
          <cell r="I69">
            <v>-1806.68</v>
          </cell>
          <cell r="J69">
            <v>-1806.68</v>
          </cell>
          <cell r="K69">
            <v>-1806.68</v>
          </cell>
          <cell r="L69">
            <v>-1806.68</v>
          </cell>
          <cell r="M69">
            <v>-1806.68</v>
          </cell>
          <cell r="N69">
            <v>-1806.68</v>
          </cell>
          <cell r="O69">
            <v>-40131.22</v>
          </cell>
          <cell r="P69">
            <v>-7153.72</v>
          </cell>
          <cell r="Q69">
            <v>11434.01</v>
          </cell>
          <cell r="S69">
            <v>-51981</v>
          </cell>
        </row>
        <row r="70">
          <cell r="D70" t="str">
            <v/>
          </cell>
        </row>
        <row r="71">
          <cell r="D71" t="str">
            <v>Expense</v>
          </cell>
          <cell r="E71" t="str">
            <v>Total Expense - Expense</v>
          </cell>
          <cell r="F71">
            <v>-103059.35</v>
          </cell>
          <cell r="G71">
            <v>-95431.38</v>
          </cell>
          <cell r="H71">
            <v>-100507.07</v>
          </cell>
          <cell r="I71">
            <v>-105516.66999999998</v>
          </cell>
          <cell r="J71">
            <v>-113261.69</v>
          </cell>
          <cell r="K71">
            <v>-130325.40999999999</v>
          </cell>
          <cell r="L71">
            <v>-121916.43</v>
          </cell>
          <cell r="M71">
            <v>-161203.34999999998</v>
          </cell>
          <cell r="N71">
            <v>-148218.79999999999</v>
          </cell>
          <cell r="O71">
            <v>-186062.15</v>
          </cell>
          <cell r="P71">
            <v>-235387.74</v>
          </cell>
          <cell r="Q71">
            <v>-81418.389999999985</v>
          </cell>
          <cell r="S71">
            <v>-1572552.44</v>
          </cell>
        </row>
        <row r="72">
          <cell r="D72" t="str">
            <v/>
          </cell>
        </row>
        <row r="73">
          <cell r="D73" t="str">
            <v/>
          </cell>
          <cell r="E73" t="str">
            <v>Profit Period</v>
          </cell>
          <cell r="F73">
            <v>-53902.48</v>
          </cell>
          <cell r="G73">
            <v>-44135.910000000011</v>
          </cell>
          <cell r="H73">
            <v>-50313.860000000008</v>
          </cell>
          <cell r="I73">
            <v>-53617.789999999979</v>
          </cell>
          <cell r="J73">
            <v>-50622.23</v>
          </cell>
          <cell r="K73">
            <v>-60486.62999999999</v>
          </cell>
          <cell r="L73">
            <v>-51975.229999999996</v>
          </cell>
          <cell r="M73">
            <v>-93053.179999999978</v>
          </cell>
          <cell r="N73">
            <v>-77989.26999999999</v>
          </cell>
          <cell r="O73">
            <v>-116209.9</v>
          </cell>
          <cell r="P73">
            <v>-165591.65</v>
          </cell>
          <cell r="Q73">
            <v>-8121.9499999999825</v>
          </cell>
          <cell r="S73">
            <v>-816264.08999999985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5"/>
  <sheetViews>
    <sheetView tabSelected="1" zoomScale="80" zoomScaleNormal="80" workbookViewId="0">
      <selection activeCell="P22" sqref="P22"/>
    </sheetView>
  </sheetViews>
  <sheetFormatPr defaultColWidth="9.1328125" defaultRowHeight="14.25" outlineLevelCol="1"/>
  <cols>
    <col min="1" max="1" width="48.265625" style="2" bestFit="1" customWidth="1"/>
    <col min="2" max="2" width="27.1328125" style="10" hidden="1" customWidth="1" outlineLevel="1"/>
    <col min="3" max="3" width="12.265625" style="2" hidden="1" customWidth="1" outlineLevel="1"/>
    <col min="4" max="4" width="19.1328125" style="2" hidden="1" customWidth="1" outlineLevel="1"/>
    <col min="5" max="5" width="7.1328125" style="2" hidden="1" customWidth="1" outlineLevel="1"/>
    <col min="6" max="6" width="14.86328125" style="2" hidden="1" customWidth="1" outlineLevel="1"/>
    <col min="7" max="7" width="4.59765625" style="2" customWidth="1" collapsed="1"/>
    <col min="8" max="8" width="9.1328125" style="2"/>
    <col min="9" max="9" width="50.1328125" style="2" customWidth="1"/>
    <col min="10" max="10" width="7.73046875" style="2" customWidth="1"/>
    <col min="11" max="19" width="11.265625" style="2" bestFit="1" customWidth="1"/>
    <col min="20" max="20" width="12.265625" style="2" bestFit="1" customWidth="1"/>
    <col min="21" max="21" width="11.1328125" style="2" bestFit="1" customWidth="1"/>
    <col min="22" max="22" width="12.265625" style="2" bestFit="1" customWidth="1"/>
    <col min="23" max="23" width="13" style="2" bestFit="1" customWidth="1"/>
    <col min="24" max="16384" width="9.1328125" style="2"/>
  </cols>
  <sheetData>
    <row r="1" spans="1:24">
      <c r="A1" s="2" t="s">
        <v>21</v>
      </c>
    </row>
    <row r="2" spans="1:24">
      <c r="A2" s="2" t="s">
        <v>22</v>
      </c>
    </row>
    <row r="3" spans="1:24">
      <c r="A3" t="s">
        <v>62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23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24</v>
      </c>
      <c r="E9" s="2" t="str">
        <f>"Allocated Forecast Year at "&amp;TEXT(A5,"m/d/yyyy")</f>
        <v>Allocated Forecast Year at 4/30/2022</v>
      </c>
      <c r="H9" s="6" t="s">
        <v>25</v>
      </c>
      <c r="O9" s="28"/>
    </row>
    <row r="10" spans="1:24">
      <c r="A10" s="2" t="s">
        <v>26</v>
      </c>
      <c r="H10" s="29" t="s">
        <v>27</v>
      </c>
      <c r="I10" s="29" t="s">
        <v>10</v>
      </c>
      <c r="J10" s="83" t="s">
        <v>28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29</v>
      </c>
      <c r="X10" s="77"/>
    </row>
    <row r="11" spans="1:24">
      <c r="A11" s="21" t="s">
        <v>30</v>
      </c>
      <c r="B11" s="22"/>
      <c r="X11" s="10"/>
    </row>
    <row r="12" spans="1:24">
      <c r="A12" s="21" t="s">
        <v>31</v>
      </c>
      <c r="B12" s="22"/>
      <c r="H12" s="2" t="str">
        <f>INDEX('[1]2020 P&amp;L'!$A:$S,MATCH($J12,'[1]2020 P&amp;L'!$C:$C,0),MATCH(H$10,'[1]2020 P&amp;L'!$A$5:$S$5,0))</f>
        <v>WE2</v>
      </c>
      <c r="I12" s="2" t="str">
        <f>INDEX('[1]2020 P&amp;L'!$A:$S,MATCH($J12,'[1]2020 P&amp;L'!$C:$C,0),MATCH(I$10,'[1]2020 P&amp;L'!$A$5:$S$5,0))</f>
        <v>Water - O&amp;M - Chemicals - Treatment (KY, Bluegra )</v>
      </c>
      <c r="J12" s="25" t="s">
        <v>56</v>
      </c>
      <c r="K12" s="85">
        <f>INDEX('[1]2020 P&amp;L'!$A:$S,MATCH($J12,'[1]2020 P&amp;L'!$C:$C,0),MATCH(K$10,'[1]2020 P&amp;L'!$A$5:$S$5,0))</f>
        <v>0</v>
      </c>
      <c r="L12" s="85">
        <f>INDEX('[1]2020 P&amp;L'!$A:$S,MATCH($J12,'[1]2020 P&amp;L'!$C:$C,0),MATCH(L$10,'[1]2020 P&amp;L'!$A$5:$S$5,0))</f>
        <v>0</v>
      </c>
      <c r="M12" s="85">
        <f>INDEX('[1]2020 P&amp;L'!$A:$S,MATCH($J12,'[1]2020 P&amp;L'!$C:$C,0),MATCH(M$10,'[1]2020 P&amp;L'!$A$5:$S$5,0))</f>
        <v>0</v>
      </c>
      <c r="N12" s="85">
        <f>INDEX('[1]2020 P&amp;L'!$A:$S,MATCH($J12,'[1]2020 P&amp;L'!$C:$C,0),MATCH(N$10,'[1]2020 P&amp;L'!$A$5:$S$5,0))</f>
        <v>0</v>
      </c>
      <c r="O12" s="85">
        <f>INDEX('[1]2020 P&amp;L'!$A:$S,MATCH($J12,'[1]2020 P&amp;L'!$C:$C,0),MATCH(O$10,'[1]2020 P&amp;L'!$A$5:$S$5,0))</f>
        <v>0</v>
      </c>
      <c r="P12" s="85">
        <f>-INDEX('[1]2020 P&amp;L'!$A:$S,MATCH($J12,'[1]2020 P&amp;L'!$C:$C,0),MATCH(P$10,'[1]2020 P&amp;L'!$A$5:$S$5,0))</f>
        <v>70.23</v>
      </c>
      <c r="Q12" s="85">
        <f>-INDEX('[1]2020 P&amp;L'!$A:$S,MATCH($J12,'[1]2020 P&amp;L'!$C:$C,0),MATCH(Q$10,'[1]2020 P&amp;L'!$A$5:$S$5,0))</f>
        <v>263.11</v>
      </c>
      <c r="R12" s="85">
        <f>-INDEX('[1]2020 P&amp;L'!$A:$S,MATCH($J12,'[1]2020 P&amp;L'!$C:$C,0),MATCH(R$10,'[1]2020 P&amp;L'!$A$5:$S$5,0))</f>
        <v>620.76</v>
      </c>
      <c r="S12" s="85">
        <f>-INDEX('[1]2020 P&amp;L'!$A:$S,MATCH($J12,'[1]2020 P&amp;L'!$C:$C,0),MATCH(S$10,'[1]2020 P&amp;L'!$A$5:$S$5,0))</f>
        <v>104.87</v>
      </c>
      <c r="T12" s="85">
        <f>-INDEX('[1]2020 P&amp;L'!$A:$S,MATCH($J12,'[1]2020 P&amp;L'!$C:$C,0),MATCH(T$10,'[1]2020 P&amp;L'!$A$5:$S$5,0))</f>
        <v>0</v>
      </c>
      <c r="U12" s="85">
        <f>-INDEX('[1]2020 P&amp;L'!$A:$S,MATCH($J12,'[1]2020 P&amp;L'!$C:$C,0),MATCH(U$10,'[1]2020 P&amp;L'!$A$5:$S$5,0))</f>
        <v>300.23</v>
      </c>
      <c r="V12" s="85">
        <f>-INDEX('[1]2020 P&amp;L'!$A:$S,MATCH($J12,'[1]2020 P&amp;L'!$C:$C,0),MATCH(V$10,'[1]2020 P&amp;L'!$A$5:$S$5,0))</f>
        <v>0</v>
      </c>
      <c r="W12" s="85">
        <f>SUM(K12:V12)</f>
        <v>1359.2</v>
      </c>
      <c r="X12" s="78"/>
    </row>
    <row r="13" spans="1:24">
      <c r="A13" s="21" t="s">
        <v>32</v>
      </c>
      <c r="B13" s="22"/>
      <c r="H13" s="2" t="str">
        <f>INDEX('[1]2020 P&amp;L'!$A:$S,MATCH($J13,'[1]2020 P&amp;L'!$C:$C,0),MATCH(H$10,'[1]2020 P&amp;L'!$A$5:$S$5,0))</f>
        <v>WE2</v>
      </c>
      <c r="I13" s="2" t="str">
        <f>INDEX('[1]2020 P&amp;L'!$A:$S,MATCH($J13,'[1]2020 P&amp;L'!$C:$C,0),MATCH(I$10,'[1]2020 P&amp;L'!$A$5:$S$5,0))</f>
        <v>Water - O&amp;M - Purchased Power - Pumping (KY, Bluegra )</v>
      </c>
      <c r="J13" s="81" t="s">
        <v>57</v>
      </c>
      <c r="K13" s="85">
        <f>INDEX('[1]2020 P&amp;L'!$A:$S,MATCH($J13,'[1]2020 P&amp;L'!$C:$C,0),MATCH(K$10,'[1]2020 P&amp;L'!$A$5:$S$5,0))</f>
        <v>0</v>
      </c>
      <c r="L13" s="85">
        <f>INDEX('[1]2020 P&amp;L'!$A:$S,MATCH($J13,'[1]2020 P&amp;L'!$C:$C,0),MATCH(L$10,'[1]2020 P&amp;L'!$A$5:$S$5,0))</f>
        <v>0</v>
      </c>
      <c r="M13" s="85">
        <f>INDEX('[1]2020 P&amp;L'!$A:$S,MATCH($J13,'[1]2020 P&amp;L'!$C:$C,0),MATCH(M$10,'[1]2020 P&amp;L'!$A$5:$S$5,0))</f>
        <v>0</v>
      </c>
      <c r="N13" s="85">
        <f>INDEX('[1]2020 P&amp;L'!$A:$S,MATCH($J13,'[1]2020 P&amp;L'!$C:$C,0),MATCH(N$10,'[1]2020 P&amp;L'!$A$5:$S$5,0))</f>
        <v>0</v>
      </c>
      <c r="O13" s="85">
        <f>INDEX('[1]2020 P&amp;L'!$A:$S,MATCH($J13,'[1]2020 P&amp;L'!$C:$C,0),MATCH(O$10,'[1]2020 P&amp;L'!$A$5:$S$5,0))</f>
        <v>0</v>
      </c>
      <c r="P13" s="85">
        <f>-INDEX('[1]2020 P&amp;L'!$A:$S,MATCH($J13,'[1]2020 P&amp;L'!$C:$C,0),MATCH(P$10,'[1]2020 P&amp;L'!$A$5:$S$5,0))</f>
        <v>0</v>
      </c>
      <c r="Q13" s="85">
        <f>-INDEX('[1]2020 P&amp;L'!$A:$S,MATCH($J13,'[1]2020 P&amp;L'!$C:$C,0),MATCH(Q$10,'[1]2020 P&amp;L'!$A$5:$S$5,0))</f>
        <v>2250.44</v>
      </c>
      <c r="R13" s="85">
        <f>-INDEX('[1]2020 P&amp;L'!$A:$S,MATCH($J13,'[1]2020 P&amp;L'!$C:$C,0),MATCH(R$10,'[1]2020 P&amp;L'!$A$5:$S$5,0))</f>
        <v>868</v>
      </c>
      <c r="S13" s="85">
        <f>-INDEX('[1]2020 P&amp;L'!$A:$S,MATCH($J13,'[1]2020 P&amp;L'!$C:$C,0),MATCH(S$10,'[1]2020 P&amp;L'!$A$5:$S$5,0))</f>
        <v>571.98</v>
      </c>
      <c r="T13" s="85">
        <f>-INDEX('[1]2020 P&amp;L'!$A:$S,MATCH($J13,'[1]2020 P&amp;L'!$C:$C,0),MATCH(T$10,'[1]2020 P&amp;L'!$A$5:$S$5,0))</f>
        <v>509.23</v>
      </c>
      <c r="U13" s="85">
        <f>-INDEX('[1]2020 P&amp;L'!$A:$S,MATCH($J13,'[1]2020 P&amp;L'!$C:$C,0),MATCH(U$10,'[1]2020 P&amp;L'!$A$5:$S$5,0))</f>
        <v>550.42999999999995</v>
      </c>
      <c r="V13" s="85">
        <f>-INDEX('[1]2020 P&amp;L'!$A:$S,MATCH($J13,'[1]2020 P&amp;L'!$C:$C,0),MATCH(V$10,'[1]2020 P&amp;L'!$A$5:$S$5,0))</f>
        <v>735.51</v>
      </c>
      <c r="W13" s="85">
        <f>SUM(K13:V13)</f>
        <v>5485.59</v>
      </c>
      <c r="X13" s="78"/>
    </row>
    <row r="14" spans="1:24">
      <c r="H14" s="2" t="str">
        <f>INDEX('[1]2020 P&amp;L'!$A:$S,MATCH($J14,'[1]2020 P&amp;L'!$C:$C,0),MATCH(H$10,'[1]2020 P&amp;L'!$A$5:$S$5,0))</f>
        <v>WE2</v>
      </c>
      <c r="I14" s="2" t="str">
        <f>INDEX('[1]2020 P&amp;L'!$A:$S,MATCH($J14,'[1]2020 P&amp;L'!$C:$C,0),MATCH(I$10,'[1]2020 P&amp;L'!$A$5:$S$5,0))</f>
        <v>Water - O&amp;M - Contractual Services - Water Testing - Treatment Ops (KY, Bluegra )</v>
      </c>
      <c r="J14" s="113" t="s">
        <v>64</v>
      </c>
      <c r="K14" s="85">
        <f>INDEX('[1]2020 P&amp;L'!$A:$S,MATCH($J14,'[1]2020 P&amp;L'!$C:$C,0),MATCH(K$10,'[1]2020 P&amp;L'!$A$5:$S$5,0))</f>
        <v>0</v>
      </c>
      <c r="L14" s="85">
        <f>INDEX('[1]2020 P&amp;L'!$A:$S,MATCH($J14,'[1]2020 P&amp;L'!$C:$C,0),MATCH(L$10,'[1]2020 P&amp;L'!$A$5:$S$5,0))</f>
        <v>0</v>
      </c>
      <c r="M14" s="85">
        <f>INDEX('[1]2020 P&amp;L'!$A:$S,MATCH($J14,'[1]2020 P&amp;L'!$C:$C,0),MATCH(M$10,'[1]2020 P&amp;L'!$A$5:$S$5,0))</f>
        <v>0</v>
      </c>
      <c r="N14" s="85">
        <f>INDEX('[1]2020 P&amp;L'!$A:$S,MATCH($J14,'[1]2020 P&amp;L'!$C:$C,0),MATCH(N$10,'[1]2020 P&amp;L'!$A$5:$S$5,0))</f>
        <v>0</v>
      </c>
      <c r="O14" s="85">
        <f>INDEX('[1]2020 P&amp;L'!$A:$S,MATCH($J14,'[1]2020 P&amp;L'!$C:$C,0),MATCH(O$10,'[1]2020 P&amp;L'!$A$5:$S$5,0))</f>
        <v>0</v>
      </c>
      <c r="P14" s="85">
        <f>-INDEX('[1]2020 P&amp;L'!$A:$S,MATCH($J14,'[1]2020 P&amp;L'!$C:$C,0),MATCH(P$10,'[1]2020 P&amp;L'!$A$5:$S$5,0))</f>
        <v>0</v>
      </c>
      <c r="Q14" s="85">
        <f>-INDEX('[1]2020 P&amp;L'!$A:$S,MATCH($J14,'[1]2020 P&amp;L'!$C:$C,0),MATCH(Q$10,'[1]2020 P&amp;L'!$A$5:$S$5,0))</f>
        <v>0</v>
      </c>
      <c r="R14" s="85">
        <f>-INDEX('[1]2020 P&amp;L'!$A:$S,MATCH($J14,'[1]2020 P&amp;L'!$C:$C,0),MATCH(R$10,'[1]2020 P&amp;L'!$A$5:$S$5,0))</f>
        <v>0</v>
      </c>
      <c r="S14" s="85">
        <f>-INDEX('[1]2020 P&amp;L'!$A:$S,MATCH($J14,'[1]2020 P&amp;L'!$C:$C,0),MATCH(S$10,'[1]2020 P&amp;L'!$A$5:$S$5,0))</f>
        <v>2462.5</v>
      </c>
      <c r="T14" s="85">
        <f>-INDEX('[1]2020 P&amp;L'!$A:$S,MATCH($J14,'[1]2020 P&amp;L'!$C:$C,0),MATCH(T$10,'[1]2020 P&amp;L'!$A$5:$S$5,0))</f>
        <v>2468.5</v>
      </c>
      <c r="U14" s="85">
        <f>-INDEX('[1]2020 P&amp;L'!$A:$S,MATCH($J14,'[1]2020 P&amp;L'!$C:$C,0),MATCH(U$10,'[1]2020 P&amp;L'!$A$5:$S$5,0))</f>
        <v>550.75</v>
      </c>
      <c r="V14" s="85">
        <f>-INDEX('[1]2020 P&amp;L'!$A:$S,MATCH($J14,'[1]2020 P&amp;L'!$C:$C,0),MATCH(V$10,'[1]2020 P&amp;L'!$A$5:$S$5,0))</f>
        <v>1222</v>
      </c>
      <c r="W14" s="85">
        <f>SUM(K14:V14)</f>
        <v>6703.75</v>
      </c>
      <c r="X14" s="78"/>
    </row>
    <row r="15" spans="1:24">
      <c r="A15" s="23" t="s">
        <v>33</v>
      </c>
      <c r="B15" s="24"/>
      <c r="H15" s="2" t="s">
        <v>34</v>
      </c>
      <c r="I15" s="2" t="s">
        <v>34</v>
      </c>
      <c r="J15" s="2" t="s">
        <v>34</v>
      </c>
      <c r="X15" s="78"/>
    </row>
    <row r="16" spans="1:24">
      <c r="A16" s="23" t="s">
        <v>35</v>
      </c>
      <c r="B16" s="24"/>
      <c r="H16" s="2" t="s">
        <v>34</v>
      </c>
      <c r="I16" s="2" t="s">
        <v>34</v>
      </c>
      <c r="J16" s="2" t="s">
        <v>34</v>
      </c>
      <c r="K16" s="39">
        <f t="shared" ref="K16:W16" si="1">SUM(K12:K14)</f>
        <v>0</v>
      </c>
      <c r="L16" s="39">
        <f t="shared" si="1"/>
        <v>0</v>
      </c>
      <c r="M16" s="39">
        <f t="shared" si="1"/>
        <v>0</v>
      </c>
      <c r="N16" s="39">
        <f t="shared" si="1"/>
        <v>0</v>
      </c>
      <c r="O16" s="39">
        <f t="shared" si="1"/>
        <v>0</v>
      </c>
      <c r="P16" s="39">
        <f t="shared" si="1"/>
        <v>70.23</v>
      </c>
      <c r="Q16" s="39">
        <f t="shared" si="1"/>
        <v>2513.5500000000002</v>
      </c>
      <c r="R16" s="39">
        <f t="shared" si="1"/>
        <v>1488.76</v>
      </c>
      <c r="S16" s="39">
        <f t="shared" si="1"/>
        <v>3139.35</v>
      </c>
      <c r="T16" s="39">
        <f t="shared" si="1"/>
        <v>2977.73</v>
      </c>
      <c r="U16" s="39">
        <f t="shared" si="1"/>
        <v>1401.4099999999999</v>
      </c>
      <c r="V16" s="39">
        <f t="shared" si="1"/>
        <v>1957.51</v>
      </c>
      <c r="W16" s="39">
        <f t="shared" si="1"/>
        <v>13548.54</v>
      </c>
      <c r="X16" s="10"/>
    </row>
    <row r="17" spans="1:26">
      <c r="A17" s="23" t="s">
        <v>36</v>
      </c>
      <c r="B17" s="24"/>
      <c r="H17" s="2" t="s">
        <v>34</v>
      </c>
      <c r="I17" s="2" t="s">
        <v>34</v>
      </c>
      <c r="J17" s="2" t="s">
        <v>34</v>
      </c>
      <c r="K17" s="10"/>
      <c r="L17" s="10"/>
      <c r="M17" s="69"/>
      <c r="N17" s="69"/>
      <c r="O17" s="69"/>
      <c r="P17" s="69"/>
      <c r="Q17" s="69"/>
      <c r="R17" s="69"/>
      <c r="S17" s="69"/>
      <c r="T17" s="79"/>
      <c r="U17" s="10"/>
      <c r="V17" s="79"/>
      <c r="W17" s="28"/>
    </row>
    <row r="19" spans="1:26">
      <c r="A19" s="23" t="s">
        <v>37</v>
      </c>
      <c r="B19" s="24"/>
      <c r="K19" s="80"/>
    </row>
    <row r="20" spans="1:26">
      <c r="A20" s="25" t="s">
        <v>38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>
      <c r="A22" s="26" t="s">
        <v>63</v>
      </c>
      <c r="B22" s="27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>
      <c r="A23" s="6" t="s">
        <v>65</v>
      </c>
      <c r="B23" s="27"/>
      <c r="H23" s="98"/>
      <c r="I23" s="51"/>
      <c r="J23" s="51"/>
      <c r="K23" s="51"/>
      <c r="L23" s="51"/>
      <c r="M23" s="51"/>
      <c r="N23" s="51"/>
      <c r="O23" s="54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>
      <c r="A24" s="6"/>
      <c r="B24" s="27"/>
      <c r="H24" s="52"/>
      <c r="I24" s="52"/>
      <c r="J24" s="53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52"/>
      <c r="X24" s="51"/>
      <c r="Y24" s="51"/>
      <c r="Z24" s="51"/>
    </row>
    <row r="25" spans="1:26">
      <c r="A25" s="26" t="s">
        <v>61</v>
      </c>
      <c r="B25" s="27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>
      <c r="A26" s="6"/>
      <c r="B26" s="27"/>
      <c r="H26" s="51"/>
      <c r="I26" s="51"/>
      <c r="J26" s="100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1"/>
      <c r="Y26" s="51"/>
      <c r="Z26" s="51"/>
    </row>
    <row r="27" spans="1:26">
      <c r="A27" s="6"/>
      <c r="B27" s="27"/>
      <c r="H27" s="51"/>
      <c r="I27" s="51"/>
      <c r="J27" s="10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1"/>
      <c r="Y27" s="51"/>
      <c r="Z27" s="51"/>
    </row>
    <row r="28" spans="1:26">
      <c r="A28" s="55"/>
      <c r="B28" s="27"/>
      <c r="H28" s="51"/>
      <c r="I28" s="51"/>
      <c r="J28" s="5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1"/>
      <c r="Y28" s="51"/>
      <c r="Z28" s="51"/>
    </row>
    <row r="29" spans="1:26">
      <c r="A29" s="50"/>
      <c r="B29" s="52"/>
      <c r="C29" s="52"/>
      <c r="D29" s="53"/>
      <c r="E29" s="53"/>
      <c r="F29" s="53"/>
      <c r="G29" s="3"/>
      <c r="H29" s="51"/>
      <c r="I29" s="51"/>
      <c r="J29" s="51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1"/>
      <c r="Y29" s="51"/>
      <c r="Z29" s="51"/>
    </row>
    <row r="30" spans="1:26">
      <c r="A30" s="40"/>
      <c r="B30" s="51"/>
      <c r="C30" s="51"/>
      <c r="D30" s="51"/>
      <c r="E30" s="51"/>
      <c r="F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>
      <c r="A31" s="40"/>
      <c r="B31" s="51"/>
      <c r="C31" s="51"/>
      <c r="D31" s="51"/>
      <c r="E31" s="51"/>
      <c r="F31" s="54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101"/>
      <c r="X31" s="51"/>
      <c r="Y31" s="51"/>
      <c r="Z31" s="51"/>
    </row>
    <row r="32" spans="1:26">
      <c r="A32" s="40"/>
      <c r="B32" s="51"/>
      <c r="C32" s="51"/>
      <c r="D32" s="51"/>
      <c r="E32" s="51"/>
      <c r="F32" s="54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102"/>
      <c r="X32" s="51"/>
      <c r="Y32" s="51"/>
      <c r="Z32" s="51"/>
    </row>
    <row r="33" spans="1:26">
      <c r="A33" s="40"/>
      <c r="B33" s="51"/>
      <c r="C33" s="51"/>
      <c r="D33" s="51"/>
      <c r="E33" s="51"/>
      <c r="F33" s="54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102"/>
      <c r="X33" s="51"/>
      <c r="Y33" s="51"/>
      <c r="Z33" s="51"/>
    </row>
    <row r="34" spans="1:26">
      <c r="A34" s="55"/>
      <c r="B34" s="60"/>
      <c r="C34" s="51"/>
      <c r="D34" s="51"/>
      <c r="E34" s="51"/>
      <c r="F34" s="54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>
      <c r="A35" s="40"/>
      <c r="B35" s="51"/>
      <c r="C35" s="51"/>
      <c r="D35" s="51"/>
      <c r="E35" s="51"/>
      <c r="F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>
      <c r="A36" s="40"/>
      <c r="B36" s="35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>
      <c r="B37" s="35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40" spans="1:26">
      <c r="A40" s="6"/>
      <c r="B40" s="68" t="s">
        <v>39</v>
      </c>
    </row>
    <row r="42" spans="1:26">
      <c r="B42" s="69">
        <v>14614499</v>
      </c>
    </row>
    <row r="45" spans="1:26">
      <c r="A45"/>
      <c r="B45" s="69">
        <v>14027701.357913202</v>
      </c>
    </row>
  </sheetData>
  <printOptions horizontalCentered="1" verticalCentered="1"/>
  <pageMargins left="0.75" right="0.75" top="0.75" bottom="0.75" header="0.3" footer="0.3"/>
  <pageSetup scale="45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zoomScaleNormal="100" workbookViewId="0">
      <selection activeCell="A6" sqref="A6:F6"/>
    </sheetView>
  </sheetViews>
  <sheetFormatPr defaultColWidth="9.1328125" defaultRowHeight="14.25"/>
  <cols>
    <col min="1" max="1" width="5.73046875" style="2" customWidth="1"/>
    <col min="2" max="2" width="38.86328125" style="2" customWidth="1"/>
    <col min="3" max="4" width="12.7304687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0</v>
      </c>
      <c r="B1" s="1"/>
      <c r="C1" s="1"/>
      <c r="D1" s="1"/>
      <c r="F1" s="4" t="str">
        <f>'Ref In'!A25</f>
        <v>W/P - WE2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WE2.xlsx]Exhibit</v>
      </c>
    </row>
    <row r="4" spans="1:6">
      <c r="A4" s="114" t="str">
        <f>'Ref In'!A1</f>
        <v>Bluegrass Water Utility Operating Company, LLC</v>
      </c>
      <c r="B4" s="114"/>
      <c r="C4" s="114"/>
      <c r="D4" s="114"/>
      <c r="E4" s="114"/>
      <c r="F4" s="114"/>
    </row>
    <row r="5" spans="1:6">
      <c r="A5" s="114" t="str">
        <f>'Ref In'!A3</f>
        <v>Case No. 2020-00290</v>
      </c>
      <c r="B5" s="114"/>
      <c r="C5" s="114"/>
      <c r="D5" s="114"/>
      <c r="E5" s="114"/>
      <c r="F5" s="114"/>
    </row>
    <row r="6" spans="1:6">
      <c r="A6" s="114" t="str">
        <f>'Ref In'!A23</f>
        <v>Base Year Adjustment Water Operating Expenses</v>
      </c>
      <c r="B6" s="114"/>
      <c r="C6" s="114"/>
      <c r="D6" s="114"/>
      <c r="E6" s="114"/>
      <c r="F6" s="114"/>
    </row>
    <row r="7" spans="1:6">
      <c r="A7" s="115" t="str">
        <f>'Ref In'!A6</f>
        <v>For the 12 Months Ending April 30, 2022</v>
      </c>
      <c r="B7" s="115"/>
      <c r="C7" s="115"/>
      <c r="D7" s="115"/>
      <c r="E7" s="115"/>
      <c r="F7" s="115"/>
    </row>
    <row r="9" spans="1:6">
      <c r="A9" s="6" t="str">
        <f>'Ref In'!A20</f>
        <v>Witness Responsible:   Brent Thies</v>
      </c>
      <c r="C9" s="6"/>
      <c r="D9" s="6"/>
    </row>
    <row r="10" spans="1:6">
      <c r="A10" s="6" t="str">
        <f>'Ref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</v>
      </c>
      <c r="B13" s="7" t="s">
        <v>3</v>
      </c>
      <c r="C13" s="7" t="str">
        <f>'Ref In'!B7</f>
        <v>Base Year at 12/31/2020</v>
      </c>
      <c r="D13" s="7" t="s">
        <v>4</v>
      </c>
      <c r="E13" s="7" t="str">
        <f>'Ref In'!B9</f>
        <v>Forecast Year at 4/30/2022</v>
      </c>
      <c r="F13" s="7" t="s">
        <v>5</v>
      </c>
    </row>
    <row r="15" spans="1:6">
      <c r="A15" s="8">
        <v>1</v>
      </c>
      <c r="B15" s="2" t="str">
        <f>'Ref In'!C7</f>
        <v>Base Year for the 12 Months Ended 12/31/20</v>
      </c>
      <c r="C15" s="46">
        <f>ROUND('Ref In'!W16,0)</f>
        <v>13549</v>
      </c>
      <c r="D15" s="47"/>
      <c r="E15" s="47">
        <f>C15+D15</f>
        <v>13549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6</v>
      </c>
      <c r="C18" s="31"/>
      <c r="D18" s="31"/>
      <c r="E18" s="31"/>
    </row>
    <row r="19" spans="1:6">
      <c r="A19" s="8">
        <v>5</v>
      </c>
      <c r="B19" s="61" t="s">
        <v>58</v>
      </c>
      <c r="C19" s="31"/>
      <c r="D19" s="38">
        <f>'Workpaper 1'!E65</f>
        <v>11300.779999999999</v>
      </c>
      <c r="E19" s="31"/>
      <c r="F19" s="10" t="s">
        <v>47</v>
      </c>
    </row>
    <row r="20" spans="1:6">
      <c r="A20" s="8">
        <v>6</v>
      </c>
      <c r="B20" s="61"/>
      <c r="C20" s="31"/>
      <c r="D20" s="38"/>
      <c r="E20" s="31"/>
      <c r="F20" s="10"/>
    </row>
    <row r="21" spans="1:6">
      <c r="A21" s="8">
        <v>7</v>
      </c>
      <c r="B21" s="61"/>
      <c r="C21" s="31"/>
      <c r="D21" s="38"/>
      <c r="E21" s="31"/>
      <c r="F21" s="10"/>
    </row>
    <row r="22" spans="1:6">
      <c r="A22" s="8">
        <v>8</v>
      </c>
      <c r="B22" s="61"/>
      <c r="C22" s="31"/>
      <c r="D22" s="38"/>
      <c r="E22" s="31"/>
      <c r="F22" s="10"/>
    </row>
    <row r="23" spans="1:6">
      <c r="A23" s="8">
        <v>9</v>
      </c>
      <c r="B23" s="61"/>
      <c r="C23" s="31"/>
      <c r="D23" s="38"/>
      <c r="E23" s="31"/>
      <c r="F23" s="10"/>
    </row>
    <row r="24" spans="1:6">
      <c r="A24" s="8">
        <v>10</v>
      </c>
      <c r="B24" s="9" t="s">
        <v>7</v>
      </c>
      <c r="C24" s="31"/>
      <c r="D24" s="38"/>
      <c r="E24" s="31"/>
    </row>
    <row r="25" spans="1:6">
      <c r="A25" s="8">
        <v>11</v>
      </c>
      <c r="B25" s="6" t="s">
        <v>8</v>
      </c>
      <c r="C25" s="31"/>
      <c r="D25" s="56">
        <f>SUM(D19:D24)</f>
        <v>11300.779999999999</v>
      </c>
      <c r="E25" s="56">
        <f>D25</f>
        <v>11300.779999999999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4.65" thickBot="1">
      <c r="A28" s="8">
        <v>14</v>
      </c>
      <c r="B28" s="6" t="str">
        <f>'Ref In'!B9</f>
        <v>Forecast Year at 4/30/2022</v>
      </c>
      <c r="E28" s="48">
        <f>E15+E25</f>
        <v>24849.78</v>
      </c>
    </row>
    <row r="29" spans="1:6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"/>
  <sheetViews>
    <sheetView workbookViewId="0">
      <selection activeCell="D16" sqref="D16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265625" style="2" customWidth="1"/>
    <col min="6" max="16384" width="9.1328125" style="2"/>
  </cols>
  <sheetData>
    <row r="1" spans="1:5">
      <c r="A1" s="1" t="s">
        <v>0</v>
      </c>
      <c r="B1" s="1"/>
      <c r="C1" s="1"/>
      <c r="D1" s="1"/>
      <c r="E1" s="4" t="str">
        <f>'Ref In'!A25</f>
        <v>W/P - WE2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WE2.xlsx]Summary by Account</v>
      </c>
    </row>
    <row r="4" spans="1:5">
      <c r="A4" s="114" t="str">
        <f>'Ref In'!A1</f>
        <v>Bluegrass Water Utility Operating Company, LLC</v>
      </c>
      <c r="B4" s="114"/>
      <c r="C4" s="114"/>
      <c r="D4" s="114"/>
      <c r="E4" s="114"/>
    </row>
    <row r="5" spans="1:5">
      <c r="A5" s="114" t="str">
        <f>'Ref In'!A3</f>
        <v>Case No. 2020-00290</v>
      </c>
      <c r="B5" s="114"/>
      <c r="C5" s="114"/>
      <c r="D5" s="114"/>
      <c r="E5" s="114"/>
    </row>
    <row r="6" spans="1:5">
      <c r="A6" s="114" t="str">
        <f>'Ref In'!A23</f>
        <v>Base Year Adjustment Water Operating Expenses</v>
      </c>
      <c r="B6" s="114"/>
      <c r="C6" s="114"/>
      <c r="D6" s="114"/>
      <c r="E6" s="114"/>
    </row>
    <row r="7" spans="1:5">
      <c r="A7" s="115" t="str">
        <f>'Ref In'!A6</f>
        <v>For the 12 Months Ending April 30, 2022</v>
      </c>
      <c r="B7" s="115"/>
      <c r="C7" s="115"/>
      <c r="D7" s="115"/>
      <c r="E7" s="115"/>
    </row>
    <row r="9" spans="1:5">
      <c r="A9" s="6" t="str">
        <f>'Ref In'!A20</f>
        <v>Witness Responsible:   Brent Thies</v>
      </c>
    </row>
    <row r="10" spans="1:5">
      <c r="A10" s="6" t="str">
        <f>'Ref In'!A15</f>
        <v>Type of Filing: __X__ Original  _____ Updated  _____ Revised</v>
      </c>
    </row>
    <row r="11" spans="1:5">
      <c r="A11" s="6"/>
    </row>
    <row r="12" spans="1:5" ht="28.5">
      <c r="A12" s="83" t="s">
        <v>9</v>
      </c>
      <c r="B12" s="83" t="s">
        <v>10</v>
      </c>
      <c r="C12" s="7" t="str">
        <f>'Ref In'!B7</f>
        <v>Base Year at 12/31/2020</v>
      </c>
      <c r="D12" s="7" t="s">
        <v>4</v>
      </c>
      <c r="E12" s="7" t="str">
        <f>'Ref In'!B9</f>
        <v>Forecast Year at 4/30/2022</v>
      </c>
    </row>
    <row r="14" spans="1:5">
      <c r="A14" s="2" t="str">
        <f>'Ref In'!J12</f>
        <v>618.300</v>
      </c>
      <c r="B14" s="11" t="str">
        <f>'Ref In'!I12</f>
        <v>Water - O&amp;M - Chemicals - Treatment (KY, Bluegra )</v>
      </c>
      <c r="C14" s="103">
        <f>'Ref In'!W12</f>
        <v>1359.2</v>
      </c>
      <c r="D14" s="103">
        <f>'Workpaper 1'!E34</f>
        <v>0</v>
      </c>
      <c r="E14" s="104">
        <f>C14+D14</f>
        <v>1359.2</v>
      </c>
    </row>
    <row r="15" spans="1:5">
      <c r="A15" s="2" t="str">
        <f>'Ref In'!J13</f>
        <v>615.100</v>
      </c>
      <c r="B15" s="11" t="str">
        <f>'Ref In'!I13</f>
        <v>Water - O&amp;M - Purchased Power - Pumping (KY, Bluegra )</v>
      </c>
      <c r="C15" s="103">
        <f>'Ref In'!W13</f>
        <v>5485.59</v>
      </c>
      <c r="D15" s="103">
        <f>'Workpaper 1'!E47</f>
        <v>3340.5299999999988</v>
      </c>
      <c r="E15" s="104">
        <f>C15+D15</f>
        <v>8826.119999999999</v>
      </c>
    </row>
    <row r="16" spans="1:5">
      <c r="A16" s="2" t="str">
        <f>'Ref In'!J14</f>
        <v>635.300</v>
      </c>
      <c r="B16" s="11" t="str">
        <f>'Ref In'!I14</f>
        <v>Water - O&amp;M - Contractual Services - Water Testing - Treatment Ops (KY, Bluegra )</v>
      </c>
      <c r="C16" s="103">
        <f>'Ref In'!W14</f>
        <v>6703.75</v>
      </c>
      <c r="D16" s="103">
        <f>'Workpaper 1'!E61</f>
        <v>7960.25</v>
      </c>
      <c r="E16" s="104">
        <f>C16+D16</f>
        <v>14664</v>
      </c>
    </row>
    <row r="17" spans="2:5" ht="14.65" thickBot="1">
      <c r="C17" s="34">
        <f>SUM(C14:C16)</f>
        <v>13548.54</v>
      </c>
      <c r="D17" s="34">
        <f>SUM(D14:D16)</f>
        <v>11300.779999999999</v>
      </c>
      <c r="E17" s="34">
        <f>SUM(E14:E16)</f>
        <v>24849.32</v>
      </c>
    </row>
    <row r="18" spans="2:5" ht="14.65" thickTop="1"/>
    <row r="19" spans="2:5">
      <c r="B19" s="11"/>
      <c r="D19" s="58"/>
      <c r="E19" s="36"/>
    </row>
    <row r="20" spans="2:5">
      <c r="B20" s="11"/>
      <c r="D20" s="58"/>
      <c r="E20" s="36"/>
    </row>
    <row r="21" spans="2:5">
      <c r="B21" s="11"/>
      <c r="D21" s="58"/>
      <c r="E21" s="36"/>
    </row>
    <row r="22" spans="2:5" ht="14.65" thickBot="1">
      <c r="E22" s="59">
        <f>SUM(E17:E20)</f>
        <v>24849.32</v>
      </c>
    </row>
    <row r="23" spans="2:5" ht="14.6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99"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topLeftCell="A2" workbookViewId="0">
      <selection activeCell="C37" sqref="C37"/>
    </sheetView>
  </sheetViews>
  <sheetFormatPr defaultColWidth="9.1328125" defaultRowHeight="14.25" outlineLevelRow="1"/>
  <cols>
    <col min="1" max="1" width="12" style="2" customWidth="1"/>
    <col min="2" max="2" width="52.3984375" style="2" bestFit="1" customWidth="1"/>
    <col min="3" max="14" width="10.73046875" style="2" customWidth="1"/>
    <col min="15" max="15" width="12.86328125" style="2" bestFit="1" customWidth="1"/>
    <col min="16" max="16384" width="9.1328125" style="2"/>
  </cols>
  <sheetData>
    <row r="1" spans="1:15">
      <c r="A1" s="1" t="s">
        <v>0</v>
      </c>
      <c r="B1" s="1"/>
      <c r="C1" s="1"/>
      <c r="D1" s="1"/>
      <c r="O1" s="4" t="str">
        <f>'Ref In'!A25</f>
        <v>W/P - WE2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WE2.xlsx]Base &amp; Forecast Detail</v>
      </c>
    </row>
    <row r="3" spans="1:15">
      <c r="A3" s="114" t="str">
        <f>'Ref In'!A1</f>
        <v>Bluegrass Water Utility Operating Company, LLC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>
      <c r="A4" s="114" t="str">
        <f>'Ref In'!A3</f>
        <v>Case No. 2020-00290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>
      <c r="A5" s="114" t="str">
        <f>'Ref In'!A7</f>
        <v>Base Year for the 12 Months Ended December 31, 2020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>
      <c r="A6" s="114" t="str">
        <f>'Ref In'!A9</f>
        <v>Forecast Year for the 12 Months Ended April 30,2022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114" t="str">
        <f>'Ref In'!A22</f>
        <v>Water Expenses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>
      <c r="A8" s="6" t="str">
        <f>'Ref In'!A20</f>
        <v>Witness Responsible:   Brent Thies</v>
      </c>
    </row>
    <row r="9" spans="1:15">
      <c r="A9" s="23" t="str">
        <f>'Ref In'!A15</f>
        <v>Type of Filing: __X__ Original  _____ Updated  _____ Revised</v>
      </c>
    </row>
    <row r="10" spans="1:15">
      <c r="A10" s="23"/>
    </row>
    <row r="11" spans="1:15">
      <c r="C11" s="116" t="str">
        <f>'Ref In'!A7</f>
        <v>Base Year for the 12 Months Ended December 31, 2020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>
      <c r="A12" s="83" t="s">
        <v>11</v>
      </c>
      <c r="B12" s="83" t="s">
        <v>12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83" t="s">
        <v>13</v>
      </c>
    </row>
    <row r="13" spans="1:15">
      <c r="A13" s="40"/>
      <c r="B13" s="40"/>
      <c r="C13" s="40"/>
    </row>
    <row r="14" spans="1:15">
      <c r="A14" s="84" t="str">
        <f>'Ref In'!J12</f>
        <v>618.300</v>
      </c>
      <c r="B14" s="11" t="str">
        <f>'Ref In'!I12</f>
        <v>Water - O&amp;M - Chemicals - Treatment (KY, Bluegra )</v>
      </c>
      <c r="C14" s="42">
        <f>'Ref In'!K12</f>
        <v>0</v>
      </c>
      <c r="D14" s="42">
        <f>'Ref In'!L12</f>
        <v>0</v>
      </c>
      <c r="E14" s="42">
        <f>'Ref In'!M12</f>
        <v>0</v>
      </c>
      <c r="F14" s="42">
        <f>'Ref In'!N12</f>
        <v>0</v>
      </c>
      <c r="G14" s="42">
        <f>'Ref In'!O12</f>
        <v>0</v>
      </c>
      <c r="H14" s="42">
        <f>'Ref In'!P12</f>
        <v>70.23</v>
      </c>
      <c r="I14" s="42">
        <f>'Ref In'!Q12</f>
        <v>263.11</v>
      </c>
      <c r="J14" s="42">
        <f>'Ref In'!R12</f>
        <v>620.76</v>
      </c>
      <c r="K14" s="42">
        <f>'Ref In'!S12</f>
        <v>104.87</v>
      </c>
      <c r="L14" s="42">
        <f>'Ref In'!T12</f>
        <v>0</v>
      </c>
      <c r="M14" s="42">
        <f>'Ref In'!U12</f>
        <v>300.23</v>
      </c>
      <c r="N14" s="42">
        <f>'Ref In'!V12</f>
        <v>0</v>
      </c>
      <c r="O14" s="32">
        <f t="shared" ref="O14" si="0">SUM(C14:N14)</f>
        <v>1359.2</v>
      </c>
    </row>
    <row r="15" spans="1:15">
      <c r="A15" s="84" t="str">
        <f>'Ref In'!J13</f>
        <v>615.100</v>
      </c>
      <c r="B15" s="11" t="str">
        <f>'Ref In'!I13</f>
        <v>Water - O&amp;M - Purchased Power - Pumping (KY, Bluegra )</v>
      </c>
      <c r="C15" s="42">
        <f>'Ref In'!K13</f>
        <v>0</v>
      </c>
      <c r="D15" s="42">
        <f>'Ref In'!L13</f>
        <v>0</v>
      </c>
      <c r="E15" s="42">
        <f>'Ref In'!M13</f>
        <v>0</v>
      </c>
      <c r="F15" s="42">
        <f>'Ref In'!N13</f>
        <v>0</v>
      </c>
      <c r="G15" s="42">
        <f>'Ref In'!O13</f>
        <v>0</v>
      </c>
      <c r="H15" s="42">
        <f>'Ref In'!P13</f>
        <v>0</v>
      </c>
      <c r="I15" s="42">
        <f>'Ref In'!Q13</f>
        <v>2250.44</v>
      </c>
      <c r="J15" s="42">
        <f>'Ref In'!R13</f>
        <v>868</v>
      </c>
      <c r="K15" s="42">
        <f>'Ref In'!S13</f>
        <v>571.98</v>
      </c>
      <c r="L15" s="42">
        <f>'Ref In'!T13</f>
        <v>509.23</v>
      </c>
      <c r="M15" s="42">
        <f>'Ref In'!U13</f>
        <v>550.42999999999995</v>
      </c>
      <c r="N15" s="42">
        <f>'Ref In'!V13</f>
        <v>735.51</v>
      </c>
      <c r="O15" s="32">
        <f t="shared" ref="O15:O16" si="1">SUM(C15:N15)</f>
        <v>5485.59</v>
      </c>
    </row>
    <row r="16" spans="1:15">
      <c r="A16" s="84" t="str">
        <f>'Ref In'!J14</f>
        <v>635.300</v>
      </c>
      <c r="B16" s="11" t="str">
        <f>'Ref In'!I14</f>
        <v>Water - O&amp;M - Contractual Services - Water Testing - Treatment Ops (KY, Bluegra )</v>
      </c>
      <c r="C16" s="42">
        <f>'Ref In'!K14</f>
        <v>0</v>
      </c>
      <c r="D16" s="42">
        <f>'Ref In'!L14</f>
        <v>0</v>
      </c>
      <c r="E16" s="42">
        <f>'Ref In'!M14</f>
        <v>0</v>
      </c>
      <c r="F16" s="42">
        <f>'Ref In'!N14</f>
        <v>0</v>
      </c>
      <c r="G16" s="42">
        <f>'Ref In'!O14</f>
        <v>0</v>
      </c>
      <c r="H16" s="42">
        <f>'Ref In'!P14</f>
        <v>0</v>
      </c>
      <c r="I16" s="42">
        <f>'Ref In'!Q14</f>
        <v>0</v>
      </c>
      <c r="J16" s="42">
        <f>'Ref In'!R14</f>
        <v>0</v>
      </c>
      <c r="K16" s="42">
        <f>'Ref In'!S14</f>
        <v>2462.5</v>
      </c>
      <c r="L16" s="42">
        <f>'Ref In'!T14</f>
        <v>2468.5</v>
      </c>
      <c r="M16" s="42">
        <f>'Ref In'!U14</f>
        <v>550.75</v>
      </c>
      <c r="N16" s="42">
        <f>'Ref In'!V14</f>
        <v>1222</v>
      </c>
      <c r="O16" s="32">
        <f t="shared" si="1"/>
        <v>6703.75</v>
      </c>
    </row>
    <row r="17" spans="1:15">
      <c r="A17" s="11"/>
      <c r="B17" s="1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3"/>
    </row>
    <row r="18" spans="1:15">
      <c r="A18" s="40"/>
      <c r="B18" s="40"/>
      <c r="C18" s="41"/>
      <c r="O18" s="43">
        <f>SUM(O14:O16)</f>
        <v>13548.54</v>
      </c>
    </row>
    <row r="19" spans="1:15" hidden="1" outlineLevel="1">
      <c r="A19" s="40"/>
      <c r="B19" s="40"/>
      <c r="C19" s="41"/>
    </row>
    <row r="20" spans="1:15" hidden="1" outlineLevel="1">
      <c r="C20" s="116" t="str">
        <f>'Ref In'!A9</f>
        <v>Forecast Year for the 12 Months Ended April 30,2022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idden="1" outlineLevel="1">
      <c r="A21" s="83" t="s">
        <v>11</v>
      </c>
      <c r="B21" s="83" t="s">
        <v>12</v>
      </c>
      <c r="C21" s="30">
        <f>+'Ref In'!K24</f>
        <v>0</v>
      </c>
      <c r="D21" s="30">
        <f>+'Ref In'!L24</f>
        <v>0</v>
      </c>
      <c r="E21" s="30">
        <f>+'Ref In'!M24</f>
        <v>0</v>
      </c>
      <c r="F21" s="30">
        <f>+'Ref In'!N24</f>
        <v>0</v>
      </c>
      <c r="G21" s="30">
        <f>+'Ref In'!O24</f>
        <v>0</v>
      </c>
      <c r="H21" s="30">
        <f>+'Ref In'!P24</f>
        <v>0</v>
      </c>
      <c r="I21" s="30">
        <f>+'Ref In'!Q24</f>
        <v>0</v>
      </c>
      <c r="J21" s="30">
        <f>+'Ref In'!R24</f>
        <v>0</v>
      </c>
      <c r="K21" s="30">
        <f>+'Ref In'!S24</f>
        <v>0</v>
      </c>
      <c r="L21" s="30">
        <f>+'Ref In'!T24</f>
        <v>0</v>
      </c>
      <c r="M21" s="30">
        <f>+'Ref In'!U24</f>
        <v>0</v>
      </c>
      <c r="N21" s="30">
        <f>+'Ref In'!V24</f>
        <v>0</v>
      </c>
      <c r="O21" s="83" t="s">
        <v>14</v>
      </c>
    </row>
    <row r="22" spans="1:15" hidden="1" outlineLevel="1"/>
    <row r="23" spans="1:15" hidden="1" outlineLevel="1">
      <c r="A23" s="2">
        <f>'Ref In'!J25</f>
        <v>0</v>
      </c>
      <c r="B23" s="2">
        <f>'Ref In'!I25</f>
        <v>0</v>
      </c>
      <c r="C23" s="42">
        <f>'Ref In'!K26</f>
        <v>0</v>
      </c>
      <c r="D23" s="42">
        <f>'Ref In'!L26</f>
        <v>0</v>
      </c>
      <c r="E23" s="42">
        <f>'Ref In'!M26</f>
        <v>0</v>
      </c>
      <c r="F23" s="42">
        <f>'Ref In'!N26</f>
        <v>0</v>
      </c>
      <c r="G23" s="42">
        <f>'Ref In'!O26</f>
        <v>0</v>
      </c>
      <c r="H23" s="42">
        <f>'Ref In'!P26</f>
        <v>0</v>
      </c>
      <c r="I23" s="42">
        <f>'Ref In'!Q26</f>
        <v>0</v>
      </c>
      <c r="J23" s="42">
        <f>'Ref In'!R26</f>
        <v>0</v>
      </c>
      <c r="K23" s="42">
        <f>'Ref In'!S26</f>
        <v>0</v>
      </c>
      <c r="L23" s="42">
        <f>'Ref In'!T26</f>
        <v>0</v>
      </c>
      <c r="M23" s="42">
        <f>'Ref In'!U26</f>
        <v>0</v>
      </c>
      <c r="N23" s="42">
        <f>'Ref In'!V26</f>
        <v>0</v>
      </c>
      <c r="O23" s="42">
        <f>SUM(C23:N23)</f>
        <v>0</v>
      </c>
    </row>
    <row r="24" spans="1:15" hidden="1" outlineLevel="1">
      <c r="A24" s="2">
        <f>'Ref In'!J26</f>
        <v>0</v>
      </c>
      <c r="B24" s="2">
        <f>'Ref In'!I26</f>
        <v>0</v>
      </c>
      <c r="C24" s="37">
        <f>'Ref In'!K27</f>
        <v>0</v>
      </c>
      <c r="D24" s="37">
        <f>'Ref In'!L27</f>
        <v>0</v>
      </c>
      <c r="E24" s="37">
        <f>'Ref In'!M27</f>
        <v>0</v>
      </c>
      <c r="F24" s="37">
        <f>'Ref In'!N27</f>
        <v>0</v>
      </c>
      <c r="G24" s="37">
        <f>'Ref In'!O27</f>
        <v>0</v>
      </c>
      <c r="H24" s="37">
        <f>'Ref In'!P27</f>
        <v>0</v>
      </c>
      <c r="I24" s="37">
        <f>'Ref In'!Q27</f>
        <v>0</v>
      </c>
      <c r="J24" s="37">
        <f>'Ref In'!R27</f>
        <v>0</v>
      </c>
      <c r="K24" s="37">
        <f>'Ref In'!S27</f>
        <v>0</v>
      </c>
      <c r="L24" s="37">
        <f>'Ref In'!T27</f>
        <v>0</v>
      </c>
      <c r="M24" s="37">
        <f>'Ref In'!U27</f>
        <v>0</v>
      </c>
      <c r="N24" s="37">
        <f>'Ref In'!V27</f>
        <v>0</v>
      </c>
      <c r="O24" s="37">
        <f>SUM(C24:N24)</f>
        <v>0</v>
      </c>
    </row>
    <row r="25" spans="1:15" hidden="1" outlineLevel="1">
      <c r="A25" s="2">
        <f>'Ref In'!J27</f>
        <v>0</v>
      </c>
      <c r="B25" s="2">
        <f>'Ref In'!I27</f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idden="1" outlineLevel="1"/>
    <row r="27" spans="1:15" hidden="1" outlineLevel="1">
      <c r="O27" s="43">
        <f>SUM(O23:O26)</f>
        <v>0</v>
      </c>
    </row>
    <row r="28" spans="1:15" hidden="1" outlineLevel="1"/>
    <row r="29" spans="1:15" hidden="1" outlineLevel="1"/>
    <row r="30" spans="1:15" hidden="1" outlineLevel="1"/>
    <row r="31" spans="1:15" collapsed="1"/>
    <row r="32" spans="1:15">
      <c r="C32" s="116" t="str">
        <f>'Ref In'!A9</f>
        <v>Forecast Year for the 12 Months Ended April 30,2022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86" t="s">
        <v>11</v>
      </c>
      <c r="B33" s="86" t="s">
        <v>12</v>
      </c>
      <c r="C33" s="30">
        <f t="shared" ref="C33:L33" si="2">EOMONTH(D33,-1)</f>
        <v>44347</v>
      </c>
      <c r="D33" s="30">
        <f t="shared" si="2"/>
        <v>44377</v>
      </c>
      <c r="E33" s="30">
        <f t="shared" si="2"/>
        <v>44408</v>
      </c>
      <c r="F33" s="30">
        <f t="shared" si="2"/>
        <v>44439</v>
      </c>
      <c r="G33" s="30">
        <f t="shared" si="2"/>
        <v>44469</v>
      </c>
      <c r="H33" s="30">
        <f t="shared" si="2"/>
        <v>44500</v>
      </c>
      <c r="I33" s="30">
        <f t="shared" si="2"/>
        <v>44530</v>
      </c>
      <c r="J33" s="30">
        <f t="shared" si="2"/>
        <v>44561</v>
      </c>
      <c r="K33" s="30">
        <f t="shared" si="2"/>
        <v>44592</v>
      </c>
      <c r="L33" s="30">
        <f t="shared" si="2"/>
        <v>44620</v>
      </c>
      <c r="M33" s="30">
        <f>EOMONTH(N33,-1)</f>
        <v>44651</v>
      </c>
      <c r="N33" s="30">
        <f>'Ref In'!A5</f>
        <v>44681</v>
      </c>
      <c r="O33" s="86" t="s">
        <v>14</v>
      </c>
    </row>
    <row r="35" spans="1:15">
      <c r="A35" s="2" t="str">
        <f>'Ref In'!J12</f>
        <v>618.300</v>
      </c>
      <c r="B35" s="2" t="str">
        <f>'Ref In'!I12</f>
        <v>Water - O&amp;M - Chemicals - Treatment (KY, Bluegra )</v>
      </c>
      <c r="C35" s="42">
        <f t="shared" ref="C35:M37" si="3">$O35/12</f>
        <v>113.26666666666667</v>
      </c>
      <c r="D35" s="42">
        <f t="shared" si="3"/>
        <v>113.26666666666667</v>
      </c>
      <c r="E35" s="42">
        <f t="shared" si="3"/>
        <v>113.26666666666667</v>
      </c>
      <c r="F35" s="42">
        <f t="shared" si="3"/>
        <v>113.26666666666667</v>
      </c>
      <c r="G35" s="42">
        <f t="shared" si="3"/>
        <v>113.26666666666667</v>
      </c>
      <c r="H35" s="42">
        <f t="shared" si="3"/>
        <v>113.26666666666667</v>
      </c>
      <c r="I35" s="42">
        <f t="shared" si="3"/>
        <v>113.26666666666667</v>
      </c>
      <c r="J35" s="42">
        <f t="shared" si="3"/>
        <v>113.26666666666667</v>
      </c>
      <c r="K35" s="42">
        <f t="shared" si="3"/>
        <v>113.26666666666667</v>
      </c>
      <c r="L35" s="42">
        <f t="shared" si="3"/>
        <v>113.26666666666667</v>
      </c>
      <c r="M35" s="42">
        <f t="shared" si="3"/>
        <v>113.26666666666667</v>
      </c>
      <c r="N35" s="42">
        <f>$O35/12</f>
        <v>113.26666666666667</v>
      </c>
      <c r="O35" s="42">
        <f>'Summary by Account'!E14</f>
        <v>1359.2</v>
      </c>
    </row>
    <row r="36" spans="1:15">
      <c r="A36" s="2" t="str">
        <f>'Ref In'!J13</f>
        <v>615.100</v>
      </c>
      <c r="B36" s="2" t="str">
        <f>'Ref In'!I13</f>
        <v>Water - O&amp;M - Purchased Power - Pumping (KY, Bluegra )</v>
      </c>
      <c r="C36" s="42">
        <f t="shared" si="3"/>
        <v>735.50999999999988</v>
      </c>
      <c r="D36" s="42">
        <f t="shared" si="3"/>
        <v>735.50999999999988</v>
      </c>
      <c r="E36" s="42">
        <f t="shared" si="3"/>
        <v>735.50999999999988</v>
      </c>
      <c r="F36" s="42">
        <f t="shared" si="3"/>
        <v>735.50999999999988</v>
      </c>
      <c r="G36" s="42">
        <f t="shared" si="3"/>
        <v>735.50999999999988</v>
      </c>
      <c r="H36" s="42">
        <f t="shared" si="3"/>
        <v>735.50999999999988</v>
      </c>
      <c r="I36" s="42">
        <f t="shared" si="3"/>
        <v>735.50999999999988</v>
      </c>
      <c r="J36" s="42">
        <f t="shared" si="3"/>
        <v>735.50999999999988</v>
      </c>
      <c r="K36" s="42">
        <f t="shared" si="3"/>
        <v>735.50999999999988</v>
      </c>
      <c r="L36" s="42">
        <f t="shared" si="3"/>
        <v>735.50999999999988</v>
      </c>
      <c r="M36" s="42">
        <f t="shared" si="3"/>
        <v>735.50999999999988</v>
      </c>
      <c r="N36" s="42">
        <f>$O36/12</f>
        <v>735.50999999999988</v>
      </c>
      <c r="O36" s="42">
        <f>'Summary by Account'!E15</f>
        <v>8826.119999999999</v>
      </c>
    </row>
    <row r="37" spans="1:15">
      <c r="A37" s="2" t="str">
        <f>'Ref In'!J14</f>
        <v>635.300</v>
      </c>
      <c r="B37" s="2" t="str">
        <f>'Ref In'!I14</f>
        <v>Water - O&amp;M - Contractual Services - Water Testing - Treatment Ops (KY, Bluegra )</v>
      </c>
      <c r="C37" s="42">
        <f t="shared" si="3"/>
        <v>1222</v>
      </c>
      <c r="D37" s="42">
        <f t="shared" si="3"/>
        <v>1222</v>
      </c>
      <c r="E37" s="42">
        <f t="shared" si="3"/>
        <v>1222</v>
      </c>
      <c r="F37" s="42">
        <f t="shared" si="3"/>
        <v>1222</v>
      </c>
      <c r="G37" s="42">
        <f t="shared" si="3"/>
        <v>1222</v>
      </c>
      <c r="H37" s="42">
        <f t="shared" si="3"/>
        <v>1222</v>
      </c>
      <c r="I37" s="42">
        <f t="shared" si="3"/>
        <v>1222</v>
      </c>
      <c r="J37" s="42">
        <f t="shared" si="3"/>
        <v>1222</v>
      </c>
      <c r="K37" s="42">
        <f t="shared" si="3"/>
        <v>1222</v>
      </c>
      <c r="L37" s="42">
        <f t="shared" si="3"/>
        <v>1222</v>
      </c>
      <c r="M37" s="42">
        <f t="shared" si="3"/>
        <v>1222</v>
      </c>
      <c r="N37" s="42">
        <f>$O37/12</f>
        <v>1222</v>
      </c>
      <c r="O37" s="42">
        <f>'Summary by Account'!E16</f>
        <v>14664</v>
      </c>
    </row>
    <row r="39" spans="1:15">
      <c r="O39" s="43">
        <f>SUM(O35:O38)</f>
        <v>24849.32</v>
      </c>
    </row>
  </sheetData>
  <mergeCells count="8">
    <mergeCell ref="C32:O32"/>
    <mergeCell ref="C20:O20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59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6"/>
  <sheetViews>
    <sheetView topLeftCell="A37" workbookViewId="0">
      <selection activeCell="D29" sqref="D29"/>
    </sheetView>
  </sheetViews>
  <sheetFormatPr defaultRowHeight="14.25"/>
  <cols>
    <col min="2" max="2" width="10.59765625" customWidth="1"/>
    <col min="3" max="3" width="11.86328125" customWidth="1"/>
    <col min="4" max="4" width="19.59765625" bestFit="1" customWidth="1"/>
    <col min="5" max="5" width="14" bestFit="1" customWidth="1"/>
    <col min="7" max="7" width="10.8632812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WE2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e">
        <f ca="1">RIGHT(CELL("filename",$A$1),LEN(CELL("filename",$A$1))-SEARCH("\O&amp;M",CELL("filename",$A$1),1))</f>
        <v>#VALUE!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14" t="s">
        <v>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3">
      <c r="A5" s="114" t="str">
        <f>'Ref In'!A3</f>
        <v>Case No. 2020-00290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3">
      <c r="A6" s="114" t="str">
        <f>'Ref In'!A7</f>
        <v>Base Year for the 12 Months Ended December 31, 2020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>
      <c r="A7" s="114" t="str">
        <f>'Ref In'!A9</f>
        <v>Forecast Year for the 12 Months Ended April 30,2022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3">
      <c r="A8" s="114" t="str">
        <f>'Ref In'!A22</f>
        <v>Water Expenses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5"/>
    </row>
    <row r="16" spans="1:13" ht="14.65" thickBot="1">
      <c r="A16" s="62" t="s">
        <v>2</v>
      </c>
      <c r="B16" s="62" t="s">
        <v>3</v>
      </c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40"/>
    </row>
    <row r="17" spans="1:13">
      <c r="M17" s="65"/>
    </row>
    <row r="18" spans="1:13">
      <c r="B18" s="66" t="s">
        <v>48</v>
      </c>
    </row>
    <row r="20" spans="1:13">
      <c r="A20" s="67">
        <v>1</v>
      </c>
      <c r="B20" s="95" t="s">
        <v>49</v>
      </c>
      <c r="C20" s="70"/>
      <c r="D20" s="70"/>
      <c r="E20" s="70"/>
      <c r="G20" s="71"/>
    </row>
    <row r="21" spans="1:13">
      <c r="A21" s="67">
        <v>2</v>
      </c>
      <c r="B21" s="70" t="s">
        <v>59</v>
      </c>
    </row>
    <row r="22" spans="1:13">
      <c r="A22" s="67">
        <v>3</v>
      </c>
      <c r="B22" t="s">
        <v>55</v>
      </c>
      <c r="G22" s="87"/>
    </row>
    <row r="23" spans="1:13">
      <c r="A23" s="67">
        <v>4</v>
      </c>
      <c r="G23" s="65"/>
    </row>
    <row r="24" spans="1:13">
      <c r="A24" s="67">
        <v>5</v>
      </c>
      <c r="G24" s="88"/>
    </row>
    <row r="25" spans="1:13">
      <c r="A25" s="67">
        <v>6</v>
      </c>
      <c r="B25" s="94" t="str">
        <f>'Ref In'!I12&amp;"-"&amp;'Ref In'!J12</f>
        <v>Water - O&amp;M - Chemicals - Treatment (KY, Bluegra )-618.300</v>
      </c>
      <c r="G25" s="65"/>
    </row>
    <row r="26" spans="1:13">
      <c r="A26" s="67">
        <v>7</v>
      </c>
      <c r="B26" s="94"/>
      <c r="G26" s="72"/>
    </row>
    <row r="27" spans="1:13">
      <c r="A27" s="67">
        <v>8</v>
      </c>
      <c r="B27" s="72"/>
      <c r="D27" s="73" t="s">
        <v>50</v>
      </c>
      <c r="E27" s="73" t="s">
        <v>51</v>
      </c>
      <c r="F27" s="73"/>
      <c r="G27" s="65"/>
    </row>
    <row r="28" spans="1:13">
      <c r="A28" s="67">
        <v>9</v>
      </c>
      <c r="B28" s="65"/>
      <c r="C28" s="65"/>
      <c r="D28" s="89">
        <f>'Base &amp; Forecast Detail'!O14/12</f>
        <v>113.26666666666667</v>
      </c>
      <c r="E28" s="90">
        <f>D28*12</f>
        <v>1359.2</v>
      </c>
      <c r="F28" s="65"/>
      <c r="G28" s="72"/>
    </row>
    <row r="29" spans="1:13">
      <c r="A29" s="67">
        <v>10</v>
      </c>
      <c r="D29" s="91"/>
      <c r="E29" s="90"/>
      <c r="G29" s="65"/>
    </row>
    <row r="30" spans="1:13">
      <c r="A30" s="67">
        <v>11</v>
      </c>
      <c r="D30" s="96">
        <f>SUM(D28:D29)</f>
        <v>113.26666666666667</v>
      </c>
      <c r="E30" s="96">
        <f>SUM(E28:E29)</f>
        <v>1359.2</v>
      </c>
      <c r="G30" s="89"/>
    </row>
    <row r="31" spans="1:13">
      <c r="A31" s="67">
        <v>12</v>
      </c>
      <c r="G31" s="65"/>
    </row>
    <row r="32" spans="1:13">
      <c r="A32" s="67">
        <v>13</v>
      </c>
      <c r="D32" t="s">
        <v>13</v>
      </c>
      <c r="E32" s="89">
        <f>'Base &amp; Forecast Detail'!O14</f>
        <v>1359.2</v>
      </c>
      <c r="G32" s="65"/>
    </row>
    <row r="33" spans="1:7">
      <c r="A33" s="67">
        <v>14</v>
      </c>
      <c r="D33" t="s">
        <v>52</v>
      </c>
      <c r="E33" s="90">
        <f>E30</f>
        <v>1359.2</v>
      </c>
      <c r="G33" s="65"/>
    </row>
    <row r="34" spans="1:7">
      <c r="A34" s="67">
        <v>15</v>
      </c>
      <c r="D34" t="s">
        <v>53</v>
      </c>
      <c r="E34" s="93">
        <f>E33-E32</f>
        <v>0</v>
      </c>
      <c r="G34" s="65"/>
    </row>
    <row r="35" spans="1:7">
      <c r="A35" s="67">
        <v>16</v>
      </c>
      <c r="G35" s="65"/>
    </row>
    <row r="36" spans="1:7">
      <c r="A36" s="67">
        <v>17</v>
      </c>
    </row>
    <row r="37" spans="1:7">
      <c r="A37" s="67">
        <v>33</v>
      </c>
    </row>
    <row r="38" spans="1:7">
      <c r="A38" s="67">
        <v>34</v>
      </c>
      <c r="B38" s="94" t="str">
        <f>'Ref In'!I13&amp;"-"&amp;'Ref In'!J13</f>
        <v>Water - O&amp;M - Purchased Power - Pumping (KY, Bluegra )-615.100</v>
      </c>
    </row>
    <row r="39" spans="1:7">
      <c r="A39" s="67">
        <v>35</v>
      </c>
    </row>
    <row r="40" spans="1:7">
      <c r="A40" s="67">
        <v>36</v>
      </c>
      <c r="D40" s="73" t="s">
        <v>50</v>
      </c>
      <c r="E40" s="73" t="s">
        <v>51</v>
      </c>
    </row>
    <row r="41" spans="1:7">
      <c r="A41" s="67">
        <v>37</v>
      </c>
      <c r="C41" s="65"/>
      <c r="D41" s="89">
        <f>'Base &amp; Forecast Detail'!N15</f>
        <v>735.51</v>
      </c>
      <c r="E41" s="90">
        <f>D41*12</f>
        <v>8826.119999999999</v>
      </c>
    </row>
    <row r="42" spans="1:7">
      <c r="A42" s="67">
        <v>38</v>
      </c>
      <c r="D42" s="91"/>
      <c r="E42" s="90"/>
    </row>
    <row r="43" spans="1:7">
      <c r="A43" s="67">
        <v>39</v>
      </c>
      <c r="D43" s="96">
        <f>SUM(D41:D42)</f>
        <v>735.51</v>
      </c>
      <c r="E43" s="96">
        <f>SUM(E41:E42)</f>
        <v>8826.119999999999</v>
      </c>
    </row>
    <row r="44" spans="1:7">
      <c r="A44" s="67">
        <v>40</v>
      </c>
    </row>
    <row r="45" spans="1:7">
      <c r="A45" s="67">
        <v>41</v>
      </c>
      <c r="D45" t="s">
        <v>13</v>
      </c>
      <c r="E45" s="89">
        <f>'Base &amp; Forecast Detail'!O15</f>
        <v>5485.59</v>
      </c>
    </row>
    <row r="46" spans="1:7">
      <c r="A46" s="67">
        <v>42</v>
      </c>
      <c r="D46" t="s">
        <v>52</v>
      </c>
      <c r="E46" s="90">
        <f>E43</f>
        <v>8826.119999999999</v>
      </c>
    </row>
    <row r="47" spans="1:7">
      <c r="A47" s="67">
        <v>43</v>
      </c>
      <c r="D47" t="s">
        <v>53</v>
      </c>
      <c r="E47" s="93">
        <f>E46-E45</f>
        <v>3340.5299999999988</v>
      </c>
    </row>
    <row r="48" spans="1:7">
      <c r="A48" s="67">
        <v>44</v>
      </c>
    </row>
    <row r="49" spans="1:5">
      <c r="A49" s="67">
        <v>45</v>
      </c>
    </row>
    <row r="50" spans="1:5">
      <c r="A50" s="67">
        <v>46</v>
      </c>
    </row>
    <row r="51" spans="1:5">
      <c r="A51" s="67">
        <v>47</v>
      </c>
    </row>
    <row r="52" spans="1:5">
      <c r="A52" s="67">
        <v>48</v>
      </c>
      <c r="B52" s="94" t="str">
        <f>'Ref In'!I14&amp;"-"&amp;'Ref In'!J14</f>
        <v>Water - O&amp;M - Contractual Services - Water Testing - Treatment Ops (KY, Bluegra )-635.300</v>
      </c>
    </row>
    <row r="53" spans="1:5">
      <c r="A53" s="67">
        <v>49</v>
      </c>
    </row>
    <row r="54" spans="1:5">
      <c r="A54" s="67">
        <v>50</v>
      </c>
      <c r="D54" s="73" t="s">
        <v>50</v>
      </c>
      <c r="E54" s="73" t="s">
        <v>51</v>
      </c>
    </row>
    <row r="55" spans="1:5">
      <c r="A55" s="67">
        <v>51</v>
      </c>
      <c r="C55" s="65"/>
      <c r="D55" s="89">
        <f>'Base &amp; Forecast Detail'!N16</f>
        <v>1222</v>
      </c>
      <c r="E55" s="90">
        <f>D55*12</f>
        <v>14664</v>
      </c>
    </row>
    <row r="56" spans="1:5">
      <c r="A56" s="67">
        <v>52</v>
      </c>
      <c r="D56" s="91"/>
      <c r="E56" s="90"/>
    </row>
    <row r="57" spans="1:5">
      <c r="A57" s="67">
        <v>53</v>
      </c>
      <c r="D57" s="96">
        <f>SUM(D55:D56)</f>
        <v>1222</v>
      </c>
      <c r="E57" s="96">
        <f>SUM(E55:E56)</f>
        <v>14664</v>
      </c>
    </row>
    <row r="58" spans="1:5">
      <c r="A58" s="67">
        <v>54</v>
      </c>
    </row>
    <row r="59" spans="1:5">
      <c r="A59" s="67">
        <v>55</v>
      </c>
      <c r="D59" t="s">
        <v>13</v>
      </c>
      <c r="E59" s="89">
        <f>'Base &amp; Forecast Detail'!O16</f>
        <v>6703.75</v>
      </c>
    </row>
    <row r="60" spans="1:5">
      <c r="A60" s="67">
        <v>56</v>
      </c>
      <c r="D60" t="s">
        <v>52</v>
      </c>
      <c r="E60" s="90">
        <f>E57</f>
        <v>14664</v>
      </c>
    </row>
    <row r="61" spans="1:5">
      <c r="A61" s="67">
        <v>57</v>
      </c>
      <c r="D61" t="s">
        <v>53</v>
      </c>
      <c r="E61" s="93">
        <f>E60-E59</f>
        <v>7960.25</v>
      </c>
    </row>
    <row r="62" spans="1:5">
      <c r="A62" s="67">
        <v>58</v>
      </c>
    </row>
    <row r="63" spans="1:5">
      <c r="A63" s="67">
        <v>59</v>
      </c>
    </row>
    <row r="64" spans="1:5">
      <c r="A64" s="67">
        <v>60</v>
      </c>
    </row>
    <row r="65" spans="1:5" ht="14.65" thickBot="1">
      <c r="A65" s="67">
        <v>61</v>
      </c>
      <c r="B65" t="s">
        <v>54</v>
      </c>
      <c r="E65" s="92">
        <f>E34+E47+E61</f>
        <v>11300.779999999999</v>
      </c>
    </row>
    <row r="66" spans="1:5" ht="14.65" thickTop="1"/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scale="94"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9"/>
  <sheetViews>
    <sheetView topLeftCell="A4" workbookViewId="0">
      <selection activeCell="A4" sqref="A1:XFD1048576"/>
    </sheetView>
  </sheetViews>
  <sheetFormatPr defaultColWidth="9.1328125" defaultRowHeight="14.25"/>
  <cols>
    <col min="1" max="6" width="9.1328125" style="76"/>
    <col min="7" max="7" width="13.265625" style="76" bestFit="1" customWidth="1"/>
    <col min="8" max="16384" width="9.1328125" style="76"/>
  </cols>
  <sheetData>
    <row r="1" spans="1:13">
      <c r="A1" s="108"/>
      <c r="B1" s="108"/>
      <c r="C1" s="108"/>
      <c r="D1" s="108"/>
      <c r="E1" s="51"/>
      <c r="F1" s="51"/>
      <c r="G1" s="51"/>
      <c r="H1" s="51"/>
      <c r="I1" s="51"/>
      <c r="J1" s="51"/>
      <c r="K1" s="51"/>
      <c r="L1" s="105"/>
    </row>
    <row r="2" spans="1:13">
      <c r="A2" s="108"/>
      <c r="B2" s="108"/>
      <c r="C2" s="108"/>
      <c r="D2" s="108"/>
      <c r="E2" s="51"/>
      <c r="F2" s="51"/>
      <c r="G2" s="51"/>
      <c r="H2" s="51"/>
      <c r="I2" s="51"/>
      <c r="J2" s="51"/>
      <c r="K2" s="51"/>
      <c r="L2" s="105"/>
    </row>
    <row r="3" spans="1:13">
      <c r="A3" s="108"/>
      <c r="B3" s="108"/>
      <c r="C3" s="108"/>
      <c r="D3" s="108"/>
      <c r="E3" s="51"/>
      <c r="F3" s="51"/>
      <c r="G3" s="51"/>
      <c r="H3" s="51"/>
      <c r="I3" s="51"/>
      <c r="J3" s="51"/>
      <c r="K3" s="51"/>
      <c r="L3" s="105"/>
    </row>
    <row r="4" spans="1:13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3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3">
      <c r="A11" s="98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>
      <c r="A12" s="10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>
      <c r="A13" s="109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3">
      <c r="A14" s="10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6" spans="1:13">
      <c r="A16" s="98"/>
      <c r="B16" s="98"/>
      <c r="C16" s="110"/>
      <c r="D16" s="110"/>
      <c r="E16" s="110"/>
      <c r="F16" s="51"/>
      <c r="G16" s="51"/>
      <c r="H16" s="51"/>
      <c r="I16" s="51"/>
      <c r="J16" s="51"/>
      <c r="K16" s="51"/>
      <c r="L16" s="51"/>
      <c r="M16" s="51"/>
    </row>
    <row r="18" spans="1:9">
      <c r="B18" s="111"/>
    </row>
    <row r="20" spans="1:9">
      <c r="A20" s="112"/>
      <c r="G20" s="106"/>
    </row>
    <row r="21" spans="1:9">
      <c r="A21" s="112"/>
      <c r="G21" s="87"/>
    </row>
    <row r="22" spans="1:9">
      <c r="A22" s="112"/>
      <c r="G22" s="87"/>
    </row>
    <row r="23" spans="1:9">
      <c r="A23" s="112"/>
      <c r="G23" s="87"/>
    </row>
    <row r="24" spans="1:9">
      <c r="A24" s="112"/>
      <c r="G24" s="74"/>
    </row>
    <row r="25" spans="1:9">
      <c r="A25" s="112"/>
      <c r="I25" s="107"/>
    </row>
    <row r="26" spans="1:9">
      <c r="A26" s="112"/>
      <c r="B26" s="74"/>
      <c r="C26" s="75"/>
      <c r="D26" s="75"/>
      <c r="E26" s="75"/>
      <c r="F26" s="75"/>
      <c r="G26" s="74"/>
    </row>
    <row r="27" spans="1:9">
      <c r="A27" s="112"/>
    </row>
    <row r="28" spans="1:9">
      <c r="A28" s="112"/>
      <c r="G28" s="106"/>
    </row>
    <row r="29" spans="1:9">
      <c r="A29" s="112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L32" sqref="L32"/>
    </sheetView>
  </sheetViews>
  <sheetFormatPr defaultColWidth="9.1328125" defaultRowHeight="14.25"/>
  <cols>
    <col min="1" max="16384" width="9.13281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WE2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WE2.xlsx]Notes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16</v>
      </c>
    </row>
    <row r="7" spans="1:14">
      <c r="A7" s="6" t="s">
        <v>17</v>
      </c>
      <c r="B7" s="49"/>
    </row>
    <row r="8" spans="1:14">
      <c r="B8" s="49"/>
    </row>
    <row r="10" spans="1:14">
      <c r="A10" s="6" t="s">
        <v>18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zoomScaleNormal="100" workbookViewId="0">
      <selection activeCell="E3" sqref="E3"/>
    </sheetView>
  </sheetViews>
  <sheetFormatPr defaultColWidth="9.1328125" defaultRowHeight="14.25"/>
  <cols>
    <col min="1" max="1" width="11.73046875" style="2" customWidth="1"/>
    <col min="2" max="2" width="27.86328125" style="2" bestFit="1" customWidth="1"/>
    <col min="3" max="6" width="18.73046875" style="2" customWidth="1"/>
    <col min="7" max="16384" width="9.1328125" style="2"/>
  </cols>
  <sheetData>
    <row r="1" spans="1:6" ht="55.5" customHeight="1">
      <c r="A1" s="7" t="s">
        <v>40</v>
      </c>
      <c r="B1" s="7" t="s">
        <v>3</v>
      </c>
      <c r="C1" s="7" t="s">
        <v>41</v>
      </c>
      <c r="D1" s="12" t="str">
        <f>'Ref In'!C7</f>
        <v>Base Year for the 12 Months Ended 12/31/20</v>
      </c>
      <c r="E1" s="13" t="s">
        <v>42</v>
      </c>
      <c r="F1" s="13" t="s">
        <v>43</v>
      </c>
    </row>
    <row r="2" spans="1:6">
      <c r="A2" s="8"/>
    </row>
    <row r="3" spans="1:6" ht="14.65" thickBot="1">
      <c r="A3" s="8" t="str">
        <f>'Ref In'!H12</f>
        <v>WE2</v>
      </c>
      <c r="B3" s="2" t="str">
        <f>'Ref In'!A22</f>
        <v>Water Expenses</v>
      </c>
      <c r="D3" s="57">
        <f>ROUND(Exhibit!C15,0)</f>
        <v>13549</v>
      </c>
      <c r="E3" s="57">
        <f>ROUND(Exhibit!E25,0)</f>
        <v>11301</v>
      </c>
      <c r="F3" s="57">
        <f>ROUND(Exhibit!E28,0)</f>
        <v>24850</v>
      </c>
    </row>
    <row r="4" spans="1:6" ht="14.65" thickTop="1">
      <c r="A4" s="8"/>
    </row>
    <row r="5" spans="1:6">
      <c r="A5" s="8"/>
    </row>
    <row r="6" spans="1:6">
      <c r="A6" s="8"/>
    </row>
    <row r="7" spans="1:6">
      <c r="A7" s="14" t="s">
        <v>44</v>
      </c>
      <c r="D7" s="83" t="s">
        <v>60</v>
      </c>
      <c r="E7" s="97" t="s">
        <v>45</v>
      </c>
    </row>
    <row r="8" spans="1:6">
      <c r="A8" s="15" t="str">
        <f>'Summary by Account'!A14</f>
        <v>618.300</v>
      </c>
      <c r="B8" s="16" t="str">
        <f>'Summary by Account'!B14</f>
        <v>Water - O&amp;M - Chemicals - Treatment (KY, Bluegra )</v>
      </c>
      <c r="C8" s="8"/>
      <c r="D8" s="44">
        <f>'Summary by Account'!D14</f>
        <v>0</v>
      </c>
      <c r="E8" s="44">
        <f>'Summary by Account'!E14</f>
        <v>1359.2</v>
      </c>
    </row>
    <row r="9" spans="1:6">
      <c r="A9" s="15" t="str">
        <f>'Summary by Account'!A15</f>
        <v>615.100</v>
      </c>
      <c r="B9" s="16" t="str">
        <f>'Summary by Account'!B15</f>
        <v>Water - O&amp;M - Purchased Power - Pumping (KY, Bluegra )</v>
      </c>
      <c r="C9" s="8"/>
      <c r="D9" s="44">
        <f>'Summary by Account'!D15</f>
        <v>3340.5299999999988</v>
      </c>
      <c r="E9" s="44">
        <f>'Summary by Account'!E15</f>
        <v>8826.119999999999</v>
      </c>
    </row>
    <row r="10" spans="1:6">
      <c r="A10" s="15" t="str">
        <f>'Summary by Account'!A16</f>
        <v>635.300</v>
      </c>
      <c r="B10" s="16" t="str">
        <f>'Summary by Account'!B16</f>
        <v>Water - O&amp;M - Contractual Services - Water Testing - Treatment Ops (KY, Bluegra )</v>
      </c>
      <c r="C10" s="8"/>
      <c r="D10" s="44">
        <f>'Summary by Account'!D16</f>
        <v>7960.25</v>
      </c>
      <c r="E10" s="44">
        <f>'Summary by Account'!E16</f>
        <v>14664</v>
      </c>
    </row>
    <row r="11" spans="1:6" ht="14.65" thickBot="1">
      <c r="A11" s="8"/>
      <c r="B11" s="17"/>
      <c r="C11" s="8"/>
      <c r="D11" s="45">
        <f>SUM(D8:D10)</f>
        <v>11300.779999999999</v>
      </c>
      <c r="E11" s="45">
        <f>SUM(E8:E10)</f>
        <v>24849.32</v>
      </c>
    </row>
    <row r="12" spans="1:6" ht="14.65" thickTop="1">
      <c r="A12" s="8"/>
      <c r="B12" s="8"/>
      <c r="C12" s="8"/>
      <c r="D12" s="8"/>
    </row>
    <row r="13" spans="1:6">
      <c r="A13" s="14" t="s">
        <v>46</v>
      </c>
      <c r="B13" s="8"/>
      <c r="C13" s="8"/>
      <c r="D13" s="8"/>
    </row>
    <row r="15" spans="1:6">
      <c r="A15" s="2" t="str">
        <f>'Ref In'!A25</f>
        <v>W/P - WE2</v>
      </c>
    </row>
    <row r="16" spans="1:6">
      <c r="A16" s="2" t="str">
        <f ca="1">Exhibit!F2</f>
        <v>Work Papers/[BGUOC 2020 Rate Case - Schedule WE2.xlsx]Exhibit</v>
      </c>
    </row>
    <row r="21" spans="1:4">
      <c r="A21" s="6"/>
    </row>
    <row r="22" spans="1:4">
      <c r="A22" s="32"/>
      <c r="D22" s="32"/>
    </row>
    <row r="23" spans="1:4">
      <c r="D23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8E17E-40B5-4682-888D-55C435C0FA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c29f954-72e5-4988-94c8-6074c4013efb"/>
    <ds:schemaRef ds:uri="http://purl.org/dc/elements/1.1/"/>
    <ds:schemaRef ds:uri="http://schemas.microsoft.com/office/2006/metadata/properties"/>
    <ds:schemaRef ds:uri="http://schemas.microsoft.com/office/infopath/2007/PartnerControls"/>
    <ds:schemaRef ds:uri="219c5758-d311-4f49-8eb7-a0c37216249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76B567-8C9D-4F5E-A885-B7B4D487B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Ref In</vt:lpstr>
      <vt:lpstr>Exhibit</vt:lpstr>
      <vt:lpstr>Summary by Account</vt:lpstr>
      <vt:lpstr>Base &amp; Forecast Detail</vt:lpstr>
      <vt:lpstr>Workpaper 1</vt:lpstr>
      <vt:lpstr>Workpaper 2</vt:lpstr>
      <vt:lpstr>Notes</vt:lpstr>
      <vt:lpstr>Ref Out</vt:lpstr>
      <vt:lpstr>'Workpaper 1'!Print_Area</vt:lpstr>
      <vt:lpstr>'Workpaper 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Mike Duncan</cp:lastModifiedBy>
  <cp:revision/>
  <cp:lastPrinted>2021-03-16T19:16:06Z</cp:lastPrinted>
  <dcterms:created xsi:type="dcterms:W3CDTF">2012-08-27T14:54:09Z</dcterms:created>
  <dcterms:modified xsi:type="dcterms:W3CDTF">2021-03-16T20:14:40Z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