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cswrgroup.sharepoint.com/Rate Cases/Kentucky/BGUOC Rate Case 2020-00290/Work Papers/"/>
    </mc:Choice>
  </mc:AlternateContent>
  <xr:revisionPtr revIDLastSave="53" documentId="8_{EC7BD554-6CE6-4E0D-8C9E-7AFAFBF62F46}" xr6:coauthVersionLast="46" xr6:coauthVersionMax="46" xr10:uidLastSave="{EB8B36FA-8151-49F4-BAC4-522361010499}"/>
  <bookViews>
    <workbookView xWindow="-98" yWindow="-98" windowWidth="20715" windowHeight="13276" activeTab="1" xr2:uid="{630D2151-B63E-4767-90DA-1CC6736B923C}"/>
  </bookViews>
  <sheets>
    <sheet name="Q3-2020" sheetId="2" r:id="rId1"/>
    <sheet name="Q4-2021" sheetId="1" r:id="rId2"/>
  </sheets>
  <externalReferences>
    <externalReference r:id="rId3"/>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'Q3-2020'!$B$1:$T$47</definedName>
    <definedName name="_xlnm.Print_Area" localSheetId="1">'Q4-2021'!$B$1:$T$56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3" i="2" l="1"/>
  <c r="R32" i="2"/>
  <c r="R40" i="1"/>
  <c r="R39" i="1"/>
  <c r="R34" i="2" l="1"/>
  <c r="S32" i="2" s="1"/>
  <c r="E46" i="2"/>
  <c r="F45" i="2" s="1"/>
  <c r="F44" i="2"/>
  <c r="F43" i="2"/>
  <c r="F42" i="2"/>
  <c r="F41" i="2"/>
  <c r="F40" i="2"/>
  <c r="F39" i="2"/>
  <c r="F38" i="2"/>
  <c r="F37" i="2"/>
  <c r="F36" i="2"/>
  <c r="F35" i="2"/>
  <c r="F34" i="2"/>
  <c r="F33" i="2"/>
  <c r="F32" i="2"/>
  <c r="L29" i="2"/>
  <c r="K29" i="2"/>
  <c r="F29" i="2"/>
  <c r="E29" i="2"/>
  <c r="L28" i="2"/>
  <c r="F28" i="2"/>
  <c r="L27" i="2"/>
  <c r="F27" i="2"/>
  <c r="L44" i="2" s="1"/>
  <c r="L26" i="2"/>
  <c r="L43" i="2" s="1"/>
  <c r="F26" i="2"/>
  <c r="L25" i="2"/>
  <c r="F25" i="2"/>
  <c r="L42" i="2" s="1"/>
  <c r="L24" i="2"/>
  <c r="L41" i="2" s="1"/>
  <c r="F24" i="2"/>
  <c r="L23" i="2"/>
  <c r="F23" i="2"/>
  <c r="L40" i="2" s="1"/>
  <c r="L22" i="2"/>
  <c r="L39" i="2" s="1"/>
  <c r="F22" i="2"/>
  <c r="L21" i="2"/>
  <c r="F21" i="2"/>
  <c r="L38" i="2" s="1"/>
  <c r="L20" i="2"/>
  <c r="F20" i="2"/>
  <c r="L37" i="2" s="1"/>
  <c r="L19" i="2"/>
  <c r="F19" i="2"/>
  <c r="L36" i="2" s="1"/>
  <c r="L18" i="2"/>
  <c r="F18" i="2"/>
  <c r="L35" i="2" s="1"/>
  <c r="L17" i="2"/>
  <c r="L34" i="2" s="1"/>
  <c r="F17" i="2"/>
  <c r="L16" i="2"/>
  <c r="F16" i="2"/>
  <c r="L33" i="2" s="1"/>
  <c r="L15" i="2"/>
  <c r="L32" i="2" s="1"/>
  <c r="F15" i="2"/>
  <c r="R14" i="2"/>
  <c r="K31" i="2" s="1"/>
  <c r="S33" i="2" l="1"/>
  <c r="S34" i="2" s="1"/>
  <c r="T32" i="2"/>
  <c r="K41" i="2"/>
  <c r="N41" i="2" s="1"/>
  <c r="K40" i="2"/>
  <c r="N40" i="2" s="1"/>
  <c r="K44" i="2"/>
  <c r="N44" i="2" s="1"/>
  <c r="K39" i="2"/>
  <c r="N39" i="2" s="1"/>
  <c r="K36" i="2"/>
  <c r="N36" i="2" s="1"/>
  <c r="K42" i="2"/>
  <c r="N42" i="2" s="1"/>
  <c r="K32" i="2"/>
  <c r="K34" i="2"/>
  <c r="N34" i="2" s="1"/>
  <c r="K43" i="2"/>
  <c r="N43" i="2" s="1"/>
  <c r="K38" i="2"/>
  <c r="N38" i="2" s="1"/>
  <c r="K33" i="2"/>
  <c r="N33" i="2" s="1"/>
  <c r="K35" i="2"/>
  <c r="N35" i="2" s="1"/>
  <c r="K37" i="2"/>
  <c r="N37" i="2" s="1"/>
  <c r="L45" i="2"/>
  <c r="K45" i="2" s="1"/>
  <c r="N45" i="2" s="1"/>
  <c r="F46" i="2"/>
  <c r="L46" i="2" s="1"/>
  <c r="T33" i="2" l="1"/>
  <c r="T34" i="2"/>
  <c r="K46" i="2"/>
  <c r="N32" i="2"/>
  <c r="N46" i="2" l="1"/>
  <c r="R41" i="1" l="1"/>
  <c r="S39" i="1" s="1"/>
  <c r="T39" i="1" s="1"/>
  <c r="S40" i="1" l="1"/>
  <c r="S41" i="1" l="1"/>
  <c r="T40" i="1"/>
  <c r="T41" i="1" s="1"/>
  <c r="R13" i="1" l="1"/>
  <c r="L49" i="1"/>
  <c r="L48" i="1"/>
  <c r="L47" i="1"/>
  <c r="L46" i="1"/>
  <c r="F48" i="1"/>
  <c r="E48" i="1"/>
  <c r="L26" i="1"/>
  <c r="K26" i="1"/>
  <c r="E47" i="1"/>
  <c r="K25" i="1"/>
  <c r="E46" i="1"/>
  <c r="K24" i="1"/>
  <c r="E49" i="1"/>
  <c r="K27" i="1"/>
  <c r="E52" i="1"/>
  <c r="K30" i="1"/>
  <c r="E55" i="1"/>
  <c r="K33" i="1"/>
  <c r="E54" i="1"/>
  <c r="K32" i="1"/>
  <c r="E53" i="1"/>
  <c r="K31" i="1"/>
  <c r="E51" i="1"/>
  <c r="K29" i="1"/>
  <c r="E50" i="1"/>
  <c r="K28" i="1"/>
  <c r="E45" i="1"/>
  <c r="K23" i="1"/>
  <c r="E44" i="1"/>
  <c r="K22" i="1"/>
  <c r="E43" i="1"/>
  <c r="K21" i="1"/>
  <c r="E42" i="1"/>
  <c r="K20" i="1"/>
  <c r="E40" i="1"/>
  <c r="K18" i="1"/>
  <c r="E41" i="1"/>
  <c r="K19" i="1"/>
  <c r="R14" i="1" l="1"/>
  <c r="K36" i="1" s="1"/>
  <c r="K47" i="1" l="1"/>
  <c r="N47" i="1" s="1"/>
  <c r="K46" i="1"/>
  <c r="N46" i="1" s="1"/>
  <c r="K48" i="1"/>
  <c r="N48" i="1" s="1"/>
  <c r="K49" i="1"/>
  <c r="N49" i="1" s="1"/>
  <c r="E56" i="1"/>
  <c r="K34" i="1"/>
  <c r="L25" i="1" s="1"/>
  <c r="F46" i="1" l="1"/>
  <c r="F47" i="1"/>
  <c r="L27" i="1"/>
  <c r="L24" i="1"/>
  <c r="F52" i="1"/>
  <c r="F49" i="1"/>
  <c r="L20" i="1"/>
  <c r="L30" i="1"/>
  <c r="F53" i="1"/>
  <c r="F42" i="1"/>
  <c r="F54" i="1"/>
  <c r="F55" i="1"/>
  <c r="E34" i="1" l="1"/>
  <c r="F26" i="1" s="1"/>
  <c r="F24" i="1" l="1"/>
  <c r="F25" i="1"/>
  <c r="F30" i="1"/>
  <c r="L52" i="1" s="1"/>
  <c r="K52" i="1" s="1"/>
  <c r="N52" i="1" s="1"/>
  <c r="F27" i="1"/>
  <c r="F33" i="1"/>
  <c r="F20" i="1"/>
  <c r="L42" i="1" s="1"/>
  <c r="K42" i="1" s="1"/>
  <c r="N42" i="1" s="1"/>
  <c r="F32" i="1"/>
  <c r="F31" i="1"/>
  <c r="F56" i="1" l="1"/>
  <c r="F34" i="1"/>
  <c r="L34" i="1" l="1"/>
  <c r="L56" i="1" s="1"/>
  <c r="L32" i="1"/>
  <c r="L54" i="1" s="1"/>
  <c r="L33" i="1"/>
  <c r="L55" i="1" s="1"/>
  <c r="L31" i="1"/>
  <c r="L53" i="1" s="1"/>
  <c r="F23" i="1"/>
  <c r="F18" i="1"/>
  <c r="F19" i="1"/>
  <c r="F15" i="1"/>
  <c r="F28" i="1"/>
  <c r="F37" i="1"/>
  <c r="F41" i="1"/>
  <c r="F50" i="1"/>
  <c r="F40" i="1"/>
  <c r="F16" i="1"/>
  <c r="F21" i="1"/>
  <c r="F29" i="1"/>
  <c r="F38" i="1"/>
  <c r="F43" i="1"/>
  <c r="F51" i="1"/>
  <c r="F45" i="1"/>
  <c r="F17" i="1"/>
  <c r="F22" i="1"/>
  <c r="F39" i="1"/>
  <c r="F44" i="1"/>
  <c r="L21" i="1"/>
  <c r="L29" i="1"/>
  <c r="L22" i="1"/>
  <c r="L16" i="1"/>
  <c r="L17" i="1"/>
  <c r="L18" i="1"/>
  <c r="L23" i="1"/>
  <c r="L15" i="1"/>
  <c r="L19" i="1"/>
  <c r="L28" i="1"/>
  <c r="L50" i="1" l="1"/>
  <c r="K53" i="1"/>
  <c r="N53" i="1" s="1"/>
  <c r="L43" i="1"/>
  <c r="K55" i="1"/>
  <c r="N55" i="1" s="1"/>
  <c r="K54" i="1"/>
  <c r="N54" i="1" s="1"/>
  <c r="L41" i="1"/>
  <c r="L38" i="1"/>
  <c r="K38" i="1" s="1"/>
  <c r="N38" i="1" s="1"/>
  <c r="L45" i="1"/>
  <c r="L44" i="1"/>
  <c r="L40" i="1"/>
  <c r="L39" i="1"/>
  <c r="K39" i="1" s="1"/>
  <c r="N39" i="1" s="1"/>
  <c r="L51" i="1"/>
  <c r="L37" i="1"/>
  <c r="K37" i="1" s="1"/>
  <c r="K43" i="1" l="1"/>
  <c r="K41" i="1"/>
  <c r="N41" i="1" s="1"/>
  <c r="N37" i="1"/>
  <c r="K50" i="1"/>
  <c r="N50" i="1" s="1"/>
  <c r="K51" i="1"/>
  <c r="N51" i="1" s="1"/>
  <c r="K45" i="1"/>
  <c r="N45" i="1" s="1"/>
  <c r="K44" i="1"/>
  <c r="N44" i="1" s="1"/>
  <c r="K40" i="1"/>
  <c r="N40" i="1" s="1"/>
  <c r="N43" i="1" l="1"/>
  <c r="K56" i="1"/>
  <c r="N56" i="1" l="1"/>
</calcChain>
</file>

<file path=xl/sharedStrings.xml><?xml version="1.0" encoding="utf-8"?>
<sst xmlns="http://schemas.openxmlformats.org/spreadsheetml/2006/main" count="194" uniqueCount="46">
  <si>
    <t>CSWR, LLC</t>
  </si>
  <si>
    <t>Premise:</t>
  </si>
  <si>
    <t>Utility Plant in Service</t>
  </si>
  <si>
    <t>Revenue</t>
  </si>
  <si>
    <t>Direct Labor</t>
  </si>
  <si>
    <t>Hillcrest</t>
  </si>
  <si>
    <t>Raccoon Creek</t>
  </si>
  <si>
    <t>Indian Hills</t>
  </si>
  <si>
    <t>Elm Hills</t>
  </si>
  <si>
    <t>Confluence Rivers</t>
  </si>
  <si>
    <t>Hayden's Place</t>
  </si>
  <si>
    <t>St. Joseph's Glen</t>
  </si>
  <si>
    <t>Sebastian Lake</t>
  </si>
  <si>
    <t>Eagle Ridge</t>
  </si>
  <si>
    <t>Oak Hill</t>
  </si>
  <si>
    <t>Amount</t>
  </si>
  <si>
    <t>Percent</t>
  </si>
  <si>
    <t>A. Utility Plant in Service</t>
  </si>
  <si>
    <t>B. Revenue</t>
  </si>
  <si>
    <t>C. Direct Labor</t>
  </si>
  <si>
    <t xml:space="preserve">The Mass Method is employed when no direct cost benefit relationship is readily available among multiple product lines or services (i.e., UOCs).  In this case, the weighted average of the primary drivers of the business are calculated and used to allocate administrative and general expenses. </t>
  </si>
  <si>
    <t>Allocation</t>
  </si>
  <si>
    <t>CSWR</t>
  </si>
  <si>
    <t xml:space="preserve">The cost drivers are defined as: </t>
  </si>
  <si>
    <t>Flushing Meadows</t>
  </si>
  <si>
    <t>Bluegrass</t>
  </si>
  <si>
    <t>Magnolia</t>
  </si>
  <si>
    <t>Overhead Allocation</t>
  </si>
  <si>
    <t>Total SG&amp;A Budget</t>
  </si>
  <si>
    <t>Less: BD expenses</t>
  </si>
  <si>
    <t>Overhead to UOCs</t>
  </si>
  <si>
    <t>*Employee &amp; Travel expense</t>
  </si>
  <si>
    <t>Total Overhead Allocation</t>
  </si>
  <si>
    <t>Osage</t>
  </si>
  <si>
    <t>AZ-CSWR</t>
  </si>
  <si>
    <t>Limestone</t>
  </si>
  <si>
    <t>Great River</t>
  </si>
  <si>
    <t>Grasslands</t>
  </si>
  <si>
    <t>Redbird</t>
  </si>
  <si>
    <t>Q4 - 2021</t>
  </si>
  <si>
    <t>Bluegrass Customers</t>
  </si>
  <si>
    <t>Water</t>
  </si>
  <si>
    <t>Sewer</t>
  </si>
  <si>
    <t>Monthly OHA</t>
  </si>
  <si>
    <t>Annual OHA</t>
  </si>
  <si>
    <t>Q3 - 2020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</si>
</sst>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8">
    <font>
      <sz val="9"/>
      <color theme="1"/>
      <name val="Century Gothic"/>
      <family val="2"/>
    </font>
    <font>
      <sz val="9"/>
      <color theme="1"/>
      <name val="Century Gothic"/>
      <family val="2"/>
    </font>
    <font>
      <sz val="9"/>
      <color theme="1"/>
      <name val="Calibri  "/>
    </font>
    <font>
      <sz val="8"/>
      <color theme="1"/>
      <name val="Calibri  "/>
    </font>
    <font>
      <b/>
      <sz val="9"/>
      <color theme="1"/>
      <name val="Calibri  "/>
    </font>
    <font>
      <b/>
      <u/>
      <sz val="9"/>
      <color theme="1"/>
      <name val="Calibri  "/>
    </font>
    <font>
      <b/>
      <sz val="8"/>
      <color theme="1"/>
      <name val="Calibri  "/>
    </font>
    <font>
      <sz val="8"/>
      <color rgb="FF0070C0"/>
      <name val="Calibri  "/>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5">
    <xf numFmtId="0" fontId="0" fillId="0" borderId="0" xfId="0"/>
    <xf numFmtId="0" fontId="2" fillId="0" borderId="0" xfId="0" applyFont="1"/>
    <xf numFmtId="0" fontId="3" fillId="0" borderId="0" xfId="0" applyFont="1"/>
    <xf numFmtId="0" fontId="4" fillId="0" borderId="0" xfId="0" applyFont="1" applyAlignment="1">
      <alignment horizontal="right" indent="1"/>
    </xf>
    <xf numFmtId="0" fontId="5" fillId="0" borderId="0" xfId="0" applyFont="1"/>
    <xf numFmtId="0" fontId="2" fillId="0" borderId="0" xfId="0" applyFont="1" applyAlignment="1">
      <alignment horizontal="right" vertical="top" wrapText="1" indent="1"/>
    </xf>
    <xf numFmtId="0" fontId="2" fillId="0" borderId="0" xfId="0" applyFont="1" applyAlignment="1">
      <alignment horizontal="left" vertical="top" wrapText="1"/>
    </xf>
    <xf numFmtId="0" fontId="2" fillId="0" borderId="0" xfId="0" applyFont="1" applyAlignment="1">
      <alignment horizontal="right" indent="1"/>
    </xf>
    <xf numFmtId="0" fontId="2" fillId="0" borderId="0" xfId="0" applyFont="1" applyAlignment="1">
      <alignment horizontal="left"/>
    </xf>
    <xf numFmtId="0" fontId="3" fillId="0" borderId="0" xfId="0" applyFont="1" applyAlignment="1">
      <alignment horizontal="right" vertical="top" wrapText="1" indent="1"/>
    </xf>
    <xf numFmtId="0" fontId="3" fillId="0" borderId="0" xfId="0" applyFont="1" applyAlignment="1">
      <alignment horizontal="left" vertical="top" wrapText="1"/>
    </xf>
    <xf numFmtId="164" fontId="3" fillId="0" borderId="0" xfId="1" applyNumberFormat="1" applyFont="1"/>
    <xf numFmtId="0" fontId="6" fillId="0" borderId="2" xfId="0" applyFont="1" applyBorder="1"/>
    <xf numFmtId="0" fontId="3" fillId="0" borderId="2" xfId="0" applyFont="1" applyBorder="1"/>
    <xf numFmtId="0" fontId="6" fillId="0" borderId="2" xfId="0" applyFont="1" applyBorder="1" applyAlignment="1">
      <alignment horizontal="center"/>
    </xf>
    <xf numFmtId="0" fontId="3" fillId="0" borderId="0" xfId="0" applyFont="1" applyAlignment="1">
      <alignment horizontal="left" indent="2"/>
    </xf>
    <xf numFmtId="10" fontId="3" fillId="0" borderId="0" xfId="2" applyNumberFormat="1" applyFont="1" applyAlignment="1">
      <alignment horizontal="right" indent="2"/>
    </xf>
    <xf numFmtId="0" fontId="3" fillId="0" borderId="1" xfId="0" applyFont="1" applyBorder="1"/>
    <xf numFmtId="164" fontId="3" fillId="0" borderId="1" xfId="0" applyNumberFormat="1" applyFont="1" applyBorder="1"/>
    <xf numFmtId="10" fontId="3" fillId="0" borderId="1" xfId="2" applyNumberFormat="1" applyFont="1" applyBorder="1" applyAlignment="1">
      <alignment horizontal="right" indent="2"/>
    </xf>
    <xf numFmtId="0" fontId="3" fillId="3" borderId="0" xfId="0" applyFont="1" applyFill="1"/>
    <xf numFmtId="0" fontId="3" fillId="2" borderId="1" xfId="0" applyFont="1" applyFill="1" applyBorder="1" applyAlignment="1">
      <alignment horizontal="center"/>
    </xf>
    <xf numFmtId="0" fontId="3" fillId="2" borderId="1" xfId="0" applyFont="1" applyFill="1" applyBorder="1"/>
    <xf numFmtId="0" fontId="6" fillId="2" borderId="2" xfId="0" applyFont="1" applyFill="1" applyBorder="1"/>
    <xf numFmtId="0" fontId="3" fillId="2" borderId="2" xfId="0" applyFont="1" applyFill="1" applyBorder="1"/>
    <xf numFmtId="164" fontId="7" fillId="2" borderId="2" xfId="1" applyNumberFormat="1" applyFont="1" applyFill="1" applyBorder="1"/>
    <xf numFmtId="164" fontId="3" fillId="2" borderId="2" xfId="1" applyNumberFormat="1" applyFont="1" applyFill="1" applyBorder="1" applyAlignment="1">
      <alignment horizontal="center"/>
    </xf>
    <xf numFmtId="164" fontId="2" fillId="0" borderId="0" xfId="0" applyNumberFormat="1" applyFont="1"/>
    <xf numFmtId="0" fontId="3" fillId="2" borderId="0" xfId="0" applyFont="1" applyFill="1" applyAlignment="1">
      <alignment horizontal="left" indent="2"/>
    </xf>
    <xf numFmtId="0" fontId="3" fillId="2" borderId="0" xfId="0" applyFont="1" applyFill="1"/>
    <xf numFmtId="164" fontId="3" fillId="2" borderId="0" xfId="1" applyNumberFormat="1" applyFont="1" applyFill="1"/>
    <xf numFmtId="10" fontId="3" fillId="2" borderId="0" xfId="2" applyNumberFormat="1" applyFont="1" applyFill="1" applyAlignment="1">
      <alignment horizontal="right" indent="2"/>
    </xf>
    <xf numFmtId="0" fontId="6" fillId="2" borderId="1" xfId="0" applyFont="1" applyFill="1" applyBorder="1"/>
    <xf numFmtId="164" fontId="7" fillId="2" borderId="1" xfId="0" applyNumberFormat="1" applyFont="1" applyFill="1" applyBorder="1"/>
    <xf numFmtId="10" fontId="3" fillId="2" borderId="1" xfId="2" applyNumberFormat="1" applyFont="1" applyFill="1" applyBorder="1" applyAlignment="1">
      <alignment horizontal="right" indent="2"/>
    </xf>
    <xf numFmtId="164" fontId="3" fillId="2" borderId="1" xfId="1" applyNumberFormat="1" applyFont="1" applyFill="1" applyBorder="1"/>
    <xf numFmtId="43" fontId="3" fillId="3" borderId="0" xfId="0" applyNumberFormat="1" applyFont="1" applyFill="1"/>
    <xf numFmtId="164" fontId="3" fillId="0" borderId="0" xfId="0" applyNumberFormat="1" applyFont="1"/>
    <xf numFmtId="0" fontId="3" fillId="0" borderId="0" xfId="0" applyFont="1" applyAlignment="1">
      <alignment horizontal="right"/>
    </xf>
    <xf numFmtId="41" fontId="3" fillId="0" borderId="0" xfId="0" applyNumberFormat="1" applyFont="1"/>
    <xf numFmtId="41" fontId="3" fillId="0" borderId="1" xfId="0" applyNumberFormat="1" applyFont="1" applyBorder="1"/>
    <xf numFmtId="43" fontId="3" fillId="0" borderId="0" xfId="0" applyNumberFormat="1" applyFont="1"/>
    <xf numFmtId="0" fontId="4" fillId="0" borderId="0" xfId="0" applyFont="1"/>
    <xf numFmtId="0" fontId="2" fillId="0" borderId="0" xfId="0" applyFont="1" applyAlignment="1">
      <alignment horizontal="left" vertical="top" wrapText="1"/>
    </xf>
    <xf numFmtId="0" fontId="3" fillId="0" borderId="0" xfId="0" applyFont="1" applyFill="1" applyBorder="1"/>
    <xf numFmtId="0" fontId="3" fillId="0" borderId="0" xfId="0" applyFont="1" applyFill="1" applyBorder="1" applyAlignment="1">
      <alignment horizontal="center"/>
    </xf>
    <xf numFmtId="0" fontId="6" fillId="0" borderId="0" xfId="0" applyFont="1" applyFill="1" applyBorder="1" applyAlignment="1">
      <alignment horizontal="center"/>
    </xf>
    <xf numFmtId="164" fontId="3" fillId="0" borderId="0" xfId="1" applyNumberFormat="1" applyFont="1" applyFill="1" applyBorder="1" applyAlignment="1">
      <alignment horizontal="center"/>
    </xf>
    <xf numFmtId="164" fontId="3" fillId="0" borderId="0" xfId="1" applyNumberFormat="1" applyFont="1" applyFill="1" applyBorder="1"/>
    <xf numFmtId="43" fontId="6" fillId="0" borderId="0" xfId="0" applyNumberFormat="1" applyFont="1" applyFill="1" applyBorder="1"/>
    <xf numFmtId="0" fontId="2" fillId="0" borderId="0" xfId="0" applyFont="1" applyFill="1" applyBorder="1"/>
    <xf numFmtId="0" fontId="6" fillId="0" borderId="0" xfId="0" applyFont="1"/>
    <xf numFmtId="0" fontId="2" fillId="3" borderId="0" xfId="0" applyFont="1" applyFill="1"/>
    <xf numFmtId="3" fontId="3" fillId="0" borderId="0" xfId="0" applyNumberFormat="1" applyFont="1"/>
    <xf numFmtId="0" fontId="2" fillId="0" borderId="0" xfId="0" applyFont="1"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GUOC%202020%20Rate%20Case%20-%20BY%20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Link In"/>
      <sheetName val="Link Out"/>
      <sheetName val="3 Yr Reports &gt;&gt;"/>
      <sheetName val="3yr IS"/>
      <sheetName val="3yr BS"/>
      <sheetName val="3yr CFS"/>
      <sheetName val="3yr Cust"/>
      <sheetName val="System Revenue"/>
      <sheetName val="Data Sheets &gt;&gt;"/>
      <sheetName val="2020 P&amp;L"/>
      <sheetName val="2020-2022 P&amp;L"/>
      <sheetName val="S-Dep Linkin"/>
      <sheetName val="W-Dep Linkin"/>
      <sheetName val="ACQ Link In"/>
    </sheetNames>
    <sheetDataSet>
      <sheetData sheetId="0"/>
      <sheetData sheetId="1"/>
      <sheetData sheetId="2"/>
      <sheetData sheetId="3"/>
      <sheetData sheetId="4"/>
      <sheetData sheetId="5"/>
      <sheetData sheetId="6">
        <row r="25">
          <cell r="C25">
            <v>1739</v>
          </cell>
          <cell r="E25">
            <v>2201</v>
          </cell>
        </row>
        <row r="29">
          <cell r="C29">
            <v>82</v>
          </cell>
          <cell r="E29">
            <v>82</v>
          </cell>
        </row>
        <row r="34">
          <cell r="C34">
            <v>4</v>
          </cell>
          <cell r="E34">
            <v>4</v>
          </cell>
        </row>
        <row r="38">
          <cell r="C38">
            <v>0</v>
          </cell>
          <cell r="E38">
            <v>34</v>
          </cell>
        </row>
        <row r="44">
          <cell r="C44">
            <v>336</v>
          </cell>
          <cell r="E44">
            <v>336</v>
          </cell>
        </row>
      </sheetData>
      <sheetData sheetId="7"/>
      <sheetData sheetId="8"/>
      <sheetData sheetId="9">
        <row r="1">
          <cell r="C1"/>
        </row>
      </sheetData>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FCBC5-8313-4847-8D46-189EF02CB48F}">
  <sheetPr>
    <pageSetUpPr fitToPage="1"/>
  </sheetPr>
  <dimension ref="B1:T49"/>
  <sheetViews>
    <sheetView workbookViewId="0">
      <selection activeCell="B1" sqref="B1:T47"/>
    </sheetView>
  </sheetViews>
  <sheetFormatPr defaultColWidth="8.765625" defaultRowHeight="11.65"/>
  <cols>
    <col min="1" max="1" width="2.23046875" style="1" customWidth="1"/>
    <col min="2" max="2" width="14" style="1" customWidth="1"/>
    <col min="3" max="4" width="8.765625" style="1"/>
    <col min="5" max="5" width="10.765625" style="1" customWidth="1"/>
    <col min="6" max="6" width="20.15234375" style="1" bestFit="1" customWidth="1"/>
    <col min="7" max="7" width="1.61328125" style="1" customWidth="1"/>
    <col min="8" max="8" width="14" style="1" customWidth="1"/>
    <col min="9" max="9" width="9.765625" style="1" customWidth="1"/>
    <col min="10" max="10" width="8.765625" style="1"/>
    <col min="11" max="11" width="10.15234375" style="1" bestFit="1" customWidth="1"/>
    <col min="12" max="12" width="12.3828125" style="1" customWidth="1"/>
    <col min="13" max="13" width="1.61328125" style="1" customWidth="1"/>
    <col min="14" max="14" width="9.84375" style="1" bestFit="1" customWidth="1"/>
    <col min="15" max="15" width="11.23046875" style="1" bestFit="1" customWidth="1"/>
    <col min="16" max="16" width="12.15234375" style="1" bestFit="1" customWidth="1"/>
    <col min="17" max="17" width="11.23046875" style="1" customWidth="1"/>
    <col min="18" max="18" width="9.84375" style="1" bestFit="1" customWidth="1"/>
    <col min="19" max="19" width="8.765625" style="1"/>
    <col min="20" max="20" width="9.3828125" style="1" bestFit="1" customWidth="1"/>
    <col min="21" max="16384" width="8.765625" style="1"/>
  </cols>
  <sheetData>
    <row r="1" spans="2:20">
      <c r="B1" s="42" t="s">
        <v>0</v>
      </c>
      <c r="C1" s="2"/>
      <c r="D1" s="2"/>
      <c r="E1" s="2"/>
      <c r="F1" s="2"/>
      <c r="G1" s="2"/>
      <c r="H1" s="2"/>
      <c r="I1" s="2"/>
      <c r="J1" s="2"/>
      <c r="K1" s="2"/>
      <c r="L1" s="2"/>
      <c r="M1" s="2"/>
      <c r="N1" s="2"/>
    </row>
    <row r="2" spans="2:20">
      <c r="B2" s="1" t="s">
        <v>27</v>
      </c>
      <c r="C2" s="2"/>
      <c r="D2" s="2"/>
      <c r="E2" s="2"/>
      <c r="F2" s="2"/>
      <c r="G2" s="2"/>
      <c r="H2" s="2"/>
      <c r="I2" s="2"/>
      <c r="J2" s="2"/>
      <c r="K2" s="2"/>
      <c r="L2" s="2"/>
      <c r="M2" s="2"/>
      <c r="N2" s="2"/>
    </row>
    <row r="3" spans="2:20">
      <c r="B3" s="1" t="s">
        <v>45</v>
      </c>
      <c r="C3" s="2"/>
      <c r="D3" s="2"/>
      <c r="E3" s="2"/>
      <c r="F3" s="2"/>
      <c r="G3" s="2"/>
      <c r="H3" s="2"/>
      <c r="I3" s="2"/>
      <c r="J3" s="2"/>
      <c r="K3" s="2"/>
      <c r="L3" s="2"/>
      <c r="M3" s="2"/>
      <c r="N3" s="2"/>
    </row>
    <row r="4" spans="2:20">
      <c r="B4" s="2"/>
      <c r="C4" s="2"/>
      <c r="D4" s="2"/>
      <c r="E4" s="2"/>
      <c r="F4" s="2"/>
      <c r="G4" s="2"/>
      <c r="H4" s="2"/>
      <c r="I4" s="2"/>
      <c r="J4" s="2"/>
      <c r="K4" s="2"/>
      <c r="L4" s="2"/>
      <c r="M4" s="2"/>
      <c r="N4" s="2"/>
    </row>
    <row r="5" spans="2:20">
      <c r="B5" s="2"/>
      <c r="C5" s="2"/>
      <c r="D5" s="2"/>
      <c r="E5" s="2"/>
      <c r="F5" s="2"/>
      <c r="G5" s="2"/>
      <c r="H5" s="2"/>
      <c r="I5" s="2"/>
      <c r="J5" s="2"/>
      <c r="K5" s="2"/>
      <c r="L5" s="2"/>
      <c r="M5" s="2"/>
      <c r="N5" s="2"/>
    </row>
    <row r="6" spans="2:20">
      <c r="B6" s="3" t="s">
        <v>1</v>
      </c>
      <c r="C6" s="54" t="s">
        <v>20</v>
      </c>
      <c r="D6" s="54"/>
      <c r="E6" s="54"/>
      <c r="F6" s="54"/>
      <c r="G6" s="54"/>
      <c r="H6" s="54"/>
      <c r="I6" s="54"/>
      <c r="J6" s="54"/>
      <c r="K6" s="54"/>
      <c r="L6" s="54"/>
      <c r="M6" s="54"/>
      <c r="N6" s="54"/>
      <c r="O6" s="54"/>
      <c r="S6" s="4"/>
    </row>
    <row r="7" spans="2:20">
      <c r="B7" s="5"/>
      <c r="C7" s="54"/>
      <c r="D7" s="54"/>
      <c r="E7" s="54"/>
      <c r="F7" s="54"/>
      <c r="G7" s="54"/>
      <c r="H7" s="54"/>
      <c r="I7" s="54"/>
      <c r="J7" s="54"/>
      <c r="K7" s="54"/>
      <c r="L7" s="54"/>
      <c r="M7" s="54"/>
      <c r="N7" s="54"/>
      <c r="O7" s="54"/>
    </row>
    <row r="8" spans="2:20">
      <c r="B8" s="5"/>
      <c r="C8" s="43"/>
      <c r="D8" s="43"/>
      <c r="E8" s="43"/>
      <c r="F8" s="43"/>
      <c r="G8" s="43"/>
      <c r="H8" s="43"/>
      <c r="I8" s="43"/>
      <c r="J8" s="43"/>
      <c r="K8" s="43"/>
      <c r="L8" s="43"/>
    </row>
    <row r="9" spans="2:20">
      <c r="B9" s="7"/>
      <c r="F9" s="8" t="s">
        <v>17</v>
      </c>
    </row>
    <row r="10" spans="2:20">
      <c r="B10" s="7"/>
      <c r="C10" s="8" t="s">
        <v>23</v>
      </c>
      <c r="F10" s="8" t="s">
        <v>18</v>
      </c>
    </row>
    <row r="11" spans="2:20">
      <c r="B11" s="7"/>
      <c r="F11" s="8" t="s">
        <v>19</v>
      </c>
      <c r="P11" s="2"/>
      <c r="Q11" s="12" t="s">
        <v>30</v>
      </c>
      <c r="R11" s="12"/>
      <c r="S11" s="2"/>
      <c r="T11" s="2"/>
    </row>
    <row r="12" spans="2:20">
      <c r="B12" s="9"/>
      <c r="C12" s="10"/>
      <c r="D12" s="10"/>
      <c r="E12" s="10"/>
      <c r="F12" s="10"/>
      <c r="G12" s="10"/>
      <c r="H12" s="10"/>
      <c r="I12" s="10"/>
      <c r="J12" s="10"/>
      <c r="K12" s="2"/>
      <c r="L12" s="2"/>
      <c r="M12" s="2"/>
      <c r="N12" s="2"/>
      <c r="P12" s="2"/>
      <c r="Q12" s="38" t="s">
        <v>28</v>
      </c>
      <c r="R12" s="39">
        <v>6580338</v>
      </c>
      <c r="S12" s="2"/>
      <c r="T12" s="2"/>
    </row>
    <row r="13" spans="2:20">
      <c r="B13" s="2"/>
      <c r="C13" s="2"/>
      <c r="D13" s="2"/>
      <c r="E13" s="2"/>
      <c r="F13" s="2"/>
      <c r="G13" s="2"/>
      <c r="H13" s="2"/>
      <c r="I13" s="2"/>
      <c r="J13" s="2"/>
      <c r="K13" s="2"/>
      <c r="L13" s="2"/>
      <c r="M13" s="2"/>
      <c r="N13" s="2"/>
      <c r="P13" s="2"/>
      <c r="Q13" s="38" t="s">
        <v>29</v>
      </c>
      <c r="R13" s="39">
        <v>-1181221</v>
      </c>
      <c r="S13" s="2" t="s">
        <v>31</v>
      </c>
      <c r="T13" s="2"/>
    </row>
    <row r="14" spans="2:20">
      <c r="B14" s="12" t="s">
        <v>2</v>
      </c>
      <c r="C14" s="13"/>
      <c r="D14" s="13"/>
      <c r="E14" s="14" t="s">
        <v>15</v>
      </c>
      <c r="F14" s="14" t="s">
        <v>16</v>
      </c>
      <c r="G14" s="2"/>
      <c r="H14" s="12" t="s">
        <v>3</v>
      </c>
      <c r="I14" s="13"/>
      <c r="J14" s="13"/>
      <c r="K14" s="14" t="s">
        <v>15</v>
      </c>
      <c r="L14" s="14" t="s">
        <v>16</v>
      </c>
      <c r="M14" s="2"/>
      <c r="N14" s="2"/>
      <c r="P14" s="2"/>
      <c r="Q14" s="2"/>
      <c r="R14" s="40">
        <f>SUM(R12:R13)</f>
        <v>5399117</v>
      </c>
      <c r="S14" s="2"/>
      <c r="T14" s="2"/>
    </row>
    <row r="15" spans="2:20" s="2" customFormat="1" ht="10.15">
      <c r="B15" s="15" t="s">
        <v>5</v>
      </c>
      <c r="E15" s="11">
        <v>1151571</v>
      </c>
      <c r="F15" s="16">
        <f t="shared" ref="F15:F29" si="0">E15/E$29</f>
        <v>2.40123649695312E-2</v>
      </c>
      <c r="H15" s="15" t="s">
        <v>5</v>
      </c>
      <c r="K15" s="11">
        <v>440000</v>
      </c>
      <c r="L15" s="16">
        <f t="shared" ref="L15:L29" si="1">K15/K$29</f>
        <v>3.0162934689020142E-2</v>
      </c>
    </row>
    <row r="16" spans="2:20" s="2" customFormat="1" ht="10.15">
      <c r="B16" s="15" t="s">
        <v>6</v>
      </c>
      <c r="E16" s="11">
        <v>1715331</v>
      </c>
      <c r="F16" s="16">
        <f t="shared" si="0"/>
        <v>3.5767793749192124E-2</v>
      </c>
      <c r="H16" s="15" t="s">
        <v>6</v>
      </c>
      <c r="K16" s="11">
        <v>540000</v>
      </c>
      <c r="L16" s="16">
        <f t="shared" si="1"/>
        <v>3.7018147118342906E-2</v>
      </c>
    </row>
    <row r="17" spans="2:20" s="2" customFormat="1" ht="10.15">
      <c r="B17" s="15" t="s">
        <v>7</v>
      </c>
      <c r="E17" s="11">
        <v>1771462</v>
      </c>
      <c r="F17" s="16">
        <f t="shared" si="0"/>
        <v>3.6938227928330666E-2</v>
      </c>
      <c r="H17" s="15" t="s">
        <v>7</v>
      </c>
      <c r="K17" s="11">
        <v>540000</v>
      </c>
      <c r="L17" s="16">
        <f t="shared" si="1"/>
        <v>3.7018147118342906E-2</v>
      </c>
    </row>
    <row r="18" spans="2:20" s="2" customFormat="1" ht="10.15">
      <c r="B18" s="15" t="s">
        <v>8</v>
      </c>
      <c r="E18" s="11">
        <v>2355871</v>
      </c>
      <c r="F18" s="16">
        <f t="shared" si="0"/>
        <v>4.9124226185909885E-2</v>
      </c>
      <c r="H18" s="15" t="s">
        <v>8</v>
      </c>
      <c r="K18" s="11">
        <v>300000</v>
      </c>
      <c r="L18" s="16">
        <f t="shared" si="1"/>
        <v>2.0565637287968279E-2</v>
      </c>
    </row>
    <row r="19" spans="2:20" s="2" customFormat="1" ht="10.15">
      <c r="B19" s="15" t="s">
        <v>9</v>
      </c>
      <c r="E19" s="11">
        <v>2000000</v>
      </c>
      <c r="F19" s="16">
        <f t="shared" si="0"/>
        <v>4.1703663898328802E-2</v>
      </c>
      <c r="H19" s="15" t="s">
        <v>9</v>
      </c>
      <c r="K19" s="11">
        <v>1203000</v>
      </c>
      <c r="L19" s="16">
        <f t="shared" si="1"/>
        <v>8.24682055247528E-2</v>
      </c>
    </row>
    <row r="20" spans="2:20" s="2" customFormat="1" ht="10.15">
      <c r="B20" s="15" t="s">
        <v>33</v>
      </c>
      <c r="E20" s="11">
        <v>807103</v>
      </c>
      <c r="F20" s="16">
        <f t="shared" si="0"/>
        <v>1.6829576121666436E-2</v>
      </c>
      <c r="H20" s="15" t="s">
        <v>33</v>
      </c>
      <c r="K20" s="11">
        <v>207000</v>
      </c>
      <c r="L20" s="16">
        <f t="shared" si="1"/>
        <v>1.4190289728698112E-2</v>
      </c>
    </row>
    <row r="21" spans="2:20" s="2" customFormat="1" ht="10.15">
      <c r="B21" s="15" t="s">
        <v>10</v>
      </c>
      <c r="E21" s="11">
        <v>193473</v>
      </c>
      <c r="F21" s="16">
        <f t="shared" si="0"/>
        <v>4.034266482700684E-3</v>
      </c>
      <c r="H21" s="15" t="s">
        <v>10</v>
      </c>
      <c r="K21" s="11">
        <v>91440</v>
      </c>
      <c r="L21" s="16">
        <f t="shared" si="1"/>
        <v>6.2684062453727315E-3</v>
      </c>
    </row>
    <row r="22" spans="2:20" s="2" customFormat="1" ht="10.15">
      <c r="B22" s="15" t="s">
        <v>11</v>
      </c>
      <c r="E22" s="11">
        <v>796242</v>
      </c>
      <c r="F22" s="16">
        <f t="shared" si="0"/>
        <v>1.6603104374866562E-2</v>
      </c>
      <c r="H22" s="15" t="s">
        <v>11</v>
      </c>
      <c r="K22" s="11">
        <v>244000</v>
      </c>
      <c r="L22" s="16">
        <f t="shared" si="1"/>
        <v>1.6726718327547536E-2</v>
      </c>
    </row>
    <row r="23" spans="2:20" s="2" customFormat="1" ht="10.15">
      <c r="B23" s="15" t="s">
        <v>12</v>
      </c>
      <c r="E23" s="11">
        <v>241403</v>
      </c>
      <c r="F23" s="16">
        <f t="shared" si="0"/>
        <v>5.0336947880241338E-3</v>
      </c>
      <c r="H23" s="15" t="s">
        <v>12</v>
      </c>
      <c r="K23" s="11">
        <v>133000</v>
      </c>
      <c r="L23" s="16">
        <f t="shared" si="1"/>
        <v>9.1174325309992706E-3</v>
      </c>
    </row>
    <row r="24" spans="2:20" s="2" customFormat="1" ht="10.15">
      <c r="B24" s="15" t="s">
        <v>13</v>
      </c>
      <c r="E24" s="11">
        <v>289604</v>
      </c>
      <c r="F24" s="16">
        <f t="shared" si="0"/>
        <v>6.0387739398058077E-3</v>
      </c>
      <c r="H24" s="15" t="s">
        <v>13</v>
      </c>
      <c r="K24" s="11">
        <v>179000</v>
      </c>
      <c r="L24" s="16">
        <f t="shared" si="1"/>
        <v>1.2270830248487741E-2</v>
      </c>
    </row>
    <row r="25" spans="2:20" s="2" customFormat="1" ht="10.15">
      <c r="B25" s="15" t="s">
        <v>14</v>
      </c>
      <c r="E25" s="11">
        <v>321073</v>
      </c>
      <c r="F25" s="16">
        <f t="shared" si="0"/>
        <v>6.6949602394140622E-3</v>
      </c>
      <c r="H25" s="15" t="s">
        <v>14</v>
      </c>
      <c r="K25" s="11">
        <v>142000</v>
      </c>
      <c r="L25" s="16">
        <f t="shared" si="1"/>
        <v>9.734401649638319E-3</v>
      </c>
    </row>
    <row r="26" spans="2:20" s="2" customFormat="1" ht="10.15">
      <c r="B26" s="15" t="s">
        <v>24</v>
      </c>
      <c r="E26" s="11">
        <v>339456</v>
      </c>
      <c r="F26" s="16">
        <f t="shared" si="0"/>
        <v>7.078279466135551E-3</v>
      </c>
      <c r="H26" s="15" t="s">
        <v>24</v>
      </c>
      <c r="K26" s="11">
        <v>198000</v>
      </c>
      <c r="L26" s="16">
        <f t="shared" si="1"/>
        <v>1.3573320610059064E-2</v>
      </c>
    </row>
    <row r="27" spans="2:20" s="2" customFormat="1" ht="10.15">
      <c r="B27" s="15" t="s">
        <v>26</v>
      </c>
      <c r="E27" s="11">
        <v>35177270</v>
      </c>
      <c r="F27" s="16">
        <f t="shared" si="0"/>
        <v>0.7335105224703824</v>
      </c>
      <c r="H27" s="15" t="s">
        <v>26</v>
      </c>
      <c r="K27" s="11">
        <v>9500000</v>
      </c>
      <c r="L27" s="16">
        <f t="shared" si="1"/>
        <v>0.65124518078566218</v>
      </c>
    </row>
    <row r="28" spans="2:20" s="2" customFormat="1" ht="10.15">
      <c r="B28" s="15" t="s">
        <v>25</v>
      </c>
      <c r="E28" s="11">
        <v>797558</v>
      </c>
      <c r="F28" s="16">
        <f t="shared" si="0"/>
        <v>1.6630545385711661E-2</v>
      </c>
      <c r="H28" s="15" t="s">
        <v>25</v>
      </c>
      <c r="K28" s="11">
        <v>870000</v>
      </c>
      <c r="L28" s="16">
        <f t="shared" si="1"/>
        <v>5.9640348135108011E-2</v>
      </c>
    </row>
    <row r="29" spans="2:20" s="2" customFormat="1" ht="10.15">
      <c r="B29" s="17"/>
      <c r="C29" s="17"/>
      <c r="D29" s="17"/>
      <c r="E29" s="18">
        <f>SUM(E15:E28)</f>
        <v>47957417</v>
      </c>
      <c r="F29" s="19">
        <f t="shared" si="0"/>
        <v>1</v>
      </c>
      <c r="H29" s="17"/>
      <c r="I29" s="17"/>
      <c r="J29" s="17"/>
      <c r="K29" s="18">
        <f>SUM(K15:K28)</f>
        <v>14587440</v>
      </c>
      <c r="L29" s="19">
        <f t="shared" si="1"/>
        <v>1</v>
      </c>
      <c r="O29" s="44"/>
      <c r="P29" s="44"/>
      <c r="Q29" s="44"/>
    </row>
    <row r="30" spans="2:20">
      <c r="B30" s="2"/>
      <c r="C30" s="2"/>
      <c r="D30" s="2"/>
      <c r="E30" s="2"/>
      <c r="F30" s="2"/>
      <c r="G30" s="2"/>
      <c r="H30" s="20"/>
      <c r="I30" s="20"/>
      <c r="J30" s="20"/>
      <c r="K30" s="20"/>
      <c r="L30" s="20"/>
      <c r="M30" s="2"/>
      <c r="N30" s="21" t="s">
        <v>22</v>
      </c>
      <c r="O30" s="45"/>
      <c r="P30" s="44"/>
      <c r="Q30" s="46"/>
      <c r="S30" s="2"/>
    </row>
    <row r="31" spans="2:20">
      <c r="B31" s="12" t="s">
        <v>4</v>
      </c>
      <c r="C31" s="13"/>
      <c r="D31" s="13"/>
      <c r="E31" s="14" t="s">
        <v>15</v>
      </c>
      <c r="F31" s="14" t="s">
        <v>16</v>
      </c>
      <c r="G31" s="2"/>
      <c r="H31" s="23" t="s">
        <v>27</v>
      </c>
      <c r="I31" s="24"/>
      <c r="J31" s="24"/>
      <c r="K31" s="25">
        <f>R14</f>
        <v>5399117</v>
      </c>
      <c r="L31" s="24"/>
      <c r="M31" s="2"/>
      <c r="N31" s="26" t="s">
        <v>21</v>
      </c>
      <c r="O31" s="47"/>
      <c r="P31" s="47"/>
      <c r="Q31" s="49"/>
      <c r="R31" s="51" t="s">
        <v>40</v>
      </c>
      <c r="S31" s="51" t="s">
        <v>43</v>
      </c>
      <c r="T31" s="51" t="s">
        <v>44</v>
      </c>
    </row>
    <row r="32" spans="2:20" s="2" customFormat="1" ht="10.15">
      <c r="B32" s="15" t="s">
        <v>5</v>
      </c>
      <c r="E32" s="11">
        <v>33677</v>
      </c>
      <c r="F32" s="16">
        <f t="shared" ref="F32:F46" si="2">E32/E$46</f>
        <v>5.8518217329051811E-3</v>
      </c>
      <c r="H32" s="28" t="s">
        <v>5</v>
      </c>
      <c r="I32" s="29"/>
      <c r="J32" s="29"/>
      <c r="K32" s="30">
        <f t="shared" ref="K32:K45" si="3">L32*K$31</f>
        <v>108031.15052189218</v>
      </c>
      <c r="L32" s="31">
        <f t="shared" ref="L32:L46" si="4">SUM(F15,L15,F32)/3</f>
        <v>2.000904046381884E-2</v>
      </c>
      <c r="N32" s="30">
        <f>K32/12</f>
        <v>9002.595876824349</v>
      </c>
      <c r="O32" s="48"/>
      <c r="P32" s="48"/>
      <c r="Q32" s="2" t="s">
        <v>42</v>
      </c>
      <c r="R32" s="53">
        <f>SUM('[1]3yr Cust'!$C$25,'[1]3yr Cust'!$C$29,'[1]3yr Cust'!$C$34,'[1]3yr Cust'!$C$38)</f>
        <v>1825</v>
      </c>
      <c r="S32" s="39">
        <f>N45*(R32/R34)</f>
        <v>15579.349417484431</v>
      </c>
      <c r="T32" s="39">
        <f>S32*12</f>
        <v>186952.19300981317</v>
      </c>
    </row>
    <row r="33" spans="2:20" s="2" customFormat="1" ht="10.15">
      <c r="B33" s="15" t="s">
        <v>6</v>
      </c>
      <c r="E33" s="11">
        <v>66585</v>
      </c>
      <c r="F33" s="16">
        <f t="shared" si="2"/>
        <v>1.1570019600483757E-2</v>
      </c>
      <c r="H33" s="28" t="s">
        <v>6</v>
      </c>
      <c r="I33" s="29"/>
      <c r="J33" s="29"/>
      <c r="K33" s="30">
        <f t="shared" si="3"/>
        <v>151815.90007140275</v>
      </c>
      <c r="L33" s="31">
        <f t="shared" si="4"/>
        <v>2.81186534893396E-2</v>
      </c>
      <c r="N33" s="30">
        <f t="shared" ref="N33:N45" si="5">K33/12</f>
        <v>12651.32500595023</v>
      </c>
      <c r="O33" s="48"/>
      <c r="P33" s="48"/>
      <c r="Q33" s="2" t="s">
        <v>41</v>
      </c>
      <c r="R33" s="2">
        <f>'[1]3yr Cust'!$C$44</f>
        <v>336</v>
      </c>
      <c r="S33" s="39">
        <f>N45*(R33/R34)</f>
        <v>2868.3076187806951</v>
      </c>
      <c r="T33" s="39">
        <f>S33*12</f>
        <v>34419.691425368343</v>
      </c>
    </row>
    <row r="34" spans="2:20" s="2" customFormat="1" ht="10.15">
      <c r="B34" s="15" t="s">
        <v>7</v>
      </c>
      <c r="E34" s="11">
        <v>63376</v>
      </c>
      <c r="F34" s="16">
        <f t="shared" si="2"/>
        <v>1.1012413639712526E-2</v>
      </c>
      <c r="H34" s="28" t="s">
        <v>7</v>
      </c>
      <c r="I34" s="29"/>
      <c r="J34" s="29"/>
      <c r="K34" s="30">
        <f t="shared" si="3"/>
        <v>152918.81048869164</v>
      </c>
      <c r="L34" s="31">
        <f t="shared" si="4"/>
        <v>2.8322929562128701E-2</v>
      </c>
      <c r="N34" s="30">
        <f t="shared" si="5"/>
        <v>12743.234207390969</v>
      </c>
      <c r="O34" s="48"/>
      <c r="P34" s="48"/>
      <c r="Q34" s="49"/>
      <c r="R34" s="17">
        <f>SUM(R32:R33)</f>
        <v>2161</v>
      </c>
      <c r="S34" s="40">
        <f>SUM(S32:S33)</f>
        <v>18447.657036265125</v>
      </c>
      <c r="T34" s="40">
        <f>SUM(T32:T33)</f>
        <v>221371.88443518151</v>
      </c>
    </row>
    <row r="35" spans="2:20" s="2" customFormat="1" ht="10.15">
      <c r="B35" s="15" t="s">
        <v>8</v>
      </c>
      <c r="E35" s="11">
        <v>109577</v>
      </c>
      <c r="F35" s="16">
        <f t="shared" si="2"/>
        <v>1.9040445111694955E-2</v>
      </c>
      <c r="H35" s="28" t="s">
        <v>8</v>
      </c>
      <c r="I35" s="29"/>
      <c r="J35" s="29"/>
      <c r="K35" s="30">
        <f t="shared" si="3"/>
        <v>159688.43916653795</v>
      </c>
      <c r="L35" s="31">
        <f t="shared" si="4"/>
        <v>2.9576769528524376E-2</v>
      </c>
      <c r="N35" s="30">
        <f t="shared" si="5"/>
        <v>13307.36993054483</v>
      </c>
      <c r="O35" s="48"/>
      <c r="P35" s="48"/>
      <c r="Q35" s="49"/>
    </row>
    <row r="36" spans="2:20" s="2" customFormat="1" ht="10.15">
      <c r="B36" s="15" t="s">
        <v>9</v>
      </c>
      <c r="E36" s="11">
        <v>505806</v>
      </c>
      <c r="F36" s="16">
        <f t="shared" si="2"/>
        <v>8.7890445806747569E-2</v>
      </c>
      <c r="H36" s="28" t="s">
        <v>9</v>
      </c>
      <c r="I36" s="29"/>
      <c r="J36" s="29"/>
      <c r="K36" s="30">
        <f t="shared" si="3"/>
        <v>381649.75040557655</v>
      </c>
      <c r="L36" s="31">
        <f t="shared" si="4"/>
        <v>7.0687438409943057E-2</v>
      </c>
      <c r="N36" s="30">
        <f t="shared" si="5"/>
        <v>31804.145867131378</v>
      </c>
      <c r="O36" s="48"/>
      <c r="P36" s="48"/>
      <c r="Q36" s="49"/>
    </row>
    <row r="37" spans="2:20" s="2" customFormat="1" ht="10.15">
      <c r="B37" s="15" t="s">
        <v>33</v>
      </c>
      <c r="E37" s="11">
        <v>82560</v>
      </c>
      <c r="F37" s="16">
        <f t="shared" si="2"/>
        <v>1.4345885983568956E-2</v>
      </c>
      <c r="H37" s="28" t="s">
        <v>33</v>
      </c>
      <c r="I37" s="29"/>
      <c r="J37" s="29"/>
      <c r="K37" s="30">
        <f t="shared" si="3"/>
        <v>81645.000648123852</v>
      </c>
      <c r="L37" s="31">
        <f t="shared" si="4"/>
        <v>1.5121917277977836E-2</v>
      </c>
      <c r="N37" s="30">
        <f t="shared" si="5"/>
        <v>6803.750054010321</v>
      </c>
      <c r="O37" s="48"/>
      <c r="P37" s="48"/>
      <c r="Q37" s="49"/>
    </row>
    <row r="38" spans="2:20" s="2" customFormat="1" ht="10.15">
      <c r="B38" s="15" t="s">
        <v>10</v>
      </c>
      <c r="E38" s="11">
        <v>25922</v>
      </c>
      <c r="F38" s="16">
        <f t="shared" si="2"/>
        <v>4.5042884746375302E-3</v>
      </c>
      <c r="H38" s="28" t="s">
        <v>10</v>
      </c>
      <c r="I38" s="29"/>
      <c r="J38" s="29"/>
      <c r="K38" s="30">
        <f t="shared" si="3"/>
        <v>26648.171982632372</v>
      </c>
      <c r="L38" s="31">
        <f t="shared" si="4"/>
        <v>4.9356537342369819E-3</v>
      </c>
      <c r="N38" s="30">
        <f>K38/12</f>
        <v>2220.6809985526975</v>
      </c>
      <c r="O38" s="48"/>
      <c r="P38" s="48"/>
      <c r="Q38" s="49"/>
    </row>
    <row r="39" spans="2:20" s="2" customFormat="1" ht="10.15">
      <c r="B39" s="15" t="s">
        <v>11</v>
      </c>
      <c r="E39" s="11">
        <v>37691</v>
      </c>
      <c r="F39" s="16">
        <f t="shared" si="2"/>
        <v>6.5493070325423636E-3</v>
      </c>
      <c r="H39" s="28" t="s">
        <v>11</v>
      </c>
      <c r="I39" s="29"/>
      <c r="J39" s="29"/>
      <c r="K39" s="30">
        <f t="shared" si="3"/>
        <v>71770.695765736309</v>
      </c>
      <c r="L39" s="31">
        <f t="shared" si="4"/>
        <v>1.3293043244985486E-2</v>
      </c>
      <c r="N39" s="30">
        <f t="shared" si="5"/>
        <v>5980.8913138113594</v>
      </c>
      <c r="O39" s="48"/>
      <c r="P39" s="48"/>
      <c r="Q39" s="49"/>
    </row>
    <row r="40" spans="2:20" s="2" customFormat="1" ht="10.15">
      <c r="B40" s="15" t="s">
        <v>12</v>
      </c>
      <c r="E40" s="11">
        <v>46195</v>
      </c>
      <c r="F40" s="16">
        <f t="shared" si="2"/>
        <v>8.0269888930592052E-3</v>
      </c>
      <c r="H40" s="28" t="s">
        <v>12</v>
      </c>
      <c r="I40" s="29"/>
      <c r="J40" s="29"/>
      <c r="K40" s="30">
        <f t="shared" si="3"/>
        <v>39914.081422876938</v>
      </c>
      <c r="L40" s="31">
        <f t="shared" si="4"/>
        <v>7.3927054040275365E-3</v>
      </c>
      <c r="N40" s="30">
        <f t="shared" si="5"/>
        <v>3326.1734519064116</v>
      </c>
      <c r="O40" s="48"/>
      <c r="P40" s="48"/>
      <c r="Q40" s="49"/>
    </row>
    <row r="41" spans="2:20" s="2" customFormat="1" ht="10.15">
      <c r="B41" s="15" t="s">
        <v>13</v>
      </c>
      <c r="E41" s="11">
        <v>108757</v>
      </c>
      <c r="F41" s="16">
        <f t="shared" si="2"/>
        <v>1.8897959325520942E-2</v>
      </c>
      <c r="H41" s="28" t="s">
        <v>13</v>
      </c>
      <c r="I41" s="29"/>
      <c r="J41" s="29"/>
      <c r="K41" s="30">
        <f t="shared" si="3"/>
        <v>66962.662898671842</v>
      </c>
      <c r="L41" s="31">
        <f t="shared" si="4"/>
        <v>1.2402521171271497E-2</v>
      </c>
      <c r="N41" s="30">
        <f t="shared" si="5"/>
        <v>5580.2219082226538</v>
      </c>
      <c r="O41" s="48"/>
      <c r="P41" s="48"/>
      <c r="Q41" s="49"/>
    </row>
    <row r="42" spans="2:20" s="2" customFormat="1" ht="10.15">
      <c r="B42" s="15" t="s">
        <v>14</v>
      </c>
      <c r="E42" s="11">
        <v>52214</v>
      </c>
      <c r="F42" s="16">
        <f t="shared" si="2"/>
        <v>9.0728693162072365E-3</v>
      </c>
      <c r="H42" s="28" t="s">
        <v>14</v>
      </c>
      <c r="I42" s="29"/>
      <c r="J42" s="29"/>
      <c r="K42" s="30">
        <f t="shared" si="3"/>
        <v>45896.510012749226</v>
      </c>
      <c r="L42" s="31">
        <f t="shared" si="4"/>
        <v>8.5007437350865384E-3</v>
      </c>
      <c r="N42" s="30">
        <f t="shared" si="5"/>
        <v>3824.7091677291023</v>
      </c>
      <c r="O42" s="48"/>
      <c r="P42" s="48"/>
      <c r="Q42" s="49"/>
    </row>
    <row r="43" spans="2:20" s="2" customFormat="1" ht="10.15">
      <c r="B43" s="15" t="s">
        <v>24</v>
      </c>
      <c r="E43" s="11">
        <v>103650</v>
      </c>
      <c r="F43" s="16">
        <f t="shared" si="2"/>
        <v>1.8010550898703032E-2</v>
      </c>
      <c r="H43" s="28" t="s">
        <v>24</v>
      </c>
      <c r="I43" s="29"/>
      <c r="J43" s="29"/>
      <c r="K43" s="30">
        <f t="shared" si="3"/>
        <v>69580.492195045488</v>
      </c>
      <c r="L43" s="31">
        <f t="shared" si="4"/>
        <v>1.2887383658299216E-2</v>
      </c>
      <c r="N43" s="30">
        <f t="shared" si="5"/>
        <v>5798.374349587124</v>
      </c>
      <c r="O43" s="48"/>
      <c r="P43" s="48"/>
      <c r="Q43" s="49"/>
      <c r="T43" s="41"/>
    </row>
    <row r="44" spans="2:20" s="2" customFormat="1" ht="10.15">
      <c r="B44" s="15" t="s">
        <v>26</v>
      </c>
      <c r="E44" s="11">
        <v>4250000</v>
      </c>
      <c r="F44" s="16">
        <f t="shared" si="2"/>
        <v>0.73849340395067908</v>
      </c>
      <c r="H44" s="28" t="s">
        <v>26</v>
      </c>
      <c r="I44" s="29"/>
      <c r="J44" s="29"/>
      <c r="K44" s="30">
        <f t="shared" si="3"/>
        <v>3821223.449984882</v>
      </c>
      <c r="L44" s="31">
        <f t="shared" si="4"/>
        <v>0.70774970240224133</v>
      </c>
      <c r="N44" s="30">
        <f t="shared" si="5"/>
        <v>318435.28749874019</v>
      </c>
      <c r="O44" s="48"/>
      <c r="P44" s="48"/>
      <c r="Q44" s="49"/>
      <c r="R44" s="41"/>
    </row>
    <row r="45" spans="2:20" s="2" customFormat="1" ht="10.15">
      <c r="B45" s="15" t="s">
        <v>25</v>
      </c>
      <c r="E45" s="11">
        <v>268950</v>
      </c>
      <c r="F45" s="16">
        <f t="shared" si="2"/>
        <v>4.6733600233537675E-2</v>
      </c>
      <c r="H45" s="28" t="s">
        <v>25</v>
      </c>
      <c r="I45" s="29"/>
      <c r="J45" s="29"/>
      <c r="K45" s="30">
        <f t="shared" si="3"/>
        <v>221371.88443518151</v>
      </c>
      <c r="L45" s="31">
        <f t="shared" si="4"/>
        <v>4.1001497918119113E-2</v>
      </c>
      <c r="N45" s="30">
        <f t="shared" si="5"/>
        <v>18447.657036265125</v>
      </c>
      <c r="O45" s="48"/>
      <c r="P45" s="48"/>
      <c r="Q45" s="49"/>
    </row>
    <row r="46" spans="2:20" s="2" customFormat="1" ht="10.15">
      <c r="B46" s="17"/>
      <c r="C46" s="17"/>
      <c r="D46" s="17"/>
      <c r="E46" s="18">
        <f>SUM(E32:E45)</f>
        <v>5754960</v>
      </c>
      <c r="F46" s="19">
        <f t="shared" si="2"/>
        <v>1</v>
      </c>
      <c r="H46" s="32" t="s">
        <v>32</v>
      </c>
      <c r="I46" s="22"/>
      <c r="J46" s="22"/>
      <c r="K46" s="33">
        <f>SUM(K32:K45)</f>
        <v>5399117.0000000009</v>
      </c>
      <c r="L46" s="34">
        <f t="shared" si="4"/>
        <v>1</v>
      </c>
      <c r="N46" s="35">
        <f>SUM(N32:N45)</f>
        <v>449926.41666666674</v>
      </c>
      <c r="O46" s="48"/>
      <c r="P46" s="48"/>
      <c r="Q46" s="49"/>
    </row>
    <row r="47" spans="2:20">
      <c r="B47" s="2"/>
      <c r="C47" s="2"/>
      <c r="D47" s="2"/>
      <c r="E47" s="2"/>
      <c r="F47" s="2"/>
      <c r="G47" s="2"/>
      <c r="H47" s="2"/>
      <c r="I47" s="2"/>
      <c r="J47" s="20"/>
      <c r="K47" s="20"/>
      <c r="L47" s="20"/>
      <c r="M47" s="20"/>
      <c r="N47" s="20"/>
      <c r="O47" s="44"/>
      <c r="P47" s="44"/>
      <c r="Q47" s="50"/>
    </row>
    <row r="48" spans="2:20">
      <c r="B48" s="2"/>
      <c r="C48" s="2"/>
      <c r="D48" s="2"/>
      <c r="E48" s="2"/>
      <c r="F48" s="2"/>
      <c r="G48" s="2"/>
      <c r="H48" s="2"/>
      <c r="I48" s="2"/>
      <c r="J48" s="20"/>
      <c r="K48" s="36"/>
      <c r="L48" s="20"/>
      <c r="M48" s="20"/>
      <c r="N48" s="20"/>
      <c r="O48" s="20"/>
      <c r="P48" s="20"/>
      <c r="Q48" s="52"/>
    </row>
    <row r="49" spans="11:16">
      <c r="K49" s="37"/>
      <c r="L49" s="2"/>
      <c r="M49" s="2"/>
      <c r="N49" s="2"/>
      <c r="O49" s="2"/>
      <c r="P49" s="2"/>
    </row>
  </sheetData>
  <mergeCells count="1">
    <mergeCell ref="C6:O7"/>
  </mergeCells>
  <pageMargins left="0.7" right="0.7" top="0.75" bottom="0.75" header="0.3" footer="0.3"/>
  <pageSetup scale="71"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DF051-38B9-4760-B654-D1B7BE68AAAC}">
  <sheetPr>
    <pageSetUpPr fitToPage="1"/>
  </sheetPr>
  <dimension ref="B1:T59"/>
  <sheetViews>
    <sheetView showGridLines="0" tabSelected="1" view="pageBreakPreview" zoomScale="60" zoomScaleNormal="100" workbookViewId="0">
      <selection activeCell="J23" sqref="J23"/>
    </sheetView>
  </sheetViews>
  <sheetFormatPr defaultColWidth="8.765625" defaultRowHeight="11.65"/>
  <cols>
    <col min="1" max="1" width="2.23046875" style="1" customWidth="1"/>
    <col min="2" max="2" width="14" style="1" customWidth="1"/>
    <col min="3" max="4" width="8.765625" style="1"/>
    <col min="5" max="5" width="11" style="1" bestFit="1" customWidth="1"/>
    <col min="6" max="6" width="20.15234375" style="1" bestFit="1" customWidth="1"/>
    <col min="7" max="7" width="1.61328125" style="1" customWidth="1"/>
    <col min="8" max="8" width="14" style="1" customWidth="1"/>
    <col min="9" max="9" width="9.765625" style="1" customWidth="1"/>
    <col min="10" max="10" width="8.765625" style="1"/>
    <col min="11" max="11" width="10.15234375" style="1" bestFit="1" customWidth="1"/>
    <col min="12" max="12" width="12.3828125" style="1" customWidth="1"/>
    <col min="13" max="13" width="1.61328125" style="1" customWidth="1"/>
    <col min="14" max="14" width="9.84375" style="1" bestFit="1" customWidth="1"/>
    <col min="15" max="15" width="11.23046875" style="1" bestFit="1" customWidth="1"/>
    <col min="16" max="16" width="12.15234375" style="1" bestFit="1" customWidth="1"/>
    <col min="17" max="17" width="11.23046875" style="1" customWidth="1"/>
    <col min="18" max="18" width="17.765625" style="1" bestFit="1" customWidth="1"/>
    <col min="19" max="19" width="13.765625" style="1" customWidth="1"/>
    <col min="20" max="20" width="9.3828125" style="1" bestFit="1" customWidth="1"/>
    <col min="21" max="16384" width="8.765625" style="1"/>
  </cols>
  <sheetData>
    <row r="1" spans="2:20">
      <c r="B1" s="42" t="s">
        <v>0</v>
      </c>
      <c r="C1" s="2"/>
      <c r="D1" s="2"/>
      <c r="E1" s="2"/>
      <c r="F1" s="2"/>
      <c r="G1" s="2"/>
      <c r="H1" s="2"/>
      <c r="I1" s="2"/>
      <c r="J1" s="2"/>
      <c r="K1" s="2"/>
      <c r="L1" s="2"/>
      <c r="M1" s="2"/>
      <c r="N1" s="2"/>
    </row>
    <row r="2" spans="2:20">
      <c r="B2" s="1" t="s">
        <v>27</v>
      </c>
      <c r="C2" s="2"/>
      <c r="D2" s="2"/>
      <c r="E2" s="2"/>
      <c r="F2" s="2"/>
      <c r="G2" s="2"/>
      <c r="H2" s="2"/>
      <c r="I2" s="2"/>
      <c r="J2" s="2"/>
      <c r="K2" s="2"/>
      <c r="L2" s="2"/>
      <c r="M2" s="2"/>
      <c r="N2" s="2"/>
    </row>
    <row r="3" spans="2:20">
      <c r="B3" s="1" t="s">
        <v>39</v>
      </c>
      <c r="C3" s="2"/>
      <c r="D3" s="2"/>
      <c r="E3" s="2"/>
      <c r="F3" s="2"/>
      <c r="G3" s="2"/>
      <c r="H3" s="2"/>
      <c r="I3" s="2"/>
      <c r="J3" s="2"/>
      <c r="K3" s="2"/>
      <c r="L3" s="2"/>
      <c r="M3" s="2"/>
      <c r="N3" s="2"/>
    </row>
    <row r="4" spans="2:20">
      <c r="B4" s="2"/>
      <c r="C4" s="2"/>
      <c r="D4" s="2"/>
      <c r="E4" s="2"/>
      <c r="F4" s="2"/>
      <c r="G4" s="2"/>
      <c r="H4" s="2"/>
      <c r="I4" s="2"/>
      <c r="J4" s="2"/>
      <c r="K4" s="2"/>
      <c r="L4" s="2"/>
      <c r="M4" s="2"/>
      <c r="N4" s="2"/>
    </row>
    <row r="5" spans="2:20">
      <c r="B5" s="2"/>
      <c r="C5" s="2"/>
      <c r="D5" s="2"/>
      <c r="E5" s="2"/>
      <c r="F5" s="2"/>
      <c r="G5" s="2"/>
      <c r="H5" s="2"/>
      <c r="I5" s="2"/>
      <c r="J5" s="2"/>
      <c r="K5" s="2"/>
      <c r="L5" s="2"/>
      <c r="M5" s="2"/>
      <c r="N5" s="2"/>
    </row>
    <row r="6" spans="2:20" ht="14.25" customHeight="1">
      <c r="B6" s="3" t="s">
        <v>1</v>
      </c>
      <c r="C6" s="54" t="s">
        <v>20</v>
      </c>
      <c r="D6" s="54"/>
      <c r="E6" s="54"/>
      <c r="F6" s="54"/>
      <c r="G6" s="54"/>
      <c r="H6" s="54"/>
      <c r="I6" s="54"/>
      <c r="J6" s="54"/>
      <c r="K6" s="54"/>
      <c r="L6" s="54"/>
      <c r="M6" s="54"/>
      <c r="N6" s="54"/>
      <c r="O6" s="54"/>
      <c r="S6" s="4"/>
    </row>
    <row r="7" spans="2:20">
      <c r="B7" s="5"/>
      <c r="C7" s="54"/>
      <c r="D7" s="54"/>
      <c r="E7" s="54"/>
      <c r="F7" s="54"/>
      <c r="G7" s="54"/>
      <c r="H7" s="54"/>
      <c r="I7" s="54"/>
      <c r="J7" s="54"/>
      <c r="K7" s="54"/>
      <c r="L7" s="54"/>
      <c r="M7" s="54"/>
      <c r="N7" s="54"/>
      <c r="O7" s="54"/>
    </row>
    <row r="8" spans="2:20">
      <c r="B8" s="5"/>
      <c r="C8" s="6"/>
      <c r="D8" s="6"/>
      <c r="E8" s="6"/>
      <c r="F8" s="6"/>
      <c r="G8" s="6"/>
      <c r="H8" s="6"/>
      <c r="I8" s="6"/>
      <c r="J8" s="6"/>
      <c r="K8" s="6"/>
      <c r="L8" s="6"/>
    </row>
    <row r="9" spans="2:20">
      <c r="B9" s="7"/>
      <c r="F9" s="8" t="s">
        <v>17</v>
      </c>
    </row>
    <row r="10" spans="2:20">
      <c r="B10" s="7"/>
      <c r="C10" s="8" t="s">
        <v>23</v>
      </c>
      <c r="F10" s="8" t="s">
        <v>18</v>
      </c>
    </row>
    <row r="11" spans="2:20">
      <c r="B11" s="7"/>
      <c r="F11" s="8" t="s">
        <v>19</v>
      </c>
      <c r="P11" s="2"/>
      <c r="Q11" s="12" t="s">
        <v>30</v>
      </c>
      <c r="R11" s="12"/>
      <c r="S11" s="2"/>
      <c r="T11" s="2"/>
    </row>
    <row r="12" spans="2:20">
      <c r="B12" s="9"/>
      <c r="C12" s="10"/>
      <c r="D12" s="10"/>
      <c r="E12" s="10"/>
      <c r="F12" s="10"/>
      <c r="G12" s="10"/>
      <c r="H12" s="10"/>
      <c r="I12" s="10"/>
      <c r="J12" s="10"/>
      <c r="K12" s="2"/>
      <c r="L12" s="2"/>
      <c r="M12" s="2"/>
      <c r="N12" s="2"/>
      <c r="P12" s="2"/>
      <c r="Q12" s="38" t="s">
        <v>28</v>
      </c>
      <c r="R12" s="39">
        <v>11173000</v>
      </c>
      <c r="S12" s="2"/>
      <c r="T12" s="2"/>
    </row>
    <row r="13" spans="2:20">
      <c r="B13" s="2"/>
      <c r="C13" s="2"/>
      <c r="D13" s="2"/>
      <c r="E13" s="2"/>
      <c r="F13" s="2"/>
      <c r="G13" s="2"/>
      <c r="H13" s="2"/>
      <c r="I13" s="2"/>
      <c r="J13" s="2"/>
      <c r="K13" s="2"/>
      <c r="L13" s="2"/>
      <c r="M13" s="2"/>
      <c r="N13" s="2"/>
      <c r="P13" s="2"/>
      <c r="Q13" s="38" t="s">
        <v>29</v>
      </c>
      <c r="R13" s="39">
        <f>1.5*-1181221-3000000</f>
        <v>-4771831.5</v>
      </c>
      <c r="S13" s="2" t="s">
        <v>31</v>
      </c>
      <c r="T13" s="2"/>
    </row>
    <row r="14" spans="2:20">
      <c r="B14" s="12" t="s">
        <v>2</v>
      </c>
      <c r="C14" s="13"/>
      <c r="D14" s="13"/>
      <c r="E14" s="14" t="s">
        <v>15</v>
      </c>
      <c r="F14" s="14" t="s">
        <v>16</v>
      </c>
      <c r="G14" s="2"/>
      <c r="H14" s="12" t="s">
        <v>3</v>
      </c>
      <c r="I14" s="13"/>
      <c r="J14" s="13"/>
      <c r="K14" s="14" t="s">
        <v>15</v>
      </c>
      <c r="L14" s="14" t="s">
        <v>16</v>
      </c>
      <c r="M14" s="2"/>
      <c r="N14" s="2"/>
      <c r="P14" s="2"/>
      <c r="Q14" s="2"/>
      <c r="R14" s="40">
        <f>SUM(R12:R13)</f>
        <v>6401168.5</v>
      </c>
      <c r="S14" s="2"/>
      <c r="T14" s="2"/>
    </row>
    <row r="15" spans="2:20" s="2" customFormat="1" ht="10.15">
      <c r="B15" s="15" t="s">
        <v>5</v>
      </c>
      <c r="E15" s="11">
        <v>1151571</v>
      </c>
      <c r="F15" s="16">
        <f t="shared" ref="F15:F34" si="0">E15/E$34</f>
        <v>5.9947568814993288E-3</v>
      </c>
      <c r="H15" s="15" t="s">
        <v>5</v>
      </c>
      <c r="K15" s="11">
        <v>440000</v>
      </c>
      <c r="L15" s="16">
        <f t="shared" ref="L15:L34" si="1">K15/K$34</f>
        <v>1.0583028670386761E-2</v>
      </c>
    </row>
    <row r="16" spans="2:20" s="2" customFormat="1" ht="10.15">
      <c r="B16" s="15" t="s">
        <v>6</v>
      </c>
      <c r="E16" s="11">
        <v>1715331</v>
      </c>
      <c r="F16" s="16">
        <f t="shared" si="0"/>
        <v>8.9295339291273618E-3</v>
      </c>
      <c r="H16" s="15" t="s">
        <v>6</v>
      </c>
      <c r="K16" s="11">
        <v>540000</v>
      </c>
      <c r="L16" s="16">
        <f t="shared" si="1"/>
        <v>1.2988262459111026E-2</v>
      </c>
    </row>
    <row r="17" spans="2:17" s="2" customFormat="1" ht="10.15">
      <c r="B17" s="15" t="s">
        <v>7</v>
      </c>
      <c r="E17" s="11">
        <v>1771462</v>
      </c>
      <c r="F17" s="16">
        <f t="shared" si="0"/>
        <v>9.2217362323422213E-3</v>
      </c>
      <c r="H17" s="15" t="s">
        <v>7</v>
      </c>
      <c r="K17" s="11">
        <v>540000</v>
      </c>
      <c r="L17" s="16">
        <f t="shared" si="1"/>
        <v>1.2988262459111026E-2</v>
      </c>
    </row>
    <row r="18" spans="2:17" s="2" customFormat="1" ht="10.15">
      <c r="B18" s="15" t="s">
        <v>8</v>
      </c>
      <c r="E18" s="11">
        <v>2420000</v>
      </c>
      <c r="F18" s="16">
        <f t="shared" si="0"/>
        <v>1.2597843861323685E-2</v>
      </c>
      <c r="H18" s="15" t="s">
        <v>8</v>
      </c>
      <c r="K18" s="11">
        <f>49000*12</f>
        <v>588000</v>
      </c>
      <c r="L18" s="16">
        <f t="shared" si="1"/>
        <v>1.4142774677698672E-2</v>
      </c>
    </row>
    <row r="19" spans="2:17" s="2" customFormat="1" ht="10.15">
      <c r="B19" s="15" t="s">
        <v>9</v>
      </c>
      <c r="E19" s="11">
        <v>11515000</v>
      </c>
      <c r="F19" s="16">
        <f t="shared" si="0"/>
        <v>5.9943872753364554E-2</v>
      </c>
      <c r="H19" s="15" t="s">
        <v>9</v>
      </c>
      <c r="K19" s="11">
        <f>154000*12</f>
        <v>1848000</v>
      </c>
      <c r="L19" s="16">
        <f t="shared" si="1"/>
        <v>4.44487204156244E-2</v>
      </c>
    </row>
    <row r="20" spans="2:17" s="2" customFormat="1" ht="10.15">
      <c r="B20" s="15" t="s">
        <v>33</v>
      </c>
      <c r="E20" s="11">
        <v>2465000</v>
      </c>
      <c r="F20" s="16">
        <f t="shared" si="0"/>
        <v>1.2832101288497058E-2</v>
      </c>
      <c r="H20" s="15" t="s">
        <v>33</v>
      </c>
      <c r="K20" s="11">
        <f>44000*12</f>
        <v>528000</v>
      </c>
      <c r="L20" s="16">
        <f t="shared" si="1"/>
        <v>1.2699634404464115E-2</v>
      </c>
    </row>
    <row r="21" spans="2:17" s="2" customFormat="1" ht="10.15">
      <c r="B21" s="15" t="s">
        <v>10</v>
      </c>
      <c r="E21" s="11">
        <v>200000</v>
      </c>
      <c r="F21" s="16">
        <f t="shared" si="0"/>
        <v>1.0411441207705523E-3</v>
      </c>
      <c r="H21" s="15" t="s">
        <v>10</v>
      </c>
      <c r="K21" s="11">
        <f>8000*12</f>
        <v>96000</v>
      </c>
      <c r="L21" s="16">
        <f t="shared" si="1"/>
        <v>2.3090244371752936E-3</v>
      </c>
    </row>
    <row r="22" spans="2:17" s="2" customFormat="1" ht="10.15">
      <c r="B22" s="15" t="s">
        <v>11</v>
      </c>
      <c r="E22" s="11">
        <v>800000</v>
      </c>
      <c r="F22" s="16">
        <f t="shared" si="0"/>
        <v>4.1645764830822093E-3</v>
      </c>
      <c r="H22" s="15" t="s">
        <v>11</v>
      </c>
      <c r="K22" s="11">
        <f>12*30000</f>
        <v>360000</v>
      </c>
      <c r="L22" s="16">
        <f t="shared" si="1"/>
        <v>8.6588416394073504E-3</v>
      </c>
    </row>
    <row r="23" spans="2:17" s="2" customFormat="1" ht="10.15">
      <c r="B23" s="15" t="s">
        <v>12</v>
      </c>
      <c r="E23" s="11">
        <v>250000</v>
      </c>
      <c r="F23" s="16">
        <f t="shared" si="0"/>
        <v>1.3014301509631906E-3</v>
      </c>
      <c r="H23" s="15" t="s">
        <v>12</v>
      </c>
      <c r="K23" s="11">
        <f>11000*12</f>
        <v>132000</v>
      </c>
      <c r="L23" s="16">
        <f t="shared" si="1"/>
        <v>3.1749086011160286E-3</v>
      </c>
    </row>
    <row r="24" spans="2:17" s="2" customFormat="1" ht="10.15">
      <c r="B24" s="15" t="s">
        <v>36</v>
      </c>
      <c r="E24" s="11">
        <v>16583000</v>
      </c>
      <c r="F24" s="16">
        <f t="shared" si="0"/>
        <v>8.6326464773690353E-2</v>
      </c>
      <c r="H24" s="15" t="s">
        <v>36</v>
      </c>
      <c r="K24" s="11">
        <f>168000*12</f>
        <v>2016000</v>
      </c>
      <c r="L24" s="16">
        <f t="shared" si="1"/>
        <v>4.8489513180681162E-2</v>
      </c>
    </row>
    <row r="25" spans="2:17" s="2" customFormat="1" ht="10.15">
      <c r="B25" s="15" t="s">
        <v>37</v>
      </c>
      <c r="E25" s="11">
        <v>29520000</v>
      </c>
      <c r="F25" s="16">
        <f t="shared" si="0"/>
        <v>0.15367287222573353</v>
      </c>
      <c r="H25" s="15" t="s">
        <v>37</v>
      </c>
      <c r="K25" s="11">
        <f>403000*12</f>
        <v>4836000</v>
      </c>
      <c r="L25" s="16">
        <f t="shared" si="1"/>
        <v>0.11631710602270541</v>
      </c>
    </row>
    <row r="26" spans="2:17" s="2" customFormat="1" ht="10.15">
      <c r="B26" s="15" t="s">
        <v>38</v>
      </c>
      <c r="E26" s="11">
        <v>18086000</v>
      </c>
      <c r="F26" s="16">
        <f t="shared" si="0"/>
        <v>9.4150662841281055E-2</v>
      </c>
      <c r="H26" s="15" t="s">
        <v>38</v>
      </c>
      <c r="K26" s="11">
        <f>272000*12</f>
        <v>3264000</v>
      </c>
      <c r="L26" s="16">
        <f t="shared" si="1"/>
        <v>7.8506830863959973E-2</v>
      </c>
    </row>
    <row r="27" spans="2:17" s="2" customFormat="1" ht="10.15">
      <c r="B27" s="15" t="s">
        <v>35</v>
      </c>
      <c r="E27" s="11">
        <v>3564000</v>
      </c>
      <c r="F27" s="16">
        <f t="shared" si="0"/>
        <v>1.8553188232131243E-2</v>
      </c>
      <c r="H27" s="15" t="s">
        <v>35</v>
      </c>
      <c r="K27" s="11">
        <f>29000*12</f>
        <v>348000</v>
      </c>
      <c r="L27" s="16">
        <f t="shared" si="1"/>
        <v>8.3702135847604393E-3</v>
      </c>
    </row>
    <row r="28" spans="2:17" s="2" customFormat="1" ht="10.15">
      <c r="B28" s="15" t="s">
        <v>13</v>
      </c>
      <c r="E28" s="11">
        <v>529000</v>
      </c>
      <c r="F28" s="16">
        <f t="shared" si="0"/>
        <v>2.753826199438111E-3</v>
      </c>
      <c r="H28" s="15" t="s">
        <v>13</v>
      </c>
      <c r="K28" s="11">
        <f>15000*12</f>
        <v>180000</v>
      </c>
      <c r="L28" s="16">
        <f t="shared" si="1"/>
        <v>4.3294208197036752E-3</v>
      </c>
    </row>
    <row r="29" spans="2:17" s="2" customFormat="1" ht="10.15">
      <c r="B29" s="15" t="s">
        <v>14</v>
      </c>
      <c r="E29" s="11">
        <v>325000</v>
      </c>
      <c r="F29" s="16">
        <f t="shared" si="0"/>
        <v>1.6918591962521478E-3</v>
      </c>
      <c r="H29" s="15" t="s">
        <v>14</v>
      </c>
      <c r="K29" s="11">
        <f>12000*12</f>
        <v>144000</v>
      </c>
      <c r="L29" s="16">
        <f t="shared" si="1"/>
        <v>3.4635366557629402E-3</v>
      </c>
    </row>
    <row r="30" spans="2:17" s="2" customFormat="1" ht="10.15">
      <c r="B30" s="15" t="s">
        <v>34</v>
      </c>
      <c r="E30" s="11">
        <v>4940000</v>
      </c>
      <c r="F30" s="16">
        <f t="shared" si="0"/>
        <v>2.5716259783032644E-2</v>
      </c>
      <c r="H30" s="15" t="s">
        <v>34</v>
      </c>
      <c r="K30" s="11">
        <f>45000*12</f>
        <v>540000</v>
      </c>
      <c r="L30" s="16">
        <f t="shared" si="1"/>
        <v>1.2988262459111026E-2</v>
      </c>
    </row>
    <row r="31" spans="2:17" s="2" customFormat="1" ht="10.15">
      <c r="B31" s="15" t="s">
        <v>24</v>
      </c>
      <c r="E31" s="11">
        <v>843000</v>
      </c>
      <c r="F31" s="16">
        <f t="shared" si="0"/>
        <v>4.3884224690478781E-3</v>
      </c>
      <c r="H31" s="15" t="s">
        <v>24</v>
      </c>
      <c r="K31" s="11">
        <f>21000*12</f>
        <v>252000</v>
      </c>
      <c r="L31" s="16">
        <f t="shared" si="1"/>
        <v>6.0611891475851453E-3</v>
      </c>
    </row>
    <row r="32" spans="2:17" s="2" customFormat="1" ht="10.15">
      <c r="B32" s="15" t="s">
        <v>26</v>
      </c>
      <c r="E32" s="11">
        <v>87504000</v>
      </c>
      <c r="F32" s="16">
        <f t="shared" si="0"/>
        <v>0.45552137571953211</v>
      </c>
      <c r="H32" s="15" t="s">
        <v>26</v>
      </c>
      <c r="K32" s="11">
        <f>1867000*12</f>
        <v>22404000</v>
      </c>
      <c r="L32" s="16">
        <f t="shared" si="1"/>
        <v>0.53886857802578414</v>
      </c>
      <c r="O32" s="44"/>
      <c r="P32" s="44"/>
      <c r="Q32" s="44"/>
    </row>
    <row r="33" spans="2:20" s="2" customFormat="1" ht="10.15">
      <c r="B33" s="15" t="s">
        <v>25</v>
      </c>
      <c r="E33" s="11">
        <v>7914000</v>
      </c>
      <c r="F33" s="16">
        <f t="shared" si="0"/>
        <v>4.1198072858890759E-2</v>
      </c>
      <c r="H33" s="15" t="s">
        <v>25</v>
      </c>
      <c r="K33" s="11">
        <f>210000*12</f>
        <v>2520000</v>
      </c>
      <c r="L33" s="16">
        <f t="shared" si="1"/>
        <v>6.061189147585145E-2</v>
      </c>
      <c r="O33" s="44"/>
      <c r="P33" s="44"/>
      <c r="Q33" s="44"/>
    </row>
    <row r="34" spans="2:20" s="2" customFormat="1" ht="10.15">
      <c r="B34" s="17"/>
      <c r="C34" s="17"/>
      <c r="D34" s="17"/>
      <c r="E34" s="18">
        <f>SUM(E15:E33)</f>
        <v>192096364</v>
      </c>
      <c r="F34" s="19">
        <f t="shared" si="0"/>
        <v>1</v>
      </c>
      <c r="H34" s="17"/>
      <c r="I34" s="17"/>
      <c r="J34" s="17"/>
      <c r="K34" s="18">
        <f>SUM(K15:K33)</f>
        <v>41576000</v>
      </c>
      <c r="L34" s="19">
        <f t="shared" si="1"/>
        <v>1</v>
      </c>
      <c r="O34" s="44"/>
      <c r="P34" s="44"/>
      <c r="Q34" s="44"/>
    </row>
    <row r="35" spans="2:20">
      <c r="B35" s="2"/>
      <c r="C35" s="2"/>
      <c r="D35" s="2"/>
      <c r="E35" s="2"/>
      <c r="F35" s="2"/>
      <c r="G35" s="2"/>
      <c r="H35" s="20"/>
      <c r="I35" s="20"/>
      <c r="J35" s="20"/>
      <c r="K35" s="20"/>
      <c r="L35" s="20"/>
      <c r="M35" s="2"/>
      <c r="N35" s="21" t="s">
        <v>22</v>
      </c>
      <c r="O35" s="45"/>
      <c r="P35" s="44"/>
      <c r="Q35" s="46"/>
      <c r="S35" s="2"/>
    </row>
    <row r="36" spans="2:20">
      <c r="B36" s="12" t="s">
        <v>4</v>
      </c>
      <c r="C36" s="13"/>
      <c r="D36" s="13"/>
      <c r="E36" s="14" t="s">
        <v>15</v>
      </c>
      <c r="F36" s="14" t="s">
        <v>16</v>
      </c>
      <c r="G36" s="2"/>
      <c r="H36" s="23" t="s">
        <v>27</v>
      </c>
      <c r="I36" s="24"/>
      <c r="J36" s="24"/>
      <c r="K36" s="25">
        <f>R14</f>
        <v>6401168.5</v>
      </c>
      <c r="L36" s="24"/>
      <c r="M36" s="2"/>
      <c r="N36" s="26" t="s">
        <v>21</v>
      </c>
      <c r="O36" s="47"/>
      <c r="P36" s="47"/>
      <c r="Q36" s="46"/>
      <c r="R36" s="27"/>
      <c r="S36" s="2"/>
    </row>
    <row r="37" spans="2:20" s="2" customFormat="1" ht="10.15">
      <c r="B37" s="15" t="s">
        <v>5</v>
      </c>
      <c r="E37" s="11">
        <v>33677</v>
      </c>
      <c r="F37" s="16">
        <f t="shared" ref="F37:F56" si="2">E37/E$56</f>
        <v>5.1199229875526749E-3</v>
      </c>
      <c r="H37" s="28" t="s">
        <v>5</v>
      </c>
      <c r="I37" s="29"/>
      <c r="J37" s="29"/>
      <c r="K37" s="30">
        <f t="shared" ref="K37:K55" si="3">L37*K$36</f>
        <v>46296.896141612146</v>
      </c>
      <c r="L37" s="31">
        <f t="shared" ref="L37:L55" si="4">SUM(F15,L15,F37)/3</f>
        <v>7.232569513146255E-3</v>
      </c>
      <c r="N37" s="30">
        <f>K37/12</f>
        <v>3858.074678467679</v>
      </c>
      <c r="O37" s="48"/>
      <c r="P37" s="48"/>
      <c r="Q37" s="49"/>
    </row>
    <row r="38" spans="2:20" s="2" customFormat="1" ht="10.15">
      <c r="B38" s="15" t="s">
        <v>6</v>
      </c>
      <c r="E38" s="11">
        <v>66585</v>
      </c>
      <c r="F38" s="16">
        <f t="shared" si="2"/>
        <v>1.0122934706957118E-2</v>
      </c>
      <c r="H38" s="28" t="s">
        <v>6</v>
      </c>
      <c r="I38" s="29"/>
      <c r="J38" s="29"/>
      <c r="K38" s="30">
        <f t="shared" si="3"/>
        <v>68366.03953451199</v>
      </c>
      <c r="L38" s="31">
        <f t="shared" si="4"/>
        <v>1.0680243698398503E-2</v>
      </c>
      <c r="N38" s="30">
        <f t="shared" ref="N38:N55" si="5">K38/12</f>
        <v>5697.1699612093325</v>
      </c>
      <c r="O38" s="48"/>
      <c r="P38" s="48"/>
      <c r="Q38" s="49"/>
      <c r="R38" s="51" t="s">
        <v>40</v>
      </c>
      <c r="S38" s="51" t="s">
        <v>43</v>
      </c>
      <c r="T38" s="51" t="s">
        <v>44</v>
      </c>
    </row>
    <row r="39" spans="2:20" s="2" customFormat="1" ht="10.15">
      <c r="B39" s="15" t="s">
        <v>7</v>
      </c>
      <c r="E39" s="11">
        <v>63376</v>
      </c>
      <c r="F39" s="16">
        <f t="shared" si="2"/>
        <v>9.635069610094079E-3</v>
      </c>
      <c r="H39" s="28" t="s">
        <v>7</v>
      </c>
      <c r="I39" s="29"/>
      <c r="J39" s="29"/>
      <c r="K39" s="30">
        <f t="shared" si="3"/>
        <v>67948.549364071092</v>
      </c>
      <c r="L39" s="31">
        <f t="shared" si="4"/>
        <v>1.0615022767182443E-2</v>
      </c>
      <c r="N39" s="30">
        <f t="shared" si="5"/>
        <v>5662.3791136725913</v>
      </c>
      <c r="O39" s="48"/>
      <c r="P39" s="48"/>
      <c r="Q39" s="2" t="s">
        <v>42</v>
      </c>
      <c r="R39" s="53">
        <f>SUM('[1]3yr Cust'!$E$25,'[1]3yr Cust'!$E$29,'[1]3yr Cust'!$E$34,'[1]3yr Cust'!$E$38)</f>
        <v>2321</v>
      </c>
      <c r="S39" s="39">
        <f>N55*(R39/R41)</f>
        <v>24456.335923750346</v>
      </c>
      <c r="T39" s="39">
        <f>S39*12</f>
        <v>293476.03108500416</v>
      </c>
    </row>
    <row r="40" spans="2:20" s="2" customFormat="1" ht="10.15">
      <c r="B40" s="15" t="s">
        <v>8</v>
      </c>
      <c r="E40" s="11">
        <f>41000*12*0.25</f>
        <v>123000</v>
      </c>
      <c r="F40" s="16">
        <f t="shared" si="2"/>
        <v>1.8699721693410311E-2</v>
      </c>
      <c r="H40" s="28" t="s">
        <v>8</v>
      </c>
      <c r="I40" s="29"/>
      <c r="J40" s="29"/>
      <c r="K40" s="30">
        <f t="shared" si="3"/>
        <v>96957.091508376892</v>
      </c>
      <c r="L40" s="31">
        <f t="shared" si="4"/>
        <v>1.5146780077477556E-2</v>
      </c>
      <c r="N40" s="30">
        <f t="shared" si="5"/>
        <v>8079.7576256980747</v>
      </c>
      <c r="O40" s="48"/>
      <c r="P40" s="48"/>
      <c r="Q40" s="2" t="s">
        <v>41</v>
      </c>
      <c r="R40" s="2">
        <f>'[1]3yr Cust'!$E$44</f>
        <v>336</v>
      </c>
      <c r="S40" s="39">
        <f>N55*(R40/R41)</f>
        <v>3540.4260535890203</v>
      </c>
      <c r="T40" s="39">
        <f>S40*12</f>
        <v>42485.112643068242</v>
      </c>
    </row>
    <row r="41" spans="2:20" s="2" customFormat="1" ht="10.15">
      <c r="B41" s="15" t="s">
        <v>9</v>
      </c>
      <c r="E41" s="11">
        <f>123000*12*0.25</f>
        <v>369000</v>
      </c>
      <c r="F41" s="16">
        <f t="shared" si="2"/>
        <v>5.6099165080230926E-2</v>
      </c>
      <c r="H41" s="28" t="s">
        <v>9</v>
      </c>
      <c r="I41" s="29"/>
      <c r="J41" s="29"/>
      <c r="K41" s="30">
        <f t="shared" si="3"/>
        <v>342444.92913817381</v>
      </c>
      <c r="L41" s="31">
        <f t="shared" si="4"/>
        <v>5.349725274973996E-2</v>
      </c>
      <c r="N41" s="30">
        <f t="shared" si="5"/>
        <v>28537.07742818115</v>
      </c>
      <c r="O41" s="48"/>
      <c r="P41" s="48"/>
      <c r="Q41" s="49"/>
      <c r="R41" s="17">
        <f>SUM(R39:R40)</f>
        <v>2657</v>
      </c>
      <c r="S41" s="40">
        <f>SUM(S39:S40)</f>
        <v>27996.761977339367</v>
      </c>
      <c r="T41" s="40">
        <f>SUM(T39:T40)</f>
        <v>335961.14372807241</v>
      </c>
    </row>
    <row r="42" spans="2:20" s="2" customFormat="1" ht="10.15">
      <c r="B42" s="15" t="s">
        <v>33</v>
      </c>
      <c r="E42" s="11">
        <f>18000*12*0.25</f>
        <v>54000</v>
      </c>
      <c r="F42" s="16">
        <f t="shared" si="2"/>
        <v>8.2096339141801353E-3</v>
      </c>
      <c r="H42" s="28" t="s">
        <v>33</v>
      </c>
      <c r="I42" s="29"/>
      <c r="J42" s="29"/>
      <c r="K42" s="30">
        <f t="shared" si="3"/>
        <v>71994.73075869678</v>
      </c>
      <c r="L42" s="31">
        <f t="shared" si="4"/>
        <v>1.1247123202380437E-2</v>
      </c>
      <c r="N42" s="30">
        <f t="shared" si="5"/>
        <v>5999.560896558065</v>
      </c>
      <c r="O42" s="48"/>
      <c r="P42" s="48"/>
      <c r="Q42" s="49"/>
    </row>
    <row r="43" spans="2:20" s="2" customFormat="1" ht="10.15">
      <c r="B43" s="15" t="s">
        <v>10</v>
      </c>
      <c r="E43" s="11">
        <f>7000*12*0.25</f>
        <v>21000</v>
      </c>
      <c r="F43" s="16">
        <f t="shared" si="2"/>
        <v>3.1926354110700527E-3</v>
      </c>
      <c r="H43" s="28" t="s">
        <v>10</v>
      </c>
      <c r="I43" s="29"/>
      <c r="J43" s="29"/>
      <c r="K43" s="30">
        <f t="shared" si="3"/>
        <v>13960.530222713183</v>
      </c>
      <c r="L43" s="31">
        <f t="shared" si="4"/>
        <v>2.180934656338633E-3</v>
      </c>
      <c r="N43" s="30">
        <f>K43/12</f>
        <v>1163.377518559432</v>
      </c>
      <c r="O43" s="48"/>
      <c r="P43" s="48"/>
      <c r="Q43" s="49"/>
    </row>
    <row r="44" spans="2:20" s="2" customFormat="1" ht="10.15">
      <c r="B44" s="15" t="s">
        <v>11</v>
      </c>
      <c r="E44" s="11">
        <f>12*0.25*15000</f>
        <v>45000</v>
      </c>
      <c r="F44" s="16">
        <f t="shared" si="2"/>
        <v>6.841361595150113E-3</v>
      </c>
      <c r="H44" s="28" t="s">
        <v>11</v>
      </c>
      <c r="I44" s="29"/>
      <c r="J44" s="29"/>
      <c r="K44" s="30">
        <f t="shared" si="3"/>
        <v>41959.189495997991</v>
      </c>
      <c r="L44" s="31">
        <f t="shared" si="4"/>
        <v>6.5549265725465579E-3</v>
      </c>
      <c r="N44" s="30">
        <f t="shared" si="5"/>
        <v>3496.5991246664994</v>
      </c>
      <c r="O44" s="48"/>
      <c r="P44" s="48"/>
      <c r="Q44" s="49"/>
    </row>
    <row r="45" spans="2:20" s="2" customFormat="1" ht="10.15">
      <c r="B45" s="15" t="s">
        <v>12</v>
      </c>
      <c r="E45" s="11">
        <f>11000*0.25*12</f>
        <v>33000</v>
      </c>
      <c r="F45" s="16">
        <f t="shared" si="2"/>
        <v>5.0169985031100831E-3</v>
      </c>
      <c r="H45" s="28" t="s">
        <v>12</v>
      </c>
      <c r="I45" s="29"/>
      <c r="J45" s="29"/>
      <c r="K45" s="30">
        <f t="shared" si="3"/>
        <v>20256.150465931405</v>
      </c>
      <c r="L45" s="31">
        <f t="shared" si="4"/>
        <v>3.1644457517297671E-3</v>
      </c>
      <c r="N45" s="30">
        <f t="shared" si="5"/>
        <v>1688.0125388276172</v>
      </c>
      <c r="O45" s="48"/>
      <c r="P45" s="48"/>
      <c r="Q45" s="49"/>
    </row>
    <row r="46" spans="2:20" s="2" customFormat="1" ht="10.15">
      <c r="B46" s="15" t="s">
        <v>36</v>
      </c>
      <c r="E46" s="11">
        <f>244000*12*0.25</f>
        <v>732000</v>
      </c>
      <c r="F46" s="16">
        <f t="shared" si="2"/>
        <v>0.11128614861444185</v>
      </c>
      <c r="H46" s="28" t="s">
        <v>36</v>
      </c>
      <c r="I46" s="29"/>
      <c r="J46" s="29"/>
      <c r="K46" s="30">
        <f t="shared" ref="K46:K49" si="6">L46*K$36</f>
        <v>525113.72679176705</v>
      </c>
      <c r="L46" s="31">
        <f t="shared" si="4"/>
        <v>8.2034042189604459E-2</v>
      </c>
      <c r="N46" s="30">
        <f t="shared" si="5"/>
        <v>43759.477232647252</v>
      </c>
      <c r="O46" s="48"/>
      <c r="P46" s="48"/>
      <c r="Q46" s="49"/>
    </row>
    <row r="47" spans="2:20" s="2" customFormat="1" ht="10.15">
      <c r="B47" s="15" t="s">
        <v>37</v>
      </c>
      <c r="E47" s="11">
        <f>318000*12*0.25</f>
        <v>954000</v>
      </c>
      <c r="F47" s="16">
        <f t="shared" si="2"/>
        <v>0.14503686581718239</v>
      </c>
      <c r="H47" s="28" t="s">
        <v>37</v>
      </c>
      <c r="I47" s="29"/>
      <c r="J47" s="29"/>
      <c r="K47" s="30">
        <f t="shared" si="6"/>
        <v>885552.25362908922</v>
      </c>
      <c r="L47" s="31">
        <f t="shared" si="4"/>
        <v>0.13834228135520713</v>
      </c>
      <c r="N47" s="30">
        <f t="shared" si="5"/>
        <v>73796.02113575743</v>
      </c>
      <c r="O47" s="48"/>
      <c r="P47" s="48"/>
      <c r="Q47" s="49"/>
    </row>
    <row r="48" spans="2:20" s="2" customFormat="1" ht="10.15">
      <c r="B48" s="15" t="s">
        <v>38</v>
      </c>
      <c r="E48" s="11">
        <f>262000*12*0.25</f>
        <v>786000</v>
      </c>
      <c r="F48" s="16">
        <f t="shared" si="2"/>
        <v>0.11949578252862197</v>
      </c>
      <c r="H48" s="28" t="s">
        <v>38</v>
      </c>
      <c r="I48" s="29"/>
      <c r="J48" s="29"/>
      <c r="K48" s="30">
        <f t="shared" si="6"/>
        <v>623374.11633333412</v>
      </c>
      <c r="L48" s="31">
        <f t="shared" si="4"/>
        <v>9.7384425411287667E-2</v>
      </c>
      <c r="N48" s="30">
        <f t="shared" si="5"/>
        <v>51947.843027777846</v>
      </c>
      <c r="O48" s="48"/>
      <c r="P48" s="48"/>
      <c r="Q48" s="49"/>
    </row>
    <row r="49" spans="2:20" s="2" customFormat="1" ht="10.15">
      <c r="B49" s="15" t="s">
        <v>35</v>
      </c>
      <c r="E49" s="11">
        <f>28000*12*0.25</f>
        <v>84000</v>
      </c>
      <c r="F49" s="16">
        <f t="shared" si="2"/>
        <v>1.2770541644280211E-2</v>
      </c>
      <c r="H49" s="28" t="s">
        <v>35</v>
      </c>
      <c r="I49" s="29"/>
      <c r="J49" s="29"/>
      <c r="K49" s="30">
        <f t="shared" si="6"/>
        <v>84695.873508144839</v>
      </c>
      <c r="L49" s="31">
        <f t="shared" si="4"/>
        <v>1.3231314487057298E-2</v>
      </c>
      <c r="N49" s="30">
        <f t="shared" si="5"/>
        <v>7057.9894590120703</v>
      </c>
      <c r="O49" s="48"/>
      <c r="P49" s="48"/>
      <c r="Q49" s="49"/>
    </row>
    <row r="50" spans="2:20" s="2" customFormat="1" ht="10.15">
      <c r="B50" s="15" t="s">
        <v>13</v>
      </c>
      <c r="E50" s="11">
        <f>22000*12*0.25</f>
        <v>66000</v>
      </c>
      <c r="F50" s="16">
        <f t="shared" si="2"/>
        <v>1.0033997006220166E-2</v>
      </c>
      <c r="H50" s="28" t="s">
        <v>13</v>
      </c>
      <c r="I50" s="29"/>
      <c r="J50" s="29"/>
      <c r="K50" s="30">
        <f t="shared" si="3"/>
        <v>36523.454420653376</v>
      </c>
      <c r="L50" s="31">
        <f t="shared" si="4"/>
        <v>5.7057480084539841E-3</v>
      </c>
      <c r="N50" s="30">
        <f t="shared" si="5"/>
        <v>3043.6212017211146</v>
      </c>
      <c r="O50" s="48"/>
      <c r="P50" s="48"/>
      <c r="Q50" s="49"/>
    </row>
    <row r="51" spans="2:20" s="2" customFormat="1" ht="10.15">
      <c r="B51" s="15" t="s">
        <v>14</v>
      </c>
      <c r="E51" s="11">
        <f>5000*12*0.25</f>
        <v>15000</v>
      </c>
      <c r="F51" s="16">
        <f t="shared" si="2"/>
        <v>2.2804538650500377E-3</v>
      </c>
      <c r="H51" s="28" t="s">
        <v>14</v>
      </c>
      <c r="I51" s="29"/>
      <c r="J51" s="29"/>
      <c r="K51" s="30">
        <f t="shared" si="3"/>
        <v>15866.042326537065</v>
      </c>
      <c r="L51" s="31">
        <f t="shared" si="4"/>
        <v>2.4786165723550417E-3</v>
      </c>
      <c r="N51" s="30">
        <f t="shared" si="5"/>
        <v>1322.1701938780886</v>
      </c>
      <c r="O51" s="48"/>
      <c r="P51" s="48"/>
      <c r="Q51" s="49"/>
    </row>
    <row r="52" spans="2:20" s="2" customFormat="1" ht="10.15">
      <c r="B52" s="15" t="s">
        <v>34</v>
      </c>
      <c r="E52" s="11">
        <f>55000*12*0.25</f>
        <v>165000</v>
      </c>
      <c r="F52" s="16">
        <f t="shared" si="2"/>
        <v>2.5084992515550415E-2</v>
      </c>
      <c r="H52" s="28" t="s">
        <v>34</v>
      </c>
      <c r="I52" s="29"/>
      <c r="J52" s="29"/>
      <c r="K52" s="30">
        <f t="shared" ref="K52" si="7">L52*K$36</f>
        <v>136109.14416574553</v>
      </c>
      <c r="L52" s="31">
        <f t="shared" si="4"/>
        <v>2.1263171585898032E-2</v>
      </c>
      <c r="N52" s="30">
        <f t="shared" si="5"/>
        <v>11342.428680478793</v>
      </c>
      <c r="O52" s="48"/>
      <c r="P52" s="48"/>
      <c r="Q52" s="49"/>
    </row>
    <row r="53" spans="2:20" s="2" customFormat="1" ht="10.15">
      <c r="B53" s="15" t="s">
        <v>24</v>
      </c>
      <c r="E53" s="11">
        <f>15000*12*0.25</f>
        <v>45000</v>
      </c>
      <c r="F53" s="16">
        <f t="shared" si="2"/>
        <v>6.841361595150113E-3</v>
      </c>
      <c r="H53" s="28" t="s">
        <v>24</v>
      </c>
      <c r="I53" s="29"/>
      <c r="J53" s="29"/>
      <c r="K53" s="30">
        <f t="shared" si="3"/>
        <v>36894.144352536685</v>
      </c>
      <c r="L53" s="31">
        <f t="shared" si="4"/>
        <v>5.7636577372610458E-3</v>
      </c>
      <c r="N53" s="30">
        <f t="shared" si="5"/>
        <v>3074.5120293780569</v>
      </c>
      <c r="O53" s="48"/>
      <c r="P53" s="48"/>
      <c r="Q53" s="49"/>
      <c r="T53" s="41"/>
    </row>
    <row r="54" spans="2:20" s="2" customFormat="1" ht="10.15">
      <c r="B54" s="15" t="s">
        <v>26</v>
      </c>
      <c r="E54" s="11">
        <f>852000*12*0.25</f>
        <v>2556000</v>
      </c>
      <c r="F54" s="16">
        <f t="shared" si="2"/>
        <v>0.38858933860452644</v>
      </c>
      <c r="H54" s="28" t="s">
        <v>26</v>
      </c>
      <c r="I54" s="29"/>
      <c r="J54" s="29"/>
      <c r="K54" s="30">
        <f t="shared" si="3"/>
        <v>2950894.4941140348</v>
      </c>
      <c r="L54" s="31">
        <f t="shared" si="4"/>
        <v>0.4609930974499476</v>
      </c>
      <c r="N54" s="30">
        <f t="shared" si="5"/>
        <v>245907.8745095029</v>
      </c>
      <c r="O54" s="48"/>
      <c r="P54" s="48"/>
      <c r="Q54" s="49"/>
      <c r="R54" s="41"/>
    </row>
    <row r="55" spans="2:20" s="2" customFormat="1" ht="10.15">
      <c r="B55" s="15" t="s">
        <v>25</v>
      </c>
      <c r="E55" s="11">
        <f>122000*12*0.25</f>
        <v>366000</v>
      </c>
      <c r="F55" s="16">
        <f t="shared" si="2"/>
        <v>5.5643074307220923E-2</v>
      </c>
      <c r="H55" s="28" t="s">
        <v>25</v>
      </c>
      <c r="I55" s="29"/>
      <c r="J55" s="29"/>
      <c r="K55" s="30">
        <f t="shared" si="3"/>
        <v>335961.14372807241</v>
      </c>
      <c r="L55" s="31">
        <f t="shared" si="4"/>
        <v>5.2484346213987711E-2</v>
      </c>
      <c r="N55" s="30">
        <f t="shared" si="5"/>
        <v>27996.761977339367</v>
      </c>
      <c r="O55" s="48"/>
      <c r="P55" s="48"/>
      <c r="Q55" s="49"/>
    </row>
    <row r="56" spans="2:20" s="2" customFormat="1" ht="10.15">
      <c r="B56" s="17"/>
      <c r="C56" s="17"/>
      <c r="D56" s="17"/>
      <c r="E56" s="18">
        <f>SUM(E37:E55)</f>
        <v>6577638</v>
      </c>
      <c r="F56" s="19">
        <f t="shared" si="2"/>
        <v>1</v>
      </c>
      <c r="H56" s="32" t="s">
        <v>32</v>
      </c>
      <c r="I56" s="22"/>
      <c r="J56" s="22"/>
      <c r="K56" s="33">
        <f>SUM(K37:K55)</f>
        <v>6401168.5000000009</v>
      </c>
      <c r="L56" s="34">
        <f t="shared" ref="L56" si="8">SUM(F34,L34,F56)/3</f>
        <v>1</v>
      </c>
      <c r="N56" s="35">
        <f>SUM(N37:N55)</f>
        <v>533430.70833333337</v>
      </c>
      <c r="O56" s="48"/>
      <c r="P56" s="48"/>
      <c r="Q56" s="49"/>
    </row>
    <row r="57" spans="2:20">
      <c r="B57" s="2"/>
      <c r="C57" s="2"/>
      <c r="D57" s="2"/>
      <c r="E57" s="2"/>
      <c r="F57" s="2"/>
      <c r="G57" s="2"/>
      <c r="H57" s="2"/>
      <c r="I57" s="2"/>
      <c r="J57" s="20"/>
      <c r="K57" s="20"/>
      <c r="L57" s="20"/>
      <c r="M57" s="20"/>
      <c r="N57" s="20"/>
      <c r="O57" s="44"/>
      <c r="P57" s="44"/>
      <c r="Q57" s="50"/>
    </row>
    <row r="58" spans="2:20">
      <c r="B58" s="2"/>
      <c r="C58" s="2"/>
      <c r="D58" s="2"/>
      <c r="E58" s="2"/>
      <c r="F58" s="2"/>
      <c r="G58" s="2"/>
      <c r="H58" s="2"/>
      <c r="I58" s="2"/>
      <c r="J58" s="20"/>
      <c r="K58" s="36"/>
      <c r="L58" s="20"/>
      <c r="M58" s="20"/>
      <c r="N58" s="20"/>
      <c r="O58" s="44"/>
      <c r="P58" s="44"/>
      <c r="Q58" s="50"/>
    </row>
    <row r="59" spans="2:20">
      <c r="K59" s="37"/>
      <c r="L59" s="2"/>
      <c r="M59" s="2"/>
      <c r="N59" s="2"/>
      <c r="O59" s="44"/>
      <c r="P59" s="44"/>
      <c r="Q59" s="50"/>
    </row>
  </sheetData>
  <mergeCells count="1">
    <mergeCell ref="C6:O7"/>
  </mergeCells>
  <pageMargins left="0.5" right="0.5" top="0.5" bottom="0.55000000000000004" header="0.3" footer="0.3"/>
  <pageSetup scale="69" fitToHeight="2" orientation="landscape" r:id="rId1"/>
  <headerFooter>
    <oddFooter>&amp;L&amp;8&amp;Z
&amp;F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5F955E8F06CBD48B7814246FB9E203E" ma:contentTypeVersion="12" ma:contentTypeDescription="Create a new document." ma:contentTypeScope="" ma:versionID="ad274f5c268e6443438abf6ac2aab579">
  <xsd:schema xmlns:xsd="http://www.w3.org/2001/XMLSchema" xmlns:xs="http://www.w3.org/2001/XMLSchema" xmlns:p="http://schemas.microsoft.com/office/2006/metadata/properties" xmlns:ns2="cc29f954-72e5-4988-94c8-6074c4013efb" xmlns:ns3="219c5758-d311-4f49-8eb7-a0c37216249c" targetNamespace="http://schemas.microsoft.com/office/2006/metadata/properties" ma:root="true" ma:fieldsID="b35f0d760f0b69f295c070a8c3c1d2fa" ns2:_="" ns3:_="">
    <xsd:import namespace="cc29f954-72e5-4988-94c8-6074c4013efb"/>
    <xsd:import namespace="219c5758-d311-4f49-8eb7-a0c37216249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29f954-72e5-4988-94c8-6074c4013e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19c5758-d311-4f49-8eb7-a0c37216249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8805C4-02D7-45FA-B641-F159FF3AB490}">
  <ds:schemaRefs>
    <ds:schemaRef ds:uri="http://schemas.microsoft.com/sharepoint/v3/contenttype/forms"/>
  </ds:schemaRefs>
</ds:datastoreItem>
</file>

<file path=customXml/itemProps2.xml><?xml version="1.0" encoding="utf-8"?>
<ds:datastoreItem xmlns:ds="http://schemas.openxmlformats.org/officeDocument/2006/customXml" ds:itemID="{ECECD482-F06F-48E8-8277-ADDF239863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29f954-72e5-4988-94c8-6074c4013efb"/>
    <ds:schemaRef ds:uri="219c5758-d311-4f49-8eb7-a0c3721624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6203EF-1E28-4FD7-8951-1A4C569E5EE6}">
  <ds:schemaRefs>
    <ds:schemaRef ds:uri="cc29f954-72e5-4988-94c8-6074c4013efb"/>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19c5758-d311-4f49-8eb7-a0c37216249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Q3-2020</vt:lpstr>
      <vt:lpstr>Q4-2021</vt:lpstr>
      <vt:lpstr>'Q3-2020'!Print_Area</vt:lpstr>
      <vt:lpstr>'Q4-2021'!Print_Area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Duncan; Brent Thies; Pwm</dc:creator>
  <cp:lastModifiedBy>Mike Duncan</cp:lastModifiedBy>
  <cp:lastPrinted>2021-03-16T19:23:20Z</cp:lastPrinted>
  <dcterms:created xsi:type="dcterms:W3CDTF">2019-07-17T18:42:02Z</dcterms:created>
  <dcterms:modified xsi:type="dcterms:W3CDTF">2021-03-16T19:23:39Z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0x01010035F955E8F06CBD48B7814246FB9E203E</vt:lpwstr>
  </property>
  <property fmtid="{D5CDD505-2E9C-101B-9397-08002B2CF9AE}" pid="3" name="{A44787D4-0540-4523-9961-78E4036D8C6D}">
    <vt:lpwstr>{373555E7-A01E-4E9C-B1F8-AA42FCDA2BAD}</vt:lpwstr>
  </property>
</Properties>
</file>