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902" documentId="8_{354CB612-5F9D-4198-B2E1-9E2C58769584}" xr6:coauthVersionLast="46" xr6:coauthVersionMax="46" xr10:uidLastSave="{0A20D2EE-BC5A-4B66-A004-0DAD61D45F20}"/>
  <bookViews>
    <workbookView xWindow="21525" yWindow="-16320" windowWidth="29040" windowHeight="15840" tabRatio="775" activeTab="2" xr2:uid="{00000000-000D-0000-FFFF-FFFF00000000}"/>
  </bookViews>
  <sheets>
    <sheet name="Link In" sheetId="1" r:id="rId1"/>
    <sheet name="Link Out" sheetId="2" r:id="rId2"/>
    <sheet name="Rev Requirement - SCH A" sheetId="3" r:id="rId3"/>
    <sheet name="Rev Conversion Factor - SCH H" sheetId="4" r:id="rId4"/>
    <sheet name="FY Billing Analysis - SCH M-1" sheetId="10" r:id="rId5"/>
    <sheet name="BY Billing Analysis - SCH M-2" sheetId="11" r:id="rId6"/>
    <sheet name="Proposed Rate Adjustments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'Rev Conversion Factor - SCH H'!$A$1:$G$30</definedName>
    <definedName name="_xlnm.Print_Area" localSheetId="2">'Rev Requirement - SCH A'!$A$1:$F$51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1" l="1"/>
  <c r="F15" i="11"/>
  <c r="J7" i="11"/>
  <c r="F16" i="10"/>
  <c r="F15" i="10"/>
  <c r="J7" i="10"/>
  <c r="C61" i="1" l="1"/>
  <c r="D54" i="1" l="1"/>
  <c r="C14" i="10" s="1"/>
  <c r="D55" i="1"/>
  <c r="C15" i="10" s="1"/>
  <c r="E15" i="10" s="1"/>
  <c r="D56" i="1"/>
  <c r="C16" i="10" s="1"/>
  <c r="E16" i="10" s="1"/>
  <c r="D57" i="1"/>
  <c r="C17" i="10" s="1"/>
  <c r="C55" i="1"/>
  <c r="C15" i="11" s="1"/>
  <c r="E15" i="11" s="1"/>
  <c r="C56" i="1"/>
  <c r="C16" i="11" s="1"/>
  <c r="E16" i="11" s="1"/>
  <c r="C57" i="1"/>
  <c r="C54" i="1"/>
  <c r="C14" i="11" s="1"/>
  <c r="E14" i="11" l="1"/>
  <c r="C18" i="11"/>
  <c r="E14" i="10"/>
  <c r="C19" i="10"/>
  <c r="C22" i="9"/>
  <c r="C25" i="9"/>
  <c r="C24" i="9"/>
  <c r="C23" i="9"/>
  <c r="C42" i="9"/>
  <c r="C41" i="9"/>
  <c r="E2" i="9"/>
  <c r="D51" i="1" l="1"/>
  <c r="C51" i="1"/>
  <c r="C22" i="3" l="1"/>
  <c r="D22" i="3"/>
  <c r="C23" i="3"/>
  <c r="D23" i="3"/>
  <c r="C15" i="4" l="1"/>
  <c r="D15" i="4" s="1"/>
  <c r="C34" i="3" l="1"/>
  <c r="D34" i="3"/>
  <c r="G7" i="4" l="1"/>
  <c r="F8" i="3"/>
  <c r="C3" i="1" l="1"/>
  <c r="A2" i="4" s="1"/>
  <c r="C4" i="1"/>
  <c r="C5" i="1"/>
  <c r="C6" i="1"/>
  <c r="C7" i="1"/>
  <c r="C2" i="1"/>
  <c r="A2" i="11" l="1"/>
  <c r="A2" i="10"/>
  <c r="A3" i="11"/>
  <c r="A3" i="10"/>
  <c r="A6" i="9"/>
  <c r="A7" i="9"/>
  <c r="C14" i="2" l="1"/>
  <c r="B15" i="2" l="1"/>
  <c r="B14" i="2"/>
  <c r="C16" i="4" l="1"/>
  <c r="A3" i="3" l="1"/>
  <c r="A3" i="4" s="1"/>
  <c r="A2" i="3"/>
  <c r="D16" i="4"/>
  <c r="D17" i="4" s="1"/>
  <c r="D27" i="4" l="1"/>
  <c r="C42" i="3" s="1"/>
  <c r="D20" i="4" l="1"/>
  <c r="D21" i="4" s="1"/>
  <c r="D23" i="4" l="1"/>
  <c r="D25" i="4" l="1"/>
  <c r="D42" i="3"/>
  <c r="C11" i="2"/>
  <c r="D28" i="4" l="1"/>
  <c r="E15" i="4"/>
  <c r="E16" i="4"/>
  <c r="E20" i="4"/>
  <c r="E23" i="4"/>
  <c r="E25" i="4" l="1"/>
  <c r="D43" i="3"/>
  <c r="C43" i="3"/>
  <c r="D37" i="1" l="1"/>
  <c r="D21" i="3" s="1"/>
  <c r="C37" i="1"/>
  <c r="C21" i="3" s="1"/>
  <c r="D31" i="1" l="1"/>
  <c r="D15" i="3" s="1"/>
  <c r="C31" i="1"/>
  <c r="C15" i="3" s="1"/>
  <c r="F18" i="11" l="1"/>
  <c r="F14" i="11" s="1"/>
  <c r="F19" i="10"/>
  <c r="F14" i="10" s="1"/>
  <c r="C34" i="9"/>
  <c r="C36" i="1" l="1"/>
  <c r="C20" i="3" s="1"/>
  <c r="D36" i="1" l="1"/>
  <c r="D20" i="3" s="1"/>
  <c r="C39" i="9" s="1"/>
  <c r="E39" i="9" s="1"/>
  <c r="C35" i="1" l="1"/>
  <c r="C19" i="3" s="1"/>
  <c r="D35" i="1" l="1"/>
  <c r="D19" i="3" s="1"/>
  <c r="C38" i="9" s="1"/>
  <c r="E38" i="9" s="1"/>
  <c r="C40" i="1" l="1"/>
  <c r="C24" i="3" s="1"/>
  <c r="D40" i="1" l="1"/>
  <c r="D24" i="3" s="1"/>
  <c r="C40" i="9" s="1"/>
  <c r="C50" i="1" l="1"/>
  <c r="C33" i="3" s="1"/>
  <c r="C36" i="3" s="1"/>
  <c r="C34" i="1"/>
  <c r="C18" i="3" s="1"/>
  <c r="C25" i="3" s="1"/>
  <c r="C27" i="3" s="1"/>
  <c r="C38" i="3" s="1"/>
  <c r="C40" i="3" l="1"/>
  <c r="C45" i="3" s="1"/>
  <c r="C41" i="1"/>
  <c r="C47" i="3" l="1"/>
  <c r="C49" i="3"/>
  <c r="D34" i="1" l="1"/>
  <c r="D18" i="3" s="1"/>
  <c r="C37" i="9" l="1"/>
  <c r="D25" i="3"/>
  <c r="D50" i="1"/>
  <c r="D33" i="3" s="1"/>
  <c r="D36" i="3" s="1"/>
  <c r="D41" i="1"/>
  <c r="C43" i="9" l="1"/>
  <c r="D27" i="3"/>
  <c r="D38" i="3" l="1"/>
  <c r="D40" i="3" s="1"/>
  <c r="C45" i="9"/>
  <c r="D18" i="9" l="1"/>
  <c r="D45" i="3"/>
  <c r="D47" i="3" l="1"/>
  <c r="D49" i="3"/>
  <c r="H19" i="10" s="1"/>
  <c r="B11" i="2"/>
  <c r="B4" i="2"/>
  <c r="D17" i="9"/>
  <c r="D19" i="9" l="1"/>
  <c r="D34" i="9"/>
  <c r="J28" i="10"/>
  <c r="H17" i="10" s="1"/>
  <c r="H16" i="10" s="1"/>
  <c r="E4" i="2"/>
  <c r="J16" i="10" l="1"/>
  <c r="I16" i="10"/>
  <c r="H14" i="10"/>
  <c r="E34" i="9"/>
  <c r="I17" i="10"/>
  <c r="B23" i="2" s="1"/>
  <c r="J17" i="10"/>
  <c r="H15" i="10"/>
  <c r="D23" i="9"/>
  <c r="D24" i="9"/>
  <c r="D22" i="9"/>
  <c r="D25" i="9"/>
  <c r="D37" i="9" l="1"/>
  <c r="D27" i="9"/>
  <c r="D29" i="9" s="1"/>
  <c r="B6" i="2"/>
  <c r="I15" i="10"/>
  <c r="J15" i="10"/>
  <c r="B9" i="2"/>
  <c r="D42" i="9"/>
  <c r="E42" i="9" s="1"/>
  <c r="B8" i="2"/>
  <c r="D41" i="9"/>
  <c r="E41" i="9" s="1"/>
  <c r="I14" i="10"/>
  <c r="J14" i="10"/>
  <c r="B22" i="2"/>
  <c r="I16" i="11"/>
  <c r="H16" i="11" s="1"/>
  <c r="J16" i="11" s="1"/>
  <c r="B7" i="2"/>
  <c r="D40" i="9"/>
  <c r="E40" i="9" s="1"/>
  <c r="B21" i="2" l="1"/>
  <c r="I15" i="11"/>
  <c r="H15" i="11" s="1"/>
  <c r="J15" i="11" s="1"/>
  <c r="I14" i="11"/>
  <c r="H14" i="11" s="1"/>
  <c r="B20" i="2"/>
  <c r="D43" i="9"/>
  <c r="E37" i="9"/>
  <c r="E43" i="9" l="1"/>
  <c r="D45" i="9"/>
  <c r="E45" i="9" s="1"/>
  <c r="H18" i="11"/>
  <c r="J14" i="11"/>
</calcChain>
</file>

<file path=xl/sharedStrings.xml><?xml version="1.0" encoding="utf-8"?>
<sst xmlns="http://schemas.openxmlformats.org/spreadsheetml/2006/main" count="285" uniqueCount="168">
  <si>
    <t>Company Title:</t>
  </si>
  <si>
    <t>Company:</t>
  </si>
  <si>
    <t>PSC Case Number:</t>
  </si>
  <si>
    <t>Base Year:</t>
  </si>
  <si>
    <t>Forecasted Test Year:</t>
  </si>
  <si>
    <t>True-up Date</t>
  </si>
  <si>
    <t>Revenue Conversion Link-Ins:</t>
  </si>
  <si>
    <t>Line</t>
  </si>
  <si>
    <t>Number</t>
  </si>
  <si>
    <t>Gross Revenue Conversion Factor Calculation</t>
  </si>
  <si>
    <t>Rate:</t>
  </si>
  <si>
    <t>Note re: Link In:</t>
  </si>
  <si>
    <t>Less: Bad Debt</t>
  </si>
  <si>
    <t>Less: PSC / Utility Reg Assessment Fee</t>
  </si>
  <si>
    <t>Total Before Gross Income and TRA Fees</t>
  </si>
  <si>
    <t>Less:  State Income Tax @ 5.0%</t>
  </si>
  <si>
    <t>Income before Federal income Taxes</t>
  </si>
  <si>
    <t>Less: Federal income Tax @ 21%</t>
  </si>
  <si>
    <t>Base Period</t>
  </si>
  <si>
    <t>Forecast</t>
  </si>
  <si>
    <t>Present Rate Utility Operating Income:</t>
  </si>
  <si>
    <t>Operating Revenue at Present Rates:</t>
  </si>
  <si>
    <t>From Income Statement</t>
  </si>
  <si>
    <t>Less: Deductions:</t>
  </si>
  <si>
    <t>Operating and Maintenance:</t>
  </si>
  <si>
    <t>Depreciation:</t>
  </si>
  <si>
    <t>Amortization of  UPAA</t>
  </si>
  <si>
    <t>Amortization Expense</t>
  </si>
  <si>
    <t>State Income Taxes:</t>
  </si>
  <si>
    <t>Federal Income Taxes:</t>
  </si>
  <si>
    <t>General Taxes</t>
  </si>
  <si>
    <t>Total Deductions:</t>
  </si>
  <si>
    <t>Pro Forma Present Rate Utility Operating Income:</t>
  </si>
  <si>
    <t>Revenue Requirement and Increase Comparison:</t>
  </si>
  <si>
    <t>Company</t>
  </si>
  <si>
    <t>Net Original Cost Rate Base</t>
  </si>
  <si>
    <t>Rate of Return</t>
  </si>
  <si>
    <t>Link Out</t>
  </si>
  <si>
    <t>Proposed Rates Adjustments</t>
  </si>
  <si>
    <t>Percent Increase</t>
  </si>
  <si>
    <t>Revenue</t>
  </si>
  <si>
    <t>Uncollectible</t>
  </si>
  <si>
    <t>Additional Expenses Due to Above Revenue</t>
  </si>
  <si>
    <t>Regulatory Fee</t>
  </si>
  <si>
    <t>State Income Tax</t>
  </si>
  <si>
    <t>Federal Income Tax</t>
  </si>
  <si>
    <t>Revenue Conversion Factor</t>
  </si>
  <si>
    <t>ExhibitName:</t>
  </si>
  <si>
    <t>File Reference:</t>
  </si>
  <si>
    <t>Rev Rqmt</t>
  </si>
  <si>
    <t>Conversion Factor</t>
  </si>
  <si>
    <t>Exhibit 21, Schedule A</t>
  </si>
  <si>
    <t>Jurisdictional Financial Summary for the Base and Forecast Period Detailing Derivation of the Requested Revenue Increase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</si>
  <si>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</si>
  <si>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t>Witness: B. Thies</t>
  </si>
  <si>
    <t>Forecast Period</t>
  </si>
  <si>
    <t>Support Schedule</t>
  </si>
  <si>
    <t>Line #</t>
  </si>
  <si>
    <t>Ended 12/31/20</t>
  </si>
  <si>
    <t>Ended 4/30/22</t>
  </si>
  <si>
    <t>Reference</t>
  </si>
  <si>
    <t>Excel Reference</t>
  </si>
  <si>
    <t>Exhibit 21, Sch C-1</t>
  </si>
  <si>
    <t>Work Papers/[BGUOC 2020 Rate Case - Income Statement (Sewer).xlsx]Inc Statment - SCH C.1</t>
  </si>
  <si>
    <t>Operating and Maintenance</t>
  </si>
  <si>
    <t>Depreciation</t>
  </si>
  <si>
    <t>Amortization of UPAA</t>
  </si>
  <si>
    <t>State Income Taxes</t>
  </si>
  <si>
    <t>Federal Income Taxes</t>
  </si>
  <si>
    <t>General Taxes:</t>
  </si>
  <si>
    <t>Total Deductions (Sum Lines 7 - 15):</t>
  </si>
  <si>
    <t>Present Rate Operating Income (Line 4 - Line 16):</t>
  </si>
  <si>
    <t>Exhibit 21, Sch B</t>
  </si>
  <si>
    <t>Work Papers/Rate Base/[BGUOC 2020 Rate Case - Rate Base (Sewer).xlsx]BY Rate Base - Sewer</t>
  </si>
  <si>
    <t>Exhibit 21, Sch J</t>
  </si>
  <si>
    <t>Work Papers/[BGUOC Rate Case 2020 - Cost of Capital.xlsx]Cost of Capital - SCH J</t>
  </si>
  <si>
    <t>Operating Income Required (Line 22 x Line 23):</t>
  </si>
  <si>
    <t>Less:  Operating Income at Present Rates (Line 16):</t>
  </si>
  <si>
    <t>Increase in Operating Income Required (Line 25 - Line 27)</t>
  </si>
  <si>
    <t>Gross Revenue Conversion Factor</t>
  </si>
  <si>
    <t>Exhibit 21, Sch H</t>
  </si>
  <si>
    <t>Work Papers/[BGUOC 2020 Rate Case - Revenue Requirement and Conversion Factor (Sewer).xlsx]Rev Conversion Factor - SCH H</t>
  </si>
  <si>
    <t>Operating Income Conversion Factor</t>
  </si>
  <si>
    <t>Requested Revenue Increase (Line 25 x Line32 + (Line 29-Line 25) x Line 31)</t>
  </si>
  <si>
    <t>Revenue Requirement (Line 4 + Line 34)</t>
  </si>
  <si>
    <t>Exhibit 21, Schedule H</t>
  </si>
  <si>
    <t>Computation of the Gross Revenue Conversion Factor for the Forecast Period</t>
  </si>
  <si>
    <t>Gross</t>
  </si>
  <si>
    <t>Percent of</t>
  </si>
  <si>
    <t>Total</t>
  </si>
  <si>
    <t>Conversion</t>
  </si>
  <si>
    <t>Workpaper</t>
  </si>
  <si>
    <t>#</t>
  </si>
  <si>
    <t>Rate</t>
  </si>
  <si>
    <t>Factor %</t>
  </si>
  <si>
    <t>Gross Income from Revenue</t>
  </si>
  <si>
    <t>W/P - CE7</t>
  </si>
  <si>
    <t>BGUOC 2020 Rate Case - Schedule CE7</t>
  </si>
  <si>
    <t>W/P - CE6</t>
  </si>
  <si>
    <t>BGUOC 2020 Rate Case - Schedule CE6</t>
  </si>
  <si>
    <t>Net Income After Uncollectibles &amp; Reg Assessment Fees</t>
  </si>
  <si>
    <t>Net Income After Uncollectibles, Reg Assessment Fees &amp; State Tax</t>
  </si>
  <si>
    <t>Net Income After Uncollectibles, Reg Assessment Fees, &amp; State &amp; Federal Income Taxes:</t>
  </si>
  <si>
    <t>Gross Revenue Conversion Factor (1 / Line 4)</t>
  </si>
  <si>
    <t>Operating Income Conversion Factor (1/Line 12)</t>
  </si>
  <si>
    <r>
      <t xml:space="preserve">VERSION: </t>
    </r>
    <r>
      <rPr>
        <b/>
        <u/>
        <sz val="11"/>
        <rFont val="Calibri"/>
        <family val="2"/>
      </rPr>
      <t>X</t>
    </r>
    <r>
      <rPr>
        <b/>
        <sz val="11"/>
        <rFont val="Calibri"/>
        <family val="2"/>
        <scheme val="minor"/>
      </rPr>
      <t xml:space="preserve"> ORIGINAL _UPDATED _REVISED</t>
    </r>
  </si>
  <si>
    <t>Commercial (Flat)</t>
  </si>
  <si>
    <t>Commercial/Industrial (Metered)</t>
  </si>
  <si>
    <t>Percentage</t>
  </si>
  <si>
    <t>At Present Rates</t>
  </si>
  <si>
    <t>Percent Increase over Operating Revenue at Present Rates ((Line 34 + Line 4)/Line 4 -1):</t>
  </si>
  <si>
    <t>Single Residential</t>
  </si>
  <si>
    <t xml:space="preserve">Multi Residential </t>
  </si>
  <si>
    <t>Proposed Rate</t>
  </si>
  <si>
    <t>Workpaper #:</t>
  </si>
  <si>
    <t>Excel Reference:</t>
  </si>
  <si>
    <t>Adjustments to Operating Income for Proposed Rates</t>
  </si>
  <si>
    <r>
      <t>DATA: _</t>
    </r>
    <r>
      <rPr>
        <b/>
        <u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BASE PERIOD  </t>
    </r>
    <r>
      <rPr>
        <b/>
        <u/>
        <sz val="11"/>
        <color indexed="8"/>
        <rFont val="Calibri"/>
        <family val="2"/>
      </rPr>
      <t xml:space="preserve">X </t>
    </r>
    <r>
      <rPr>
        <b/>
        <sz val="11"/>
        <color indexed="8"/>
        <rFont val="Calibri"/>
        <family val="2"/>
        <scheme val="minor"/>
      </rPr>
      <t>FORECAST PERIOD</t>
    </r>
  </si>
  <si>
    <t>Gross Revenue</t>
  </si>
  <si>
    <t>Description</t>
  </si>
  <si>
    <t>Required Revenue Increase After Revenue Conversion (Schedule A, Line 34)</t>
  </si>
  <si>
    <t>Required Revenue Increase Before Revenue Conversion (Schedule A, Line 30)</t>
  </si>
  <si>
    <t>Increase Due to Revenue Conversion</t>
  </si>
  <si>
    <t>Operating Income Line Item Increases due to Increase in Revenue:</t>
  </si>
  <si>
    <t>Operating and Maintenance Expenses (Line 4 x Percent Identified)</t>
  </si>
  <si>
    <t>General Taxes (Line 4 x Percent Identified)</t>
  </si>
  <si>
    <t>State Income Taxes (Line 4 x Percent Identified)</t>
  </si>
  <si>
    <t>Federal Income Taxes (Line 4 x Percent Identified)</t>
  </si>
  <si>
    <t>Total Line Item Increase Due to Increase in Revenues:</t>
  </si>
  <si>
    <t>Operating Income Increase (Line 2 - Line 12), Ties to Line 3</t>
  </si>
  <si>
    <t>Forecasted Income Statement :</t>
  </si>
  <si>
    <t>Adjustments Per Above</t>
  </si>
  <si>
    <t>At Proposed Rates</t>
  </si>
  <si>
    <t>Operating Revenues at Proposed Rates:</t>
  </si>
  <si>
    <t>Less:  Deductions:</t>
  </si>
  <si>
    <t>Operating and Maintenance Expenses</t>
  </si>
  <si>
    <t>Amortization</t>
  </si>
  <si>
    <t>Pro Forma Operating Income:</t>
  </si>
  <si>
    <t>Base Year Customers</t>
  </si>
  <si>
    <t>Forecast Year Customers</t>
  </si>
  <si>
    <t>Acquisition Revenue in Forecast Period</t>
  </si>
  <si>
    <t>Billing Analysis at Forecasted Base Year Revenue &amp; Proposed Rates</t>
  </si>
  <si>
    <t>Exhibit 21, Schedule M-1</t>
  </si>
  <si>
    <r>
      <t>DATA: _</t>
    </r>
    <r>
      <rPr>
        <b/>
        <u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BASE PERIOD  </t>
    </r>
    <r>
      <rPr>
        <b/>
        <u/>
        <sz val="11"/>
        <color rgb="FF000000"/>
        <rFont val="Calibri"/>
        <family val="2"/>
        <scheme val="minor"/>
      </rPr>
      <t>X</t>
    </r>
    <r>
      <rPr>
        <b/>
        <u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  <scheme val="minor"/>
      </rPr>
      <t>FORECAST PERIOD</t>
    </r>
  </si>
  <si>
    <t>Residential</t>
  </si>
  <si>
    <t>Forecast Year</t>
  </si>
  <si>
    <t>Customer</t>
  </si>
  <si>
    <t>Proposed</t>
  </si>
  <si>
    <t xml:space="preserve">Service Area &amp; Customer Type </t>
  </si>
  <si>
    <t>Customer Count</t>
  </si>
  <si>
    <t>Equivalent</t>
  </si>
  <si>
    <t>Equivalents</t>
  </si>
  <si>
    <t>Monthly Rate</t>
  </si>
  <si>
    <t>Increase</t>
  </si>
  <si>
    <r>
      <t xml:space="preserve">Multi Residential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</si>
  <si>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Commercial (Flat) 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</si>
  <si>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N/A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</si>
  <si>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Multi Residential Rate based on current Brocklyn service area tariff of 75% residential equivalent for multi-tenant residential user.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</si>
  <si>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Commericial Rate based on 1" meter water use equivalency from AWWA that is the standard water meter size for commercial water users.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</si>
  <si>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Percent increase on usage rate equvalent to revenue requirement increase using 2019 reported revenue</t>
    </r>
  </si>
  <si>
    <t>Billing Analysis at Base Year Revenue &amp; Proposed Rates</t>
  </si>
  <si>
    <t>Exhibit 21, Schedule M-2</t>
  </si>
  <si>
    <r>
      <t xml:space="preserve">DATA: </t>
    </r>
    <r>
      <rPr>
        <b/>
        <u/>
        <sz val="11"/>
        <color rgb="FF000000"/>
        <rFont val="Calibri"/>
        <family val="2"/>
        <scheme val="minor"/>
      </rPr>
      <t>X</t>
    </r>
    <r>
      <rPr>
        <b/>
        <u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BASE PERIOD  _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  <scheme val="minor"/>
      </rPr>
      <t>FORECAST PERIOD</t>
    </r>
  </si>
  <si>
    <t>Base Year</t>
  </si>
  <si>
    <r>
      <t xml:space="preserve">Commercial (Flat) </t>
    </r>
    <r>
      <rPr>
        <vertAlign val="superscript"/>
        <sz val="11"/>
        <rFont val="Calibri"/>
        <family val="2"/>
        <scheme val="minor"/>
      </rPr>
      <t>2 3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</si>
  <si>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Commercial/Industiral (Metered) Customers are omitted due to Delaplain service area not being acquired during Base Year</t>
    </r>
  </si>
  <si>
    <r>
      <t xml:space="preserve">Version: _ Original </t>
    </r>
    <r>
      <rPr>
        <u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Updated _Revised</t>
    </r>
  </si>
  <si>
    <r>
      <t xml:space="preserve">VERSION: _ ORIGINAL 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UPDATED 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</si>
</sst>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  <numFmt numFmtId="167" formatCode="_(* #,##0_);_(* \(#,##0\);_(* &quot;-&quot;??_);_(@_)"/>
    <numFmt numFmtId="168" formatCode="[$-409]mmmm\ d\,\ yyyy;@"/>
    <numFmt numFmtId="169" formatCode="0.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3" fontId="6" fillId="0" borderId="0"/>
    <xf numFmtId="43" fontId="3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/>
    <xf numFmtId="0" fontId="5" fillId="0" borderId="2" xfId="0" applyFont="1" applyBorder="1"/>
    <xf numFmtId="16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2" xfId="0" applyBorder="1" applyAlignment="1">
      <alignment horizont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9" fillId="0" borderId="0" xfId="2" applyFont="1"/>
    <xf numFmtId="0" fontId="7" fillId="0" borderId="0" xfId="2" applyFont="1" applyAlignment="1"/>
    <xf numFmtId="0" fontId="10" fillId="0" borderId="0" xfId="2" applyFont="1" applyBorder="1" applyAlignment="1">
      <alignment horizontal="right"/>
    </xf>
    <xf numFmtId="3" fontId="11" fillId="0" borderId="0" xfId="14" applyFont="1" applyAlignment="1"/>
    <xf numFmtId="3" fontId="10" fillId="0" borderId="0" xfId="0" applyNumberFormat="1" applyFont="1" applyAlignment="1"/>
    <xf numFmtId="0" fontId="3" fillId="0" borderId="0" xfId="0" applyFont="1" applyAlignment="1">
      <alignment horizontal="right"/>
    </xf>
    <xf numFmtId="0" fontId="7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10" fontId="10" fillId="0" borderId="0" xfId="1" applyNumberFormat="1" applyFont="1"/>
    <xf numFmtId="164" fontId="10" fillId="0" borderId="0" xfId="3" applyNumberFormat="1" applyFont="1" applyFill="1"/>
    <xf numFmtId="0" fontId="10" fillId="0" borderId="0" xfId="2" applyFont="1" applyFill="1"/>
    <xf numFmtId="164" fontId="10" fillId="0" borderId="0" xfId="1" applyNumberFormat="1" applyFont="1" applyFill="1"/>
    <xf numFmtId="164" fontId="10" fillId="0" borderId="0" xfId="3" applyNumberFormat="1" applyFont="1" applyFill="1" applyBorder="1"/>
    <xf numFmtId="164" fontId="10" fillId="0" borderId="0" xfId="3" applyNumberFormat="1" applyFont="1" applyFill="1" applyBorder="1" applyAlignment="1">
      <alignment horizontal="center"/>
    </xf>
    <xf numFmtId="0" fontId="10" fillId="0" borderId="2" xfId="2" applyFont="1" applyFill="1" applyBorder="1"/>
    <xf numFmtId="164" fontId="10" fillId="0" borderId="2" xfId="1" applyNumberFormat="1" applyFont="1" applyFill="1" applyBorder="1"/>
    <xf numFmtId="10" fontId="10" fillId="0" borderId="0" xfId="1" applyNumberFormat="1" applyFont="1" applyFill="1" applyBorder="1"/>
    <xf numFmtId="164" fontId="10" fillId="0" borderId="3" xfId="2" applyNumberFormat="1" applyFont="1" applyFill="1" applyBorder="1"/>
    <xf numFmtId="164" fontId="10" fillId="0" borderId="0" xfId="2" applyNumberFormat="1" applyFont="1" applyFill="1" applyBorder="1"/>
    <xf numFmtId="10" fontId="9" fillId="0" borderId="0" xfId="1" applyNumberFormat="1" applyFont="1" applyBorder="1"/>
    <xf numFmtId="164" fontId="10" fillId="0" borderId="0" xfId="2" applyNumberFormat="1" applyFont="1" applyFill="1"/>
    <xf numFmtId="10" fontId="10" fillId="0" borderId="2" xfId="1" applyNumberFormat="1" applyFont="1" applyFill="1" applyBorder="1"/>
    <xf numFmtId="10" fontId="10" fillId="0" borderId="0" xfId="1" applyNumberFormat="1" applyFont="1" applyBorder="1"/>
    <xf numFmtId="164" fontId="10" fillId="0" borderId="3" xfId="3" applyNumberFormat="1" applyFont="1" applyFill="1" applyBorder="1"/>
    <xf numFmtId="0" fontId="10" fillId="0" borderId="2" xfId="2" applyFont="1" applyBorder="1"/>
    <xf numFmtId="10" fontId="10" fillId="0" borderId="2" xfId="1" applyNumberFormat="1" applyFont="1" applyBorder="1"/>
    <xf numFmtId="164" fontId="10" fillId="0" borderId="2" xfId="3" applyNumberFormat="1" applyFont="1" applyFill="1" applyBorder="1"/>
    <xf numFmtId="0" fontId="10" fillId="0" borderId="0" xfId="2" applyFont="1" applyAlignment="1">
      <alignment horizontal="left" wrapText="1"/>
    </xf>
    <xf numFmtId="164" fontId="10" fillId="0" borderId="1" xfId="3" applyNumberFormat="1" applyFont="1" applyFill="1" applyBorder="1"/>
    <xf numFmtId="10" fontId="9" fillId="0" borderId="0" xfId="1" applyNumberFormat="1" applyFont="1"/>
    <xf numFmtId="41" fontId="10" fillId="0" borderId="0" xfId="2" applyNumberFormat="1" applyFont="1"/>
    <xf numFmtId="0" fontId="7" fillId="0" borderId="0" xfId="9" applyFont="1"/>
    <xf numFmtId="0" fontId="10" fillId="0" borderId="0" xfId="9" applyFont="1"/>
    <xf numFmtId="0" fontId="3" fillId="0" borderId="0" xfId="10" applyFont="1"/>
    <xf numFmtId="0" fontId="5" fillId="0" borderId="0" xfId="10" applyFont="1" applyAlignment="1">
      <alignment horizontal="center"/>
    </xf>
    <xf numFmtId="0" fontId="7" fillId="0" borderId="2" xfId="9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10" fillId="0" borderId="0" xfId="9" applyFont="1" applyAlignment="1">
      <alignment horizontal="center"/>
    </xf>
    <xf numFmtId="0" fontId="7" fillId="0" borderId="0" xfId="6" applyFont="1"/>
    <xf numFmtId="0" fontId="10" fillId="0" borderId="0" xfId="6" applyFont="1"/>
    <xf numFmtId="0" fontId="7" fillId="0" borderId="0" xfId="6" applyFont="1" applyFill="1" applyAlignment="1">
      <alignment horizontal="right"/>
    </xf>
    <xf numFmtId="0" fontId="7" fillId="0" borderId="0" xfId="6" applyFont="1" applyAlignment="1"/>
    <xf numFmtId="0" fontId="7" fillId="0" borderId="0" xfId="6" applyFont="1" applyFill="1" applyAlignment="1"/>
    <xf numFmtId="0" fontId="3" fillId="0" borderId="0" xfId="0" applyFont="1" applyFill="1" applyAlignment="1">
      <alignment horizontal="right"/>
    </xf>
    <xf numFmtId="0" fontId="7" fillId="0" borderId="0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49" fontId="7" fillId="0" borderId="2" xfId="6" applyNumberFormat="1" applyFont="1" applyBorder="1" applyAlignment="1">
      <alignment horizontal="center"/>
    </xf>
    <xf numFmtId="49" fontId="7" fillId="0" borderId="2" xfId="6" applyNumberFormat="1" applyFont="1" applyFill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0" fillId="0" borderId="0" xfId="6" applyFont="1" applyFill="1"/>
    <xf numFmtId="0" fontId="18" fillId="0" borderId="0" xfId="6" applyFont="1" applyAlignment="1">
      <alignment horizontal="center"/>
    </xf>
    <xf numFmtId="42" fontId="10" fillId="0" borderId="0" xfId="6" applyNumberFormat="1" applyFont="1"/>
    <xf numFmtId="0" fontId="10" fillId="0" borderId="0" xfId="6" applyFont="1" applyAlignment="1">
      <alignment horizontal="center"/>
    </xf>
    <xf numFmtId="0" fontId="19" fillId="0" borderId="0" xfId="6" applyFont="1" applyAlignment="1">
      <alignment horizontal="center"/>
    </xf>
    <xf numFmtId="42" fontId="10" fillId="0" borderId="0" xfId="6" applyNumberFormat="1" applyFont="1" applyFill="1" applyBorder="1"/>
    <xf numFmtId="0" fontId="10" fillId="0" borderId="0" xfId="6" applyFont="1" applyBorder="1"/>
    <xf numFmtId="10" fontId="10" fillId="0" borderId="2" xfId="6" applyNumberFormat="1" applyFont="1" applyFill="1" applyBorder="1"/>
    <xf numFmtId="10" fontId="10" fillId="0" borderId="0" xfId="6" applyNumberFormat="1" applyFont="1" applyFill="1" applyBorder="1"/>
    <xf numFmtId="165" fontId="10" fillId="0" borderId="0" xfId="6" applyNumberFormat="1" applyFont="1" applyFill="1"/>
    <xf numFmtId="41" fontId="10" fillId="0" borderId="0" xfId="6" applyNumberFormat="1" applyFont="1" applyFill="1"/>
    <xf numFmtId="164" fontId="10" fillId="0" borderId="2" xfId="6" applyNumberFormat="1" applyFont="1" applyFill="1" applyBorder="1"/>
    <xf numFmtId="0" fontId="7" fillId="0" borderId="0" xfId="6" applyFont="1" applyFill="1"/>
    <xf numFmtId="10" fontId="7" fillId="0" borderId="1" xfId="1" applyNumberFormat="1" applyFont="1" applyFill="1" applyBorder="1"/>
    <xf numFmtId="41" fontId="10" fillId="0" borderId="0" xfId="6" applyNumberFormat="1" applyFont="1"/>
    <xf numFmtId="0" fontId="21" fillId="0" borderId="0" xfId="2" applyFont="1"/>
    <xf numFmtId="0" fontId="21" fillId="0" borderId="0" xfId="6" applyFont="1"/>
    <xf numFmtId="0" fontId="21" fillId="0" borderId="2" xfId="6" applyFont="1" applyBorder="1"/>
    <xf numFmtId="0" fontId="21" fillId="0" borderId="0" xfId="6" applyFont="1" applyFill="1"/>
    <xf numFmtId="0" fontId="2" fillId="0" borderId="0" xfId="0" applyFont="1"/>
    <xf numFmtId="0" fontId="20" fillId="0" borderId="0" xfId="0" applyFont="1"/>
    <xf numFmtId="0" fontId="22" fillId="0" borderId="0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22" fillId="0" borderId="2" xfId="2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1" fillId="0" borderId="0" xfId="2" applyFont="1" applyAlignment="1">
      <alignment horizontal="center"/>
    </xf>
    <xf numFmtId="0" fontId="21" fillId="0" borderId="0" xfId="2" applyFont="1" applyFill="1"/>
    <xf numFmtId="0" fontId="21" fillId="0" borderId="2" xfId="2" applyFont="1" applyFill="1" applyBorder="1"/>
    <xf numFmtId="0" fontId="21" fillId="0" borderId="2" xfId="2" applyFont="1" applyBorder="1"/>
    <xf numFmtId="0" fontId="21" fillId="0" borderId="0" xfId="2" applyFont="1" applyBorder="1"/>
    <xf numFmtId="0" fontId="20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0" fontId="17" fillId="0" borderId="0" xfId="6" applyFont="1"/>
    <xf numFmtId="0" fontId="22" fillId="0" borderId="2" xfId="6" applyFont="1" applyBorder="1" applyAlignment="1">
      <alignment horizontal="center"/>
    </xf>
    <xf numFmtId="0" fontId="22" fillId="0" borderId="0" xfId="6" applyFont="1"/>
    <xf numFmtId="42" fontId="21" fillId="0" borderId="0" xfId="6" applyNumberFormat="1" applyFont="1"/>
    <xf numFmtId="41" fontId="21" fillId="0" borderId="0" xfId="6" applyNumberFormat="1" applyFont="1" applyBorder="1"/>
    <xf numFmtId="0" fontId="22" fillId="0" borderId="0" xfId="6" applyFont="1" applyAlignment="1">
      <alignment horizontal="left"/>
    </xf>
    <xf numFmtId="0" fontId="22" fillId="0" borderId="0" xfId="6" applyFont="1" applyAlignment="1">
      <alignment horizontal="right"/>
    </xf>
    <xf numFmtId="42" fontId="21" fillId="0" borderId="0" xfId="6" applyNumberFormat="1" applyFont="1" applyBorder="1"/>
    <xf numFmtId="0" fontId="22" fillId="0" borderId="0" xfId="6" applyFont="1" applyBorder="1" applyAlignment="1">
      <alignment horizontal="center"/>
    </xf>
    <xf numFmtId="0" fontId="22" fillId="0" borderId="2" xfId="6" applyFont="1" applyBorder="1" applyAlignment="1">
      <alignment horizontal="left"/>
    </xf>
    <xf numFmtId="5" fontId="10" fillId="0" borderId="1" xfId="6" applyNumberFormat="1" applyFont="1" applyFill="1" applyBorder="1"/>
    <xf numFmtId="5" fontId="10" fillId="0" borderId="4" xfId="6" applyNumberFormat="1" applyFont="1" applyFill="1" applyBorder="1"/>
    <xf numFmtId="5" fontId="10" fillId="0" borderId="0" xfId="6" applyNumberFormat="1" applyFont="1"/>
    <xf numFmtId="5" fontId="10" fillId="0" borderId="2" xfId="6" applyNumberFormat="1" applyFont="1" applyBorder="1"/>
    <xf numFmtId="5" fontId="7" fillId="0" borderId="1" xfId="6" applyNumberFormat="1" applyFont="1" applyFill="1" applyBorder="1"/>
    <xf numFmtId="0" fontId="1" fillId="0" borderId="0" xfId="0" applyFont="1"/>
    <xf numFmtId="37" fontId="21" fillId="0" borderId="1" xfId="6" applyNumberFormat="1" applyFont="1" applyBorder="1"/>
    <xf numFmtId="37" fontId="21" fillId="0" borderId="0" xfId="6" applyNumberFormat="1" applyFont="1"/>
    <xf numFmtId="37" fontId="21" fillId="0" borderId="0" xfId="6" applyNumberFormat="1" applyFont="1" applyFill="1" applyBorder="1"/>
    <xf numFmtId="167" fontId="10" fillId="0" borderId="0" xfId="15" applyNumberFormat="1" applyFont="1" applyFill="1"/>
    <xf numFmtId="37" fontId="0" fillId="0" borderId="0" xfId="13" applyNumberFormat="1" applyFont="1"/>
    <xf numFmtId="37" fontId="0" fillId="0" borderId="0" xfId="0" applyNumberFormat="1"/>
    <xf numFmtId="0" fontId="3" fillId="0" borderId="0" xfId="0" applyFont="1" applyAlignment="1">
      <alignment horizontal="center"/>
    </xf>
    <xf numFmtId="5" fontId="10" fillId="0" borderId="0" xfId="6" applyNumberFormat="1" applyFont="1" applyAlignment="1">
      <alignment horizontal="center"/>
    </xf>
    <xf numFmtId="167" fontId="10" fillId="0" borderId="0" xfId="6" applyNumberFormat="1" applyFont="1" applyAlignment="1">
      <alignment horizontal="center"/>
    </xf>
    <xf numFmtId="10" fontId="0" fillId="0" borderId="0" xfId="0" applyNumberFormat="1"/>
    <xf numFmtId="5" fontId="7" fillId="0" borderId="0" xfId="6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5" fontId="3" fillId="0" borderId="0" xfId="0" applyNumberFormat="1" applyFont="1"/>
    <xf numFmtId="0" fontId="0" fillId="0" borderId="0" xfId="0" applyFont="1" applyFill="1" applyBorder="1"/>
    <xf numFmtId="5" fontId="3" fillId="0" borderId="0" xfId="0" applyNumberFormat="1" applyFont="1" applyFill="1"/>
    <xf numFmtId="5" fontId="10" fillId="0" borderId="0" xfId="6" applyNumberFormat="1" applyFont="1" applyBorder="1" applyAlignment="1">
      <alignment horizontal="center"/>
    </xf>
    <xf numFmtId="168" fontId="0" fillId="0" borderId="0" xfId="0" applyNumberFormat="1" applyAlignment="1">
      <alignment horizontal="left"/>
    </xf>
    <xf numFmtId="164" fontId="10" fillId="0" borderId="0" xfId="6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1" applyNumberFormat="1" applyFont="1" applyFill="1"/>
    <xf numFmtId="3" fontId="1" fillId="0" borderId="0" xfId="0" applyNumberFormat="1" applyFont="1" applyFill="1"/>
    <xf numFmtId="0" fontId="7" fillId="0" borderId="0" xfId="6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2" applyFont="1" applyAlignment="1">
      <alignment horizontal="center"/>
    </xf>
    <xf numFmtId="5" fontId="0" fillId="0" borderId="0" xfId="0" applyNumberFormat="1"/>
    <xf numFmtId="0" fontId="10" fillId="0" borderId="0" xfId="6" applyFont="1" applyAlignment="1">
      <alignment horizontal="left"/>
    </xf>
    <xf numFmtId="3" fontId="2" fillId="0" borderId="0" xfId="0" applyNumberFormat="1" applyFont="1"/>
    <xf numFmtId="7" fontId="0" fillId="0" borderId="0" xfId="0" applyNumberFormat="1"/>
    <xf numFmtId="0" fontId="10" fillId="0" borderId="0" xfId="6" applyFont="1" applyAlignment="1">
      <alignment wrapText="1"/>
    </xf>
    <xf numFmtId="0" fontId="7" fillId="0" borderId="0" xfId="6" applyFont="1" applyAlignment="1">
      <alignment wrapText="1"/>
    </xf>
    <xf numFmtId="0" fontId="7" fillId="0" borderId="2" xfId="6" applyFont="1" applyBorder="1" applyAlignment="1">
      <alignment horizontal="left" wrapText="1"/>
    </xf>
    <xf numFmtId="0" fontId="7" fillId="0" borderId="0" xfId="6" applyFont="1" applyBorder="1" applyAlignment="1">
      <alignment horizontal="center" wrapText="1"/>
    </xf>
    <xf numFmtId="0" fontId="7" fillId="0" borderId="2" xfId="6" applyFont="1" applyBorder="1" applyAlignment="1">
      <alignment wrapText="1"/>
    </xf>
    <xf numFmtId="0" fontId="18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10" fillId="0" borderId="0" xfId="6" applyFont="1" applyAlignment="1">
      <alignment horizontal="left" wrapText="1"/>
    </xf>
    <xf numFmtId="0" fontId="18" fillId="0" borderId="0" xfId="6" applyFont="1" applyAlignment="1">
      <alignment horizontal="left" wrapText="1"/>
    </xf>
    <xf numFmtId="0" fontId="10" fillId="0" borderId="2" xfId="6" applyFont="1" applyBorder="1" applyAlignment="1">
      <alignment horizontal="left" wrapText="1"/>
    </xf>
    <xf numFmtId="0" fontId="7" fillId="0" borderId="0" xfId="6" applyFont="1" applyAlignment="1">
      <alignment horizontal="right" wrapText="1"/>
    </xf>
    <xf numFmtId="0" fontId="10" fillId="0" borderId="0" xfId="6" applyFont="1" applyAlignment="1">
      <alignment horizontal="right" wrapText="1"/>
    </xf>
    <xf numFmtId="0" fontId="3" fillId="0" borderId="0" xfId="0" applyFont="1" applyAlignment="1">
      <alignment wrapText="1"/>
    </xf>
    <xf numFmtId="0" fontId="7" fillId="0" borderId="0" xfId="9" applyFont="1" applyAlignment="1">
      <alignment horizontal="center"/>
    </xf>
    <xf numFmtId="0" fontId="7" fillId="0" borderId="0" xfId="9" applyFont="1" applyAlignment="1">
      <alignment horizontal="right"/>
    </xf>
    <xf numFmtId="0" fontId="7" fillId="0" borderId="0" xfId="2" applyFont="1" applyAlignment="1">
      <alignment horizontal="right"/>
    </xf>
    <xf numFmtId="3" fontId="14" fillId="0" borderId="0" xfId="14" applyFont="1"/>
    <xf numFmtId="3" fontId="7" fillId="0" borderId="0" xfId="0" applyNumberFormat="1" applyFont="1"/>
    <xf numFmtId="5" fontId="10" fillId="0" borderId="0" xfId="9" applyNumberFormat="1" applyFont="1"/>
    <xf numFmtId="44" fontId="3" fillId="0" borderId="0" xfId="0" applyNumberFormat="1" applyFont="1"/>
    <xf numFmtId="0" fontId="7" fillId="0" borderId="2" xfId="6" applyFont="1" applyBorder="1"/>
    <xf numFmtId="41" fontId="10" fillId="0" borderId="0" xfId="9" applyNumberFormat="1" applyFont="1"/>
    <xf numFmtId="0" fontId="7" fillId="0" borderId="0" xfId="6" applyFont="1" applyAlignment="1">
      <alignment horizontal="right"/>
    </xf>
    <xf numFmtId="5" fontId="10" fillId="0" borderId="4" xfId="9" applyNumberFormat="1" applyFont="1" applyBorder="1"/>
    <xf numFmtId="0" fontId="18" fillId="0" borderId="0" xfId="11" applyFont="1" applyAlignment="1">
      <alignment horizontal="left"/>
    </xf>
    <xf numFmtId="0" fontId="18" fillId="0" borderId="0" xfId="9" applyFont="1" applyAlignment="1">
      <alignment horizontal="left"/>
    </xf>
    <xf numFmtId="164" fontId="10" fillId="0" borderId="0" xfId="9" applyNumberFormat="1" applyFont="1"/>
    <xf numFmtId="0" fontId="10" fillId="0" borderId="2" xfId="9" applyFont="1" applyBorder="1"/>
    <xf numFmtId="164" fontId="10" fillId="0" borderId="2" xfId="9" applyNumberFormat="1" applyFont="1" applyBorder="1"/>
    <xf numFmtId="41" fontId="10" fillId="0" borderId="2" xfId="9" applyNumberFormat="1" applyFont="1" applyBorder="1"/>
    <xf numFmtId="169" fontId="10" fillId="0" borderId="0" xfId="9" applyNumberFormat="1" applyFont="1"/>
    <xf numFmtId="164" fontId="10" fillId="0" borderId="1" xfId="9" applyNumberFormat="1" applyFont="1" applyBorder="1"/>
    <xf numFmtId="5" fontId="10" fillId="0" borderId="1" xfId="9" applyNumberFormat="1" applyFont="1" applyBorder="1"/>
    <xf numFmtId="42" fontId="10" fillId="0" borderId="0" xfId="9" applyNumberFormat="1" applyFont="1"/>
    <xf numFmtId="0" fontId="18" fillId="0" borderId="0" xfId="9" applyFont="1"/>
    <xf numFmtId="5" fontId="10" fillId="0" borderId="2" xfId="9" applyNumberFormat="1" applyFont="1" applyBorder="1"/>
    <xf numFmtId="0" fontId="7" fillId="0" borderId="0" xfId="6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8" fillId="0" borderId="0" xfId="6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39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5" fontId="3" fillId="0" borderId="0" xfId="0" applyNumberFormat="1" applyFont="1" applyBorder="1" applyAlignment="1">
      <alignment wrapText="1"/>
    </xf>
    <xf numFmtId="14" fontId="10" fillId="0" borderId="0" xfId="6" applyNumberFormat="1" applyFont="1" applyBorder="1" applyAlignment="1">
      <alignment wrapText="1"/>
    </xf>
    <xf numFmtId="5" fontId="10" fillId="0" borderId="0" xfId="6" applyNumberFormat="1" applyFont="1" applyBorder="1" applyAlignment="1">
      <alignment wrapText="1"/>
    </xf>
    <xf numFmtId="8" fontId="1" fillId="0" borderId="0" xfId="0" applyNumberFormat="1" applyFont="1" applyFill="1"/>
    <xf numFmtId="0" fontId="7" fillId="0" borderId="0" xfId="9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3" fontId="10" fillId="0" borderId="0" xfId="9" applyNumberFormat="1" applyFont="1"/>
    <xf numFmtId="2" fontId="10" fillId="0" borderId="0" xfId="9" applyNumberFormat="1" applyFont="1"/>
    <xf numFmtId="4" fontId="10" fillId="0" borderId="0" xfId="9" applyNumberFormat="1" applyFont="1"/>
    <xf numFmtId="7" fontId="3" fillId="0" borderId="0" xfId="0" applyNumberFormat="1" applyFont="1"/>
    <xf numFmtId="10" fontId="3" fillId="0" borderId="0" xfId="1" applyNumberFormat="1" applyFont="1"/>
    <xf numFmtId="10" fontId="0" fillId="0" borderId="0" xfId="1" applyNumberFormat="1" applyFont="1"/>
    <xf numFmtId="0" fontId="25" fillId="0" borderId="0" xfId="9" applyFont="1" applyAlignment="1">
      <alignment horizontal="right"/>
    </xf>
    <xf numFmtId="4" fontId="10" fillId="0" borderId="0" xfId="9" applyNumberFormat="1" applyFont="1" applyAlignment="1">
      <alignment horizontal="right"/>
    </xf>
    <xf numFmtId="0" fontId="10" fillId="0" borderId="0" xfId="9" applyFont="1" applyAlignment="1">
      <alignment horizontal="left"/>
    </xf>
    <xf numFmtId="1" fontId="10" fillId="0" borderId="0" xfId="9" applyNumberFormat="1" applyFont="1"/>
    <xf numFmtId="0" fontId="7" fillId="0" borderId="5" xfId="9" applyFont="1" applyBorder="1" applyAlignment="1">
      <alignment horizontal="left"/>
    </xf>
    <xf numFmtId="3" fontId="7" fillId="0" borderId="5" xfId="9" applyNumberFormat="1" applyFont="1" applyBorder="1"/>
    <xf numFmtId="5" fontId="5" fillId="0" borderId="5" xfId="0" applyNumberFormat="1" applyFont="1" applyBorder="1"/>
    <xf numFmtId="4" fontId="7" fillId="0" borderId="0" xfId="9" applyNumberFormat="1" applyFont="1"/>
    <xf numFmtId="0" fontId="7" fillId="0" borderId="0" xfId="6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9" applyFont="1" applyAlignment="1">
      <alignment horizontal="center"/>
    </xf>
  </cellXfs>
  <cellStyles count="16">
    <cellStyle name="Comma" xfId="15" builtinId="3"/>
    <cellStyle name="Currency" xfId="13" builtinId="4"/>
    <cellStyle name="Currency 3" xfId="8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  <cellStyle name="Normal 2 3" xfId="7" xr:uid="{00000000-0005-0000-0000-000006000000}"/>
    <cellStyle name="Normal 2 4" xfId="10" xr:uid="{00000000-0005-0000-0000-000007000000}"/>
    <cellStyle name="Normal 2 5" xfId="12" xr:uid="{00000000-0005-0000-0000-000008000000}"/>
    <cellStyle name="Normal 3" xfId="5" xr:uid="{00000000-0005-0000-0000-000009000000}"/>
    <cellStyle name="Normal 4" xfId="6" xr:uid="{00000000-0005-0000-0000-00000A000000}"/>
    <cellStyle name="Normal 5" xfId="9" xr:uid="{00000000-0005-0000-0000-00000B000000}"/>
    <cellStyle name="Normal 6" xfId="11" xr:uid="{00000000-0005-0000-0000-00000C000000}"/>
    <cellStyle name="Normal_Exhibits" xfId="14" xr:uid="{00000000-0005-0000-0000-00000D000000}"/>
    <cellStyle name="Percent" xfId="1" builtinId="5"/>
    <cellStyle name="Percent 2" xfId="3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Const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Income%20Statement%20(Sewe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te%20Base/BGUOC%202020%20Rate%20Case%20-%20Rate%20Base%20(Sewer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Rate%20Case%202020%20-%20Cost%20of%20Capit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ACQ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Insurance"/>
    </sheetNames>
    <sheetDataSet>
      <sheetData sheetId="0">
        <row r="1">
          <cell r="A1" t="str">
            <v>Company Name</v>
          </cell>
          <cell r="B1" t="str">
            <v>Bluegrass Water Utility Operating Company, LLC</v>
          </cell>
        </row>
        <row r="2">
          <cell r="B2" t="str">
            <v>BLUEGRASS WATER UTILITY OPERATING COMPANY, LLC</v>
          </cell>
        </row>
        <row r="3">
          <cell r="B3" t="str">
            <v>Case No. 2020-00290</v>
          </cell>
        </row>
        <row r="5">
          <cell r="B5">
            <v>44196</v>
          </cell>
        </row>
        <row r="7">
          <cell r="B7">
            <v>44681</v>
          </cell>
        </row>
        <row r="8">
          <cell r="B8" t="str">
            <v>for the 12 Months ended December 31, 2019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MSFR Inc Stmt by Acct - SCH C.2"/>
      <sheetName val="MSFR IS Adjust D.1"/>
      <sheetName val="MSFR IS Adjust Support D-2"/>
      <sheetName val="D-3"/>
      <sheetName val="Tax Summary - SCH E"/>
    </sheetNames>
    <sheetDataSet>
      <sheetData sheetId="0">
        <row r="17">
          <cell r="G17">
            <v>706733</v>
          </cell>
        </row>
      </sheetData>
      <sheetData sheetId="1">
        <row r="8">
          <cell r="C8">
            <v>1374532.9732684176</v>
          </cell>
          <cell r="E8">
            <v>2120752.6774516809</v>
          </cell>
        </row>
        <row r="9">
          <cell r="C9">
            <v>124792.32708333334</v>
          </cell>
          <cell r="E9">
            <v>298568.29356666666</v>
          </cell>
        </row>
        <row r="10">
          <cell r="C10">
            <v>0</v>
          </cell>
          <cell r="E10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3358.35</v>
          </cell>
          <cell r="E12">
            <v>17621.759999999998</v>
          </cell>
        </row>
        <row r="15">
          <cell r="C15">
            <v>1502683.6503517509</v>
          </cell>
          <cell r="E15">
            <v>2436942.7310183477</v>
          </cell>
        </row>
      </sheetData>
      <sheetData sheetId="2">
        <row r="18">
          <cell r="G18">
            <v>1186531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Sewer B1"/>
      <sheetName val="FY Rate Base - Sew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sheets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 refreshError="1"/>
      <sheetData sheetId="1">
        <row r="3">
          <cell r="B3">
            <v>3964664.2517668856</v>
          </cell>
          <cell r="C3">
            <v>7452986.2357738279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Cost of Capital - SCH J"/>
    </sheetNames>
    <sheetDataSet>
      <sheetData sheetId="0"/>
      <sheetData sheetId="1">
        <row r="3">
          <cell r="B3">
            <v>0.1065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 refreshError="1"/>
      <sheetData sheetId="1">
        <row r="3">
          <cell r="C3">
            <v>1739</v>
          </cell>
          <cell r="D3">
            <v>2201</v>
          </cell>
        </row>
        <row r="4">
          <cell r="C4">
            <v>82</v>
          </cell>
          <cell r="D4">
            <v>82</v>
          </cell>
        </row>
        <row r="5">
          <cell r="C5">
            <v>4</v>
          </cell>
          <cell r="D5">
            <v>4</v>
          </cell>
        </row>
        <row r="6">
          <cell r="C6">
            <v>0</v>
          </cell>
          <cell r="D6">
            <v>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E1" t="str">
            <v>Bluegrass Water Utility Operating Company, LLC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&amp;L"/>
    </sheetNames>
    <sheetDataSet>
      <sheetData sheetId="0">
        <row r="1">
          <cell r="C1"/>
        </row>
        <row r="10">
          <cell r="S10">
            <v>399096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2"/>
  <sheetViews>
    <sheetView topLeftCell="A7" zoomScaleNormal="100" workbookViewId="0">
      <selection activeCell="D57" sqref="D57"/>
    </sheetView>
  </sheetViews>
  <sheetFormatPr defaultColWidth="8.86328125" defaultRowHeight="14.25" x14ac:dyDescent="0.45"/>
  <cols>
    <col min="1" max="1" width="43.1328125" style="81" bestFit="1" customWidth="1"/>
    <col min="2" max="2" width="2.3984375" style="81" customWidth="1"/>
    <col min="3" max="3" width="36.86328125" style="81" bestFit="1" customWidth="1"/>
    <col min="4" max="4" width="14.86328125" style="81" bestFit="1" customWidth="1"/>
    <col min="5" max="5" width="22.59765625" style="81" bestFit="1" customWidth="1"/>
    <col min="6" max="6" width="24.86328125" style="81" bestFit="1" customWidth="1"/>
    <col min="7" max="7" width="8.86328125" style="81"/>
    <col min="8" max="9" width="14.3984375" style="81" bestFit="1" customWidth="1"/>
    <col min="10" max="16384" width="8.86328125" style="81"/>
  </cols>
  <sheetData>
    <row r="2" spans="1:3" x14ac:dyDescent="0.45">
      <c r="A2" s="110" t="s">
        <v>0</v>
      </c>
      <c r="B2" s="110"/>
      <c r="C2" s="110" t="str">
        <f>[1]Reference!$B1</f>
        <v>Bluegrass Water Utility Operating Company, LLC</v>
      </c>
    </row>
    <row r="3" spans="1:3" x14ac:dyDescent="0.45">
      <c r="A3" s="110" t="s">
        <v>1</v>
      </c>
      <c r="B3" s="110"/>
      <c r="C3" s="110" t="str">
        <f>[1]Reference!$B2</f>
        <v>BLUEGRASS WATER UTILITY OPERATING COMPANY, LLC</v>
      </c>
    </row>
    <row r="4" spans="1:3" x14ac:dyDescent="0.45">
      <c r="A4" s="110" t="s">
        <v>2</v>
      </c>
      <c r="B4" s="110"/>
      <c r="C4" s="110" t="str">
        <f>[1]Reference!$B3</f>
        <v>Case No. 2020-00290</v>
      </c>
    </row>
    <row r="5" spans="1:3" x14ac:dyDescent="0.45">
      <c r="A5" s="110" t="s">
        <v>3</v>
      </c>
      <c r="B5" s="110"/>
      <c r="C5" s="128">
        <f>[1]Reference!$B5</f>
        <v>44196</v>
      </c>
    </row>
    <row r="6" spans="1:3" x14ac:dyDescent="0.45">
      <c r="A6" s="110" t="s">
        <v>4</v>
      </c>
      <c r="B6" s="110"/>
      <c r="C6" s="128">
        <f>[1]Reference!$B7</f>
        <v>44681</v>
      </c>
    </row>
    <row r="7" spans="1:3" x14ac:dyDescent="0.45">
      <c r="A7" s="110" t="s">
        <v>5</v>
      </c>
      <c r="B7" s="110"/>
      <c r="C7" s="110" t="str">
        <f>[1]Reference!$B8</f>
        <v>for the 12 Months ended December 31, 2019</v>
      </c>
    </row>
    <row r="14" spans="1:3" x14ac:dyDescent="0.45">
      <c r="A14" s="82" t="s">
        <v>6</v>
      </c>
      <c r="B14" s="110"/>
      <c r="C14" s="110"/>
    </row>
    <row r="16" spans="1:3" x14ac:dyDescent="0.45">
      <c r="A16" s="83" t="s">
        <v>7</v>
      </c>
      <c r="B16" s="77"/>
      <c r="C16" s="77"/>
    </row>
    <row r="17" spans="1:6" x14ac:dyDescent="0.45">
      <c r="A17" s="84" t="s">
        <v>8</v>
      </c>
      <c r="B17" s="77"/>
      <c r="C17" s="85" t="s">
        <v>9</v>
      </c>
      <c r="D17" s="86" t="s">
        <v>10</v>
      </c>
      <c r="E17" s="87" t="s">
        <v>11</v>
      </c>
      <c r="F17" s="110"/>
    </row>
    <row r="18" spans="1:6" x14ac:dyDescent="0.45">
      <c r="A18" s="88">
        <v>2</v>
      </c>
      <c r="B18" s="77"/>
      <c r="C18" s="22" t="s">
        <v>12</v>
      </c>
      <c r="D18" s="130">
        <v>7.4999999999999997E-3</v>
      </c>
      <c r="E18" s="131"/>
      <c r="F18" s="110"/>
    </row>
    <row r="19" spans="1:6" x14ac:dyDescent="0.45">
      <c r="A19" s="88">
        <v>3</v>
      </c>
      <c r="B19" s="77"/>
      <c r="C19" s="90" t="s">
        <v>13</v>
      </c>
      <c r="D19" s="132">
        <v>2E-3</v>
      </c>
      <c r="E19" s="131"/>
      <c r="F19" s="110"/>
    </row>
    <row r="20" spans="1:6" x14ac:dyDescent="0.45">
      <c r="A20" s="88">
        <v>4</v>
      </c>
      <c r="B20" s="77"/>
      <c r="C20" s="89" t="s">
        <v>14</v>
      </c>
      <c r="D20" s="110"/>
      <c r="E20" s="110"/>
      <c r="F20" s="110"/>
    </row>
    <row r="21" spans="1:6" x14ac:dyDescent="0.45">
      <c r="A21" s="88">
        <v>5</v>
      </c>
      <c r="B21" s="77"/>
      <c r="C21" s="77"/>
      <c r="D21" s="110"/>
      <c r="E21" s="110"/>
      <c r="F21" s="110"/>
    </row>
    <row r="22" spans="1:6" x14ac:dyDescent="0.45">
      <c r="A22" s="88">
        <v>7</v>
      </c>
      <c r="B22" s="77"/>
      <c r="C22" s="90" t="s">
        <v>15</v>
      </c>
      <c r="D22" s="131"/>
      <c r="E22" s="110"/>
      <c r="F22" s="110"/>
    </row>
    <row r="23" spans="1:6" x14ac:dyDescent="0.45">
      <c r="A23" s="88">
        <v>9</v>
      </c>
      <c r="B23" s="77"/>
      <c r="C23" s="77" t="s">
        <v>16</v>
      </c>
      <c r="D23" s="110"/>
      <c r="E23" s="110"/>
      <c r="F23" s="110"/>
    </row>
    <row r="24" spans="1:6" x14ac:dyDescent="0.45">
      <c r="A24" s="88">
        <v>10</v>
      </c>
      <c r="B24" s="77"/>
      <c r="C24" s="77"/>
      <c r="D24" s="110"/>
      <c r="E24" s="110"/>
      <c r="F24" s="110"/>
    </row>
    <row r="25" spans="1:6" x14ac:dyDescent="0.45">
      <c r="A25" s="88">
        <v>11</v>
      </c>
      <c r="B25" s="77"/>
      <c r="C25" s="91" t="s">
        <v>17</v>
      </c>
      <c r="D25" s="110"/>
      <c r="E25" s="110"/>
      <c r="F25" s="110"/>
    </row>
    <row r="26" spans="1:6" x14ac:dyDescent="0.45">
      <c r="A26" s="88">
        <v>12</v>
      </c>
      <c r="B26" s="92"/>
      <c r="C26" s="77"/>
      <c r="D26" s="110"/>
      <c r="E26" s="110"/>
      <c r="F26" s="110"/>
    </row>
    <row r="28" spans="1:6" x14ac:dyDescent="0.45">
      <c r="A28" s="110"/>
      <c r="B28" s="110"/>
      <c r="C28" s="93" t="s">
        <v>18</v>
      </c>
      <c r="D28" s="94" t="s">
        <v>19</v>
      </c>
      <c r="E28" s="110"/>
      <c r="F28" s="110"/>
    </row>
    <row r="29" spans="1:6" x14ac:dyDescent="0.45">
      <c r="A29" s="95" t="s">
        <v>20</v>
      </c>
      <c r="B29" s="78"/>
      <c r="C29" s="79"/>
      <c r="D29" s="96"/>
      <c r="E29" s="110"/>
      <c r="F29" s="87" t="s">
        <v>11</v>
      </c>
    </row>
    <row r="30" spans="1:6" x14ac:dyDescent="0.45">
      <c r="A30" s="95"/>
      <c r="B30" s="78"/>
      <c r="C30" s="78"/>
      <c r="D30" s="78"/>
      <c r="E30" s="110"/>
      <c r="F30" s="110"/>
    </row>
    <row r="31" spans="1:6" ht="14.65" thickBot="1" x14ac:dyDescent="0.5">
      <c r="A31" s="97" t="s">
        <v>21</v>
      </c>
      <c r="B31" s="98"/>
      <c r="C31" s="111">
        <f>'[2]Link In'!$G$17</f>
        <v>706733</v>
      </c>
      <c r="D31" s="111">
        <f>'[2]Inc Statment - SCH C.1'!$G$18</f>
        <v>1186531</v>
      </c>
      <c r="E31" s="110"/>
      <c r="F31" s="110" t="s">
        <v>22</v>
      </c>
    </row>
    <row r="32" spans="1:6" ht="14.65" thickTop="1" x14ac:dyDescent="0.45">
      <c r="A32" s="78"/>
      <c r="B32" s="78"/>
      <c r="C32" s="112"/>
      <c r="D32" s="112"/>
      <c r="E32" s="110"/>
      <c r="F32" s="110"/>
    </row>
    <row r="33" spans="1:9" x14ac:dyDescent="0.45">
      <c r="A33" s="95" t="s">
        <v>23</v>
      </c>
      <c r="B33" s="78"/>
      <c r="C33" s="112"/>
      <c r="D33" s="112"/>
      <c r="E33" s="110"/>
      <c r="F33" s="110"/>
      <c r="G33" s="110"/>
      <c r="H33" s="110"/>
      <c r="I33" s="110"/>
    </row>
    <row r="34" spans="1:9" x14ac:dyDescent="0.45">
      <c r="A34" s="78" t="s">
        <v>24</v>
      </c>
      <c r="B34" s="98"/>
      <c r="C34" s="112">
        <f>'[2]Link Out'!$C$8</f>
        <v>1374532.9732684176</v>
      </c>
      <c r="D34" s="112">
        <f>'[2]Link Out'!$E8</f>
        <v>2120752.6774516809</v>
      </c>
      <c r="E34" s="110"/>
      <c r="F34" s="110" t="s">
        <v>22</v>
      </c>
      <c r="G34" s="110"/>
      <c r="H34" s="110"/>
      <c r="I34" s="110"/>
    </row>
    <row r="35" spans="1:9" x14ac:dyDescent="0.45">
      <c r="A35" s="78" t="s">
        <v>25</v>
      </c>
      <c r="B35" s="99"/>
      <c r="C35" s="112">
        <f>'[2]Link Out'!$C9</f>
        <v>124792.32708333334</v>
      </c>
      <c r="D35" s="112">
        <f>'[2]Link Out'!$E9</f>
        <v>298568.29356666666</v>
      </c>
      <c r="E35" s="110"/>
      <c r="F35" s="110" t="s">
        <v>22</v>
      </c>
      <c r="G35" s="110"/>
      <c r="H35" s="110"/>
      <c r="I35" s="110"/>
    </row>
    <row r="36" spans="1:9" x14ac:dyDescent="0.45">
      <c r="A36" s="78" t="s">
        <v>26</v>
      </c>
      <c r="B36" s="99"/>
      <c r="C36" s="112">
        <f>'[2]Link Out'!$C10</f>
        <v>0</v>
      </c>
      <c r="D36" s="112">
        <f>'[2]Link Out'!$E10</f>
        <v>0</v>
      </c>
      <c r="E36" s="110"/>
      <c r="F36" s="110" t="s">
        <v>22</v>
      </c>
      <c r="G36" s="110"/>
      <c r="H36" s="110"/>
      <c r="I36" s="110"/>
    </row>
    <row r="37" spans="1:9" x14ac:dyDescent="0.45">
      <c r="A37" s="78" t="s">
        <v>27</v>
      </c>
      <c r="B37" s="99"/>
      <c r="C37" s="112">
        <f>'[2]Link Out'!$C11</f>
        <v>0</v>
      </c>
      <c r="D37" s="112">
        <f>'[2]Link Out'!$E11</f>
        <v>0</v>
      </c>
      <c r="E37" s="110"/>
      <c r="F37" s="110"/>
      <c r="G37" s="110"/>
      <c r="H37" s="110"/>
      <c r="I37" s="110"/>
    </row>
    <row r="38" spans="1:9" x14ac:dyDescent="0.45">
      <c r="A38" s="78" t="s">
        <v>28</v>
      </c>
      <c r="B38" s="99"/>
      <c r="C38" s="110"/>
      <c r="D38" s="112"/>
      <c r="E38" s="110"/>
      <c r="F38" s="110" t="s">
        <v>22</v>
      </c>
      <c r="G38" s="110"/>
      <c r="H38" s="110"/>
      <c r="I38" s="110"/>
    </row>
    <row r="39" spans="1:9" x14ac:dyDescent="0.45">
      <c r="A39" s="78" t="s">
        <v>29</v>
      </c>
      <c r="B39" s="99"/>
      <c r="C39" s="112"/>
      <c r="D39" s="112"/>
      <c r="E39" s="110"/>
      <c r="F39" s="110" t="s">
        <v>22</v>
      </c>
      <c r="G39" s="110"/>
      <c r="H39" s="110"/>
      <c r="I39" s="110"/>
    </row>
    <row r="40" spans="1:9" x14ac:dyDescent="0.45">
      <c r="A40" s="78" t="s">
        <v>30</v>
      </c>
      <c r="B40" s="99"/>
      <c r="C40" s="112">
        <f>'[2]Link Out'!$C12</f>
        <v>3358.35</v>
      </c>
      <c r="D40" s="112">
        <f>'[2]Link Out'!$E12</f>
        <v>17621.759999999998</v>
      </c>
      <c r="E40" s="110"/>
      <c r="F40" s="110" t="s">
        <v>22</v>
      </c>
      <c r="G40" s="110"/>
      <c r="H40" s="112"/>
      <c r="I40" s="112"/>
    </row>
    <row r="41" spans="1:9" x14ac:dyDescent="0.45">
      <c r="A41" s="100" t="s">
        <v>31</v>
      </c>
      <c r="B41" s="98"/>
      <c r="C41" s="112">
        <f>'[2]Link Out'!$C15</f>
        <v>1502683.6503517509</v>
      </c>
      <c r="D41" s="112">
        <f>'[2]Link Out'!$E15</f>
        <v>2436942.7310183477</v>
      </c>
      <c r="E41" s="110"/>
      <c r="F41" s="110" t="s">
        <v>22</v>
      </c>
      <c r="G41" s="110"/>
      <c r="H41" s="110"/>
      <c r="I41" s="110"/>
    </row>
    <row r="42" spans="1:9" x14ac:dyDescent="0.45">
      <c r="A42" s="78"/>
      <c r="B42" s="78"/>
      <c r="C42" s="112"/>
      <c r="D42" s="113"/>
      <c r="E42" s="110"/>
      <c r="F42" s="110" t="s">
        <v>22</v>
      </c>
      <c r="G42" s="110"/>
      <c r="H42" s="110"/>
      <c r="I42" s="110"/>
    </row>
    <row r="43" spans="1:9" x14ac:dyDescent="0.45">
      <c r="A43" s="101" t="s">
        <v>32</v>
      </c>
      <c r="B43" s="98"/>
      <c r="C43" s="112"/>
      <c r="D43" s="113"/>
      <c r="E43" s="110"/>
      <c r="F43" s="110" t="s">
        <v>22</v>
      </c>
      <c r="G43" s="110"/>
      <c r="H43" s="110"/>
      <c r="I43" s="110"/>
    </row>
    <row r="44" spans="1:9" x14ac:dyDescent="0.45">
      <c r="A44" s="101"/>
      <c r="B44" s="98"/>
      <c r="C44" s="98"/>
      <c r="D44" s="102"/>
      <c r="E44" s="110"/>
      <c r="F44" s="110"/>
      <c r="G44" s="110"/>
      <c r="H44" s="110"/>
      <c r="I44" s="110"/>
    </row>
    <row r="45" spans="1:9" x14ac:dyDescent="0.45">
      <c r="A45" s="103"/>
      <c r="B45" s="94"/>
      <c r="C45" s="94"/>
      <c r="D45" s="103"/>
      <c r="E45" s="110"/>
      <c r="F45" s="110"/>
      <c r="G45" s="110"/>
      <c r="H45" s="110"/>
      <c r="I45" s="110"/>
    </row>
    <row r="46" spans="1:9" x14ac:dyDescent="0.45">
      <c r="A46" s="103"/>
      <c r="B46" s="103"/>
      <c r="C46" s="103"/>
      <c r="D46" s="103"/>
      <c r="E46" s="110"/>
      <c r="F46" s="110"/>
      <c r="G46" s="110"/>
      <c r="H46" s="110"/>
      <c r="I46" s="110"/>
    </row>
    <row r="47" spans="1:9" x14ac:dyDescent="0.45">
      <c r="A47" s="103"/>
      <c r="B47" s="94"/>
      <c r="C47" s="93"/>
      <c r="D47" s="94" t="s">
        <v>19</v>
      </c>
      <c r="E47" s="110"/>
      <c r="F47" s="110"/>
      <c r="G47" s="110"/>
      <c r="H47" s="110"/>
      <c r="I47" s="110"/>
    </row>
    <row r="48" spans="1:9" x14ac:dyDescent="0.45">
      <c r="A48" s="104" t="s">
        <v>33</v>
      </c>
      <c r="B48" s="103"/>
      <c r="C48" s="86" t="s">
        <v>18</v>
      </c>
      <c r="D48" s="96" t="s">
        <v>34</v>
      </c>
      <c r="E48" s="110"/>
      <c r="F48" s="110"/>
      <c r="G48" s="110"/>
      <c r="H48" s="110"/>
      <c r="I48" s="110"/>
    </row>
    <row r="49" spans="1:6" x14ac:dyDescent="0.45">
      <c r="A49" s="103"/>
      <c r="B49" s="103"/>
      <c r="C49" s="103"/>
      <c r="D49" s="103"/>
      <c r="E49" s="110"/>
      <c r="F49" s="110"/>
    </row>
    <row r="50" spans="1:6" x14ac:dyDescent="0.45">
      <c r="A50" s="78" t="s">
        <v>35</v>
      </c>
      <c r="B50" s="78"/>
      <c r="C50" s="112">
        <f>'[3]Link Out'!$B$3</f>
        <v>3964664.2517668856</v>
      </c>
      <c r="D50" s="112">
        <f>'[3]Link Out'!$C$3</f>
        <v>7452986.2357738279</v>
      </c>
      <c r="E50" s="110"/>
      <c r="F50" s="110"/>
    </row>
    <row r="51" spans="1:6" x14ac:dyDescent="0.45">
      <c r="A51" s="78" t="s">
        <v>36</v>
      </c>
      <c r="B51" s="80"/>
      <c r="C51" s="69">
        <f>'[4]Link Out'!$B$3</f>
        <v>0.1065</v>
      </c>
      <c r="D51" s="69">
        <f>'[4]Link Out'!$B$3</f>
        <v>0.1065</v>
      </c>
      <c r="E51" s="110"/>
      <c r="F51" s="133"/>
    </row>
    <row r="53" spans="1:6" x14ac:dyDescent="0.45">
      <c r="C53" s="110" t="s">
        <v>138</v>
      </c>
      <c r="D53" s="110" t="s">
        <v>139</v>
      </c>
    </row>
    <row r="54" spans="1:6" x14ac:dyDescent="0.45">
      <c r="A54" s="138" t="s">
        <v>111</v>
      </c>
      <c r="C54" s="139">
        <f>'[5]Link Out'!C3</f>
        <v>1739</v>
      </c>
      <c r="D54" s="139">
        <f>'[5]Link Out'!D3</f>
        <v>2201</v>
      </c>
    </row>
    <row r="55" spans="1:6" x14ac:dyDescent="0.45">
      <c r="A55" t="s">
        <v>112</v>
      </c>
      <c r="C55" s="139">
        <f>'[5]Link Out'!C4</f>
        <v>82</v>
      </c>
      <c r="D55" s="139">
        <f>'[5]Link Out'!D4</f>
        <v>82</v>
      </c>
    </row>
    <row r="56" spans="1:6" x14ac:dyDescent="0.45">
      <c r="A56" s="138" t="s">
        <v>106</v>
      </c>
      <c r="C56" s="139">
        <f>'[5]Link Out'!C5</f>
        <v>4</v>
      </c>
      <c r="D56" s="139">
        <f>'[5]Link Out'!D5</f>
        <v>4</v>
      </c>
    </row>
    <row r="57" spans="1:6" x14ac:dyDescent="0.45">
      <c r="A57" s="138" t="s">
        <v>107</v>
      </c>
      <c r="C57" s="139">
        <f>'[5]Link Out'!C6</f>
        <v>0</v>
      </c>
      <c r="D57" s="139">
        <f>'[5]Link Out'!D6</f>
        <v>34</v>
      </c>
    </row>
    <row r="58" spans="1:6" x14ac:dyDescent="0.45">
      <c r="A58" s="131"/>
      <c r="B58" s="131"/>
      <c r="C58" s="131"/>
      <c r="D58" s="131"/>
      <c r="E58" s="110"/>
      <c r="F58" s="110"/>
    </row>
    <row r="59" spans="1:6" x14ac:dyDescent="0.45">
      <c r="A59" s="131"/>
      <c r="B59" s="131"/>
      <c r="C59" s="131"/>
      <c r="D59" s="131"/>
      <c r="E59" s="110"/>
      <c r="F59" s="110"/>
    </row>
    <row r="60" spans="1:6" x14ac:dyDescent="0.45">
      <c r="A60" s="131"/>
      <c r="B60" s="131"/>
      <c r="C60" s="131"/>
      <c r="D60" s="131"/>
      <c r="E60" s="110"/>
      <c r="F60" s="110"/>
    </row>
    <row r="61" spans="1:6" x14ac:dyDescent="0.45">
      <c r="A61" s="131" t="s">
        <v>140</v>
      </c>
      <c r="B61" s="131"/>
      <c r="C61" s="191">
        <f>'[6]Monthly P&amp;L'!$S$10</f>
        <v>399096</v>
      </c>
      <c r="D61" s="131"/>
      <c r="E61" s="131"/>
      <c r="F61" s="110"/>
    </row>
    <row r="62" spans="1:6" x14ac:dyDescent="0.45">
      <c r="A62" s="131"/>
      <c r="B62" s="131"/>
      <c r="C62" s="131"/>
      <c r="D62" s="131"/>
      <c r="E62" s="131"/>
      <c r="F62" s="110"/>
    </row>
  </sheetData>
  <pageMargins left="0.7" right="0.7" top="0.75" bottom="0.75" header="0.3" footer="0.3"/>
  <pageSetup scale="54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B21" sqref="B21:B23"/>
    </sheetView>
  </sheetViews>
  <sheetFormatPr defaultRowHeight="14.25" x14ac:dyDescent="0.45"/>
  <cols>
    <col min="1" max="1" width="31.1328125" bestFit="1" customWidth="1"/>
    <col min="2" max="2" width="27" bestFit="1" customWidth="1"/>
    <col min="3" max="3" width="40.59765625" bestFit="1" customWidth="1"/>
  </cols>
  <sheetData>
    <row r="1" spans="1:5" x14ac:dyDescent="0.45">
      <c r="A1" s="1" t="s">
        <v>37</v>
      </c>
    </row>
    <row r="2" spans="1:5" x14ac:dyDescent="0.45">
      <c r="B2" s="2" t="s">
        <v>38</v>
      </c>
      <c r="E2" t="s">
        <v>39</v>
      </c>
    </row>
    <row r="4" spans="1:5" x14ac:dyDescent="0.45">
      <c r="A4" t="s">
        <v>40</v>
      </c>
      <c r="B4" s="115">
        <f>'Rev Requirement - SCH A'!D45</f>
        <v>2330167.2864083303</v>
      </c>
      <c r="E4" s="120">
        <f>'Rev Requirement - SCH A'!D47</f>
        <v>1.9638486364101153</v>
      </c>
    </row>
    <row r="5" spans="1:5" x14ac:dyDescent="0.45">
      <c r="B5" s="116"/>
    </row>
    <row r="6" spans="1:5" x14ac:dyDescent="0.45">
      <c r="A6" t="s">
        <v>41</v>
      </c>
      <c r="B6" s="116">
        <f>'Proposed Rate Adjustments'!D22</f>
        <v>8358.7159344100546</v>
      </c>
      <c r="C6" t="s">
        <v>42</v>
      </c>
    </row>
    <row r="7" spans="1:5" x14ac:dyDescent="0.45">
      <c r="A7" t="s">
        <v>43</v>
      </c>
      <c r="B7" s="116">
        <f>'Proposed Rate Adjustments'!D23</f>
        <v>2228.8955783355877</v>
      </c>
      <c r="C7" t="s">
        <v>42</v>
      </c>
    </row>
    <row r="8" spans="1:5" x14ac:dyDescent="0.45">
      <c r="A8" t="s">
        <v>44</v>
      </c>
      <c r="B8" s="116">
        <f>'Proposed Rate Adjustments'!D24</f>
        <v>55195.268381670525</v>
      </c>
      <c r="C8" t="s">
        <v>42</v>
      </c>
    </row>
    <row r="9" spans="1:5" x14ac:dyDescent="0.45">
      <c r="A9" t="s">
        <v>45</v>
      </c>
      <c r="B9" s="116">
        <f>'Proposed Rate Adjustments'!D25</f>
        <v>220229.35537313286</v>
      </c>
      <c r="C9" t="s">
        <v>42</v>
      </c>
    </row>
    <row r="10" spans="1:5" x14ac:dyDescent="0.45">
      <c r="B10" s="140"/>
    </row>
    <row r="11" spans="1:5" x14ac:dyDescent="0.45">
      <c r="A11" t="s">
        <v>46</v>
      </c>
      <c r="B11" s="137">
        <f>'Rev Requirement - SCH A'!D45-'Rev Requirement - SCH A'!D40</f>
        <v>286012.5212800703</v>
      </c>
      <c r="C11" s="3">
        <f>'Rev Conversion Factor - SCH H'!D27</f>
        <v>1.0095911155981827</v>
      </c>
    </row>
    <row r="13" spans="1:5" x14ac:dyDescent="0.45">
      <c r="B13" s="6" t="s">
        <v>47</v>
      </c>
      <c r="C13" s="6" t="s">
        <v>48</v>
      </c>
    </row>
    <row r="14" spans="1:5" x14ac:dyDescent="0.45">
      <c r="A14" t="s">
        <v>49</v>
      </c>
      <c r="B14" t="str">
        <f>'Rev Requirement - SCH A'!F1</f>
        <v>Exhibit 21, Schedule A</v>
      </c>
      <c r="C14" t="str">
        <f ca="1">'Rev Requirement - SCH A'!F8</f>
        <v>Work Papers/[BGUOC 2020 Rate Case - Revenue Requirement and Conversion Factor (Sewer).xlsx]Rev Requirement - SCH A</v>
      </c>
    </row>
    <row r="15" spans="1:5" x14ac:dyDescent="0.45">
      <c r="A15" t="s">
        <v>50</v>
      </c>
      <c r="B15" t="str">
        <f>'Rev Conversion Factor - SCH H'!G1</f>
        <v>Exhibit 21, Schedule H</v>
      </c>
    </row>
    <row r="19" spans="1:2" x14ac:dyDescent="0.45">
      <c r="B19" t="s">
        <v>113</v>
      </c>
    </row>
    <row r="20" spans="1:2" x14ac:dyDescent="0.45">
      <c r="A20" s="138" t="s">
        <v>111</v>
      </c>
      <c r="B20" s="140">
        <f>'FY Billing Analysis - SCH M-1'!I14</f>
        <v>95.464401645861514</v>
      </c>
    </row>
    <row r="21" spans="1:2" x14ac:dyDescent="0.45">
      <c r="A21" t="s">
        <v>112</v>
      </c>
      <c r="B21" s="140">
        <f>'FY Billing Analysis - SCH M-1'!I15</f>
        <v>71.598301234396132</v>
      </c>
    </row>
    <row r="22" spans="1:2" x14ac:dyDescent="0.45">
      <c r="A22" s="138" t="s">
        <v>106</v>
      </c>
      <c r="B22" s="140">
        <f>'FY Billing Analysis - SCH M-1'!I16</f>
        <v>238.66100411465376</v>
      </c>
    </row>
    <row r="23" spans="1:2" x14ac:dyDescent="0.45">
      <c r="A23" s="138" t="s">
        <v>107</v>
      </c>
      <c r="B23" s="140">
        <f>'FY Billing Analysis - SCH M-1'!I17</f>
        <v>2238.686405700214</v>
      </c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3"/>
  <sheetViews>
    <sheetView tabSelected="1" zoomScale="85" zoomScaleNormal="85" workbookViewId="0">
      <selection activeCell="E37" sqref="E37"/>
    </sheetView>
  </sheetViews>
  <sheetFormatPr defaultColWidth="9.1328125" defaultRowHeight="14.25" x14ac:dyDescent="0.45"/>
  <cols>
    <col min="1" max="1" width="7.3984375" style="4" customWidth="1"/>
    <col min="2" max="2" width="61.265625" style="153" customWidth="1"/>
    <col min="3" max="3" width="18.59765625" style="4" customWidth="1"/>
    <col min="4" max="4" width="19.1328125" style="5" customWidth="1"/>
    <col min="5" max="5" width="21.59765625" style="117" customWidth="1"/>
    <col min="6" max="6" width="80.1328125" style="153" customWidth="1"/>
    <col min="7" max="16384" width="9.1328125" style="4"/>
  </cols>
  <sheetData>
    <row r="1" spans="1:6" x14ac:dyDescent="0.45">
      <c r="A1" s="50"/>
      <c r="B1" s="141"/>
      <c r="C1" s="51"/>
      <c r="D1" s="52"/>
      <c r="F1" s="179" t="s">
        <v>51</v>
      </c>
    </row>
    <row r="2" spans="1:6" x14ac:dyDescent="0.45">
      <c r="A2" s="210" t="str">
        <f>'Link In'!C2</f>
        <v>Bluegrass Water Utility Operating Company, LLC</v>
      </c>
      <c r="B2" s="210"/>
      <c r="C2" s="210"/>
      <c r="D2" s="210"/>
      <c r="E2" s="210"/>
      <c r="F2" s="210"/>
    </row>
    <row r="3" spans="1:6" x14ac:dyDescent="0.45">
      <c r="A3" s="211" t="str">
        <f>'Link In'!C4</f>
        <v>Case No. 2020-00290</v>
      </c>
      <c r="B3" s="211"/>
      <c r="C3" s="211"/>
      <c r="D3" s="211"/>
      <c r="E3" s="211"/>
      <c r="F3" s="211"/>
    </row>
    <row r="4" spans="1:6" x14ac:dyDescent="0.45">
      <c r="A4" s="211" t="s">
        <v>52</v>
      </c>
      <c r="B4" s="211"/>
      <c r="C4" s="211"/>
      <c r="D4" s="211"/>
      <c r="E4" s="211"/>
      <c r="F4" s="211"/>
    </row>
    <row r="5" spans="1:6" x14ac:dyDescent="0.45">
      <c r="A5" s="210"/>
      <c r="B5" s="210"/>
      <c r="C5" s="210"/>
      <c r="D5" s="210"/>
      <c r="E5" s="210"/>
      <c r="F5" s="210"/>
    </row>
    <row r="6" spans="1:6" x14ac:dyDescent="0.45">
      <c r="A6" s="210"/>
      <c r="B6" s="210"/>
      <c r="C6" s="210"/>
      <c r="D6" s="210"/>
      <c r="E6" s="210"/>
      <c r="F6" s="210"/>
    </row>
    <row r="7" spans="1:6" x14ac:dyDescent="0.45">
      <c r="A7" s="53"/>
      <c r="B7" s="142"/>
      <c r="C7" s="53"/>
      <c r="D7" s="54"/>
      <c r="F7" s="180" t="s">
        <v>51</v>
      </c>
    </row>
    <row r="8" spans="1:6" ht="28.5" x14ac:dyDescent="0.45">
      <c r="A8" s="14" t="s">
        <v>53</v>
      </c>
      <c r="B8" s="141"/>
      <c r="C8" s="53"/>
      <c r="D8" s="54"/>
      <c r="F8" s="181" t="str">
        <f ca="1">RIGHT(CELL("filename",$A$1),LEN(CELL("filename",$A$1))-SEARCH("/Work Papers",CELL("filename",$A$1),1))</f>
        <v>Work Papers/[BGUOC 2020 Rate Case - Revenue Requirement and Conversion Factor (Sewer).xlsx]Rev Requirement - SCH A</v>
      </c>
    </row>
    <row r="9" spans="1:6" x14ac:dyDescent="0.45">
      <c r="A9" s="15" t="s">
        <v>166</v>
      </c>
      <c r="B9" s="141"/>
      <c r="C9" s="134"/>
      <c r="D9" s="135"/>
      <c r="F9" s="180" t="s">
        <v>54</v>
      </c>
    </row>
    <row r="10" spans="1:6" x14ac:dyDescent="0.45">
      <c r="A10" s="56"/>
      <c r="B10" s="141"/>
      <c r="C10" s="134" t="s">
        <v>18</v>
      </c>
      <c r="D10" s="135" t="s">
        <v>55</v>
      </c>
      <c r="E10" s="134" t="s">
        <v>56</v>
      </c>
    </row>
    <row r="11" spans="1:6" x14ac:dyDescent="0.45">
      <c r="A11" s="57" t="s">
        <v>57</v>
      </c>
      <c r="B11" s="143"/>
      <c r="C11" s="58" t="s">
        <v>58</v>
      </c>
      <c r="D11" s="59" t="s">
        <v>59</v>
      </c>
      <c r="E11" s="57" t="s">
        <v>60</v>
      </c>
      <c r="F11" s="182" t="s">
        <v>61</v>
      </c>
    </row>
    <row r="12" spans="1:6" x14ac:dyDescent="0.45">
      <c r="A12" s="60">
        <v>1</v>
      </c>
      <c r="B12" s="144"/>
      <c r="C12" s="56"/>
      <c r="D12" s="61"/>
    </row>
    <row r="13" spans="1:6" x14ac:dyDescent="0.45">
      <c r="A13" s="60">
        <v>2</v>
      </c>
      <c r="B13" s="145" t="s">
        <v>20</v>
      </c>
      <c r="C13" s="51"/>
      <c r="D13" s="62"/>
    </row>
    <row r="14" spans="1:6" x14ac:dyDescent="0.45">
      <c r="A14" s="60">
        <v>3</v>
      </c>
      <c r="B14" s="146"/>
      <c r="C14" s="51"/>
      <c r="D14" s="62"/>
      <c r="E14" s="63"/>
    </row>
    <row r="15" spans="1:6" ht="14.65" thickBot="1" x14ac:dyDescent="0.5">
      <c r="A15" s="60">
        <v>4</v>
      </c>
      <c r="B15" s="147" t="s">
        <v>21</v>
      </c>
      <c r="C15" s="105">
        <f>'Link In'!C31</f>
        <v>706733</v>
      </c>
      <c r="D15" s="105">
        <f>'Link In'!D31</f>
        <v>1186531</v>
      </c>
      <c r="E15" s="65" t="s">
        <v>62</v>
      </c>
      <c r="F15" s="153" t="s">
        <v>63</v>
      </c>
    </row>
    <row r="16" spans="1:6" ht="14.65" thickTop="1" x14ac:dyDescent="0.45">
      <c r="A16" s="60">
        <v>5</v>
      </c>
      <c r="B16" s="148"/>
      <c r="C16" s="51"/>
      <c r="D16" s="62"/>
      <c r="E16" s="65"/>
    </row>
    <row r="17" spans="1:6" x14ac:dyDescent="0.45">
      <c r="A17" s="60">
        <v>6</v>
      </c>
      <c r="B17" s="149" t="s">
        <v>23</v>
      </c>
      <c r="C17" s="51"/>
      <c r="D17" s="62"/>
      <c r="E17" s="66"/>
    </row>
    <row r="18" spans="1:6" x14ac:dyDescent="0.45">
      <c r="A18" s="60">
        <v>7</v>
      </c>
      <c r="B18" s="148" t="s">
        <v>64</v>
      </c>
      <c r="C18" s="107">
        <f>'Link In'!C34</f>
        <v>1374532.9732684176</v>
      </c>
      <c r="D18" s="107">
        <f>'Link In'!D34</f>
        <v>2120752.6774516809</v>
      </c>
      <c r="E18" s="65" t="s">
        <v>62</v>
      </c>
      <c r="F18" s="153" t="s">
        <v>63</v>
      </c>
    </row>
    <row r="19" spans="1:6" x14ac:dyDescent="0.45">
      <c r="A19" s="60">
        <v>8</v>
      </c>
      <c r="B19" s="148" t="s">
        <v>65</v>
      </c>
      <c r="C19" s="107">
        <f>'Link In'!C35</f>
        <v>124792.32708333334</v>
      </c>
      <c r="D19" s="107">
        <f>'Link In'!D35</f>
        <v>298568.29356666666</v>
      </c>
      <c r="E19" s="65" t="s">
        <v>62</v>
      </c>
      <c r="F19" s="153" t="s">
        <v>63</v>
      </c>
    </row>
    <row r="20" spans="1:6" x14ac:dyDescent="0.45">
      <c r="A20" s="60">
        <v>9</v>
      </c>
      <c r="B20" s="148" t="s">
        <v>66</v>
      </c>
      <c r="C20" s="107">
        <f>'Link In'!C36</f>
        <v>0</v>
      </c>
      <c r="D20" s="107">
        <f>'Link In'!D36</f>
        <v>0</v>
      </c>
      <c r="E20" s="65" t="s">
        <v>62</v>
      </c>
      <c r="F20" s="183" t="s">
        <v>63</v>
      </c>
    </row>
    <row r="21" spans="1:6" x14ac:dyDescent="0.45">
      <c r="A21" s="60">
        <v>10</v>
      </c>
      <c r="B21" s="148" t="s">
        <v>27</v>
      </c>
      <c r="C21" s="107">
        <f>'Link In'!C37</f>
        <v>0</v>
      </c>
      <c r="D21" s="107">
        <f>'Link In'!D37</f>
        <v>0</v>
      </c>
      <c r="E21" s="65" t="s">
        <v>62</v>
      </c>
      <c r="F21" s="183" t="s">
        <v>63</v>
      </c>
    </row>
    <row r="22" spans="1:6" x14ac:dyDescent="0.45">
      <c r="A22" s="60">
        <v>11</v>
      </c>
      <c r="B22" s="148" t="s">
        <v>67</v>
      </c>
      <c r="C22" s="107">
        <f>'Link In'!C38</f>
        <v>0</v>
      </c>
      <c r="D22" s="107">
        <f>'Link In'!D38</f>
        <v>0</v>
      </c>
      <c r="E22" s="65" t="s">
        <v>62</v>
      </c>
      <c r="F22" s="153" t="s">
        <v>63</v>
      </c>
    </row>
    <row r="23" spans="1:6" x14ac:dyDescent="0.45">
      <c r="A23" s="60">
        <v>12</v>
      </c>
      <c r="B23" s="148" t="s">
        <v>68</v>
      </c>
      <c r="C23" s="107">
        <f>'Link In'!C39</f>
        <v>0</v>
      </c>
      <c r="D23" s="107">
        <f>'Link In'!D39</f>
        <v>0</v>
      </c>
      <c r="E23" s="65" t="s">
        <v>62</v>
      </c>
      <c r="F23" s="153" t="s">
        <v>63</v>
      </c>
    </row>
    <row r="24" spans="1:6" x14ac:dyDescent="0.45">
      <c r="A24" s="60">
        <v>13</v>
      </c>
      <c r="B24" s="150" t="s">
        <v>69</v>
      </c>
      <c r="C24" s="107">
        <f>'Link In'!C40</f>
        <v>3358.35</v>
      </c>
      <c r="D24" s="107">
        <f>'Link In'!D40</f>
        <v>17621.759999999998</v>
      </c>
      <c r="E24" s="65" t="s">
        <v>62</v>
      </c>
      <c r="F24" s="153" t="s">
        <v>63</v>
      </c>
    </row>
    <row r="25" spans="1:6" ht="14.65" thickBot="1" x14ac:dyDescent="0.5">
      <c r="A25" s="60">
        <v>14</v>
      </c>
      <c r="B25" s="151" t="s">
        <v>70</v>
      </c>
      <c r="C25" s="106">
        <f>SUM(C18:C24)</f>
        <v>1502683.6503517511</v>
      </c>
      <c r="D25" s="106">
        <f>SUM(D18:D24)</f>
        <v>2436942.7310183472</v>
      </c>
      <c r="E25" s="65"/>
    </row>
    <row r="26" spans="1:6" ht="14.65" thickTop="1" x14ac:dyDescent="0.45">
      <c r="A26" s="60">
        <v>15</v>
      </c>
      <c r="B26" s="141"/>
      <c r="C26" s="51"/>
      <c r="D26" s="62"/>
      <c r="E26" s="65"/>
    </row>
    <row r="27" spans="1:6" ht="14.65" thickBot="1" x14ac:dyDescent="0.5">
      <c r="A27" s="60">
        <v>16</v>
      </c>
      <c r="B27" s="151" t="s">
        <v>71</v>
      </c>
      <c r="C27" s="105">
        <f>C15-C25</f>
        <v>-795950.65035175113</v>
      </c>
      <c r="D27" s="105">
        <f>D15-D25</f>
        <v>-1250411.7310183472</v>
      </c>
      <c r="E27" s="65"/>
    </row>
    <row r="28" spans="1:6" ht="14.65" thickTop="1" x14ac:dyDescent="0.45">
      <c r="A28" s="60">
        <v>17</v>
      </c>
      <c r="B28" s="151"/>
      <c r="C28" s="64"/>
      <c r="D28" s="67"/>
      <c r="E28" s="134"/>
    </row>
    <row r="29" spans="1:6" x14ac:dyDescent="0.45">
      <c r="A29" s="60">
        <v>18</v>
      </c>
      <c r="B29" s="151"/>
      <c r="C29" s="134"/>
      <c r="D29" s="135"/>
      <c r="E29" s="134"/>
    </row>
    <row r="30" spans="1:6" x14ac:dyDescent="0.45">
      <c r="A30" s="60">
        <v>19</v>
      </c>
      <c r="B30" s="144"/>
      <c r="C30" s="134" t="s">
        <v>18</v>
      </c>
      <c r="D30" s="135" t="s">
        <v>55</v>
      </c>
      <c r="E30" s="134" t="s">
        <v>56</v>
      </c>
    </row>
    <row r="31" spans="1:6" x14ac:dyDescent="0.45">
      <c r="A31" s="60">
        <v>20</v>
      </c>
      <c r="B31" s="143" t="s">
        <v>33</v>
      </c>
      <c r="C31" s="58" t="s">
        <v>58</v>
      </c>
      <c r="D31" s="59" t="s">
        <v>59</v>
      </c>
      <c r="E31" s="57" t="s">
        <v>60</v>
      </c>
      <c r="F31" s="182" t="s">
        <v>61</v>
      </c>
    </row>
    <row r="32" spans="1:6" x14ac:dyDescent="0.45">
      <c r="A32" s="60">
        <v>21</v>
      </c>
      <c r="B32" s="144"/>
      <c r="C32" s="56"/>
      <c r="D32" s="61"/>
      <c r="E32" s="56"/>
    </row>
    <row r="33" spans="1:7" ht="28.5" x14ac:dyDescent="0.45">
      <c r="A33" s="60">
        <v>22</v>
      </c>
      <c r="B33" s="148" t="s">
        <v>35</v>
      </c>
      <c r="C33" s="107">
        <f>'Link In'!C50</f>
        <v>3964664.2517668856</v>
      </c>
      <c r="D33" s="107">
        <f>'Link In'!D50</f>
        <v>7452986.2357738279</v>
      </c>
      <c r="E33" s="65" t="s">
        <v>72</v>
      </c>
      <c r="F33" s="184" t="s">
        <v>73</v>
      </c>
    </row>
    <row r="34" spans="1:7" x14ac:dyDescent="0.45">
      <c r="A34" s="60">
        <v>23</v>
      </c>
      <c r="B34" s="148" t="s">
        <v>36</v>
      </c>
      <c r="C34" s="69">
        <f>'Link In'!C51</f>
        <v>0.1065</v>
      </c>
      <c r="D34" s="69">
        <f>'Link In'!D51</f>
        <v>0.1065</v>
      </c>
      <c r="E34" s="65" t="s">
        <v>74</v>
      </c>
      <c r="F34" s="185" t="s">
        <v>75</v>
      </c>
    </row>
    <row r="35" spans="1:7" x14ac:dyDescent="0.45">
      <c r="A35" s="60">
        <v>24</v>
      </c>
      <c r="B35" s="141"/>
      <c r="C35" s="70"/>
      <c r="D35" s="70"/>
      <c r="E35" s="65"/>
    </row>
    <row r="36" spans="1:7" x14ac:dyDescent="0.45">
      <c r="A36" s="60">
        <v>25</v>
      </c>
      <c r="B36" s="151" t="s">
        <v>76</v>
      </c>
      <c r="C36" s="107">
        <f>C33*C34</f>
        <v>422236.74281317333</v>
      </c>
      <c r="D36" s="107">
        <f>D33*D34</f>
        <v>793743.0341099127</v>
      </c>
      <c r="E36" s="65"/>
    </row>
    <row r="37" spans="1:7" x14ac:dyDescent="0.45">
      <c r="A37" s="60">
        <v>26</v>
      </c>
      <c r="B37" s="141"/>
      <c r="C37" s="71"/>
      <c r="D37" s="71"/>
      <c r="E37" s="65"/>
    </row>
    <row r="38" spans="1:7" x14ac:dyDescent="0.45">
      <c r="A38" s="60">
        <v>27</v>
      </c>
      <c r="B38" s="152" t="s">
        <v>77</v>
      </c>
      <c r="C38" s="108">
        <f>C27</f>
        <v>-795950.65035175113</v>
      </c>
      <c r="D38" s="108">
        <f>D27</f>
        <v>-1250411.7310183472</v>
      </c>
      <c r="E38" s="65"/>
    </row>
    <row r="39" spans="1:7" x14ac:dyDescent="0.45">
      <c r="A39" s="60">
        <v>28</v>
      </c>
      <c r="B39" s="151"/>
      <c r="C39" s="67"/>
      <c r="D39" s="67"/>
      <c r="E39" s="65"/>
    </row>
    <row r="40" spans="1:7" ht="14.65" thickBot="1" x14ac:dyDescent="0.5">
      <c r="A40" s="60">
        <v>29</v>
      </c>
      <c r="B40" s="151" t="s">
        <v>78</v>
      </c>
      <c r="C40" s="109">
        <f>C36-C38</f>
        <v>1218187.3931649243</v>
      </c>
      <c r="D40" s="109">
        <f>D36-D38</f>
        <v>2044154.76512826</v>
      </c>
      <c r="E40" s="134"/>
    </row>
    <row r="41" spans="1:7" ht="14.65" thickTop="1" x14ac:dyDescent="0.45">
      <c r="A41" s="60">
        <v>30</v>
      </c>
      <c r="B41" s="141"/>
      <c r="C41" s="72"/>
      <c r="D41" s="72"/>
      <c r="E41" s="65"/>
    </row>
    <row r="42" spans="1:7" ht="28.5" x14ac:dyDescent="0.45">
      <c r="A42" s="60">
        <v>31</v>
      </c>
      <c r="B42" s="151" t="s">
        <v>79</v>
      </c>
      <c r="C42" s="129">
        <f>'Rev Conversion Factor - SCH H'!D27</f>
        <v>1.0095911155981827</v>
      </c>
      <c r="D42" s="129">
        <f>'Rev Conversion Factor - SCH H'!D27</f>
        <v>1.0095911155981827</v>
      </c>
      <c r="E42" s="65" t="s">
        <v>80</v>
      </c>
      <c r="F42" s="178" t="s">
        <v>81</v>
      </c>
    </row>
    <row r="43" spans="1:7" ht="28.5" x14ac:dyDescent="0.45">
      <c r="A43" s="60">
        <v>32</v>
      </c>
      <c r="B43" s="151" t="s">
        <v>82</v>
      </c>
      <c r="C43" s="73">
        <f>'Rev Conversion Factor - SCH H'!$D$28</f>
        <v>1.3452246710168991</v>
      </c>
      <c r="D43" s="73">
        <f>'Rev Conversion Factor - SCH H'!$D$28</f>
        <v>1.3452246710168991</v>
      </c>
      <c r="E43" s="65" t="s">
        <v>80</v>
      </c>
      <c r="F43" s="178" t="s">
        <v>81</v>
      </c>
    </row>
    <row r="44" spans="1:7" x14ac:dyDescent="0.45">
      <c r="A44" s="60">
        <v>33</v>
      </c>
      <c r="B44" s="141"/>
      <c r="C44" s="62"/>
      <c r="D44" s="62"/>
    </row>
    <row r="45" spans="1:7" ht="30.4" customHeight="1" thickBot="1" x14ac:dyDescent="0.5">
      <c r="A45" s="60">
        <v>34</v>
      </c>
      <c r="B45" s="151" t="s">
        <v>83</v>
      </c>
      <c r="C45" s="109">
        <f>C40*C42</f>
        <v>1229871.1692730179</v>
      </c>
      <c r="D45" s="109">
        <f>D36*D43+(D40-D36)*D42</f>
        <v>2330167.2864083303</v>
      </c>
      <c r="E45" s="118"/>
      <c r="F45" s="186"/>
    </row>
    <row r="46" spans="1:7" ht="14.65" thickTop="1" x14ac:dyDescent="0.45">
      <c r="A46" s="60">
        <v>35</v>
      </c>
      <c r="B46" s="141"/>
      <c r="C46" s="74"/>
      <c r="D46" s="114"/>
      <c r="E46" s="119"/>
      <c r="F46" s="141"/>
    </row>
    <row r="47" spans="1:7" ht="28.9" thickBot="1" x14ac:dyDescent="0.5">
      <c r="A47" s="60">
        <v>36</v>
      </c>
      <c r="B47" s="177" t="s">
        <v>110</v>
      </c>
      <c r="C47" s="75">
        <f>C45/C15</f>
        <v>1.7402203792281072</v>
      </c>
      <c r="D47" s="75">
        <f>((D45+D15)/D15)-1</f>
        <v>1.9638486364101153</v>
      </c>
      <c r="E47" s="65"/>
      <c r="F47" s="141"/>
      <c r="G47" s="64"/>
    </row>
    <row r="48" spans="1:7" ht="14.65" thickTop="1" x14ac:dyDescent="0.45">
      <c r="A48" s="60">
        <v>37</v>
      </c>
      <c r="B48" s="142"/>
      <c r="C48" s="67"/>
      <c r="D48" s="67"/>
      <c r="E48" s="65"/>
      <c r="G48" s="51"/>
    </row>
    <row r="49" spans="1:17" ht="14.65" thickBot="1" x14ac:dyDescent="0.5">
      <c r="A49" s="60">
        <v>38</v>
      </c>
      <c r="B49" s="151" t="s">
        <v>84</v>
      </c>
      <c r="C49" s="109">
        <f>C15+C45</f>
        <v>1936604.1692730179</v>
      </c>
      <c r="D49" s="109">
        <f>D15+D45</f>
        <v>3516698.2864083303</v>
      </c>
      <c r="E49" s="127"/>
      <c r="G49" s="51"/>
    </row>
    <row r="50" spans="1:17" ht="14.65" thickTop="1" x14ac:dyDescent="0.45">
      <c r="A50" s="60">
        <v>39</v>
      </c>
      <c r="B50" s="141"/>
      <c r="C50" s="51"/>
      <c r="D50" s="70"/>
      <c r="E50" s="121"/>
      <c r="F50" s="187"/>
      <c r="G50" s="68"/>
      <c r="H50" s="122"/>
      <c r="I50" s="122"/>
      <c r="J50" s="122"/>
      <c r="Q50" s="124"/>
    </row>
    <row r="51" spans="1:17" x14ac:dyDescent="0.45">
      <c r="A51" s="60"/>
      <c r="E51" s="121"/>
      <c r="F51" s="188"/>
      <c r="G51" s="68"/>
      <c r="H51" s="122"/>
      <c r="I51" s="122"/>
      <c r="J51" s="122"/>
      <c r="Q51" s="124"/>
    </row>
    <row r="52" spans="1:17" x14ac:dyDescent="0.45">
      <c r="A52" s="60"/>
      <c r="B52" s="141"/>
      <c r="C52" s="51"/>
      <c r="D52" s="62"/>
      <c r="E52" s="121"/>
      <c r="F52" s="189"/>
      <c r="G52" s="122"/>
      <c r="H52" s="122"/>
      <c r="I52" s="122"/>
      <c r="J52" s="122"/>
      <c r="Q52" s="124"/>
    </row>
    <row r="53" spans="1:17" x14ac:dyDescent="0.45">
      <c r="A53" s="65"/>
      <c r="B53" s="141"/>
      <c r="C53" s="51"/>
      <c r="D53" s="62"/>
      <c r="E53" s="121"/>
      <c r="F53" s="190"/>
      <c r="G53" s="68"/>
      <c r="H53" s="125"/>
      <c r="I53" s="122"/>
      <c r="J53" s="122"/>
      <c r="Q53" s="124"/>
    </row>
    <row r="54" spans="1:17" x14ac:dyDescent="0.45">
      <c r="A54" s="65"/>
      <c r="E54" s="123"/>
      <c r="F54" s="190"/>
      <c r="G54" s="68"/>
      <c r="H54" s="125"/>
      <c r="I54" s="122"/>
      <c r="J54" s="122"/>
      <c r="Q54" s="124"/>
    </row>
    <row r="55" spans="1:17" x14ac:dyDescent="0.45">
      <c r="E55" s="121"/>
      <c r="F55" s="188"/>
      <c r="G55" s="122"/>
      <c r="H55" s="125"/>
      <c r="I55" s="122"/>
      <c r="J55" s="122"/>
      <c r="Q55" s="124"/>
    </row>
    <row r="56" spans="1:17" x14ac:dyDescent="0.45">
      <c r="E56" s="123"/>
      <c r="F56" s="188"/>
      <c r="G56" s="122"/>
      <c r="H56" s="125"/>
      <c r="I56" s="122"/>
      <c r="Q56" s="124"/>
    </row>
    <row r="57" spans="1:17" x14ac:dyDescent="0.45">
      <c r="E57" s="121"/>
      <c r="F57" s="188"/>
      <c r="G57" s="122"/>
      <c r="H57" s="125"/>
      <c r="I57" s="122"/>
      <c r="Q57" s="124"/>
    </row>
    <row r="58" spans="1:17" x14ac:dyDescent="0.45">
      <c r="E58" s="121"/>
      <c r="F58" s="188"/>
      <c r="G58" s="122"/>
      <c r="H58" s="125"/>
      <c r="I58" s="122"/>
      <c r="Q58" s="124"/>
    </row>
    <row r="59" spans="1:17" x14ac:dyDescent="0.45">
      <c r="E59" s="121"/>
      <c r="F59" s="188"/>
      <c r="G59" s="122"/>
      <c r="H59" s="125"/>
      <c r="I59" s="122"/>
      <c r="Q59" s="124"/>
    </row>
    <row r="60" spans="1:17" x14ac:dyDescent="0.45">
      <c r="E60" s="121"/>
      <c r="F60" s="188"/>
      <c r="G60" s="122"/>
      <c r="H60" s="125"/>
      <c r="I60" s="122"/>
      <c r="Q60" s="124"/>
    </row>
    <row r="61" spans="1:17" x14ac:dyDescent="0.45">
      <c r="E61" s="121"/>
      <c r="F61" s="188"/>
      <c r="G61" s="122"/>
      <c r="H61" s="125"/>
      <c r="I61" s="122"/>
      <c r="Q61" s="124"/>
    </row>
    <row r="62" spans="1:17" x14ac:dyDescent="0.45">
      <c r="E62" s="123"/>
      <c r="F62" s="187"/>
      <c r="G62" s="122"/>
      <c r="H62" s="125"/>
      <c r="I62" s="122"/>
      <c r="Q62" s="124"/>
    </row>
    <row r="63" spans="1:17" x14ac:dyDescent="0.45">
      <c r="E63" s="123"/>
      <c r="F63" s="187"/>
      <c r="G63" s="122"/>
      <c r="H63" s="122"/>
      <c r="I63" s="122"/>
      <c r="Q63" s="124"/>
    </row>
    <row r="64" spans="1:17" x14ac:dyDescent="0.45">
      <c r="D64" s="126"/>
      <c r="G64" s="122"/>
      <c r="H64" s="122"/>
      <c r="I64" s="122"/>
      <c r="Q64" s="124"/>
    </row>
    <row r="112" spans="4:4" x14ac:dyDescent="0.45">
      <c r="D112" s="4"/>
    </row>
    <row r="113" spans="9:9" x14ac:dyDescent="0.45">
      <c r="I113" s="76"/>
    </row>
  </sheetData>
  <mergeCells count="5">
    <mergeCell ref="A2:F2"/>
    <mergeCell ref="A3:F3"/>
    <mergeCell ref="A4:F4"/>
    <mergeCell ref="A5:F5"/>
    <mergeCell ref="A6:F6"/>
  </mergeCells>
  <pageMargins left="0.22" right="0.23" top="0.37" bottom="0.4" header="0.3" footer="0.3"/>
  <pageSetup scale="65" orientation="landscape" r:id="rId1"/>
  <customProperties>
    <customPr name="_pios_id" r:id="rId2"/>
    <customPr name="Sheet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0"/>
  <sheetViews>
    <sheetView zoomScale="80" zoomScaleNormal="80" workbookViewId="0">
      <selection activeCell="E37" sqref="E37"/>
    </sheetView>
  </sheetViews>
  <sheetFormatPr defaultColWidth="8.86328125" defaultRowHeight="14.25" x14ac:dyDescent="0.45"/>
  <cols>
    <col min="1" max="1" width="5.59765625" style="4" customWidth="1"/>
    <col min="2" max="2" width="57.3984375" style="4" customWidth="1"/>
    <col min="3" max="3" width="9" style="4" customWidth="1"/>
    <col min="4" max="4" width="12.1328125" style="4" customWidth="1"/>
    <col min="5" max="5" width="17.1328125" style="4" customWidth="1"/>
    <col min="6" max="6" width="15.3984375" style="4" bestFit="1" customWidth="1"/>
    <col min="7" max="7" width="42.3984375" style="4" customWidth="1"/>
    <col min="8" max="16384" width="8.86328125" style="4"/>
  </cols>
  <sheetData>
    <row r="1" spans="1:7" x14ac:dyDescent="0.45">
      <c r="A1" s="7"/>
      <c r="B1" s="8"/>
      <c r="C1" s="8"/>
      <c r="D1" s="8"/>
      <c r="E1" s="8"/>
      <c r="F1" s="9"/>
      <c r="G1" s="10" t="s">
        <v>85</v>
      </c>
    </row>
    <row r="2" spans="1:7" x14ac:dyDescent="0.45">
      <c r="A2" s="212" t="str">
        <f>'Link In'!C3</f>
        <v>BLUEGRASS WATER UTILITY OPERATING COMPANY, LLC</v>
      </c>
      <c r="B2" s="212"/>
      <c r="C2" s="212"/>
      <c r="D2" s="212"/>
      <c r="E2" s="212"/>
      <c r="F2" s="212"/>
      <c r="G2" s="212"/>
    </row>
    <row r="3" spans="1:7" x14ac:dyDescent="0.45">
      <c r="A3" s="212" t="str">
        <f>'Rev Requirement - SCH A'!A3:F3</f>
        <v>Case No. 2020-00290</v>
      </c>
      <c r="B3" s="212"/>
      <c r="C3" s="212"/>
      <c r="D3" s="212"/>
      <c r="E3" s="212"/>
      <c r="F3" s="212"/>
      <c r="G3" s="212"/>
    </row>
    <row r="4" spans="1:7" x14ac:dyDescent="0.45">
      <c r="A4" s="212" t="s">
        <v>86</v>
      </c>
      <c r="B4" s="212"/>
      <c r="C4" s="212"/>
      <c r="D4" s="212"/>
      <c r="E4" s="212"/>
      <c r="F4" s="212"/>
      <c r="G4" s="212"/>
    </row>
    <row r="5" spans="1:7" x14ac:dyDescent="0.45">
      <c r="A5" s="12"/>
      <c r="B5" s="12"/>
      <c r="C5" s="12"/>
      <c r="D5" s="12"/>
      <c r="E5" s="12"/>
    </row>
    <row r="6" spans="1:7" x14ac:dyDescent="0.45">
      <c r="A6" s="12"/>
      <c r="B6" s="12"/>
      <c r="C6" s="12"/>
      <c r="D6" s="12"/>
      <c r="E6" s="12"/>
      <c r="G6" s="13" t="s">
        <v>85</v>
      </c>
    </row>
    <row r="7" spans="1:7" x14ac:dyDescent="0.45">
      <c r="A7" s="14" t="s">
        <v>53</v>
      </c>
      <c r="B7" s="12"/>
      <c r="C7" s="12"/>
      <c r="D7" s="12"/>
      <c r="E7" s="12"/>
      <c r="G7" s="55" t="str">
        <f ca="1">RIGHT(CELL("filename",$A$1),LEN(CELL("filename",$A$1))-SEARCH("/Work Papers",CELL("filename",$A$1),1))</f>
        <v>Work Papers/[BGUOC 2020 Rate Case - Revenue Requirement and Conversion Factor (Sewer).xlsx]Rev Conversion Factor - SCH H</v>
      </c>
    </row>
    <row r="8" spans="1:7" x14ac:dyDescent="0.45">
      <c r="A8" s="15" t="s">
        <v>166</v>
      </c>
      <c r="B8" s="12"/>
      <c r="C8" s="12"/>
      <c r="D8" s="136"/>
      <c r="E8" s="12"/>
      <c r="G8" s="16" t="s">
        <v>54</v>
      </c>
    </row>
    <row r="9" spans="1:7" x14ac:dyDescent="0.45">
      <c r="A9" s="15"/>
      <c r="B9" s="12"/>
      <c r="C9" s="12"/>
      <c r="D9" s="136" t="s">
        <v>87</v>
      </c>
      <c r="E9" s="12"/>
      <c r="G9" s="16"/>
    </row>
    <row r="10" spans="1:7" x14ac:dyDescent="0.45">
      <c r="A10" s="11"/>
      <c r="B10" s="11"/>
      <c r="C10" s="11"/>
      <c r="D10" s="136" t="s">
        <v>40</v>
      </c>
      <c r="E10" s="136" t="s">
        <v>88</v>
      </c>
      <c r="G10" s="13"/>
    </row>
    <row r="11" spans="1:7" x14ac:dyDescent="0.45">
      <c r="A11" s="8" t="s">
        <v>7</v>
      </c>
      <c r="B11" s="11"/>
      <c r="C11" s="8" t="s">
        <v>89</v>
      </c>
      <c r="D11" s="136" t="s">
        <v>90</v>
      </c>
      <c r="E11" s="136" t="s">
        <v>89</v>
      </c>
      <c r="F11" s="8" t="s">
        <v>91</v>
      </c>
    </row>
    <row r="12" spans="1:7" x14ac:dyDescent="0.45">
      <c r="A12" s="17" t="s">
        <v>92</v>
      </c>
      <c r="B12" s="17" t="s">
        <v>9</v>
      </c>
      <c r="C12" s="17" t="s">
        <v>93</v>
      </c>
      <c r="D12" s="17" t="s">
        <v>94</v>
      </c>
      <c r="E12" s="17" t="s">
        <v>50</v>
      </c>
      <c r="F12" s="17" t="s">
        <v>60</v>
      </c>
      <c r="G12" s="17" t="s">
        <v>61</v>
      </c>
    </row>
    <row r="13" spans="1:7" x14ac:dyDescent="0.45">
      <c r="A13" s="8"/>
      <c r="B13" s="8"/>
      <c r="C13" s="8"/>
      <c r="D13" s="8"/>
      <c r="E13" s="8"/>
    </row>
    <row r="14" spans="1:7" x14ac:dyDescent="0.45">
      <c r="A14" s="18">
        <v>1</v>
      </c>
      <c r="B14" s="19" t="s">
        <v>95</v>
      </c>
      <c r="C14" s="20"/>
      <c r="D14" s="21">
        <v>1</v>
      </c>
      <c r="E14" s="21"/>
    </row>
    <row r="15" spans="1:7" x14ac:dyDescent="0.45">
      <c r="A15" s="18">
        <v>2</v>
      </c>
      <c r="B15" s="22" t="s">
        <v>12</v>
      </c>
      <c r="C15" s="23">
        <f>'Link In'!D18</f>
        <v>7.4999999999999997E-3</v>
      </c>
      <c r="D15" s="21">
        <f>C15</f>
        <v>7.4999999999999997E-3</v>
      </c>
      <c r="E15" s="24">
        <f>ROUND(D15/(D$14-D$25),6)</f>
        <v>2.9225000000000001E-2</v>
      </c>
      <c r="F15" s="25" t="s">
        <v>96</v>
      </c>
      <c r="G15" s="4" t="s">
        <v>97</v>
      </c>
    </row>
    <row r="16" spans="1:7" x14ac:dyDescent="0.45">
      <c r="A16" s="18">
        <v>3</v>
      </c>
      <c r="B16" s="26" t="s">
        <v>13</v>
      </c>
      <c r="C16" s="27">
        <f>'Link In'!D19</f>
        <v>2E-3</v>
      </c>
      <c r="D16" s="21">
        <f>C16</f>
        <v>2E-3</v>
      </c>
      <c r="E16" s="24">
        <f>ROUND(D16/(D$14-D$25),6)</f>
        <v>7.7929999999999996E-3</v>
      </c>
      <c r="F16" s="25" t="s">
        <v>98</v>
      </c>
      <c r="G16" s="4" t="s">
        <v>99</v>
      </c>
    </row>
    <row r="17" spans="1:5" x14ac:dyDescent="0.45">
      <c r="A17" s="18">
        <v>4</v>
      </c>
      <c r="B17" s="22" t="s">
        <v>100</v>
      </c>
      <c r="C17" s="28"/>
      <c r="D17" s="29">
        <f>D14-D15-D16</f>
        <v>0.99050000000000005</v>
      </c>
      <c r="E17" s="30"/>
    </row>
    <row r="18" spans="1:5" x14ac:dyDescent="0.45">
      <c r="A18" s="18">
        <v>5</v>
      </c>
      <c r="B18" s="11"/>
      <c r="C18" s="31"/>
      <c r="D18" s="32"/>
      <c r="E18" s="32"/>
    </row>
    <row r="19" spans="1:5" x14ac:dyDescent="0.45">
      <c r="A19" s="18">
        <v>6</v>
      </c>
      <c r="B19" s="11"/>
      <c r="C19" s="31"/>
      <c r="D19" s="11"/>
      <c r="E19" s="24"/>
    </row>
    <row r="20" spans="1:5" x14ac:dyDescent="0.45">
      <c r="A20" s="18">
        <v>7</v>
      </c>
      <c r="B20" s="26" t="s">
        <v>15</v>
      </c>
      <c r="C20" s="33">
        <v>0.05</v>
      </c>
      <c r="D20" s="21">
        <f>C20*D17</f>
        <v>4.9525000000000007E-2</v>
      </c>
      <c r="E20" s="24">
        <f>ROUND(D20/(D$14-D$25),6)</f>
        <v>0.19298199999999999</v>
      </c>
    </row>
    <row r="21" spans="1:5" x14ac:dyDescent="0.45">
      <c r="A21" s="18">
        <v>8</v>
      </c>
      <c r="B21" s="19" t="s">
        <v>101</v>
      </c>
      <c r="C21" s="34"/>
      <c r="D21" s="35">
        <f>D17-D20</f>
        <v>0.94097500000000001</v>
      </c>
      <c r="E21" s="24"/>
    </row>
    <row r="22" spans="1:5" x14ac:dyDescent="0.45">
      <c r="A22" s="18">
        <v>9</v>
      </c>
      <c r="B22" s="11"/>
      <c r="C22" s="31"/>
      <c r="D22" s="24"/>
      <c r="E22" s="24"/>
    </row>
    <row r="23" spans="1:5" x14ac:dyDescent="0.45">
      <c r="A23" s="18">
        <v>10</v>
      </c>
      <c r="B23" s="36" t="s">
        <v>17</v>
      </c>
      <c r="C23" s="37">
        <v>0.21</v>
      </c>
      <c r="D23" s="38">
        <f>C23*D21</f>
        <v>0.19760475</v>
      </c>
      <c r="E23" s="38">
        <f>ROUND(D23/(D$14-D$25),6)</f>
        <v>0.76999899999999999</v>
      </c>
    </row>
    <row r="24" spans="1:5" x14ac:dyDescent="0.45">
      <c r="A24" s="18">
        <v>11</v>
      </c>
      <c r="B24" s="11"/>
      <c r="C24" s="31"/>
      <c r="D24" s="24"/>
      <c r="E24" s="24"/>
    </row>
    <row r="25" spans="1:5" ht="28.9" thickBot="1" x14ac:dyDescent="0.5">
      <c r="A25" s="18">
        <v>12</v>
      </c>
      <c r="B25" s="39" t="s">
        <v>102</v>
      </c>
      <c r="C25" s="20"/>
      <c r="D25" s="40">
        <f>D21-D23</f>
        <v>0.74337025000000001</v>
      </c>
      <c r="E25" s="40">
        <f>SUM(E15:E16,E20,E23)</f>
        <v>0.99999899999999997</v>
      </c>
    </row>
    <row r="26" spans="1:5" ht="14.65" thickTop="1" x14ac:dyDescent="0.45">
      <c r="A26" s="18">
        <v>13</v>
      </c>
      <c r="B26" s="11"/>
      <c r="C26" s="41"/>
      <c r="D26" s="24"/>
      <c r="E26" s="24"/>
    </row>
    <row r="27" spans="1:5" ht="14.65" thickBot="1" x14ac:dyDescent="0.5">
      <c r="A27" s="18">
        <v>14</v>
      </c>
      <c r="B27" s="19" t="s">
        <v>103</v>
      </c>
      <c r="C27" s="20"/>
      <c r="D27" s="40">
        <f>1/D17</f>
        <v>1.0095911155981827</v>
      </c>
      <c r="E27" s="24"/>
    </row>
    <row r="28" spans="1:5" ht="15" thickTop="1" thickBot="1" x14ac:dyDescent="0.5">
      <c r="A28" s="18">
        <v>15</v>
      </c>
      <c r="B28" s="4" t="s">
        <v>104</v>
      </c>
      <c r="D28" s="40">
        <f>1/D25</f>
        <v>1.3452246710168991</v>
      </c>
    </row>
    <row r="29" spans="1:5" ht="14.65" thickTop="1" x14ac:dyDescent="0.45">
      <c r="A29" s="18">
        <v>16</v>
      </c>
    </row>
    <row r="30" spans="1:5" x14ac:dyDescent="0.45">
      <c r="A30" s="18">
        <v>17</v>
      </c>
    </row>
    <row r="130" spans="9:9" x14ac:dyDescent="0.45">
      <c r="I130" s="42"/>
    </row>
  </sheetData>
  <mergeCells count="3">
    <mergeCell ref="A2:G2"/>
    <mergeCell ref="A3:G3"/>
    <mergeCell ref="A4:G4"/>
  </mergeCells>
  <pageMargins left="0.32" right="0.28999999999999998" top="0.75" bottom="0.75" header="0.3" footer="0.3"/>
  <pageSetup scale="83" orientation="landscape" r:id="rId1"/>
  <customProperties>
    <customPr name="_pios_id" r:id="rId2"/>
    <customPr name="Sheet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734D-0BBE-497F-A74C-08C71F7C3F33}">
  <sheetPr>
    <pageSetUpPr fitToPage="1"/>
  </sheetPr>
  <dimension ref="A1:K44"/>
  <sheetViews>
    <sheetView zoomScale="80" zoomScaleNormal="80" workbookViewId="0">
      <selection activeCell="E37" sqref="E37"/>
    </sheetView>
  </sheetViews>
  <sheetFormatPr defaultColWidth="9.1328125" defaultRowHeight="14.25" x14ac:dyDescent="0.45"/>
  <cols>
    <col min="1" max="1" width="9.1328125" style="4"/>
    <col min="2" max="2" width="37.3984375" style="4" customWidth="1"/>
    <col min="3" max="6" width="13.86328125" style="4" customWidth="1"/>
    <col min="7" max="7" width="2.1328125" style="4" customWidth="1"/>
    <col min="8" max="8" width="12.1328125" style="4" customWidth="1"/>
    <col min="9" max="9" width="12.1328125" style="4" bestFit="1" customWidth="1"/>
    <col min="10" max="10" width="9.86328125" style="4" customWidth="1"/>
    <col min="11" max="16384" width="9.1328125" style="4"/>
  </cols>
  <sheetData>
    <row r="1" spans="1:11" x14ac:dyDescent="0.45">
      <c r="A1" s="43"/>
      <c r="B1" s="44"/>
      <c r="H1" s="155"/>
    </row>
    <row r="2" spans="1:11" x14ac:dyDescent="0.45">
      <c r="A2" s="213" t="str">
        <f>'Link In'!C2</f>
        <v>Bluegrass Water Utility Operating Company, LLC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45">
      <c r="A3" s="213" t="str">
        <f>'Link In'!C4</f>
        <v>Case No. 2020-00290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45">
      <c r="A4" s="213" t="s">
        <v>141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x14ac:dyDescent="0.45">
      <c r="A5" s="43"/>
      <c r="B5" s="43"/>
      <c r="C5" s="43"/>
      <c r="D5" s="43"/>
      <c r="E5" s="43"/>
      <c r="F5" s="43"/>
      <c r="G5" s="43"/>
      <c r="H5" s="43"/>
      <c r="I5" s="43"/>
    </row>
    <row r="6" spans="1:11" x14ac:dyDescent="0.45">
      <c r="A6" s="43"/>
      <c r="B6" s="43"/>
      <c r="C6" s="43"/>
      <c r="D6" s="43"/>
      <c r="E6" s="43"/>
      <c r="F6" s="43"/>
      <c r="G6" s="43"/>
      <c r="I6" s="193"/>
      <c r="J6" s="193" t="s">
        <v>142</v>
      </c>
    </row>
    <row r="7" spans="1:11" x14ac:dyDescent="0.45">
      <c r="A7" s="157" t="s">
        <v>143</v>
      </c>
      <c r="B7" s="43"/>
      <c r="C7" s="44"/>
      <c r="D7" s="44"/>
      <c r="E7" s="44"/>
      <c r="F7" s="44"/>
      <c r="G7" s="44"/>
      <c r="I7" s="16"/>
      <c r="J7" s="193" t="str">
        <f ca="1">RIGHT(CELL("filename",$A$1),LEN(CELL("filename",$A$1))-SEARCH("/Work Papers",CELL("filename",$A$1),1))</f>
        <v>Work Papers/[BGUOC 2020 Rate Case - Revenue Requirement and Conversion Factor (Sewer).xlsx]FY Billing Analysis - SCH M-1</v>
      </c>
    </row>
    <row r="8" spans="1:11" x14ac:dyDescent="0.45">
      <c r="A8" s="158" t="s">
        <v>167</v>
      </c>
      <c r="B8" s="43"/>
      <c r="C8" s="44"/>
      <c r="D8" s="44"/>
      <c r="E8" s="44"/>
      <c r="F8" s="44"/>
      <c r="G8" s="44"/>
      <c r="I8" s="16"/>
      <c r="J8" s="193" t="s">
        <v>54</v>
      </c>
    </row>
    <row r="9" spans="1:11" x14ac:dyDescent="0.45">
      <c r="A9" s="158"/>
      <c r="B9" s="43"/>
      <c r="C9" s="44"/>
      <c r="D9" s="44"/>
      <c r="E9" s="44"/>
      <c r="F9" s="44"/>
      <c r="G9" s="44"/>
      <c r="I9" s="16"/>
    </row>
    <row r="10" spans="1:11" x14ac:dyDescent="0.45">
      <c r="A10" s="44"/>
      <c r="B10" s="44"/>
      <c r="C10" s="45"/>
      <c r="D10" s="46" t="s">
        <v>144</v>
      </c>
      <c r="E10" s="46"/>
      <c r="F10" s="46" t="s">
        <v>145</v>
      </c>
      <c r="G10" s="46"/>
      <c r="H10" s="194" t="s">
        <v>145</v>
      </c>
      <c r="I10" s="194" t="s">
        <v>145</v>
      </c>
    </row>
    <row r="11" spans="1:11" x14ac:dyDescent="0.45">
      <c r="A11" s="192" t="s">
        <v>7</v>
      </c>
      <c r="B11" s="44"/>
      <c r="C11" s="194" t="s">
        <v>145</v>
      </c>
      <c r="D11" s="46" t="s">
        <v>146</v>
      </c>
      <c r="E11" s="46" t="s">
        <v>146</v>
      </c>
      <c r="F11" s="46" t="s">
        <v>109</v>
      </c>
      <c r="G11" s="46"/>
      <c r="H11" s="194" t="s">
        <v>147</v>
      </c>
      <c r="I11" s="194" t="s">
        <v>147</v>
      </c>
      <c r="J11" s="194" t="s">
        <v>108</v>
      </c>
    </row>
    <row r="12" spans="1:11" x14ac:dyDescent="0.45">
      <c r="A12" s="47" t="s">
        <v>8</v>
      </c>
      <c r="B12" s="47" t="s">
        <v>148</v>
      </c>
      <c r="C12" s="48" t="s">
        <v>149</v>
      </c>
      <c r="D12" s="48" t="s">
        <v>150</v>
      </c>
      <c r="E12" s="48" t="s">
        <v>151</v>
      </c>
      <c r="F12" s="48"/>
      <c r="G12" s="46"/>
      <c r="H12" s="195" t="s">
        <v>40</v>
      </c>
      <c r="I12" s="195" t="s">
        <v>152</v>
      </c>
      <c r="J12" s="195" t="s">
        <v>153</v>
      </c>
    </row>
    <row r="13" spans="1:11" x14ac:dyDescent="0.45">
      <c r="A13" s="49">
        <v>1</v>
      </c>
      <c r="B13" s="44"/>
      <c r="C13" s="44"/>
      <c r="D13" s="44"/>
      <c r="E13" s="44"/>
      <c r="F13" s="44"/>
      <c r="G13" s="44"/>
    </row>
    <row r="14" spans="1:11" x14ac:dyDescent="0.45">
      <c r="A14" s="49">
        <v>2</v>
      </c>
      <c r="B14" s="138" t="s">
        <v>111</v>
      </c>
      <c r="C14" s="196">
        <f>'Link In'!D54</f>
        <v>2201</v>
      </c>
      <c r="D14" s="197">
        <v>1</v>
      </c>
      <c r="E14" s="198">
        <f>C14*D14</f>
        <v>2201</v>
      </c>
      <c r="F14" s="137">
        <f>($F$19-$F$17)*E14/SUM($E$14:$E$16)</f>
        <v>850720.1566556656</v>
      </c>
      <c r="G14" s="198"/>
      <c r="H14" s="124">
        <f>($H$19-$H$17)/SUM($E$14:$E$16)*E14</f>
        <v>2521405.7762704943</v>
      </c>
      <c r="I14" s="199">
        <f>H14/C14/12</f>
        <v>95.464401645861514</v>
      </c>
      <c r="J14" s="200">
        <f>(H14-F14)/F14</f>
        <v>1.9638486364101155</v>
      </c>
    </row>
    <row r="15" spans="1:11" ht="15.75" x14ac:dyDescent="0.45">
      <c r="A15" s="49">
        <v>3</v>
      </c>
      <c r="B15" t="s">
        <v>154</v>
      </c>
      <c r="C15" s="196">
        <f>'Link In'!D55</f>
        <v>82</v>
      </c>
      <c r="D15" s="197">
        <v>0.75</v>
      </c>
      <c r="E15" s="198">
        <f>C15*D15</f>
        <v>61.5</v>
      </c>
      <c r="F15" s="137">
        <f>82*30.4*12</f>
        <v>29913.599999999999</v>
      </c>
      <c r="G15" s="198"/>
      <c r="H15" s="124">
        <f>($H$19-$H$17)/SUM($E$14:$E$16)*E15</f>
        <v>70452.728414645797</v>
      </c>
      <c r="I15" s="199">
        <f>H15/C15/12</f>
        <v>71.598301234396132</v>
      </c>
      <c r="J15" s="201">
        <f>(H15-F15)/F15</f>
        <v>1.3552072774472415</v>
      </c>
    </row>
    <row r="16" spans="1:11" ht="15.75" x14ac:dyDescent="0.45">
      <c r="A16" s="49">
        <v>4</v>
      </c>
      <c r="B16" s="138" t="s">
        <v>155</v>
      </c>
      <c r="C16" s="196">
        <f>'Link In'!D56</f>
        <v>4</v>
      </c>
      <c r="D16" s="197">
        <v>2.5</v>
      </c>
      <c r="E16" s="198">
        <f>C16*D16</f>
        <v>10</v>
      </c>
      <c r="F16" s="137">
        <f>35*2*12+25*2*12</f>
        <v>1440</v>
      </c>
      <c r="G16" s="198"/>
      <c r="H16" s="124">
        <f>($H$19-$H$17)/SUM($E$14:$E$16)*E16</f>
        <v>11455.72819750338</v>
      </c>
      <c r="I16" s="199">
        <f>H16/C16/12</f>
        <v>238.66100411465376</v>
      </c>
      <c r="J16" s="201">
        <f>(H16-F16)/F16</f>
        <v>6.955366803821792</v>
      </c>
    </row>
    <row r="17" spans="1:10" ht="15.75" x14ac:dyDescent="0.45">
      <c r="A17" s="49">
        <v>5</v>
      </c>
      <c r="B17" s="138" t="s">
        <v>107</v>
      </c>
      <c r="C17" s="196">
        <f>'Link In'!D57</f>
        <v>34</v>
      </c>
      <c r="D17" s="202" t="s">
        <v>156</v>
      </c>
      <c r="E17" s="202" t="s">
        <v>156</v>
      </c>
      <c r="F17" s="137">
        <v>308175</v>
      </c>
      <c r="G17" s="203"/>
      <c r="H17" s="124">
        <f>F17*(1+J28)</f>
        <v>913384.05352568731</v>
      </c>
      <c r="I17" s="199">
        <f>H17/C17/12</f>
        <v>2238.686405700214</v>
      </c>
      <c r="J17" s="201">
        <f>(H17-F17)/F17</f>
        <v>1.9638486364101153</v>
      </c>
    </row>
    <row r="18" spans="1:10" x14ac:dyDescent="0.45">
      <c r="A18" s="49">
        <v>6</v>
      </c>
      <c r="B18" s="204"/>
      <c r="C18" s="196"/>
      <c r="D18" s="205"/>
      <c r="E18" s="198"/>
      <c r="F18"/>
      <c r="G18" s="198"/>
    </row>
    <row r="19" spans="1:10" x14ac:dyDescent="0.45">
      <c r="A19" s="49">
        <v>7</v>
      </c>
      <c r="B19" s="206" t="s">
        <v>89</v>
      </c>
      <c r="C19" s="207">
        <f>SUM(C14:C17)</f>
        <v>2321</v>
      </c>
      <c r="F19" s="208">
        <f>'Rev Requirement - SCH A'!D15</f>
        <v>1186531</v>
      </c>
      <c r="G19" s="209"/>
      <c r="H19" s="208">
        <f>'Rev Requirement - SCH A'!D49</f>
        <v>3516698.2864083303</v>
      </c>
      <c r="I19" s="199"/>
    </row>
    <row r="20" spans="1:10" x14ac:dyDescent="0.45">
      <c r="A20" s="49">
        <v>8</v>
      </c>
      <c r="B20" s="204"/>
      <c r="C20" s="205"/>
      <c r="D20" s="205"/>
      <c r="E20" s="205"/>
      <c r="F20" s="205"/>
      <c r="G20" s="205"/>
    </row>
    <row r="21" spans="1:10" x14ac:dyDescent="0.45">
      <c r="A21" s="49">
        <v>9</v>
      </c>
      <c r="B21" s="204"/>
      <c r="C21" s="205"/>
      <c r="D21" s="205"/>
      <c r="E21" s="205"/>
      <c r="F21" s="205"/>
      <c r="G21" s="205"/>
    </row>
    <row r="22" spans="1:10" x14ac:dyDescent="0.45">
      <c r="A22" s="49">
        <v>10</v>
      </c>
      <c r="B22" s="204"/>
      <c r="C22" s="205"/>
      <c r="D22" s="205"/>
      <c r="E22" s="205"/>
      <c r="F22" s="205"/>
      <c r="G22" s="205"/>
    </row>
    <row r="23" spans="1:10" x14ac:dyDescent="0.45">
      <c r="A23" s="49">
        <v>11</v>
      </c>
      <c r="C23" s="205"/>
      <c r="D23" s="205"/>
      <c r="E23" s="205"/>
      <c r="F23" s="205"/>
      <c r="G23" s="205"/>
    </row>
    <row r="24" spans="1:10" x14ac:dyDescent="0.45">
      <c r="A24" s="49">
        <v>12</v>
      </c>
      <c r="B24" s="204"/>
      <c r="C24" s="205"/>
      <c r="D24" s="205"/>
      <c r="E24" s="205"/>
      <c r="F24" s="205"/>
      <c r="G24" s="205"/>
    </row>
    <row r="25" spans="1:10" x14ac:dyDescent="0.45">
      <c r="A25" s="49">
        <v>13</v>
      </c>
      <c r="B25" s="204"/>
      <c r="C25" s="205"/>
      <c r="D25" s="205"/>
      <c r="E25" s="205"/>
      <c r="F25" s="205"/>
      <c r="G25" s="205"/>
    </row>
    <row r="26" spans="1:10" ht="15.75" x14ac:dyDescent="0.45">
      <c r="A26" s="49">
        <v>14</v>
      </c>
      <c r="B26" s="204" t="s">
        <v>157</v>
      </c>
      <c r="C26" s="205"/>
      <c r="D26" s="205"/>
      <c r="E26" s="205"/>
      <c r="F26" s="205"/>
      <c r="G26" s="205"/>
    </row>
    <row r="27" spans="1:10" ht="15.75" x14ac:dyDescent="0.45">
      <c r="A27" s="49">
        <v>15</v>
      </c>
      <c r="B27" s="44" t="s">
        <v>158</v>
      </c>
      <c r="C27" s="162"/>
      <c r="D27" s="162"/>
      <c r="E27" s="162"/>
      <c r="F27" s="162"/>
      <c r="G27" s="162"/>
    </row>
    <row r="28" spans="1:10" ht="15.75" x14ac:dyDescent="0.45">
      <c r="A28" s="49">
        <v>16</v>
      </c>
      <c r="B28" s="204" t="s">
        <v>159</v>
      </c>
      <c r="D28" s="162"/>
      <c r="G28" s="34"/>
      <c r="J28" s="34">
        <f>'Rev Requirement - SCH A'!D47</f>
        <v>1.9638486364101153</v>
      </c>
    </row>
    <row r="29" spans="1:10" x14ac:dyDescent="0.45">
      <c r="A29" s="49">
        <v>17</v>
      </c>
      <c r="B29" s="175"/>
      <c r="C29" s="46"/>
      <c r="D29" s="46"/>
      <c r="E29" s="46"/>
      <c r="F29" s="46"/>
      <c r="G29" s="46"/>
    </row>
    <row r="30" spans="1:10" x14ac:dyDescent="0.45">
      <c r="A30" s="49">
        <v>18</v>
      </c>
      <c r="B30" s="43"/>
      <c r="C30" s="159"/>
      <c r="D30" s="159"/>
      <c r="E30" s="159"/>
      <c r="F30" s="159"/>
      <c r="G30" s="159"/>
      <c r="H30" s="46"/>
    </row>
    <row r="31" spans="1:10" x14ac:dyDescent="0.45">
      <c r="A31" s="49"/>
      <c r="B31" s="204"/>
      <c r="C31" s="162"/>
      <c r="D31" s="162"/>
      <c r="E31" s="162"/>
      <c r="F31" s="162"/>
      <c r="G31" s="162"/>
      <c r="H31" s="159"/>
    </row>
    <row r="32" spans="1:10" x14ac:dyDescent="0.45">
      <c r="A32" s="49"/>
      <c r="B32" s="175"/>
      <c r="C32" s="162"/>
      <c r="D32" s="162"/>
      <c r="E32" s="162"/>
      <c r="F32" s="162"/>
      <c r="G32" s="162"/>
    </row>
    <row r="33" spans="1:8" x14ac:dyDescent="0.45">
      <c r="A33" s="49"/>
      <c r="B33" s="44"/>
      <c r="C33" s="159"/>
      <c r="D33" s="159"/>
      <c r="E33" s="159"/>
      <c r="F33" s="159"/>
      <c r="G33" s="159"/>
    </row>
    <row r="34" spans="1:8" x14ac:dyDescent="0.45">
      <c r="A34" s="49"/>
      <c r="B34" s="44"/>
      <c r="C34" s="162"/>
      <c r="D34" s="162"/>
      <c r="E34" s="162"/>
      <c r="F34" s="162"/>
      <c r="G34" s="162"/>
      <c r="H34" s="159"/>
    </row>
    <row r="35" spans="1:8" x14ac:dyDescent="0.45">
      <c r="A35" s="49"/>
      <c r="B35" s="44"/>
      <c r="C35" s="162"/>
      <c r="D35" s="162"/>
      <c r="E35" s="162"/>
      <c r="F35" s="162"/>
      <c r="G35" s="162"/>
      <c r="H35" s="162"/>
    </row>
    <row r="36" spans="1:8" x14ac:dyDescent="0.45">
      <c r="A36" s="49"/>
      <c r="B36" s="44"/>
      <c r="C36" s="162"/>
      <c r="D36" s="162"/>
      <c r="E36" s="162"/>
      <c r="F36" s="162"/>
      <c r="G36" s="162"/>
      <c r="H36" s="162"/>
    </row>
    <row r="37" spans="1:8" x14ac:dyDescent="0.45">
      <c r="A37" s="49"/>
      <c r="B37" s="44"/>
      <c r="C37" s="162"/>
      <c r="D37" s="162"/>
      <c r="E37" s="162"/>
      <c r="F37" s="162"/>
      <c r="G37" s="162"/>
      <c r="H37" s="162"/>
    </row>
    <row r="38" spans="1:8" x14ac:dyDescent="0.45">
      <c r="A38" s="49"/>
      <c r="B38" s="44"/>
      <c r="C38" s="162"/>
      <c r="D38" s="162"/>
      <c r="E38" s="162"/>
      <c r="F38" s="162"/>
      <c r="G38" s="162"/>
      <c r="H38" s="162"/>
    </row>
    <row r="39" spans="1:8" x14ac:dyDescent="0.45">
      <c r="A39" s="49"/>
      <c r="B39" s="155"/>
      <c r="C39" s="159"/>
      <c r="D39" s="159"/>
      <c r="E39" s="159"/>
      <c r="F39" s="159"/>
      <c r="G39" s="159"/>
      <c r="H39" s="162"/>
    </row>
    <row r="40" spans="1:8" x14ac:dyDescent="0.45">
      <c r="A40" s="49"/>
      <c r="B40" s="44"/>
      <c r="C40" s="44"/>
      <c r="D40" s="44"/>
      <c r="E40" s="44"/>
      <c r="F40" s="44"/>
      <c r="G40" s="44"/>
      <c r="H40" s="159"/>
    </row>
    <row r="41" spans="1:8" x14ac:dyDescent="0.45">
      <c r="A41" s="49"/>
      <c r="B41" s="155"/>
      <c r="C41" s="159"/>
      <c r="D41" s="159"/>
      <c r="E41" s="159"/>
      <c r="F41" s="159"/>
      <c r="G41" s="159"/>
    </row>
    <row r="42" spans="1:8" x14ac:dyDescent="0.45">
      <c r="A42" s="49"/>
      <c r="B42" s="44"/>
      <c r="C42" s="44"/>
      <c r="D42" s="44"/>
      <c r="E42" s="44"/>
      <c r="F42" s="44"/>
      <c r="G42" s="44"/>
      <c r="H42" s="159"/>
    </row>
    <row r="43" spans="1:8" x14ac:dyDescent="0.45">
      <c r="A43" s="49"/>
    </row>
    <row r="44" spans="1:8" x14ac:dyDescent="0.45">
      <c r="H44" s="124"/>
    </row>
  </sheetData>
  <mergeCells count="3">
    <mergeCell ref="A2:K2"/>
    <mergeCell ref="A3:K3"/>
    <mergeCell ref="A4:K4"/>
  </mergeCells>
  <printOptions horizontalCentered="1"/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C42B-513F-4A9D-B3E6-31A274D7EE3A}">
  <sheetPr>
    <pageSetUpPr fitToPage="1"/>
  </sheetPr>
  <dimension ref="A1:K43"/>
  <sheetViews>
    <sheetView zoomScale="80" zoomScaleNormal="80" workbookViewId="0">
      <selection activeCell="E37" sqref="E37"/>
    </sheetView>
  </sheetViews>
  <sheetFormatPr defaultColWidth="9.1328125" defaultRowHeight="14.25" x14ac:dyDescent="0.45"/>
  <cols>
    <col min="1" max="1" width="9.1328125" style="4"/>
    <col min="2" max="2" width="52.265625" style="4" customWidth="1"/>
    <col min="3" max="6" width="13.86328125" style="4" customWidth="1"/>
    <col min="7" max="7" width="2.1328125" style="4" customWidth="1"/>
    <col min="8" max="8" width="12.1328125" style="4" customWidth="1"/>
    <col min="9" max="9" width="12.1328125" style="4" bestFit="1" customWidth="1"/>
    <col min="10" max="10" width="9.86328125" style="4" customWidth="1"/>
    <col min="11" max="16384" width="9.1328125" style="4"/>
  </cols>
  <sheetData>
    <row r="1" spans="1:11" x14ac:dyDescent="0.45">
      <c r="A1" s="43"/>
      <c r="B1" s="44"/>
      <c r="H1" s="155"/>
    </row>
    <row r="2" spans="1:11" x14ac:dyDescent="0.45">
      <c r="A2" s="213" t="str">
        <f>'Link In'!C2</f>
        <v>Bluegrass Water Utility Operating Company, LLC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45">
      <c r="A3" s="213" t="str">
        <f>'Link In'!C4</f>
        <v>Case No. 2020-00290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45">
      <c r="A4" s="213" t="s">
        <v>160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x14ac:dyDescent="0.45">
      <c r="A5" s="43"/>
      <c r="B5" s="43"/>
      <c r="C5" s="43"/>
      <c r="D5" s="43"/>
      <c r="E5" s="43"/>
      <c r="F5" s="43"/>
      <c r="G5" s="43"/>
      <c r="H5" s="43"/>
      <c r="I5" s="43"/>
    </row>
    <row r="6" spans="1:11" x14ac:dyDescent="0.45">
      <c r="A6" s="43"/>
      <c r="B6" s="43"/>
      <c r="C6" s="43"/>
      <c r="D6" s="43"/>
      <c r="E6" s="43"/>
      <c r="F6" s="43"/>
      <c r="G6" s="43"/>
      <c r="I6" s="193"/>
      <c r="J6" s="193" t="s">
        <v>161</v>
      </c>
    </row>
    <row r="7" spans="1:11" x14ac:dyDescent="0.45">
      <c r="A7" s="157" t="s">
        <v>162</v>
      </c>
      <c r="B7" s="43"/>
      <c r="C7" s="44"/>
      <c r="D7" s="44"/>
      <c r="E7" s="44"/>
      <c r="F7" s="44"/>
      <c r="G7" s="44"/>
      <c r="I7" s="16"/>
      <c r="J7" s="193" t="str">
        <f ca="1">RIGHT(CELL("filename",$A$1),LEN(CELL("filename",$A$1))-SEARCH("/Work Papers",CELL("filename",$A$1),1))</f>
        <v>Work Papers/[BGUOC 2020 Rate Case - Revenue Requirement and Conversion Factor (Sewer).xlsx]BY Billing Analysis - SCH M-2</v>
      </c>
    </row>
    <row r="8" spans="1:11" x14ac:dyDescent="0.45">
      <c r="A8" s="158" t="s">
        <v>167</v>
      </c>
      <c r="B8" s="43"/>
      <c r="C8" s="44"/>
      <c r="D8" s="44"/>
      <c r="E8" s="44"/>
      <c r="F8" s="44"/>
      <c r="G8" s="44"/>
      <c r="I8" s="16"/>
      <c r="J8" s="193" t="s">
        <v>54</v>
      </c>
    </row>
    <row r="9" spans="1:11" x14ac:dyDescent="0.45">
      <c r="A9" s="158"/>
      <c r="B9" s="43"/>
      <c r="C9" s="44"/>
      <c r="D9" s="44"/>
      <c r="E9" s="44"/>
      <c r="F9" s="44"/>
      <c r="G9" s="44"/>
      <c r="I9" s="16"/>
    </row>
    <row r="10" spans="1:11" x14ac:dyDescent="0.45">
      <c r="A10" s="44"/>
      <c r="B10" s="44"/>
      <c r="C10" s="45"/>
      <c r="D10" s="46" t="s">
        <v>144</v>
      </c>
      <c r="E10" s="46"/>
      <c r="F10" s="46" t="s">
        <v>163</v>
      </c>
      <c r="G10" s="46"/>
      <c r="H10" s="194" t="s">
        <v>145</v>
      </c>
      <c r="I10" s="194" t="s">
        <v>145</v>
      </c>
    </row>
    <row r="11" spans="1:11" x14ac:dyDescent="0.45">
      <c r="A11" s="192" t="s">
        <v>7</v>
      </c>
      <c r="B11" s="44"/>
      <c r="C11" s="194" t="s">
        <v>163</v>
      </c>
      <c r="D11" s="46" t="s">
        <v>146</v>
      </c>
      <c r="E11" s="46" t="s">
        <v>146</v>
      </c>
      <c r="F11" s="46" t="s">
        <v>109</v>
      </c>
      <c r="G11" s="46"/>
      <c r="H11" s="194" t="s">
        <v>147</v>
      </c>
      <c r="I11" s="194" t="s">
        <v>147</v>
      </c>
      <c r="J11" s="194" t="s">
        <v>108</v>
      </c>
    </row>
    <row r="12" spans="1:11" x14ac:dyDescent="0.45">
      <c r="A12" s="47" t="s">
        <v>8</v>
      </c>
      <c r="B12" s="47" t="s">
        <v>148</v>
      </c>
      <c r="C12" s="48" t="s">
        <v>149</v>
      </c>
      <c r="D12" s="48" t="s">
        <v>150</v>
      </c>
      <c r="E12" s="48" t="s">
        <v>151</v>
      </c>
      <c r="F12" s="48"/>
      <c r="G12" s="46"/>
      <c r="H12" s="195" t="s">
        <v>40</v>
      </c>
      <c r="I12" s="195" t="s">
        <v>152</v>
      </c>
      <c r="J12" s="195" t="s">
        <v>153</v>
      </c>
    </row>
    <row r="13" spans="1:11" x14ac:dyDescent="0.45">
      <c r="A13" s="49">
        <v>1</v>
      </c>
      <c r="B13" s="44"/>
      <c r="C13" s="44"/>
      <c r="D13" s="44"/>
      <c r="E13" s="44"/>
      <c r="F13" s="44"/>
      <c r="G13" s="44"/>
    </row>
    <row r="14" spans="1:11" x14ac:dyDescent="0.45">
      <c r="A14" s="49">
        <v>2</v>
      </c>
      <c r="B14" s="138" t="s">
        <v>111</v>
      </c>
      <c r="C14" s="196">
        <f>'Link In'!C54</f>
        <v>1739</v>
      </c>
      <c r="D14" s="197">
        <v>1</v>
      </c>
      <c r="E14" s="198">
        <f>C14*D14</f>
        <v>1739</v>
      </c>
      <c r="F14" s="137">
        <f>F18-SUM(F15:F16)</f>
        <v>756581.4</v>
      </c>
      <c r="G14" s="198"/>
      <c r="H14" s="124">
        <f>I14*E14*12</f>
        <v>1992151.1335458383</v>
      </c>
      <c r="I14" s="199">
        <f>'FY Billing Analysis - SCH M-1'!I14</f>
        <v>95.464401645861514</v>
      </c>
      <c r="J14" s="200">
        <f>(H14-F14)/F14</f>
        <v>1.6330955711385957</v>
      </c>
    </row>
    <row r="15" spans="1:11" ht="15.75" x14ac:dyDescent="0.45">
      <c r="A15" s="49">
        <v>3</v>
      </c>
      <c r="B15" t="s">
        <v>154</v>
      </c>
      <c r="C15" s="196">
        <f>'Link In'!C55</f>
        <v>82</v>
      </c>
      <c r="D15" s="197">
        <v>0.75</v>
      </c>
      <c r="E15" s="198">
        <f>C15*D15</f>
        <v>61.5</v>
      </c>
      <c r="F15" s="137">
        <f>82*30.4*12</f>
        <v>29913.599999999999</v>
      </c>
      <c r="G15" s="198"/>
      <c r="H15" s="124">
        <f>I15*E15*12</f>
        <v>52839.546310984348</v>
      </c>
      <c r="I15" s="199">
        <f>'FY Billing Analysis - SCH M-1'!I15</f>
        <v>71.598301234396132</v>
      </c>
      <c r="J15" s="201">
        <f>(H15-F15)/F15</f>
        <v>0.76640545808543104</v>
      </c>
    </row>
    <row r="16" spans="1:11" ht="15.75" x14ac:dyDescent="0.45">
      <c r="A16" s="49">
        <v>4</v>
      </c>
      <c r="B16" s="138" t="s">
        <v>164</v>
      </c>
      <c r="C16" s="196">
        <f>'Link In'!C56</f>
        <v>4</v>
      </c>
      <c r="D16" s="197">
        <v>2.5</v>
      </c>
      <c r="E16" s="198">
        <f>C16*D16</f>
        <v>10</v>
      </c>
      <c r="F16" s="137">
        <f>35*2*12+25*2*2</f>
        <v>940</v>
      </c>
      <c r="G16" s="198"/>
      <c r="H16" s="124">
        <f>I16*E16*12</f>
        <v>28639.320493758452</v>
      </c>
      <c r="I16" s="199">
        <f>'FY Billing Analysis - SCH M-1'!I16</f>
        <v>238.66100411465376</v>
      </c>
      <c r="J16" s="201">
        <f>(H16-F16)/F16</f>
        <v>29.46736222740261</v>
      </c>
    </row>
    <row r="17" spans="1:9" x14ac:dyDescent="0.45">
      <c r="A17" s="49">
        <v>5</v>
      </c>
      <c r="B17" s="204"/>
      <c r="C17" s="196"/>
      <c r="D17" s="205"/>
      <c r="E17" s="198"/>
      <c r="F17"/>
      <c r="G17" s="198"/>
    </row>
    <row r="18" spans="1:9" x14ac:dyDescent="0.45">
      <c r="A18" s="49">
        <v>6</v>
      </c>
      <c r="B18" s="206" t="s">
        <v>89</v>
      </c>
      <c r="C18" s="207">
        <f>SUM(C14:C16)</f>
        <v>1825</v>
      </c>
      <c r="F18" s="208">
        <f>'Rev Requirement - SCH A'!D15-'Link In'!C61</f>
        <v>787435</v>
      </c>
      <c r="G18" s="209"/>
      <c r="H18" s="208">
        <f>SUM(H14:H16)</f>
        <v>2073630.000350581</v>
      </c>
      <c r="I18" s="199"/>
    </row>
    <row r="19" spans="1:9" x14ac:dyDescent="0.45">
      <c r="A19" s="49">
        <v>7</v>
      </c>
      <c r="B19" s="204"/>
      <c r="C19" s="205"/>
      <c r="D19" s="205"/>
      <c r="E19" s="205"/>
      <c r="F19" s="205"/>
      <c r="G19" s="205"/>
    </row>
    <row r="20" spans="1:9" x14ac:dyDescent="0.45">
      <c r="A20" s="49">
        <v>8</v>
      </c>
      <c r="B20" s="204"/>
      <c r="C20" s="205"/>
      <c r="D20" s="205"/>
      <c r="E20" s="205"/>
      <c r="F20" s="205"/>
      <c r="G20" s="205"/>
    </row>
    <row r="21" spans="1:9" x14ac:dyDescent="0.45">
      <c r="A21" s="49">
        <v>9</v>
      </c>
      <c r="B21" s="204"/>
      <c r="C21" s="205"/>
      <c r="D21" s="205"/>
      <c r="E21" s="205"/>
      <c r="F21" s="205"/>
      <c r="G21" s="205"/>
    </row>
    <row r="22" spans="1:9" x14ac:dyDescent="0.45">
      <c r="A22" s="49">
        <v>10</v>
      </c>
      <c r="C22" s="205"/>
      <c r="D22" s="205"/>
      <c r="E22" s="205"/>
      <c r="F22" s="205"/>
      <c r="G22" s="205"/>
    </row>
    <row r="23" spans="1:9" x14ac:dyDescent="0.45">
      <c r="A23" s="49">
        <v>11</v>
      </c>
      <c r="B23" s="204"/>
      <c r="C23" s="205"/>
      <c r="D23" s="205"/>
      <c r="E23" s="205"/>
      <c r="F23" s="205"/>
      <c r="G23" s="205"/>
    </row>
    <row r="24" spans="1:9" x14ac:dyDescent="0.45">
      <c r="A24" s="49">
        <v>12</v>
      </c>
      <c r="B24" s="204"/>
      <c r="C24" s="205"/>
      <c r="D24" s="205"/>
      <c r="E24" s="205"/>
      <c r="F24" s="205"/>
      <c r="G24" s="205"/>
    </row>
    <row r="25" spans="1:9" ht="15.75" x14ac:dyDescent="0.45">
      <c r="A25" s="49">
        <v>13</v>
      </c>
      <c r="B25" s="204" t="s">
        <v>157</v>
      </c>
      <c r="C25" s="205"/>
      <c r="D25" s="205"/>
      <c r="E25" s="205"/>
      <c r="F25" s="205"/>
      <c r="G25" s="205"/>
    </row>
    <row r="26" spans="1:9" ht="15.75" x14ac:dyDescent="0.45">
      <c r="A26" s="49">
        <v>14</v>
      </c>
      <c r="B26" s="44" t="s">
        <v>158</v>
      </c>
      <c r="C26" s="162"/>
      <c r="D26" s="162"/>
      <c r="E26" s="162"/>
      <c r="F26" s="162"/>
      <c r="G26" s="162"/>
    </row>
    <row r="27" spans="1:9" ht="15.75" x14ac:dyDescent="0.45">
      <c r="A27" s="49">
        <v>15</v>
      </c>
      <c r="B27" s="204" t="s">
        <v>165</v>
      </c>
      <c r="D27" s="162"/>
      <c r="F27" s="34"/>
      <c r="G27" s="34"/>
    </row>
    <row r="28" spans="1:9" x14ac:dyDescent="0.45">
      <c r="A28" s="49">
        <v>16</v>
      </c>
      <c r="B28" s="175"/>
      <c r="C28" s="46"/>
      <c r="D28" s="46"/>
      <c r="E28" s="46"/>
      <c r="F28" s="46"/>
      <c r="G28" s="46"/>
    </row>
    <row r="29" spans="1:9" x14ac:dyDescent="0.45">
      <c r="A29" s="49">
        <v>17</v>
      </c>
      <c r="B29" s="43"/>
      <c r="C29" s="159"/>
      <c r="D29" s="159"/>
      <c r="E29" s="159"/>
      <c r="F29" s="159"/>
      <c r="G29" s="159"/>
      <c r="H29" s="46"/>
    </row>
    <row r="30" spans="1:9" x14ac:dyDescent="0.45">
      <c r="A30" s="49">
        <v>18</v>
      </c>
      <c r="B30" s="204"/>
      <c r="C30" s="162"/>
      <c r="D30" s="162"/>
      <c r="E30" s="162"/>
      <c r="F30" s="162"/>
      <c r="G30" s="162"/>
      <c r="H30" s="159"/>
    </row>
    <row r="31" spans="1:9" x14ac:dyDescent="0.45">
      <c r="A31" s="49"/>
      <c r="B31" s="175"/>
      <c r="C31" s="162"/>
      <c r="D31" s="162"/>
      <c r="E31" s="162"/>
      <c r="F31" s="162"/>
      <c r="G31" s="162"/>
    </row>
    <row r="32" spans="1:9" x14ac:dyDescent="0.45">
      <c r="A32" s="49"/>
      <c r="B32" s="44"/>
      <c r="C32" s="159"/>
      <c r="D32" s="159"/>
      <c r="E32" s="159"/>
      <c r="F32" s="159"/>
      <c r="G32" s="159"/>
    </row>
    <row r="33" spans="1:8" x14ac:dyDescent="0.45">
      <c r="A33" s="49"/>
      <c r="B33" s="44"/>
      <c r="C33" s="162"/>
      <c r="D33" s="162"/>
      <c r="E33" s="162"/>
      <c r="F33" s="162"/>
      <c r="G33" s="162"/>
      <c r="H33" s="159"/>
    </row>
    <row r="34" spans="1:8" x14ac:dyDescent="0.45">
      <c r="A34" s="49"/>
      <c r="B34" s="44"/>
      <c r="C34" s="162"/>
      <c r="D34" s="162"/>
      <c r="E34" s="162"/>
      <c r="F34" s="162"/>
      <c r="G34" s="162"/>
      <c r="H34" s="162"/>
    </row>
    <row r="35" spans="1:8" x14ac:dyDescent="0.45">
      <c r="A35" s="49"/>
      <c r="B35" s="44"/>
      <c r="C35" s="162"/>
      <c r="D35" s="162"/>
      <c r="E35" s="162"/>
      <c r="F35" s="162"/>
      <c r="G35" s="162"/>
      <c r="H35" s="162"/>
    </row>
    <row r="36" spans="1:8" x14ac:dyDescent="0.45">
      <c r="A36" s="49"/>
      <c r="B36" s="44"/>
      <c r="C36" s="162"/>
      <c r="D36" s="162"/>
      <c r="E36" s="162"/>
      <c r="F36" s="162"/>
      <c r="G36" s="162"/>
      <c r="H36" s="162"/>
    </row>
    <row r="37" spans="1:8" x14ac:dyDescent="0.45">
      <c r="A37" s="49"/>
      <c r="B37" s="44"/>
      <c r="C37" s="162"/>
      <c r="D37" s="162"/>
      <c r="E37" s="162"/>
      <c r="F37" s="162"/>
      <c r="G37" s="162"/>
      <c r="H37" s="162"/>
    </row>
    <row r="38" spans="1:8" x14ac:dyDescent="0.45">
      <c r="A38" s="49"/>
      <c r="B38" s="155"/>
      <c r="C38" s="159"/>
      <c r="D38" s="159"/>
      <c r="E38" s="159"/>
      <c r="F38" s="159"/>
      <c r="G38" s="159"/>
      <c r="H38" s="162"/>
    </row>
    <row r="39" spans="1:8" x14ac:dyDescent="0.45">
      <c r="A39" s="49"/>
      <c r="B39" s="44"/>
      <c r="C39" s="44"/>
      <c r="D39" s="44"/>
      <c r="E39" s="44"/>
      <c r="F39" s="44"/>
      <c r="G39" s="44"/>
      <c r="H39" s="159"/>
    </row>
    <row r="40" spans="1:8" x14ac:dyDescent="0.45">
      <c r="A40" s="49"/>
      <c r="B40" s="155"/>
      <c r="C40" s="159"/>
      <c r="D40" s="159"/>
      <c r="E40" s="159"/>
      <c r="F40" s="159"/>
      <c r="G40" s="159"/>
    </row>
    <row r="41" spans="1:8" x14ac:dyDescent="0.45">
      <c r="A41" s="49"/>
      <c r="B41" s="44"/>
      <c r="C41" s="44"/>
      <c r="D41" s="44"/>
      <c r="E41" s="44"/>
      <c r="F41" s="44"/>
      <c r="G41" s="44"/>
      <c r="H41" s="159"/>
    </row>
    <row r="42" spans="1:8" x14ac:dyDescent="0.45">
      <c r="A42" s="49"/>
    </row>
    <row r="43" spans="1:8" x14ac:dyDescent="0.45">
      <c r="A43" s="49"/>
      <c r="H43" s="124"/>
    </row>
  </sheetData>
  <mergeCells count="3">
    <mergeCell ref="A2:K2"/>
    <mergeCell ref="A3:K3"/>
    <mergeCell ref="A4:K4"/>
  </mergeCells>
  <printOptions horizontalCentered="1"/>
  <pageMargins left="0.7" right="0.7" top="0.75" bottom="0.75" header="0.3" footer="0.3"/>
  <pageSetup paperSize="5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331C-06BB-4DBC-983B-5BF328C5C35E}">
  <sheetPr>
    <pageSetUpPr fitToPage="1"/>
  </sheetPr>
  <dimension ref="A1:E47"/>
  <sheetViews>
    <sheetView topLeftCell="A7" zoomScale="80" zoomScaleNormal="80" workbookViewId="0">
      <selection activeCell="D24" sqref="D24"/>
    </sheetView>
  </sheetViews>
  <sheetFormatPr defaultColWidth="9.1328125" defaultRowHeight="14.25" x14ac:dyDescent="0.45"/>
  <cols>
    <col min="1" max="1" width="9.1328125" style="4"/>
    <col min="2" max="2" width="75" style="4" customWidth="1"/>
    <col min="3" max="3" width="15.1328125" style="4" bestFit="1" customWidth="1"/>
    <col min="4" max="4" width="22.1328125" style="4" customWidth="1"/>
    <col min="5" max="5" width="16.59765625" style="4" customWidth="1"/>
    <col min="6" max="16384" width="9.1328125" style="4"/>
  </cols>
  <sheetData>
    <row r="1" spans="1:5" x14ac:dyDescent="0.45">
      <c r="A1" s="43" t="s">
        <v>114</v>
      </c>
      <c r="B1" s="44"/>
      <c r="C1" s="44"/>
      <c r="E1" s="155"/>
    </row>
    <row r="2" spans="1:5" x14ac:dyDescent="0.45">
      <c r="A2" s="43" t="s">
        <v>115</v>
      </c>
      <c r="B2" s="44"/>
      <c r="C2" s="44"/>
      <c r="E2" s="156" t="str">
        <f ca="1">RIGHT(CELL("filename",$A$1),LEN(CELL("filename",$A$1))-SEARCH("/Work Papers",CELL("filename",$A$1),1))</f>
        <v>Work Papers/[BGUOC 2020 Rate Case - Revenue Requirement and Conversion Factor (Sewer).xlsx]Proposed Rate Adjustments</v>
      </c>
    </row>
    <row r="3" spans="1:5" x14ac:dyDescent="0.45">
      <c r="A3" s="43"/>
      <c r="B3" s="44"/>
      <c r="C3" s="44"/>
      <c r="D3" s="155"/>
    </row>
    <row r="4" spans="1:5" x14ac:dyDescent="0.45">
      <c r="A4" s="43"/>
      <c r="B4" s="44"/>
      <c r="C4" s="44"/>
      <c r="D4" s="44"/>
    </row>
    <row r="5" spans="1:5" x14ac:dyDescent="0.45">
      <c r="A5" s="43"/>
      <c r="B5" s="44"/>
      <c r="C5" s="44"/>
      <c r="D5" s="44"/>
    </row>
    <row r="6" spans="1:5" x14ac:dyDescent="0.45">
      <c r="A6" s="213" t="str">
        <f>'Link In'!C2</f>
        <v>Bluegrass Water Utility Operating Company, LLC</v>
      </c>
      <c r="B6" s="213"/>
      <c r="C6" s="213"/>
      <c r="D6" s="213"/>
      <c r="E6" s="213"/>
    </row>
    <row r="7" spans="1:5" x14ac:dyDescent="0.45">
      <c r="A7" s="213" t="str">
        <f>'Link In'!C4</f>
        <v>Case No. 2020-00290</v>
      </c>
      <c r="B7" s="213"/>
      <c r="C7" s="213"/>
      <c r="D7" s="213"/>
      <c r="E7" s="213"/>
    </row>
    <row r="8" spans="1:5" x14ac:dyDescent="0.45">
      <c r="A8" s="213" t="s">
        <v>116</v>
      </c>
      <c r="B8" s="213"/>
      <c r="C8" s="213"/>
      <c r="D8" s="213"/>
      <c r="E8" s="213"/>
    </row>
    <row r="9" spans="1:5" x14ac:dyDescent="0.45">
      <c r="A9" s="213"/>
      <c r="B9" s="213"/>
      <c r="C9" s="213"/>
      <c r="D9" s="213"/>
    </row>
    <row r="10" spans="1:5" x14ac:dyDescent="0.45">
      <c r="A10" s="43"/>
      <c r="B10" s="43"/>
      <c r="C10" s="43"/>
      <c r="D10" s="43"/>
    </row>
    <row r="11" spans="1:5" x14ac:dyDescent="0.45">
      <c r="A11" s="157" t="s">
        <v>117</v>
      </c>
      <c r="B11" s="43"/>
      <c r="C11" s="43"/>
      <c r="D11" s="44"/>
    </row>
    <row r="12" spans="1:5" x14ac:dyDescent="0.45">
      <c r="A12" s="158" t="s">
        <v>105</v>
      </c>
      <c r="B12" s="43"/>
      <c r="C12" s="43"/>
      <c r="D12" s="44"/>
    </row>
    <row r="13" spans="1:5" x14ac:dyDescent="0.45">
      <c r="A13" s="44"/>
      <c r="B13" s="44"/>
      <c r="C13" s="154" t="s">
        <v>118</v>
      </c>
      <c r="D13" s="45"/>
    </row>
    <row r="14" spans="1:5" x14ac:dyDescent="0.45">
      <c r="A14" s="154" t="s">
        <v>7</v>
      </c>
      <c r="B14" s="44"/>
      <c r="C14" s="154" t="s">
        <v>50</v>
      </c>
      <c r="D14" s="46" t="s">
        <v>89</v>
      </c>
    </row>
    <row r="15" spans="1:5" x14ac:dyDescent="0.45">
      <c r="A15" s="47" t="s">
        <v>8</v>
      </c>
      <c r="B15" s="47" t="s">
        <v>119</v>
      </c>
      <c r="C15" s="47" t="s">
        <v>108</v>
      </c>
      <c r="D15" s="48" t="s">
        <v>34</v>
      </c>
    </row>
    <row r="16" spans="1:5" x14ac:dyDescent="0.45">
      <c r="A16" s="49">
        <v>1</v>
      </c>
      <c r="B16" s="44"/>
      <c r="C16" s="44"/>
      <c r="D16" s="44"/>
    </row>
    <row r="17" spans="1:5" x14ac:dyDescent="0.45">
      <c r="A17" s="49">
        <v>2</v>
      </c>
      <c r="B17" s="50" t="s">
        <v>120</v>
      </c>
      <c r="C17" s="44"/>
      <c r="D17" s="159">
        <f>'Rev Requirement - SCH A'!D45</f>
        <v>2330167.2864083303</v>
      </c>
      <c r="E17" s="160"/>
    </row>
    <row r="18" spans="1:5" x14ac:dyDescent="0.45">
      <c r="A18" s="49">
        <v>3</v>
      </c>
      <c r="B18" s="161" t="s">
        <v>121</v>
      </c>
      <c r="C18" s="44"/>
      <c r="D18" s="159">
        <f>'Rev Requirement - SCH A'!D40</f>
        <v>2044154.76512826</v>
      </c>
    </row>
    <row r="19" spans="1:5" ht="14.65" thickBot="1" x14ac:dyDescent="0.5">
      <c r="A19" s="49">
        <v>4</v>
      </c>
      <c r="B19" s="163" t="s">
        <v>122</v>
      </c>
      <c r="C19" s="44"/>
      <c r="D19" s="164">
        <f>D17-D18</f>
        <v>286012.5212800703</v>
      </c>
    </row>
    <row r="20" spans="1:5" ht="14.65" thickTop="1" x14ac:dyDescent="0.45">
      <c r="A20" s="49">
        <v>5</v>
      </c>
      <c r="B20" s="44"/>
      <c r="C20" s="44"/>
      <c r="D20" s="44"/>
    </row>
    <row r="21" spans="1:5" x14ac:dyDescent="0.45">
      <c r="A21" s="49">
        <v>6</v>
      </c>
      <c r="B21" s="165" t="s">
        <v>123</v>
      </c>
      <c r="C21" s="166"/>
      <c r="D21" s="44"/>
    </row>
    <row r="22" spans="1:5" x14ac:dyDescent="0.45">
      <c r="A22" s="49">
        <v>7</v>
      </c>
      <c r="B22" s="44" t="s">
        <v>124</v>
      </c>
      <c r="C22" s="167">
        <f>SUM('Rev Conversion Factor - SCH H'!E15)</f>
        <v>2.9225000000000001E-2</v>
      </c>
      <c r="D22" s="159">
        <f>D19*C22</f>
        <v>8358.7159344100546</v>
      </c>
    </row>
    <row r="23" spans="1:5" x14ac:dyDescent="0.45">
      <c r="A23" s="49">
        <v>8</v>
      </c>
      <c r="B23" s="44" t="s">
        <v>125</v>
      </c>
      <c r="C23" s="167">
        <f>'Rev Conversion Factor - SCH H'!E16</f>
        <v>7.7929999999999996E-3</v>
      </c>
      <c r="D23" s="162">
        <f>D19*C23</f>
        <v>2228.8955783355877</v>
      </c>
    </row>
    <row r="24" spans="1:5" x14ac:dyDescent="0.45">
      <c r="A24" s="49">
        <v>9</v>
      </c>
      <c r="B24" s="44" t="s">
        <v>126</v>
      </c>
      <c r="C24" s="167">
        <f>'Rev Conversion Factor - SCH H'!E20</f>
        <v>0.19298199999999999</v>
      </c>
      <c r="D24" s="162">
        <f>D19*C24</f>
        <v>55195.268381670525</v>
      </c>
    </row>
    <row r="25" spans="1:5" x14ac:dyDescent="0.45">
      <c r="A25" s="49">
        <v>10</v>
      </c>
      <c r="B25" s="168" t="s">
        <v>127</v>
      </c>
      <c r="C25" s="169">
        <f>'Rev Conversion Factor - SCH H'!E23</f>
        <v>0.76999899999999999</v>
      </c>
      <c r="D25" s="170">
        <f>D19*C25</f>
        <v>220229.35537313286</v>
      </c>
    </row>
    <row r="26" spans="1:5" x14ac:dyDescent="0.45">
      <c r="A26" s="49">
        <v>11</v>
      </c>
      <c r="B26" s="44"/>
      <c r="C26" s="171"/>
      <c r="D26" s="162"/>
    </row>
    <row r="27" spans="1:5" ht="14.65" thickBot="1" x14ac:dyDescent="0.5">
      <c r="A27" s="49">
        <v>12</v>
      </c>
      <c r="B27" s="155" t="s">
        <v>128</v>
      </c>
      <c r="C27" s="172">
        <v>1</v>
      </c>
      <c r="D27" s="173">
        <f>SUM(D22:D25)</f>
        <v>286012.23526754905</v>
      </c>
    </row>
    <row r="28" spans="1:5" ht="14.65" thickTop="1" x14ac:dyDescent="0.45">
      <c r="A28" s="49">
        <v>13</v>
      </c>
      <c r="B28" s="43"/>
      <c r="C28" s="44"/>
      <c r="D28" s="159"/>
    </row>
    <row r="29" spans="1:5" ht="14.65" thickBot="1" x14ac:dyDescent="0.5">
      <c r="A29" s="49">
        <v>14</v>
      </c>
      <c r="B29" s="155" t="s">
        <v>129</v>
      </c>
      <c r="C29" s="44"/>
      <c r="D29" s="173">
        <f>D17-D27</f>
        <v>2044155.0511407813</v>
      </c>
    </row>
    <row r="30" spans="1:5" ht="14.65" thickTop="1" x14ac:dyDescent="0.45">
      <c r="A30" s="49">
        <v>15</v>
      </c>
      <c r="B30" s="44"/>
      <c r="C30" s="44"/>
      <c r="D30" s="174"/>
    </row>
    <row r="31" spans="1:5" x14ac:dyDescent="0.45">
      <c r="A31" s="49">
        <v>16</v>
      </c>
      <c r="B31" s="44"/>
      <c r="C31" s="44"/>
      <c r="D31" s="162"/>
    </row>
    <row r="32" spans="1:5" x14ac:dyDescent="0.45">
      <c r="A32" s="49">
        <v>17</v>
      </c>
      <c r="C32" s="44"/>
      <c r="D32" s="162"/>
    </row>
    <row r="33" spans="1:5" x14ac:dyDescent="0.45">
      <c r="A33" s="49">
        <v>18</v>
      </c>
      <c r="B33" s="175" t="s">
        <v>130</v>
      </c>
      <c r="C33" s="47" t="s">
        <v>109</v>
      </c>
      <c r="D33" s="48" t="s">
        <v>131</v>
      </c>
      <c r="E33" s="48" t="s">
        <v>132</v>
      </c>
    </row>
    <row r="34" spans="1:5" ht="14.65" thickBot="1" x14ac:dyDescent="0.5">
      <c r="A34" s="49">
        <v>19</v>
      </c>
      <c r="B34" s="43" t="s">
        <v>133</v>
      </c>
      <c r="C34" s="173">
        <f>'Rev Requirement - SCH A'!D15</f>
        <v>1186531</v>
      </c>
      <c r="D34" s="173">
        <f>D17</f>
        <v>2330167.2864083303</v>
      </c>
      <c r="E34" s="173">
        <f>C34+D34</f>
        <v>3516698.2864083303</v>
      </c>
    </row>
    <row r="35" spans="1:5" ht="14.65" thickTop="1" x14ac:dyDescent="0.45">
      <c r="A35" s="49">
        <v>20</v>
      </c>
      <c r="B35" s="44"/>
      <c r="C35" s="44"/>
      <c r="D35" s="162"/>
    </row>
    <row r="36" spans="1:5" x14ac:dyDescent="0.45">
      <c r="A36" s="49">
        <v>21</v>
      </c>
      <c r="B36" s="175" t="s">
        <v>134</v>
      </c>
      <c r="C36" s="44"/>
      <c r="D36" s="162"/>
    </row>
    <row r="37" spans="1:5" x14ac:dyDescent="0.45">
      <c r="A37" s="49">
        <v>22</v>
      </c>
      <c r="B37" s="44" t="s">
        <v>135</v>
      </c>
      <c r="C37" s="159">
        <f>'Rev Requirement - SCH A'!D18</f>
        <v>2120752.6774516809</v>
      </c>
      <c r="D37" s="159">
        <f>D22</f>
        <v>8358.7159344100546</v>
      </c>
      <c r="E37" s="159">
        <f t="shared" ref="E37:E43" si="0">C37+D37</f>
        <v>2129111.3933860911</v>
      </c>
    </row>
    <row r="38" spans="1:5" x14ac:dyDescent="0.45">
      <c r="A38" s="49">
        <v>23</v>
      </c>
      <c r="B38" s="44" t="s">
        <v>65</v>
      </c>
      <c r="C38" s="159">
        <f>'Rev Requirement - SCH A'!D19</f>
        <v>298568.29356666666</v>
      </c>
      <c r="D38" s="162">
        <v>0</v>
      </c>
      <c r="E38" s="162">
        <f t="shared" si="0"/>
        <v>298568.29356666666</v>
      </c>
    </row>
    <row r="39" spans="1:5" x14ac:dyDescent="0.45">
      <c r="A39" s="49">
        <v>24</v>
      </c>
      <c r="B39" s="44" t="s">
        <v>136</v>
      </c>
      <c r="C39" s="159">
        <f>'Rev Requirement - SCH A'!D20+'Rev Requirement - SCH A'!D21</f>
        <v>0</v>
      </c>
      <c r="D39" s="162">
        <v>0</v>
      </c>
      <c r="E39" s="162">
        <f t="shared" si="0"/>
        <v>0</v>
      </c>
    </row>
    <row r="40" spans="1:5" x14ac:dyDescent="0.45">
      <c r="A40" s="49">
        <v>25</v>
      </c>
      <c r="B40" s="44" t="s">
        <v>30</v>
      </c>
      <c r="C40" s="159">
        <f>'Rev Requirement - SCH A'!D24</f>
        <v>17621.759999999998</v>
      </c>
      <c r="D40" s="162">
        <f>D23</f>
        <v>2228.8955783355877</v>
      </c>
      <c r="E40" s="162">
        <f t="shared" si="0"/>
        <v>19850.655578335587</v>
      </c>
    </row>
    <row r="41" spans="1:5" x14ac:dyDescent="0.45">
      <c r="A41" s="49">
        <v>26</v>
      </c>
      <c r="B41" s="44" t="s">
        <v>67</v>
      </c>
      <c r="C41" s="159">
        <f>'Rev Requirement - SCH A'!D22</f>
        <v>0</v>
      </c>
      <c r="D41" s="162">
        <f>D24</f>
        <v>55195.268381670525</v>
      </c>
      <c r="E41" s="162">
        <f t="shared" si="0"/>
        <v>55195.268381670525</v>
      </c>
    </row>
    <row r="42" spans="1:5" x14ac:dyDescent="0.45">
      <c r="A42" s="49">
        <v>27</v>
      </c>
      <c r="B42" s="44" t="s">
        <v>68</v>
      </c>
      <c r="C42" s="176">
        <f>'Rev Requirement - SCH A'!D23</f>
        <v>0</v>
      </c>
      <c r="D42" s="170">
        <f>D25</f>
        <v>220229.35537313286</v>
      </c>
      <c r="E42" s="170">
        <f t="shared" si="0"/>
        <v>220229.35537313286</v>
      </c>
    </row>
    <row r="43" spans="1:5" ht="14.65" thickBot="1" x14ac:dyDescent="0.5">
      <c r="A43" s="49">
        <v>28</v>
      </c>
      <c r="B43" s="155" t="s">
        <v>31</v>
      </c>
      <c r="C43" s="173">
        <f>'Rev Requirement - SCH A'!D25</f>
        <v>2436942.7310183472</v>
      </c>
      <c r="D43" s="173">
        <f>SUM(D37:D42)</f>
        <v>286012.23526754905</v>
      </c>
      <c r="E43" s="173">
        <f t="shared" si="0"/>
        <v>2722954.9662858965</v>
      </c>
    </row>
    <row r="44" spans="1:5" ht="14.65" thickTop="1" x14ac:dyDescent="0.45">
      <c r="A44" s="49">
        <v>29</v>
      </c>
      <c r="B44" s="44"/>
      <c r="C44" s="44"/>
      <c r="D44" s="44"/>
    </row>
    <row r="45" spans="1:5" ht="14.65" thickBot="1" x14ac:dyDescent="0.5">
      <c r="A45" s="49">
        <v>30</v>
      </c>
      <c r="B45" s="155" t="s">
        <v>137</v>
      </c>
      <c r="C45" s="173">
        <f>'Rev Requirement - SCH A'!D27</f>
        <v>-1250411.7310183472</v>
      </c>
      <c r="D45" s="173">
        <f>D34-D43</f>
        <v>2044155.0511407813</v>
      </c>
      <c r="E45" s="173">
        <f>C45+D45</f>
        <v>793743.32012243406</v>
      </c>
    </row>
    <row r="46" spans="1:5" ht="14.65" thickTop="1" x14ac:dyDescent="0.45">
      <c r="A46" s="49">
        <v>31</v>
      </c>
      <c r="B46" s="44"/>
      <c r="C46" s="44"/>
      <c r="D46" s="44"/>
    </row>
    <row r="47" spans="1:5" x14ac:dyDescent="0.45">
      <c r="E47" s="124"/>
    </row>
  </sheetData>
  <mergeCells count="4">
    <mergeCell ref="A6:E6"/>
    <mergeCell ref="A7:E7"/>
    <mergeCell ref="A8:E8"/>
    <mergeCell ref="A9:D9"/>
  </mergeCells>
  <printOptions horizontalCentered="1"/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3A556-F986-4795-AC7C-E41030C69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B11F38-CDE7-434B-B6A0-199360BAA803}">
  <ds:schemaRefs>
    <ds:schemaRef ds:uri="http://schemas.microsoft.com/office/2006/metadata/properties"/>
    <ds:schemaRef ds:uri="http://purl.org/dc/terms/"/>
    <ds:schemaRef ds:uri="219c5758-d311-4f49-8eb7-a0c37216249c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c29f954-72e5-4988-94c8-6074c4013e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E12E18-6623-4219-912D-5F22F0F2D1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Link In</vt:lpstr>
      <vt:lpstr>Link Out</vt:lpstr>
      <vt:lpstr>Rev Requirement - SCH A</vt:lpstr>
      <vt:lpstr>Rev Conversion Factor - SCH H</vt:lpstr>
      <vt:lpstr>FY Billing Analysis - SCH M-1</vt:lpstr>
      <vt:lpstr>BY Billing Analysis - SCH M-2</vt:lpstr>
      <vt:lpstr>Proposed Rate Adjustments</vt:lpstr>
      <vt:lpstr>'Rev Conversion Factor - SCH H'!Print_Area</vt:lpstr>
      <vt:lpstr>'Rev Requirement - SCH A'!Print_Area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</dc:creator>
  <cp:keywords/>
  <dc:description/>
  <cp:lastModifiedBy>Mike Duncan</cp:lastModifiedBy>
  <cp:revision/>
  <cp:lastPrinted>2021-03-16T20:43:07Z</cp:lastPrinted>
  <dcterms:created xsi:type="dcterms:W3CDTF">2012-10-23T17:09:57Z</dcterms:created>
  <dcterms:modified xsi:type="dcterms:W3CDTF">2021-03-16T20:43:51Z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{159F2452-0987-4AD9-BF9A-6DCB3DA5755D}</vt:lpwstr>
  </property>
  <property fmtid="{D5CDD505-2E9C-101B-9397-08002B2CF9AE}" pid="3" name="ContentTypeId">
    <vt:lpwstr>0x01010035F955E8F06CBD48B7814246FB9E203E</vt:lpwstr>
  </property>
</Properties>
</file>