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Financial Exhibit 21 - Original/Work Papers/"/>
    </mc:Choice>
  </mc:AlternateContent>
  <xr:revisionPtr revIDLastSave="587" documentId="8_{354CB612-5F9D-4198-B2E1-9E2C58769584}" xr6:coauthVersionLast="45" xr6:coauthVersionMax="45" xr10:uidLastSave="{7CE25A64-60E6-4907-B414-E0F01481636A}"/>
  <bookViews>
    <workbookView xWindow="-98" yWindow="-98" windowWidth="20715" windowHeight="13276" tabRatio="775" activeTab="2" xr2:uid="{00000000-000D-0000-FFFF-FFFF00000000}"/>
  </bookViews>
  <sheets>
    <sheet name="Link In" sheetId="1" r:id="rId1"/>
    <sheet name="Link Out" sheetId="2" r:id="rId2"/>
    <sheet name="Rev Requirement - SCH A" sheetId="3" r:id="rId3"/>
    <sheet name="Rev Conversion Factor - SCH H" sheetId="4" r:id="rId4"/>
    <sheet name="Billing Analysis - FY SCH M" sheetId="7" r:id="rId5"/>
    <sheet name="Proposed Rate Adjustments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'Rev Conversion Factor - SCH H'!$A$1:$G$33</definedName>
    <definedName name="_xlnm.Print_Area" localSheetId="2">'Rev Requirement - SCH A'!$A$1:$F$54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4" l="1"/>
  <c r="C25" i="8" l="1"/>
  <c r="C24" i="8"/>
  <c r="C22" i="8"/>
  <c r="C23" i="8" l="1"/>
  <c r="C43" i="8"/>
  <c r="C38" i="8"/>
  <c r="C34" i="8"/>
  <c r="E38" i="8"/>
  <c r="E2" i="8"/>
  <c r="C56" i="1" l="1"/>
  <c r="C16" i="7" s="1"/>
  <c r="J9" i="7" l="1"/>
  <c r="D52" i="1" l="1"/>
  <c r="C52" i="1"/>
  <c r="C25" i="3" l="1"/>
  <c r="D25" i="3"/>
  <c r="C26" i="3"/>
  <c r="D26" i="3"/>
  <c r="D41" i="1"/>
  <c r="D27" i="3" s="1"/>
  <c r="C45" i="8" s="1"/>
  <c r="C41" i="1"/>
  <c r="C27" i="3" s="1"/>
  <c r="C19" i="4" l="1"/>
  <c r="C31" i="1" l="1"/>
  <c r="C37" i="3" l="1"/>
  <c r="D37" i="3"/>
  <c r="G11" i="4" l="1"/>
  <c r="F11" i="3"/>
  <c r="D19" i="4" l="1"/>
  <c r="C21" i="7" l="1"/>
  <c r="E16" i="7" l="1"/>
  <c r="E21" i="7" s="1"/>
  <c r="C3" i="1" l="1"/>
  <c r="C4" i="1"/>
  <c r="A7" i="8" s="1"/>
  <c r="C5" i="1"/>
  <c r="C6" i="1"/>
  <c r="C7" i="1"/>
  <c r="C2" i="1"/>
  <c r="A6" i="8" s="1"/>
  <c r="A4" i="7" l="1"/>
  <c r="A5" i="7"/>
  <c r="C14" i="2" l="1"/>
  <c r="G2" i="4" l="1"/>
  <c r="B15" i="2"/>
  <c r="B14" i="2"/>
  <c r="F2" i="3" l="1"/>
  <c r="C20" i="4" l="1"/>
  <c r="A6" i="3" l="1"/>
  <c r="A7" i="4" s="1"/>
  <c r="A5" i="3"/>
  <c r="D20" i="4"/>
  <c r="D21" i="4" s="1"/>
  <c r="D31" i="4" l="1"/>
  <c r="D24" i="4" l="1"/>
  <c r="D25" i="4" s="1"/>
  <c r="D27" i="4" l="1"/>
  <c r="D29" i="4" s="1"/>
  <c r="E19" i="4" l="1"/>
  <c r="D32" i="4"/>
  <c r="E27" i="4"/>
  <c r="E20" i="4"/>
  <c r="E24" i="4"/>
  <c r="E29" i="4" l="1"/>
  <c r="C46" i="3"/>
  <c r="D46" i="3"/>
  <c r="C45" i="3"/>
  <c r="D45" i="3"/>
  <c r="C11" i="2"/>
  <c r="C18" i="3" l="1"/>
  <c r="D31" i="1" l="1"/>
  <c r="D18" i="3" s="1"/>
  <c r="F16" i="7" l="1"/>
  <c r="C37" i="8"/>
  <c r="C37" i="1"/>
  <c r="C24" i="3" s="1"/>
  <c r="D37" i="1" l="1"/>
  <c r="D24" i="3" s="1"/>
  <c r="C40" i="8" s="1"/>
  <c r="C36" i="1" l="1"/>
  <c r="C23" i="3" s="1"/>
  <c r="D36" i="1" l="1"/>
  <c r="D23" i="3" s="1"/>
  <c r="C42" i="8" s="1"/>
  <c r="C34" i="1" l="1"/>
  <c r="C21" i="3" s="1"/>
  <c r="D34" i="1" l="1"/>
  <c r="D21" i="3" s="1"/>
  <c r="C39" i="8" l="1"/>
  <c r="E39" i="8" s="1"/>
  <c r="C51" i="1" l="1"/>
  <c r="C36" i="3" s="1"/>
  <c r="C39" i="3" s="1"/>
  <c r="D51" i="1" l="1"/>
  <c r="D36" i="3" s="1"/>
  <c r="D39" i="3" s="1"/>
  <c r="C35" i="1" l="1"/>
  <c r="C22" i="3" s="1"/>
  <c r="C28" i="3" s="1"/>
  <c r="C30" i="3" s="1"/>
  <c r="C41" i="3" s="1"/>
  <c r="C43" i="3" s="1"/>
  <c r="C48" i="3" s="1"/>
  <c r="C52" i="3" l="1"/>
  <c r="C50" i="3"/>
  <c r="D35" i="1"/>
  <c r="D22" i="3" s="1"/>
  <c r="C42" i="1"/>
  <c r="C41" i="8" l="1"/>
  <c r="D28" i="3"/>
  <c r="D30" i="3" s="1"/>
  <c r="D41" i="3" s="1"/>
  <c r="D43" i="3" s="1"/>
  <c r="D42" i="1"/>
  <c r="D18" i="8" l="1"/>
  <c r="D48" i="3"/>
  <c r="D52" i="3" l="1"/>
  <c r="H21" i="7" s="1"/>
  <c r="H16" i="7" s="1"/>
  <c r="B4" i="2"/>
  <c r="D50" i="3"/>
  <c r="E4" i="2" s="1"/>
  <c r="D17" i="8"/>
  <c r="D34" i="8" l="1"/>
  <c r="D19" i="8"/>
  <c r="I16" i="7"/>
  <c r="B19" i="2" s="1"/>
  <c r="J16" i="7"/>
  <c r="D25" i="8" l="1"/>
  <c r="D24" i="8"/>
  <c r="D22" i="8"/>
  <c r="D23" i="8"/>
  <c r="E34" i="8"/>
  <c r="B7" i="2" l="1"/>
  <c r="D40" i="8"/>
  <c r="E40" i="8" s="1"/>
  <c r="D37" i="8"/>
  <c r="D27" i="8"/>
  <c r="D29" i="8" s="1"/>
  <c r="B6" i="2"/>
  <c r="D41" i="8"/>
  <c r="E41" i="8" s="1"/>
  <c r="B8" i="2"/>
  <c r="D42" i="8"/>
  <c r="E42" i="8" s="1"/>
  <c r="B9" i="2"/>
  <c r="E37" i="8" l="1"/>
  <c r="D43" i="8"/>
  <c r="E43" i="8" l="1"/>
  <c r="D45" i="8"/>
  <c r="E45" i="8" s="1"/>
</calcChain>
</file>

<file path=xl/sharedStrings.xml><?xml version="1.0" encoding="utf-8"?>
<sst xmlns="http://schemas.openxmlformats.org/spreadsheetml/2006/main" count="240" uniqueCount="154">
  <si>
    <t>Company Title:</t>
  </si>
  <si>
    <t>Company:</t>
  </si>
  <si>
    <t>PSC Case Number:</t>
  </si>
  <si>
    <t>Base Year:</t>
  </si>
  <si>
    <t>Forecasted Test Year:</t>
  </si>
  <si>
    <t>True-up Date</t>
  </si>
  <si>
    <t>Revenue Conversion Link-Ins:</t>
  </si>
  <si>
    <t>Line</t>
  </si>
  <si>
    <t>Number</t>
  </si>
  <si>
    <t>Gross Revenue Conversion Factor Calculation</t>
  </si>
  <si>
    <t>Rate:</t>
  </si>
  <si>
    <t>Note re: Link In:</t>
  </si>
  <si>
    <t>Less: PSC / Utility Reg Assessment Fee</t>
  </si>
  <si>
    <t>Total Before Gross Income and TRA Fees</t>
  </si>
  <si>
    <t>Less:  State Income Tax @ 5.0%</t>
  </si>
  <si>
    <t>Income before Federal income Taxes</t>
  </si>
  <si>
    <t>Less: Federal income Tax @ 21%</t>
  </si>
  <si>
    <t>Base Period</t>
  </si>
  <si>
    <t>Forecast</t>
  </si>
  <si>
    <t>Present Rate Utility Operating Income:</t>
  </si>
  <si>
    <t>Operating Revenue at Present Rates:</t>
  </si>
  <si>
    <t>From Income Statement</t>
  </si>
  <si>
    <t>Less: Deductions:</t>
  </si>
  <si>
    <t>Operating and Maintenance:</t>
  </si>
  <si>
    <t>Depreciation:</t>
  </si>
  <si>
    <t>Amortization of  UPAA</t>
  </si>
  <si>
    <t>Amortization Expense</t>
  </si>
  <si>
    <t>State Income Taxes:</t>
  </si>
  <si>
    <t>Federal Income Taxes:</t>
  </si>
  <si>
    <t>Investment Tax Credits</t>
  </si>
  <si>
    <t>General Taxes</t>
  </si>
  <si>
    <t>Total Deductions:</t>
  </si>
  <si>
    <t>Pro Forma Present Rate Utility Operating Income:</t>
  </si>
  <si>
    <t>Revenue Requirement and Increase Comparison:</t>
  </si>
  <si>
    <t>Company</t>
  </si>
  <si>
    <t>Net Original Cost Rate Base</t>
  </si>
  <si>
    <t>Rate of Return</t>
  </si>
  <si>
    <t>State Income Tax</t>
  </si>
  <si>
    <t>Federal Income Tax</t>
  </si>
  <si>
    <t>Link Out</t>
  </si>
  <si>
    <t>Proposed Rates Adjustments</t>
  </si>
  <si>
    <t>Percent Increase</t>
  </si>
  <si>
    <t>Revenue</t>
  </si>
  <si>
    <t>Uncollectible</t>
  </si>
  <si>
    <t>Additional Expenses Due to Above Revenue</t>
  </si>
  <si>
    <t>Revenue Conversion Factor</t>
  </si>
  <si>
    <t>ExhibitName:</t>
  </si>
  <si>
    <t>File Reference:</t>
  </si>
  <si>
    <t>Rev Rqmt</t>
  </si>
  <si>
    <t>Conversion Factor</t>
  </si>
  <si>
    <t>Witness: L. Bridwell</t>
  </si>
  <si>
    <t>Jurisdictional Financial Summary for the Base and Forecast Period Detailing Derivation of the Requested Revenue Increase</t>
  </si>
  <si>
    <r>
      <t xml:space="preserve">Data: </t>
    </r>
    <r>
      <rPr>
        <u/>
        <sz val="11"/>
        <color indexed="8"/>
        <rFont val="Calibri"/>
        <family val="2"/>
        <scheme val="minor"/>
      </rPr>
      <t xml:space="preserve">X </t>
    </r>
    <r>
      <rPr>
        <sz val="11"/>
        <color indexed="8"/>
        <rFont val="Calibri"/>
        <family val="2"/>
        <scheme val="minor"/>
      </rPr>
      <t xml:space="preserve">Base Period  </t>
    </r>
    <r>
      <rPr>
        <u/>
        <sz val="11"/>
        <color indexed="8"/>
        <rFont val="Calibri"/>
        <family val="2"/>
      </rPr>
      <t xml:space="preserve">X </t>
    </r>
    <r>
      <rPr>
        <sz val="11"/>
        <color indexed="8"/>
        <rFont val="Calibri"/>
        <family val="2"/>
        <scheme val="minor"/>
      </rPr>
      <t>Forecast Period</t>
    </r>
  </si>
  <si>
    <r>
      <t xml:space="preserve">Version: </t>
    </r>
    <r>
      <rPr>
        <u/>
        <sz val="11"/>
        <rFont val="Calibri"/>
        <family val="2"/>
      </rPr>
      <t>X</t>
    </r>
    <r>
      <rPr>
        <sz val="11"/>
        <rFont val="Calibri"/>
        <family val="2"/>
        <scheme val="minor"/>
      </rPr>
      <t xml:space="preserve"> Original _Updated _Revised</t>
    </r>
  </si>
  <si>
    <t>Support Schedule</t>
  </si>
  <si>
    <t>Forecast Period</t>
  </si>
  <si>
    <t>Line #</t>
  </si>
  <si>
    <t>Reference</t>
  </si>
  <si>
    <t>Ended 12/31/20</t>
  </si>
  <si>
    <t>Ended 4/30/22</t>
  </si>
  <si>
    <t>Excel Reference</t>
  </si>
  <si>
    <t>Operating and Maintenance</t>
  </si>
  <si>
    <t>Depreciation</t>
  </si>
  <si>
    <t>Amortization of UPAA</t>
  </si>
  <si>
    <t>State Income Taxes</t>
  </si>
  <si>
    <t>Federal Income Taxes</t>
  </si>
  <si>
    <t>General Taxes:</t>
  </si>
  <si>
    <t>Total Deductions (Sum Lines 7 - 15):</t>
  </si>
  <si>
    <t>Present Rate Operating Income (Line 4 - Line 16):</t>
  </si>
  <si>
    <t>Operating Income Required (Line 22 x Line 23):</t>
  </si>
  <si>
    <t>Less:  Operating Income at Present Rates (Line 16):</t>
  </si>
  <si>
    <t>Increase in Operating Income Required (Line 25 - Line 27)</t>
  </si>
  <si>
    <t>Gross Revenue Conversion Factor</t>
  </si>
  <si>
    <t>Operating Income Conversion Factor</t>
  </si>
  <si>
    <t>Requested Revenue Increase (Line 25 x Line32 + Line 29-Line 25 x Line 31)</t>
  </si>
  <si>
    <t>Revenue Requirement (Line 4 + Line 35)</t>
  </si>
  <si>
    <t>Witness: G. VerDouw</t>
  </si>
  <si>
    <t>Computation of the Gross Revenue Conversion Factor for the Forecast Period</t>
  </si>
  <si>
    <t>Gross</t>
  </si>
  <si>
    <t>Percent of</t>
  </si>
  <si>
    <t>Total</t>
  </si>
  <si>
    <t>Conversion</t>
  </si>
  <si>
    <t>Workpaper</t>
  </si>
  <si>
    <t>#</t>
  </si>
  <si>
    <t>Rate</t>
  </si>
  <si>
    <t>Factor %</t>
  </si>
  <si>
    <t>Gross Income from Revenue</t>
  </si>
  <si>
    <t>Less: Bad Debt</t>
  </si>
  <si>
    <t>Net Income After Uncollectibles &amp; Reg Assessment Fees</t>
  </si>
  <si>
    <t>Net Income After Uncollectibles, Reg Assessment Fees &amp; State Tax</t>
  </si>
  <si>
    <t>Net Income After Uncollectibles, Reg Assessment Fees, &amp; State &amp; Federal Income Taxes:</t>
  </si>
  <si>
    <r>
      <t>DATA: X</t>
    </r>
    <r>
      <rPr>
        <b/>
        <u/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BASE PERIOD  _</t>
    </r>
    <r>
      <rPr>
        <b/>
        <u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  <scheme val="minor"/>
      </rPr>
      <t>FORECAST PERIOD</t>
    </r>
  </si>
  <si>
    <r>
      <t xml:space="preserve">VERSION: </t>
    </r>
    <r>
      <rPr>
        <b/>
        <u/>
        <sz val="11"/>
        <rFont val="Calibri"/>
        <family val="2"/>
      </rPr>
      <t>X</t>
    </r>
    <r>
      <rPr>
        <b/>
        <sz val="11"/>
        <rFont val="Calibri"/>
        <family val="2"/>
        <scheme val="minor"/>
      </rPr>
      <t xml:space="preserve"> ORIGINAL _UPDATED _REVISED</t>
    </r>
  </si>
  <si>
    <t>Residential</t>
  </si>
  <si>
    <t>Customer</t>
  </si>
  <si>
    <t>Proposed</t>
  </si>
  <si>
    <t xml:space="preserve">Service Area &amp; Customer Type </t>
  </si>
  <si>
    <t>Customer Count</t>
  </si>
  <si>
    <t>Equivalent</t>
  </si>
  <si>
    <t>Equivalents</t>
  </si>
  <si>
    <t>Monthly Rate</t>
  </si>
  <si>
    <t>Forecast Year</t>
  </si>
  <si>
    <t>Percentage</t>
  </si>
  <si>
    <t>At Present Rates</t>
  </si>
  <si>
    <t>Gross Income Conversion Factor (1/Line 12)</t>
  </si>
  <si>
    <t>Gross Revenue Conversion Factor (1 /Line 4)</t>
  </si>
  <si>
    <t>Regulatory Fee</t>
  </si>
  <si>
    <t>Exhibit 21, Schedule A</t>
  </si>
  <si>
    <t>Exhibit 21, Schedule H</t>
  </si>
  <si>
    <t>Exhibit 21, Sch C-1</t>
  </si>
  <si>
    <t>Work Papers/[BGUOC 2020 Rate Case - Income Statement (Water).xlsx]Inc Statment - SCH C.1</t>
  </si>
  <si>
    <t>Witness: B. Thies</t>
  </si>
  <si>
    <t>Exhibit 21, Sch B</t>
  </si>
  <si>
    <t>Exhibit 21, Sch J</t>
  </si>
  <si>
    <t>Work Papers/[BGUOC Rate Case 2020 - Cost of Capital.xlsx]Cost of Capital - SCH J</t>
  </si>
  <si>
    <t>Exhibit 21, Sch H</t>
  </si>
  <si>
    <t>Work Papers/[BGUOC 2020 Rate Case - Revenue Requirement and Conversion Factor (Water).xlsx]Rev Conversion Factor - SCH H</t>
  </si>
  <si>
    <t>Work Papers/Rate Base/[BGUOC 2020 Rate Case - Rate Base (Water).xlsx]BY Rate Base - Water</t>
  </si>
  <si>
    <t>W/P - CE7</t>
  </si>
  <si>
    <t>BGUOC 2020 Rate Case - Schedule CE7</t>
  </si>
  <si>
    <t>W/P - CE6</t>
  </si>
  <si>
    <t>BGUOC 2020 Rate Case - Schedule CE6</t>
  </si>
  <si>
    <t>Percent Increase over Operating Revenue at Present Rates
 ((Line 34 + Line 4)/Line 4 -1):</t>
  </si>
  <si>
    <t>Billing Analysis at Forecasted Base Year Revenue &amp; Proposed Rates</t>
  </si>
  <si>
    <t>Increase</t>
  </si>
  <si>
    <t>Residential (Flat)</t>
  </si>
  <si>
    <t xml:space="preserve">2022 Customer Count </t>
  </si>
  <si>
    <t>Proposed Rate</t>
  </si>
  <si>
    <t>Single Residential</t>
  </si>
  <si>
    <t>Workpaper #:</t>
  </si>
  <si>
    <t>Excel Reference:</t>
  </si>
  <si>
    <t>Adjustments to Operating Income for Proposed Rates</t>
  </si>
  <si>
    <r>
      <t>DATA: _</t>
    </r>
    <r>
      <rPr>
        <b/>
        <u/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 xml:space="preserve">BASE PERIOD  </t>
    </r>
    <r>
      <rPr>
        <b/>
        <u/>
        <sz val="11"/>
        <color indexed="8"/>
        <rFont val="Calibri"/>
        <family val="2"/>
      </rPr>
      <t xml:space="preserve">X </t>
    </r>
    <r>
      <rPr>
        <b/>
        <sz val="11"/>
        <color indexed="8"/>
        <rFont val="Calibri"/>
        <family val="2"/>
        <scheme val="minor"/>
      </rPr>
      <t>FORECAST PERIOD</t>
    </r>
  </si>
  <si>
    <t>Gross Revenue</t>
  </si>
  <si>
    <t>Description</t>
  </si>
  <si>
    <t>Required Revenue Increase After Revenue Conversion (Schedule A, Line 34)</t>
  </si>
  <si>
    <t>Increase Due to Revenue Conversion</t>
  </si>
  <si>
    <t>Operating Income Line Item Increases due to Increase in Revenue:</t>
  </si>
  <si>
    <t>Operating and Maintenance Expenses (Line 4 x Percent Identified)</t>
  </si>
  <si>
    <t>General Taxes (Line 4 x Percent Identified)</t>
  </si>
  <si>
    <t>State Income Taxes (Line 4 x Percent Identified)</t>
  </si>
  <si>
    <t>Federal Income Taxes (Line 4 x Percent Identified)</t>
  </si>
  <si>
    <t>Total Line Item Increase Due to Increase in Revenues:</t>
  </si>
  <si>
    <t>Operating Income Increase (Line 2 - Line 12), Ties to Line 3</t>
  </si>
  <si>
    <t>Forecasted Income Statement :</t>
  </si>
  <si>
    <t>Adjustments Per Above</t>
  </si>
  <si>
    <t>At Proposed Rates</t>
  </si>
  <si>
    <t>Operating Revenues at Proposed Rates:</t>
  </si>
  <si>
    <t>Less:  Deductions:</t>
  </si>
  <si>
    <t>Operating and Maintenance Expenses</t>
  </si>
  <si>
    <t>Amortization</t>
  </si>
  <si>
    <t>Pro Forma Operating Income:</t>
  </si>
  <si>
    <t>Required Revenue Increase Before Revenue Conversion (Schedule A, Line 29)</t>
  </si>
  <si>
    <t>Exhibit 21, Schedule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</si>
</sst>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&quot;$&quot;* #,##0_);_(&quot;$&quot;* \(#,##0\);_(&quot;$&quot;* &quot;-&quot;??_);_(@_)"/>
    <numFmt numFmtId="166" formatCode="_(&quot;$&quot;* #,##0.0000_);_(&quot;$&quot;* \(#,##0.0000\);_(&quot;$&quot;* &quot;-&quot;????_);_(@_)"/>
    <numFmt numFmtId="167" formatCode="_(* #,##0_);_(* \(#,##0\);_(* &quot;-&quot;??_);_(@_)"/>
    <numFmt numFmtId="168" formatCode="[$-409]mmmm\ d\,\ yyyy;@"/>
    <numFmt numFmtId="169" formatCode="0.0"/>
    <numFmt numFmtId="170" formatCode="0.000%"/>
    <numFmt numFmtId="171" formatCode="0.00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u/>
      <sz val="11"/>
      <color indexed="8"/>
      <name val="Calibri"/>
      <family val="2"/>
    </font>
    <font>
      <u/>
      <sz val="11"/>
      <name val="Calibri"/>
      <family val="2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3" fontId="6" fillId="0" borderId="0"/>
    <xf numFmtId="43" fontId="3" fillId="0" borderId="0" applyFont="0" applyFill="0" applyBorder="0" applyAlignment="0" applyProtection="0"/>
  </cellStyleXfs>
  <cellXfs count="229">
    <xf numFmtId="0" fontId="0" fillId="0" borderId="0" xfId="0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3" fillId="0" borderId="0" xfId="0" applyFont="1" applyFill="1"/>
    <xf numFmtId="0" fontId="0" fillId="0" borderId="2" xfId="0" applyBorder="1" applyAlignment="1">
      <alignment horizontal="center"/>
    </xf>
    <xf numFmtId="0" fontId="5" fillId="0" borderId="0" xfId="0" applyFont="1" applyFill="1" applyAlignment="1">
      <alignment horizontal="right"/>
    </xf>
    <xf numFmtId="0" fontId="7" fillId="0" borderId="0" xfId="2" applyFont="1" applyBorder="1" applyAlignment="1">
      <alignment horizontal="left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right"/>
    </xf>
    <xf numFmtId="0" fontId="8" fillId="0" borderId="0" xfId="2" applyFont="1" applyBorder="1" applyAlignment="1">
      <alignment horizontal="right"/>
    </xf>
    <xf numFmtId="0" fontId="9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/>
    <xf numFmtId="0" fontId="10" fillId="0" borderId="0" xfId="2" applyFont="1" applyBorder="1" applyAlignment="1">
      <alignment horizontal="right"/>
    </xf>
    <xf numFmtId="3" fontId="11" fillId="0" borderId="0" xfId="14" applyFont="1" applyAlignment="1"/>
    <xf numFmtId="3" fontId="10" fillId="0" borderId="0" xfId="0" applyNumberFormat="1" applyFont="1" applyAlignment="1"/>
    <xf numFmtId="0" fontId="3" fillId="0" borderId="0" xfId="0" applyFont="1" applyAlignment="1">
      <alignment horizontal="right"/>
    </xf>
    <xf numFmtId="0" fontId="7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/>
    <xf numFmtId="10" fontId="10" fillId="0" borderId="0" xfId="1" applyNumberFormat="1" applyFont="1"/>
    <xf numFmtId="164" fontId="10" fillId="0" borderId="0" xfId="3" applyNumberFormat="1" applyFont="1" applyFill="1"/>
    <xf numFmtId="0" fontId="10" fillId="0" borderId="0" xfId="2" applyFont="1" applyFill="1"/>
    <xf numFmtId="164" fontId="10" fillId="0" borderId="0" xfId="1" applyNumberFormat="1" applyFont="1" applyFill="1"/>
    <xf numFmtId="164" fontId="10" fillId="0" borderId="0" xfId="3" applyNumberFormat="1" applyFont="1" applyFill="1" applyBorder="1"/>
    <xf numFmtId="164" fontId="10" fillId="0" borderId="0" xfId="3" applyNumberFormat="1" applyFont="1" applyFill="1" applyBorder="1" applyAlignment="1">
      <alignment horizontal="center"/>
    </xf>
    <xf numFmtId="0" fontId="10" fillId="0" borderId="2" xfId="2" applyFont="1" applyFill="1" applyBorder="1"/>
    <xf numFmtId="164" fontId="10" fillId="0" borderId="2" xfId="1" applyNumberFormat="1" applyFont="1" applyFill="1" applyBorder="1"/>
    <xf numFmtId="10" fontId="10" fillId="0" borderId="0" xfId="1" applyNumberFormat="1" applyFont="1" applyFill="1" applyBorder="1"/>
    <xf numFmtId="164" fontId="10" fillId="0" borderId="3" xfId="2" applyNumberFormat="1" applyFont="1" applyFill="1" applyBorder="1"/>
    <xf numFmtId="10" fontId="9" fillId="0" borderId="0" xfId="1" applyNumberFormat="1" applyFont="1" applyBorder="1"/>
    <xf numFmtId="164" fontId="10" fillId="0" borderId="0" xfId="2" applyNumberFormat="1" applyFont="1" applyFill="1"/>
    <xf numFmtId="10" fontId="10" fillId="0" borderId="2" xfId="1" applyNumberFormat="1" applyFont="1" applyFill="1" applyBorder="1"/>
    <xf numFmtId="10" fontId="10" fillId="0" borderId="0" xfId="1" applyNumberFormat="1" applyFont="1" applyBorder="1"/>
    <xf numFmtId="164" fontId="10" fillId="0" borderId="3" xfId="3" applyNumberFormat="1" applyFont="1" applyFill="1" applyBorder="1"/>
    <xf numFmtId="0" fontId="10" fillId="0" borderId="2" xfId="2" applyFont="1" applyBorder="1"/>
    <xf numFmtId="10" fontId="10" fillId="0" borderId="2" xfId="1" applyNumberFormat="1" applyFont="1" applyBorder="1"/>
    <xf numFmtId="164" fontId="10" fillId="0" borderId="2" xfId="3" applyNumberFormat="1" applyFont="1" applyFill="1" applyBorder="1"/>
    <xf numFmtId="0" fontId="10" fillId="0" borderId="0" xfId="2" applyFont="1" applyAlignment="1">
      <alignment horizontal="left" wrapText="1"/>
    </xf>
    <xf numFmtId="164" fontId="10" fillId="0" borderId="1" xfId="3" applyNumberFormat="1" applyFont="1" applyFill="1" applyBorder="1"/>
    <xf numFmtId="10" fontId="9" fillId="0" borderId="0" xfId="1" applyNumberFormat="1" applyFont="1"/>
    <xf numFmtId="41" fontId="10" fillId="0" borderId="0" xfId="2" applyNumberFormat="1" applyFont="1"/>
    <xf numFmtId="0" fontId="7" fillId="0" borderId="0" xfId="9" applyFont="1"/>
    <xf numFmtId="0" fontId="10" fillId="0" borderId="0" xfId="9" applyFont="1"/>
    <xf numFmtId="0" fontId="7" fillId="0" borderId="0" xfId="9" applyFont="1" applyAlignment="1">
      <alignment horizontal="right"/>
    </xf>
    <xf numFmtId="0" fontId="7" fillId="0" borderId="0" xfId="9" applyFont="1" applyAlignment="1"/>
    <xf numFmtId="3" fontId="15" fillId="0" borderId="0" xfId="14" applyFont="1" applyAlignment="1"/>
    <xf numFmtId="3" fontId="7" fillId="0" borderId="0" xfId="0" applyNumberFormat="1" applyFont="1" applyAlignment="1"/>
    <xf numFmtId="0" fontId="3" fillId="0" borderId="0" xfId="10" applyFont="1"/>
    <xf numFmtId="0" fontId="7" fillId="0" borderId="0" xfId="9" applyFont="1" applyBorder="1" applyAlignment="1">
      <alignment horizontal="center"/>
    </xf>
    <xf numFmtId="0" fontId="5" fillId="0" borderId="0" xfId="10" applyFont="1" applyAlignment="1">
      <alignment horizontal="center"/>
    </xf>
    <xf numFmtId="0" fontId="7" fillId="0" borderId="2" xfId="9" applyFont="1" applyBorder="1" applyAlignment="1">
      <alignment horizontal="center"/>
    </xf>
    <xf numFmtId="0" fontId="5" fillId="0" borderId="2" xfId="10" applyFont="1" applyBorder="1" applyAlignment="1">
      <alignment horizontal="center"/>
    </xf>
    <xf numFmtId="0" fontId="10" fillId="0" borderId="0" xfId="9" applyFont="1" applyAlignment="1">
      <alignment horizontal="center"/>
    </xf>
    <xf numFmtId="0" fontId="7" fillId="0" borderId="0" xfId="6" applyFont="1"/>
    <xf numFmtId="0" fontId="7" fillId="0" borderId="2" xfId="6" applyFont="1" applyBorder="1"/>
    <xf numFmtId="0" fontId="10" fillId="0" borderId="0" xfId="9" applyFont="1" applyBorder="1"/>
    <xf numFmtId="0" fontId="7" fillId="0" borderId="0" xfId="6" applyFont="1" applyAlignment="1">
      <alignment horizontal="right"/>
    </xf>
    <xf numFmtId="0" fontId="10" fillId="0" borderId="0" xfId="6" applyFont="1"/>
    <xf numFmtId="0" fontId="7" fillId="0" borderId="0" xfId="6" applyFont="1" applyFill="1" applyAlignment="1">
      <alignment horizontal="right"/>
    </xf>
    <xf numFmtId="0" fontId="7" fillId="0" borderId="0" xfId="6" applyFont="1" applyAlignment="1"/>
    <xf numFmtId="0" fontId="7" fillId="0" borderId="0" xfId="6" applyFont="1" applyFill="1" applyAlignment="1"/>
    <xf numFmtId="0" fontId="10" fillId="0" borderId="0" xfId="6" applyFont="1" applyAlignment="1"/>
    <xf numFmtId="0" fontId="3" fillId="0" borderId="0" xfId="0" applyFont="1" applyFill="1" applyAlignment="1">
      <alignment horizontal="right"/>
    </xf>
    <xf numFmtId="0" fontId="7" fillId="0" borderId="0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0" borderId="2" xfId="6" applyFont="1" applyBorder="1" applyAlignment="1">
      <alignment horizontal="left"/>
    </xf>
    <xf numFmtId="49" fontId="7" fillId="0" borderId="2" xfId="6" applyNumberFormat="1" applyFont="1" applyBorder="1" applyAlignment="1">
      <alignment horizontal="center"/>
    </xf>
    <xf numFmtId="49" fontId="7" fillId="0" borderId="2" xfId="6" applyNumberFormat="1" applyFont="1" applyFill="1" applyBorder="1" applyAlignment="1">
      <alignment horizontal="center"/>
    </xf>
    <xf numFmtId="0" fontId="10" fillId="0" borderId="0" xfId="6" applyFont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0" fontId="19" fillId="0" borderId="0" xfId="6" applyFont="1"/>
    <xf numFmtId="0" fontId="10" fillId="0" borderId="0" xfId="6" applyFont="1" applyFill="1"/>
    <xf numFmtId="0" fontId="19" fillId="0" borderId="0" xfId="6" applyFont="1" applyAlignment="1">
      <alignment horizontal="center"/>
    </xf>
    <xf numFmtId="0" fontId="7" fillId="0" borderId="0" xfId="6" applyFont="1" applyAlignment="1">
      <alignment horizontal="left" indent="1"/>
    </xf>
    <xf numFmtId="42" fontId="10" fillId="0" borderId="0" xfId="6" applyNumberFormat="1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 indent="1"/>
    </xf>
    <xf numFmtId="0" fontId="19" fillId="0" borderId="0" xfId="6" applyFont="1" applyAlignment="1">
      <alignment horizontal="left" indent="1"/>
    </xf>
    <xf numFmtId="0" fontId="20" fillId="0" borderId="0" xfId="6" applyFont="1" applyAlignment="1">
      <alignment horizontal="center"/>
    </xf>
    <xf numFmtId="42" fontId="10" fillId="0" borderId="0" xfId="6" applyNumberFormat="1" applyFont="1" applyFill="1" applyBorder="1"/>
    <xf numFmtId="167" fontId="10" fillId="0" borderId="0" xfId="6" applyNumberFormat="1" applyFont="1"/>
    <xf numFmtId="167" fontId="10" fillId="0" borderId="0" xfId="6" applyNumberFormat="1" applyFont="1" applyFill="1" applyBorder="1"/>
    <xf numFmtId="0" fontId="10" fillId="0" borderId="2" xfId="6" applyFont="1" applyBorder="1" applyAlignment="1">
      <alignment horizontal="left" indent="1"/>
    </xf>
    <xf numFmtId="0" fontId="10" fillId="0" borderId="0" xfId="6" applyFont="1" applyBorder="1"/>
    <xf numFmtId="10" fontId="10" fillId="0" borderId="2" xfId="6" applyNumberFormat="1" applyFont="1" applyFill="1" applyBorder="1"/>
    <xf numFmtId="10" fontId="10" fillId="0" borderId="0" xfId="6" applyNumberFormat="1" applyFont="1" applyFill="1" applyBorder="1"/>
    <xf numFmtId="165" fontId="10" fillId="0" borderId="0" xfId="6" applyNumberFormat="1" applyFont="1" applyFill="1"/>
    <xf numFmtId="0" fontId="10" fillId="0" borderId="0" xfId="6" applyFont="1" applyAlignment="1">
      <alignment horizontal="right"/>
    </xf>
    <xf numFmtId="41" fontId="10" fillId="0" borderId="0" xfId="6" applyNumberFormat="1" applyFont="1" applyFill="1"/>
    <xf numFmtId="164" fontId="10" fillId="0" borderId="2" xfId="6" applyNumberFormat="1" applyFont="1" applyFill="1" applyBorder="1"/>
    <xf numFmtId="0" fontId="3" fillId="0" borderId="0" xfId="0" applyFont="1" applyAlignment="1">
      <alignment horizontal="left" wrapText="1"/>
    </xf>
    <xf numFmtId="0" fontId="7" fillId="0" borderId="0" xfId="6" applyFont="1" applyFill="1"/>
    <xf numFmtId="0" fontId="7" fillId="0" borderId="0" xfId="6" applyFont="1" applyAlignment="1">
      <alignment horizontal="right" wrapText="1"/>
    </xf>
    <xf numFmtId="10" fontId="7" fillId="0" borderId="1" xfId="1" applyNumberFormat="1" applyFont="1" applyFill="1" applyBorder="1"/>
    <xf numFmtId="41" fontId="10" fillId="0" borderId="0" xfId="6" applyNumberFormat="1" applyFont="1"/>
    <xf numFmtId="0" fontId="22" fillId="0" borderId="0" xfId="2" applyFont="1"/>
    <xf numFmtId="0" fontId="22" fillId="0" borderId="0" xfId="6" applyFont="1"/>
    <xf numFmtId="0" fontId="22" fillId="0" borderId="2" xfId="6" applyFont="1" applyBorder="1"/>
    <xf numFmtId="0" fontId="22" fillId="0" borderId="0" xfId="6" applyFont="1" applyFill="1"/>
    <xf numFmtId="0" fontId="2" fillId="0" borderId="0" xfId="0" applyFont="1"/>
    <xf numFmtId="0" fontId="21" fillId="0" borderId="0" xfId="0" applyFont="1"/>
    <xf numFmtId="0" fontId="23" fillId="0" borderId="0" xfId="2" applyFont="1" applyBorder="1" applyAlignment="1">
      <alignment horizontal="center"/>
    </xf>
    <xf numFmtId="0" fontId="23" fillId="0" borderId="2" xfId="2" applyFont="1" applyBorder="1" applyAlignment="1">
      <alignment horizontal="center"/>
    </xf>
    <xf numFmtId="0" fontId="23" fillId="0" borderId="2" xfId="2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0" fontId="22" fillId="0" borderId="0" xfId="2" applyFont="1" applyAlignment="1">
      <alignment horizontal="center"/>
    </xf>
    <xf numFmtId="0" fontId="22" fillId="0" borderId="0" xfId="2" applyFont="1" applyFill="1"/>
    <xf numFmtId="0" fontId="22" fillId="0" borderId="2" xfId="2" applyFont="1" applyFill="1" applyBorder="1"/>
    <xf numFmtId="0" fontId="22" fillId="0" borderId="2" xfId="2" applyFont="1" applyBorder="1"/>
    <xf numFmtId="0" fontId="22" fillId="0" borderId="0" xfId="2" applyFont="1" applyBorder="1"/>
    <xf numFmtId="0" fontId="21" fillId="0" borderId="0" xfId="0" applyFont="1" applyAlignment="1">
      <alignment horizontal="center"/>
    </xf>
    <xf numFmtId="0" fontId="23" fillId="0" borderId="0" xfId="6" applyFont="1" applyAlignment="1">
      <alignment horizontal="center"/>
    </xf>
    <xf numFmtId="0" fontId="18" fillId="0" borderId="0" xfId="6" applyFont="1"/>
    <xf numFmtId="0" fontId="23" fillId="0" borderId="2" xfId="6" applyFont="1" applyBorder="1" applyAlignment="1">
      <alignment horizontal="center"/>
    </xf>
    <xf numFmtId="0" fontId="23" fillId="0" borderId="0" xfId="6" applyFont="1"/>
    <xf numFmtId="42" fontId="22" fillId="0" borderId="0" xfId="6" applyNumberFormat="1" applyFont="1"/>
    <xf numFmtId="41" fontId="22" fillId="0" borderId="0" xfId="6" applyNumberFormat="1" applyFont="1" applyBorder="1"/>
    <xf numFmtId="0" fontId="23" fillId="0" borderId="0" xfId="6" applyFont="1" applyAlignment="1">
      <alignment horizontal="left"/>
    </xf>
    <xf numFmtId="0" fontId="23" fillId="0" borderId="0" xfId="6" applyFont="1" applyAlignment="1">
      <alignment horizontal="right"/>
    </xf>
    <xf numFmtId="42" fontId="22" fillId="0" borderId="0" xfId="6" applyNumberFormat="1" applyFont="1" applyBorder="1"/>
    <xf numFmtId="0" fontId="23" fillId="0" borderId="0" xfId="6" applyFont="1" applyBorder="1" applyAlignment="1">
      <alignment horizontal="center"/>
    </xf>
    <xf numFmtId="0" fontId="23" fillId="0" borderId="2" xfId="6" applyFont="1" applyBorder="1" applyAlignment="1">
      <alignment horizontal="left"/>
    </xf>
    <xf numFmtId="5" fontId="10" fillId="0" borderId="1" xfId="6" applyNumberFormat="1" applyFont="1" applyFill="1" applyBorder="1"/>
    <xf numFmtId="5" fontId="10" fillId="0" borderId="4" xfId="6" applyNumberFormat="1" applyFont="1" applyFill="1" applyBorder="1"/>
    <xf numFmtId="5" fontId="10" fillId="0" borderId="0" xfId="6" applyNumberFormat="1" applyFont="1"/>
    <xf numFmtId="5" fontId="10" fillId="0" borderId="2" xfId="6" applyNumberFormat="1" applyFont="1" applyBorder="1"/>
    <xf numFmtId="5" fontId="7" fillId="0" borderId="1" xfId="6" applyNumberFormat="1" applyFont="1" applyFill="1" applyBorder="1"/>
    <xf numFmtId="0" fontId="1" fillId="0" borderId="0" xfId="0" applyFont="1"/>
    <xf numFmtId="37" fontId="22" fillId="0" borderId="1" xfId="6" applyNumberFormat="1" applyFont="1" applyBorder="1"/>
    <xf numFmtId="37" fontId="22" fillId="0" borderId="0" xfId="6" applyNumberFormat="1" applyFont="1"/>
    <xf numFmtId="37" fontId="22" fillId="0" borderId="0" xfId="6" applyNumberFormat="1" applyFont="1" applyFill="1" applyBorder="1"/>
    <xf numFmtId="167" fontId="10" fillId="0" borderId="0" xfId="15" applyNumberFormat="1" applyFont="1" applyFill="1"/>
    <xf numFmtId="37" fontId="0" fillId="0" borderId="0" xfId="13" applyNumberFormat="1" applyFont="1"/>
    <xf numFmtId="37" fontId="0" fillId="0" borderId="0" xfId="0" applyNumberFormat="1"/>
    <xf numFmtId="0" fontId="3" fillId="0" borderId="0" xfId="0" applyFont="1" applyAlignment="1">
      <alignment horizontal="center"/>
    </xf>
    <xf numFmtId="5" fontId="10" fillId="0" borderId="0" xfId="6" applyNumberFormat="1" applyFont="1" applyAlignment="1">
      <alignment horizontal="center"/>
    </xf>
    <xf numFmtId="167" fontId="10" fillId="0" borderId="0" xfId="6" applyNumberFormat="1" applyFont="1" applyAlignment="1">
      <alignment horizontal="center"/>
    </xf>
    <xf numFmtId="10" fontId="0" fillId="0" borderId="0" xfId="0" applyNumberFormat="1"/>
    <xf numFmtId="5" fontId="7" fillId="0" borderId="0" xfId="6" applyNumberFormat="1" applyFont="1" applyFill="1" applyBorder="1"/>
    <xf numFmtId="0" fontId="3" fillId="0" borderId="0" xfId="0" applyFont="1" applyBorder="1"/>
    <xf numFmtId="5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5" fontId="3" fillId="0" borderId="0" xfId="0" applyNumberFormat="1" applyFont="1"/>
    <xf numFmtId="0" fontId="0" fillId="0" borderId="0" xfId="0" applyFont="1" applyFill="1" applyBorder="1"/>
    <xf numFmtId="5" fontId="3" fillId="0" borderId="0" xfId="0" applyNumberFormat="1" applyFont="1" applyFill="1"/>
    <xf numFmtId="5" fontId="10" fillId="0" borderId="0" xfId="6" applyNumberFormat="1" applyFont="1" applyBorder="1" applyAlignment="1">
      <alignment horizontal="center"/>
    </xf>
    <xf numFmtId="168" fontId="0" fillId="0" borderId="0" xfId="0" applyNumberFormat="1" applyAlignment="1">
      <alignment horizontal="left"/>
    </xf>
    <xf numFmtId="5" fontId="10" fillId="0" borderId="0" xfId="9" applyNumberFormat="1" applyFont="1" applyBorder="1"/>
    <xf numFmtId="41" fontId="10" fillId="0" borderId="0" xfId="9" applyNumberFormat="1" applyFont="1" applyBorder="1"/>
    <xf numFmtId="0" fontId="7" fillId="0" borderId="0" xfId="9" applyFont="1" applyBorder="1" applyAlignment="1">
      <alignment horizontal="right"/>
    </xf>
    <xf numFmtId="0" fontId="7" fillId="0" borderId="0" xfId="9" applyFont="1" applyBorder="1"/>
    <xf numFmtId="0" fontId="19" fillId="0" borderId="0" xfId="9" applyFont="1" applyBorder="1"/>
    <xf numFmtId="0" fontId="5" fillId="0" borderId="0" xfId="10" applyFont="1" applyBorder="1" applyAlignment="1">
      <alignment horizontal="center"/>
    </xf>
    <xf numFmtId="41" fontId="10" fillId="0" borderId="0" xfId="9" applyNumberFormat="1" applyFont="1" applyFill="1" applyBorder="1"/>
    <xf numFmtId="0" fontId="5" fillId="0" borderId="0" xfId="0" applyFont="1" applyAlignment="1">
      <alignment horizontal="center"/>
    </xf>
    <xf numFmtId="0" fontId="10" fillId="0" borderId="0" xfId="9" applyFont="1" applyBorder="1" applyAlignment="1">
      <alignment horizontal="left"/>
    </xf>
    <xf numFmtId="0" fontId="10" fillId="0" borderId="0" xfId="6" applyFont="1" applyBorder="1" applyAlignment="1">
      <alignment horizontal="left"/>
    </xf>
    <xf numFmtId="169" fontId="10" fillId="0" borderId="0" xfId="9" applyNumberFormat="1" applyFont="1" applyBorder="1"/>
    <xf numFmtId="1" fontId="10" fillId="0" borderId="0" xfId="9" applyNumberFormat="1" applyFont="1" applyBorder="1"/>
    <xf numFmtId="0" fontId="10" fillId="0" borderId="0" xfId="9" applyFont="1" applyFill="1" applyBorder="1" applyAlignment="1">
      <alignment horizontal="left"/>
    </xf>
    <xf numFmtId="7" fontId="3" fillId="0" borderId="0" xfId="0" applyNumberFormat="1" applyFont="1"/>
    <xf numFmtId="2" fontId="10" fillId="0" borderId="0" xfId="9" applyNumberFormat="1" applyFont="1" applyBorder="1" applyAlignment="1">
      <alignment horizontal="right"/>
    </xf>
    <xf numFmtId="0" fontId="7" fillId="0" borderId="5" xfId="9" applyFont="1" applyBorder="1" applyAlignment="1">
      <alignment horizontal="left"/>
    </xf>
    <xf numFmtId="1" fontId="7" fillId="0" borderId="5" xfId="9" applyNumberFormat="1" applyFont="1" applyBorder="1"/>
    <xf numFmtId="5" fontId="5" fillId="0" borderId="5" xfId="0" applyNumberFormat="1" applyFont="1" applyBorder="1"/>
    <xf numFmtId="9" fontId="10" fillId="0" borderId="0" xfId="1" applyFont="1" applyBorder="1"/>
    <xf numFmtId="164" fontId="10" fillId="0" borderId="0" xfId="6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/>
    <xf numFmtId="164" fontId="1" fillId="0" borderId="0" xfId="1" applyNumberFormat="1" applyFont="1" applyFill="1"/>
    <xf numFmtId="3" fontId="1" fillId="0" borderId="0" xfId="0" applyNumberFormat="1" applyFont="1" applyFill="1"/>
    <xf numFmtId="2" fontId="10" fillId="0" borderId="0" xfId="9" applyNumberFormat="1" applyFont="1" applyBorder="1"/>
    <xf numFmtId="0" fontId="7" fillId="0" borderId="0" xfId="6" applyFont="1" applyAlignment="1">
      <alignment horizontal="center"/>
    </xf>
    <xf numFmtId="0" fontId="7" fillId="0" borderId="0" xfId="6" applyFont="1" applyFill="1" applyAlignment="1">
      <alignment horizontal="center"/>
    </xf>
    <xf numFmtId="0" fontId="7" fillId="0" borderId="0" xfId="2" applyFont="1" applyAlignment="1">
      <alignment horizontal="center"/>
    </xf>
    <xf numFmtId="170" fontId="10" fillId="0" borderId="0" xfId="3" applyNumberFormat="1" applyFont="1" applyFill="1" applyBorder="1"/>
    <xf numFmtId="170" fontId="10" fillId="0" borderId="0" xfId="2" applyNumberFormat="1" applyFont="1" applyFill="1" applyBorder="1"/>
    <xf numFmtId="170" fontId="10" fillId="0" borderId="0" xfId="2" applyNumberFormat="1" applyFont="1" applyFill="1"/>
    <xf numFmtId="170" fontId="10" fillId="0" borderId="2" xfId="3" applyNumberFormat="1" applyFont="1" applyFill="1" applyBorder="1"/>
    <xf numFmtId="170" fontId="10" fillId="0" borderId="1" xfId="3" applyNumberFormat="1" applyFont="1" applyFill="1" applyBorder="1"/>
    <xf numFmtId="0" fontId="7" fillId="0" borderId="0" xfId="9" applyFont="1" applyBorder="1" applyAlignment="1"/>
    <xf numFmtId="1" fontId="7" fillId="0" borderId="0" xfId="9" applyNumberFormat="1" applyFont="1" applyBorder="1"/>
    <xf numFmtId="9" fontId="3" fillId="0" borderId="0" xfId="1" applyFont="1"/>
    <xf numFmtId="7" fontId="0" fillId="0" borderId="0" xfId="0" applyNumberFormat="1"/>
    <xf numFmtId="0" fontId="7" fillId="0" borderId="0" xfId="9" applyFont="1" applyAlignment="1">
      <alignment horizontal="center"/>
    </xf>
    <xf numFmtId="7" fontId="10" fillId="0" borderId="0" xfId="6" applyNumberFormat="1" applyFont="1" applyFill="1"/>
    <xf numFmtId="3" fontId="15" fillId="0" borderId="0" xfId="14" applyFont="1"/>
    <xf numFmtId="3" fontId="7" fillId="0" borderId="0" xfId="0" applyNumberFormat="1" applyFont="1"/>
    <xf numFmtId="5" fontId="10" fillId="0" borderId="0" xfId="9" applyNumberFormat="1" applyFont="1"/>
    <xf numFmtId="44" fontId="3" fillId="0" borderId="0" xfId="0" applyNumberFormat="1" applyFont="1"/>
    <xf numFmtId="41" fontId="10" fillId="0" borderId="0" xfId="9" applyNumberFormat="1" applyFont="1"/>
    <xf numFmtId="5" fontId="10" fillId="0" borderId="4" xfId="9" applyNumberFormat="1" applyFont="1" applyBorder="1"/>
    <xf numFmtId="0" fontId="19" fillId="0" borderId="0" xfId="11" applyFont="1" applyAlignment="1">
      <alignment horizontal="left"/>
    </xf>
    <xf numFmtId="0" fontId="19" fillId="0" borderId="0" xfId="9" applyFont="1" applyAlignment="1">
      <alignment horizontal="left"/>
    </xf>
    <xf numFmtId="164" fontId="10" fillId="0" borderId="0" xfId="9" applyNumberFormat="1" applyFont="1"/>
    <xf numFmtId="0" fontId="10" fillId="0" borderId="2" xfId="9" applyFont="1" applyBorder="1"/>
    <xf numFmtId="164" fontId="10" fillId="0" borderId="2" xfId="9" applyNumberFormat="1" applyFont="1" applyBorder="1"/>
    <xf numFmtId="41" fontId="10" fillId="0" borderId="2" xfId="9" applyNumberFormat="1" applyFont="1" applyBorder="1"/>
    <xf numFmtId="171" fontId="10" fillId="0" borderId="0" xfId="9" applyNumberFormat="1" applyFont="1"/>
    <xf numFmtId="164" fontId="10" fillId="0" borderId="1" xfId="9" applyNumberFormat="1" applyFont="1" applyBorder="1"/>
    <xf numFmtId="5" fontId="10" fillId="0" borderId="1" xfId="9" applyNumberFormat="1" applyFont="1" applyBorder="1"/>
    <xf numFmtId="42" fontId="10" fillId="0" borderId="0" xfId="9" applyNumberFormat="1" applyFont="1"/>
    <xf numFmtId="0" fontId="19" fillId="0" borderId="0" xfId="9" applyFont="1"/>
    <xf numFmtId="0" fontId="8" fillId="0" borderId="0" xfId="6" applyFont="1" applyFill="1" applyAlignment="1">
      <alignment horizontal="right" wrapText="1"/>
    </xf>
    <xf numFmtId="0" fontId="8" fillId="0" borderId="0" xfId="0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7" fillId="0" borderId="0" xfId="6" applyFont="1" applyFill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2" xfId="0" applyFont="1" applyBorder="1" applyAlignment="1">
      <alignment horizontal="center" wrapText="1"/>
    </xf>
    <xf numFmtId="39" fontId="3" fillId="0" borderId="0" xfId="0" applyNumberFormat="1" applyFont="1" applyFill="1" applyAlignment="1">
      <alignment wrapText="1"/>
    </xf>
    <xf numFmtId="3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0" fontId="10" fillId="0" borderId="0" xfId="6" applyFont="1" applyAlignment="1">
      <alignment wrapText="1"/>
    </xf>
    <xf numFmtId="0" fontId="3" fillId="0" borderId="0" xfId="0" applyFont="1" applyBorder="1" applyAlignment="1">
      <alignment wrapText="1"/>
    </xf>
    <xf numFmtId="5" fontId="3" fillId="0" borderId="0" xfId="0" applyNumberFormat="1" applyFont="1" applyBorder="1" applyAlignment="1">
      <alignment wrapText="1"/>
    </xf>
    <xf numFmtId="14" fontId="10" fillId="0" borderId="0" xfId="6" applyNumberFormat="1" applyFont="1" applyBorder="1" applyAlignment="1">
      <alignment wrapText="1"/>
    </xf>
    <xf numFmtId="5" fontId="10" fillId="0" borderId="0" xfId="6" applyNumberFormat="1" applyFont="1" applyBorder="1" applyAlignment="1">
      <alignment wrapText="1"/>
    </xf>
    <xf numFmtId="0" fontId="0" fillId="0" borderId="0" xfId="0" applyFont="1" applyAlignment="1">
      <alignment horizontal="right"/>
    </xf>
    <xf numFmtId="0" fontId="7" fillId="0" borderId="0" xfId="6" applyFont="1" applyAlignment="1">
      <alignment horizontal="center"/>
    </xf>
    <xf numFmtId="0" fontId="7" fillId="0" borderId="0" xfId="6" applyFont="1" applyFill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9" applyFont="1" applyAlignment="1">
      <alignment horizontal="center"/>
    </xf>
    <xf numFmtId="0" fontId="7" fillId="0" borderId="0" xfId="9" applyFont="1" applyFill="1" applyAlignment="1">
      <alignment horizontal="center"/>
    </xf>
  </cellXfs>
  <cellStyles count="16">
    <cellStyle name="Comma" xfId="15" builtinId="3"/>
    <cellStyle name="Currency" xfId="13" builtinId="4"/>
    <cellStyle name="Currency 3" xfId="8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2 3" xfId="7" xr:uid="{00000000-0005-0000-0000-000006000000}"/>
    <cellStyle name="Normal 2 4" xfId="10" xr:uid="{00000000-0005-0000-0000-000007000000}"/>
    <cellStyle name="Normal 2 5" xfId="12" xr:uid="{00000000-0005-0000-0000-000008000000}"/>
    <cellStyle name="Normal 3" xfId="5" xr:uid="{00000000-0005-0000-0000-000009000000}"/>
    <cellStyle name="Normal 4" xfId="6" xr:uid="{00000000-0005-0000-0000-00000A000000}"/>
    <cellStyle name="Normal 5" xfId="9" xr:uid="{00000000-0005-0000-0000-00000B000000}"/>
    <cellStyle name="Normal 6" xfId="11" xr:uid="{00000000-0005-0000-0000-00000C000000}"/>
    <cellStyle name="Normal_Exhibits" xfId="14" xr:uid="{00000000-0005-0000-0000-00000D000000}"/>
    <cellStyle name="Percent" xfId="1" builtinId="5"/>
    <cellStyle name="Percent 2" xfId="3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Consta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Income%20Statement%20(Water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ate%20Base/BGUOC%202020%20Rate%20Case%20-%20Rate%20Base%20(Water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Rate%20Case%202020%20-%20Cost%20of%20Capit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BY%20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Insurance"/>
    </sheetNames>
    <sheetDataSet>
      <sheetData sheetId="0">
        <row r="1">
          <cell r="B1" t="str">
            <v>Bluegrass Water Utility Operating Company, LLC</v>
          </cell>
        </row>
        <row r="2">
          <cell r="B2" t="str">
            <v>BLUEGRASS WATER UTILITY OPERATING COMPANY, LLC</v>
          </cell>
        </row>
        <row r="3">
          <cell r="B3" t="str">
            <v>Case No. 2020-00290</v>
          </cell>
        </row>
        <row r="5">
          <cell r="B5">
            <v>44196</v>
          </cell>
        </row>
        <row r="7">
          <cell r="B7">
            <v>44681</v>
          </cell>
        </row>
        <row r="8">
          <cell r="B8" t="str">
            <v>for the 12 Months ended December 31, 2019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In"/>
      <sheetName val="Link Out"/>
      <sheetName val="Inc Statment - SCH C.1"/>
      <sheetName val="MSFR Inc Stmt by Acct - SCH C.2"/>
      <sheetName val="MSFR IS Adjust D.1"/>
      <sheetName val="MSFR IS Adjust Support D-2"/>
      <sheetName val="D-3"/>
      <sheetName val="Tax Summary - SCH E"/>
    </sheetNames>
    <sheetDataSet>
      <sheetData sheetId="0">
        <row r="17">
          <cell r="G17">
            <v>49777.279999999999</v>
          </cell>
        </row>
      </sheetData>
      <sheetData sheetId="1">
        <row r="5">
          <cell r="C5">
            <v>139164.03</v>
          </cell>
          <cell r="E5">
            <v>254013.99407327655</v>
          </cell>
        </row>
        <row r="6">
          <cell r="C6">
            <v>8049.3796333333376</v>
          </cell>
          <cell r="E6">
            <v>31940.930633333333</v>
          </cell>
        </row>
        <row r="7">
          <cell r="C7">
            <v>0</v>
          </cell>
          <cell r="E7">
            <v>0</v>
          </cell>
        </row>
        <row r="8">
          <cell r="C8">
            <v>0</v>
          </cell>
          <cell r="E8">
            <v>0</v>
          </cell>
        </row>
        <row r="9">
          <cell r="C9">
            <v>46.19</v>
          </cell>
          <cell r="E9">
            <v>92.38</v>
          </cell>
        </row>
        <row r="11">
          <cell r="C11">
            <v>147259.59963333333</v>
          </cell>
          <cell r="E11">
            <v>286047.30470660987</v>
          </cell>
        </row>
      </sheetData>
      <sheetData sheetId="2">
        <row r="17">
          <cell r="G17">
            <v>90000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s LinkIn"/>
      <sheetName val="Link Out"/>
      <sheetName val="BY Rate Base - Water B1"/>
      <sheetName val="FY Rate Base - Water B1"/>
      <sheetName val="UPIS - BY B2"/>
      <sheetName val="UPIS - FY B2"/>
      <sheetName val="AccDep - BY B3"/>
      <sheetName val="AccDep - FY B3"/>
      <sheetName val="Dep - BY B3.1"/>
      <sheetName val="Dep - FY B3.1"/>
      <sheetName val="CWIP - BY B4"/>
      <sheetName val="CWIP - FY B4"/>
      <sheetName val="WC - BY B5"/>
      <sheetName val="WC - FY B5"/>
      <sheetName val="CIAC - BY B6"/>
      <sheetName val="CIAC - FY B6"/>
      <sheetName val="Workpapers &gt;&gt;"/>
      <sheetName val="CIAC WP"/>
      <sheetName val="UPIS LinkIn"/>
      <sheetName val="UPIS Detail"/>
      <sheetName val="AccDep LinkIn"/>
      <sheetName val="Dep LinkIn"/>
    </sheetNames>
    <sheetDataSet>
      <sheetData sheetId="0"/>
      <sheetData sheetId="1">
        <row r="3">
          <cell r="B3">
            <v>790717.05926684721</v>
          </cell>
          <cell r="C3">
            <v>968960.06740640709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In"/>
      <sheetName val="Link Out"/>
      <sheetName val="Cost of Capital - SCH J"/>
    </sheetNames>
    <sheetDataSet>
      <sheetData sheetId="0"/>
      <sheetData sheetId="1">
        <row r="3">
          <cell r="B3">
            <v>0.1065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Link In"/>
      <sheetName val="Link Out"/>
      <sheetName val="3 Yr Reports &gt;&gt;"/>
      <sheetName val="3yr IS"/>
      <sheetName val="3yr BS"/>
      <sheetName val="3yr CFS"/>
      <sheetName val="3yr Cust"/>
      <sheetName val="Data Sheets &gt;&gt;"/>
      <sheetName val="2020 P&amp;L"/>
      <sheetName val="2020-2022 P&amp;L"/>
      <sheetName val="S-Dep Linkin"/>
      <sheetName val="W-Dep Linkin"/>
      <sheetName val="ACQ Link In"/>
      <sheetName val="BGUOC 2020 Rate Case - BY IS"/>
      <sheetName val="Monthly P&amp;L"/>
    </sheetNames>
    <sheetDataSet>
      <sheetData sheetId="0"/>
      <sheetData sheetId="1">
        <row r="3">
          <cell r="C3">
            <v>2046</v>
          </cell>
        </row>
        <row r="7">
          <cell r="C7">
            <v>336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C1"/>
        </row>
      </sheetData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3"/>
  <sheetViews>
    <sheetView topLeftCell="A7" zoomScale="80" zoomScaleNormal="80" workbookViewId="0">
      <selection activeCell="D35" sqref="D35"/>
    </sheetView>
  </sheetViews>
  <sheetFormatPr defaultColWidth="8.86328125" defaultRowHeight="14.25" x14ac:dyDescent="0.45"/>
  <cols>
    <col min="1" max="1" width="43.1328125" style="103" bestFit="1" customWidth="1"/>
    <col min="2" max="2" width="2.3984375" style="103" customWidth="1"/>
    <col min="3" max="3" width="36.86328125" style="103" bestFit="1" customWidth="1"/>
    <col min="4" max="4" width="14.86328125" style="103" bestFit="1" customWidth="1"/>
    <col min="5" max="5" width="22.59765625" style="103" bestFit="1" customWidth="1"/>
    <col min="6" max="6" width="24.86328125" style="103" bestFit="1" customWidth="1"/>
    <col min="7" max="7" width="8.86328125" style="103"/>
    <col min="8" max="9" width="14.3984375" style="103" bestFit="1" customWidth="1"/>
    <col min="10" max="16384" width="8.86328125" style="103"/>
  </cols>
  <sheetData>
    <row r="2" spans="1:3" x14ac:dyDescent="0.45">
      <c r="A2" s="132" t="s">
        <v>0</v>
      </c>
      <c r="B2" s="132"/>
      <c r="C2" s="132" t="str">
        <f>[1]Reference!$B1</f>
        <v>Bluegrass Water Utility Operating Company, LLC</v>
      </c>
    </row>
    <row r="3" spans="1:3" x14ac:dyDescent="0.45">
      <c r="A3" s="132" t="s">
        <v>1</v>
      </c>
      <c r="B3" s="132"/>
      <c r="C3" s="132" t="str">
        <f>[1]Reference!$B2</f>
        <v>BLUEGRASS WATER UTILITY OPERATING COMPANY, LLC</v>
      </c>
    </row>
    <row r="4" spans="1:3" x14ac:dyDescent="0.45">
      <c r="A4" s="132" t="s">
        <v>2</v>
      </c>
      <c r="B4" s="132"/>
      <c r="C4" s="132" t="str">
        <f>[1]Reference!$B3</f>
        <v>Case No. 2020-00290</v>
      </c>
    </row>
    <row r="5" spans="1:3" x14ac:dyDescent="0.45">
      <c r="A5" s="132" t="s">
        <v>3</v>
      </c>
      <c r="B5" s="132"/>
      <c r="C5" s="151">
        <f>[1]Reference!$B5</f>
        <v>44196</v>
      </c>
    </row>
    <row r="6" spans="1:3" x14ac:dyDescent="0.45">
      <c r="A6" s="132" t="s">
        <v>4</v>
      </c>
      <c r="B6" s="132"/>
      <c r="C6" s="151">
        <f>[1]Reference!$B7</f>
        <v>44681</v>
      </c>
    </row>
    <row r="7" spans="1:3" x14ac:dyDescent="0.45">
      <c r="A7" s="132" t="s">
        <v>5</v>
      </c>
      <c r="B7" s="132"/>
      <c r="C7" s="132" t="str">
        <f>[1]Reference!$B8</f>
        <v>for the 12 Months ended December 31, 2019</v>
      </c>
    </row>
    <row r="14" spans="1:3" x14ac:dyDescent="0.45">
      <c r="A14" s="104" t="s">
        <v>6</v>
      </c>
      <c r="B14" s="132"/>
      <c r="C14" s="132"/>
    </row>
    <row r="16" spans="1:3" x14ac:dyDescent="0.45">
      <c r="A16" s="105" t="s">
        <v>7</v>
      </c>
      <c r="B16" s="99"/>
      <c r="C16" s="99"/>
    </row>
    <row r="17" spans="1:6" x14ac:dyDescent="0.45">
      <c r="A17" s="106" t="s">
        <v>8</v>
      </c>
      <c r="B17" s="99"/>
      <c r="C17" s="107" t="s">
        <v>9</v>
      </c>
      <c r="D17" s="108" t="s">
        <v>10</v>
      </c>
      <c r="E17" s="109" t="s">
        <v>11</v>
      </c>
      <c r="F17" s="132"/>
    </row>
    <row r="18" spans="1:6" x14ac:dyDescent="0.45">
      <c r="A18" s="110">
        <v>2</v>
      </c>
      <c r="B18" s="99"/>
      <c r="C18" s="25" t="s">
        <v>87</v>
      </c>
      <c r="D18" s="172">
        <v>7.4999999999999997E-3</v>
      </c>
      <c r="E18" s="173"/>
      <c r="F18" s="132"/>
    </row>
    <row r="19" spans="1:6" x14ac:dyDescent="0.45">
      <c r="A19" s="110">
        <v>3</v>
      </c>
      <c r="B19" s="99"/>
      <c r="C19" s="112" t="s">
        <v>12</v>
      </c>
      <c r="D19" s="174">
        <v>2E-3</v>
      </c>
      <c r="E19" s="173"/>
      <c r="F19" s="132"/>
    </row>
    <row r="20" spans="1:6" x14ac:dyDescent="0.45">
      <c r="A20" s="110">
        <v>4</v>
      </c>
      <c r="B20" s="99"/>
      <c r="C20" s="111" t="s">
        <v>13</v>
      </c>
      <c r="D20" s="132"/>
      <c r="E20" s="132"/>
      <c r="F20" s="132"/>
    </row>
    <row r="21" spans="1:6" x14ac:dyDescent="0.45">
      <c r="A21" s="110">
        <v>5</v>
      </c>
      <c r="B21" s="99"/>
      <c r="C21" s="99"/>
      <c r="D21" s="132"/>
      <c r="E21" s="132"/>
      <c r="F21" s="132"/>
    </row>
    <row r="22" spans="1:6" x14ac:dyDescent="0.45">
      <c r="A22" s="110">
        <v>7</v>
      </c>
      <c r="B22" s="99"/>
      <c r="C22" s="112" t="s">
        <v>14</v>
      </c>
      <c r="D22" s="173"/>
      <c r="E22" s="132"/>
      <c r="F22" s="132"/>
    </row>
    <row r="23" spans="1:6" x14ac:dyDescent="0.45">
      <c r="A23" s="110">
        <v>9</v>
      </c>
      <c r="B23" s="99"/>
      <c r="C23" s="99" t="s">
        <v>15</v>
      </c>
      <c r="D23" s="132"/>
      <c r="E23" s="132"/>
      <c r="F23" s="132"/>
    </row>
    <row r="24" spans="1:6" x14ac:dyDescent="0.45">
      <c r="A24" s="110">
        <v>10</v>
      </c>
      <c r="B24" s="99"/>
      <c r="C24" s="99"/>
      <c r="D24" s="132"/>
      <c r="E24" s="132"/>
      <c r="F24" s="132"/>
    </row>
    <row r="25" spans="1:6" x14ac:dyDescent="0.45">
      <c r="A25" s="110">
        <v>11</v>
      </c>
      <c r="B25" s="99"/>
      <c r="C25" s="113" t="s">
        <v>16</v>
      </c>
      <c r="D25" s="132"/>
      <c r="E25" s="132"/>
      <c r="F25" s="132"/>
    </row>
    <row r="26" spans="1:6" x14ac:dyDescent="0.45">
      <c r="A26" s="110">
        <v>12</v>
      </c>
      <c r="B26" s="114"/>
      <c r="C26" s="99"/>
      <c r="D26" s="132"/>
      <c r="E26" s="132"/>
      <c r="F26" s="132"/>
    </row>
    <row r="28" spans="1:6" x14ac:dyDescent="0.45">
      <c r="A28" s="132"/>
      <c r="B28" s="132"/>
      <c r="C28" s="115" t="s">
        <v>17</v>
      </c>
      <c r="D28" s="116" t="s">
        <v>18</v>
      </c>
      <c r="E28" s="132"/>
      <c r="F28" s="132"/>
    </row>
    <row r="29" spans="1:6" x14ac:dyDescent="0.45">
      <c r="A29" s="117" t="s">
        <v>19</v>
      </c>
      <c r="B29" s="100"/>
      <c r="C29" s="101"/>
      <c r="D29" s="118"/>
      <c r="E29" s="132"/>
      <c r="F29" s="109" t="s">
        <v>11</v>
      </c>
    </row>
    <row r="30" spans="1:6" x14ac:dyDescent="0.45">
      <c r="A30" s="117"/>
      <c r="B30" s="100"/>
      <c r="C30" s="100"/>
      <c r="D30" s="100"/>
      <c r="E30" s="132"/>
      <c r="F30" s="132"/>
    </row>
    <row r="31" spans="1:6" ht="14.65" thickBot="1" x14ac:dyDescent="0.5">
      <c r="A31" s="119" t="s">
        <v>20</v>
      </c>
      <c r="B31" s="120"/>
      <c r="C31" s="133">
        <f>'[2]Link In'!$G$17</f>
        <v>49777.279999999999</v>
      </c>
      <c r="D31" s="133">
        <f>'[2]Inc Statment - SCH C.1'!$G$17</f>
        <v>90000</v>
      </c>
      <c r="E31" s="132"/>
      <c r="F31" s="132" t="s">
        <v>21</v>
      </c>
    </row>
    <row r="32" spans="1:6" ht="14.65" thickTop="1" x14ac:dyDescent="0.45">
      <c r="A32" s="100"/>
      <c r="B32" s="100"/>
      <c r="C32" s="134"/>
      <c r="D32" s="134"/>
      <c r="E32" s="132"/>
      <c r="F32" s="132"/>
    </row>
    <row r="33" spans="1:9" x14ac:dyDescent="0.45">
      <c r="A33" s="117" t="s">
        <v>22</v>
      </c>
      <c r="B33" s="100"/>
      <c r="C33" s="134"/>
      <c r="D33" s="134"/>
      <c r="E33" s="132"/>
      <c r="F33" s="132"/>
      <c r="G33" s="132"/>
      <c r="H33" s="132"/>
      <c r="I33" s="132"/>
    </row>
    <row r="34" spans="1:9" x14ac:dyDescent="0.45">
      <c r="A34" s="100" t="s">
        <v>23</v>
      </c>
      <c r="B34" s="120"/>
      <c r="C34" s="134">
        <f>'[2]Link Out'!$C5</f>
        <v>139164.03</v>
      </c>
      <c r="D34" s="134">
        <f>'[2]Link Out'!$E5</f>
        <v>254013.99407327655</v>
      </c>
      <c r="E34" s="132"/>
      <c r="F34" s="132" t="s">
        <v>21</v>
      </c>
      <c r="G34" s="132"/>
      <c r="H34" s="132"/>
      <c r="I34" s="132"/>
    </row>
    <row r="35" spans="1:9" x14ac:dyDescent="0.45">
      <c r="A35" s="100" t="s">
        <v>24</v>
      </c>
      <c r="B35" s="121"/>
      <c r="C35" s="134">
        <f>'[2]Link Out'!$C6</f>
        <v>8049.3796333333376</v>
      </c>
      <c r="D35" s="134">
        <f>'[2]Link Out'!$E6</f>
        <v>31940.930633333333</v>
      </c>
      <c r="E35" s="132"/>
      <c r="F35" s="132" t="s">
        <v>21</v>
      </c>
      <c r="G35" s="132"/>
      <c r="H35" s="132"/>
      <c r="I35" s="132"/>
    </row>
    <row r="36" spans="1:9" x14ac:dyDescent="0.45">
      <c r="A36" s="100" t="s">
        <v>25</v>
      </c>
      <c r="B36" s="121"/>
      <c r="C36" s="134">
        <f>'[2]Link Out'!$C7</f>
        <v>0</v>
      </c>
      <c r="D36" s="134">
        <f>'[2]Link Out'!$E7</f>
        <v>0</v>
      </c>
      <c r="E36" s="132"/>
      <c r="F36" s="132" t="s">
        <v>21</v>
      </c>
      <c r="G36" s="132"/>
      <c r="H36" s="132"/>
      <c r="I36" s="132"/>
    </row>
    <row r="37" spans="1:9" x14ac:dyDescent="0.45">
      <c r="A37" s="100" t="s">
        <v>26</v>
      </c>
      <c r="B37" s="121"/>
      <c r="C37" s="134">
        <f>'[2]Link Out'!$C8</f>
        <v>0</v>
      </c>
      <c r="D37" s="134">
        <f>'[2]Link Out'!$E8</f>
        <v>0</v>
      </c>
      <c r="E37" s="132"/>
      <c r="F37" s="132"/>
      <c r="G37" s="132"/>
      <c r="H37" s="132"/>
      <c r="I37" s="132"/>
    </row>
    <row r="38" spans="1:9" x14ac:dyDescent="0.45">
      <c r="A38" s="100" t="s">
        <v>27</v>
      </c>
      <c r="B38" s="121"/>
      <c r="E38" s="132"/>
      <c r="F38" s="132" t="s">
        <v>21</v>
      </c>
      <c r="G38" s="132"/>
      <c r="H38" s="132"/>
      <c r="I38" s="132"/>
    </row>
    <row r="39" spans="1:9" x14ac:dyDescent="0.45">
      <c r="A39" s="100" t="s">
        <v>28</v>
      </c>
      <c r="B39" s="121"/>
      <c r="C39" s="134"/>
      <c r="D39" s="134"/>
      <c r="E39" s="132"/>
      <c r="F39" s="132" t="s">
        <v>21</v>
      </c>
      <c r="G39" s="132"/>
      <c r="H39" s="132"/>
      <c r="I39" s="132"/>
    </row>
    <row r="40" spans="1:9" x14ac:dyDescent="0.45">
      <c r="A40" s="100" t="s">
        <v>29</v>
      </c>
      <c r="B40" s="121"/>
      <c r="E40" s="132"/>
      <c r="F40" s="132"/>
      <c r="G40" s="132"/>
      <c r="H40" s="132"/>
      <c r="I40" s="132"/>
    </row>
    <row r="41" spans="1:9" x14ac:dyDescent="0.45">
      <c r="A41" s="100" t="s">
        <v>30</v>
      </c>
      <c r="B41" s="121"/>
      <c r="C41" s="134">
        <f>'[2]Link Out'!$C9</f>
        <v>46.19</v>
      </c>
      <c r="D41" s="134">
        <f>'[2]Link Out'!$E9</f>
        <v>92.38</v>
      </c>
      <c r="E41" s="132"/>
      <c r="F41" s="132" t="s">
        <v>21</v>
      </c>
      <c r="G41" s="132"/>
      <c r="H41" s="134"/>
      <c r="I41" s="134"/>
    </row>
    <row r="42" spans="1:9" x14ac:dyDescent="0.45">
      <c r="A42" s="122" t="s">
        <v>31</v>
      </c>
      <c r="B42" s="120"/>
      <c r="C42" s="134">
        <f>'[2]Link Out'!$C11</f>
        <v>147259.59963333333</v>
      </c>
      <c r="D42" s="134">
        <f>'[2]Link Out'!$E11</f>
        <v>286047.30470660987</v>
      </c>
      <c r="E42" s="132"/>
      <c r="F42" s="132" t="s">
        <v>21</v>
      </c>
      <c r="G42" s="132"/>
      <c r="H42" s="132"/>
      <c r="I42" s="132"/>
    </row>
    <row r="43" spans="1:9" x14ac:dyDescent="0.45">
      <c r="A43" s="100"/>
      <c r="B43" s="100"/>
      <c r="C43" s="134"/>
      <c r="D43" s="135"/>
      <c r="E43" s="132"/>
      <c r="F43" s="132" t="s">
        <v>21</v>
      </c>
      <c r="G43" s="132"/>
      <c r="H43" s="132"/>
      <c r="I43" s="132"/>
    </row>
    <row r="44" spans="1:9" x14ac:dyDescent="0.45">
      <c r="A44" s="123" t="s">
        <v>32</v>
      </c>
      <c r="B44" s="120"/>
      <c r="C44" s="134"/>
      <c r="D44" s="135"/>
      <c r="E44" s="132"/>
      <c r="F44" s="132" t="s">
        <v>21</v>
      </c>
      <c r="G44" s="132"/>
      <c r="H44" s="132"/>
      <c r="I44" s="132"/>
    </row>
    <row r="45" spans="1:9" x14ac:dyDescent="0.45">
      <c r="A45" s="123"/>
      <c r="B45" s="120"/>
      <c r="C45" s="120"/>
      <c r="D45" s="124"/>
      <c r="E45" s="132"/>
      <c r="F45" s="132"/>
      <c r="G45" s="132"/>
      <c r="H45" s="132"/>
      <c r="I45" s="132"/>
    </row>
    <row r="46" spans="1:9" x14ac:dyDescent="0.45">
      <c r="A46" s="125"/>
      <c r="B46" s="116"/>
      <c r="C46" s="116"/>
      <c r="D46" s="125"/>
      <c r="E46" s="132"/>
      <c r="F46" s="132"/>
      <c r="G46" s="132"/>
      <c r="H46" s="132"/>
      <c r="I46" s="132"/>
    </row>
    <row r="47" spans="1:9" x14ac:dyDescent="0.45">
      <c r="A47" s="125"/>
      <c r="B47" s="125"/>
      <c r="C47" s="125"/>
      <c r="D47" s="125"/>
      <c r="E47" s="132"/>
      <c r="F47" s="132"/>
      <c r="G47" s="132"/>
      <c r="H47" s="132"/>
      <c r="I47" s="132"/>
    </row>
    <row r="48" spans="1:9" x14ac:dyDescent="0.45">
      <c r="A48" s="125"/>
      <c r="B48" s="116"/>
      <c r="C48" s="115"/>
      <c r="D48" s="116" t="s">
        <v>18</v>
      </c>
      <c r="E48" s="132"/>
      <c r="F48" s="132"/>
      <c r="G48" s="132"/>
      <c r="H48" s="132"/>
      <c r="I48" s="132"/>
    </row>
    <row r="49" spans="1:6" x14ac:dyDescent="0.45">
      <c r="A49" s="126" t="s">
        <v>33</v>
      </c>
      <c r="B49" s="125"/>
      <c r="C49" s="108" t="s">
        <v>17</v>
      </c>
      <c r="D49" s="118" t="s">
        <v>34</v>
      </c>
      <c r="E49" s="132"/>
      <c r="F49" s="132"/>
    </row>
    <row r="50" spans="1:6" x14ac:dyDescent="0.45">
      <c r="A50" s="125"/>
      <c r="B50" s="125"/>
      <c r="C50" s="125"/>
      <c r="D50" s="125"/>
      <c r="E50" s="132"/>
      <c r="F50" s="132"/>
    </row>
    <row r="51" spans="1:6" x14ac:dyDescent="0.45">
      <c r="A51" s="100" t="s">
        <v>35</v>
      </c>
      <c r="B51" s="100"/>
      <c r="C51" s="134">
        <f>'[3]Link Out'!$B$3</f>
        <v>790717.05926684721</v>
      </c>
      <c r="D51" s="134">
        <f>'[3]Link Out'!$C$3</f>
        <v>968960.06740640709</v>
      </c>
      <c r="E51" s="132"/>
      <c r="F51" s="132"/>
    </row>
    <row r="52" spans="1:6" x14ac:dyDescent="0.45">
      <c r="A52" s="100" t="s">
        <v>36</v>
      </c>
      <c r="B52" s="102"/>
      <c r="C52" s="88">
        <f>'[4]Link Out'!$B$3</f>
        <v>0.1065</v>
      </c>
      <c r="D52" s="88">
        <f>'[4]Link Out'!$B$3</f>
        <v>0.1065</v>
      </c>
      <c r="E52" s="132"/>
      <c r="F52" s="175"/>
    </row>
    <row r="55" spans="1:6" x14ac:dyDescent="0.45">
      <c r="C55" s="132" t="s">
        <v>126</v>
      </c>
    </row>
    <row r="56" spans="1:6" x14ac:dyDescent="0.45">
      <c r="A56" s="161" t="s">
        <v>125</v>
      </c>
      <c r="C56" s="103">
        <f>'[5]Link Out'!$C$7</f>
        <v>336</v>
      </c>
    </row>
    <row r="59" spans="1:6" x14ac:dyDescent="0.45">
      <c r="A59" s="173"/>
      <c r="B59" s="173"/>
      <c r="C59" s="173"/>
      <c r="D59" s="173"/>
      <c r="E59" s="132"/>
      <c r="F59" s="132"/>
    </row>
    <row r="60" spans="1:6" x14ac:dyDescent="0.45">
      <c r="A60" s="173"/>
      <c r="B60" s="173"/>
      <c r="C60" s="173"/>
      <c r="D60" s="173"/>
      <c r="E60" s="132"/>
      <c r="F60" s="132"/>
    </row>
    <row r="61" spans="1:6" x14ac:dyDescent="0.45">
      <c r="A61" s="173"/>
      <c r="B61" s="173"/>
      <c r="C61" s="173"/>
      <c r="D61" s="173"/>
      <c r="E61" s="132"/>
      <c r="F61" s="132"/>
    </row>
    <row r="62" spans="1:6" x14ac:dyDescent="0.45">
      <c r="A62" s="173"/>
      <c r="B62" s="173"/>
      <c r="C62" s="173"/>
      <c r="D62" s="173"/>
      <c r="E62" s="173"/>
      <c r="F62" s="132"/>
    </row>
    <row r="63" spans="1:6" x14ac:dyDescent="0.45">
      <c r="A63" s="173"/>
      <c r="B63" s="173"/>
      <c r="C63" s="173"/>
      <c r="D63" s="173"/>
      <c r="E63" s="173"/>
      <c r="F63" s="132"/>
    </row>
  </sheetData>
  <pageMargins left="0.7" right="0.7" top="0.75" bottom="0.75" header="0.3" footer="0.3"/>
  <pageSetup scale="54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8" sqref="B8"/>
    </sheetView>
  </sheetViews>
  <sheetFormatPr defaultRowHeight="14.25" x14ac:dyDescent="0.45"/>
  <cols>
    <col min="1" max="1" width="20.1328125" bestFit="1" customWidth="1"/>
    <col min="2" max="2" width="27" bestFit="1" customWidth="1"/>
    <col min="3" max="3" width="40.59765625" bestFit="1" customWidth="1"/>
  </cols>
  <sheetData>
    <row r="1" spans="1:5" x14ac:dyDescent="0.45">
      <c r="A1" s="1" t="s">
        <v>39</v>
      </c>
    </row>
    <row r="2" spans="1:5" x14ac:dyDescent="0.45">
      <c r="B2" s="2" t="s">
        <v>40</v>
      </c>
      <c r="E2" t="s">
        <v>41</v>
      </c>
    </row>
    <row r="4" spans="1:5" x14ac:dyDescent="0.45">
      <c r="A4" t="s">
        <v>42</v>
      </c>
      <c r="B4" s="137">
        <f>'Rev Requirement - SCH A'!D48</f>
        <v>336747.06428067724</v>
      </c>
      <c r="E4" s="142">
        <f>'Rev Requirement - SCH A'!D50</f>
        <v>3.74163404756308</v>
      </c>
    </row>
    <row r="5" spans="1:5" x14ac:dyDescent="0.45">
      <c r="B5" s="138"/>
    </row>
    <row r="6" spans="1:5" x14ac:dyDescent="0.45">
      <c r="A6" t="s">
        <v>43</v>
      </c>
      <c r="B6" s="138">
        <f>'Proposed Rate Adjustments'!D22</f>
        <v>1096.0985997522046</v>
      </c>
      <c r="C6" t="s">
        <v>44</v>
      </c>
    </row>
    <row r="7" spans="1:5" x14ac:dyDescent="0.45">
      <c r="A7" t="s">
        <v>106</v>
      </c>
      <c r="B7" s="138">
        <f>'Proposed Rate Adjustments'!D23</f>
        <v>292.28045809645607</v>
      </c>
      <c r="C7" t="s">
        <v>44</v>
      </c>
    </row>
    <row r="8" spans="1:5" x14ac:dyDescent="0.45">
      <c r="A8" t="s">
        <v>37</v>
      </c>
      <c r="B8" s="138">
        <f>'Proposed Rate Adjustments'!D24</f>
        <v>7237.8887930668916</v>
      </c>
      <c r="C8" t="s">
        <v>44</v>
      </c>
    </row>
    <row r="9" spans="1:5" x14ac:dyDescent="0.45">
      <c r="A9" t="s">
        <v>38</v>
      </c>
      <c r="B9" s="138">
        <f>'Proposed Rate Adjustments'!D25</f>
        <v>28879.207038857065</v>
      </c>
      <c r="C9" t="s">
        <v>44</v>
      </c>
    </row>
    <row r="11" spans="1:5" x14ac:dyDescent="0.45">
      <c r="A11" t="s">
        <v>45</v>
      </c>
      <c r="C11" s="4">
        <f>'Rev Conversion Factor - SCH H'!D31</f>
        <v>1.0095911155981827</v>
      </c>
    </row>
    <row r="13" spans="1:5" x14ac:dyDescent="0.45">
      <c r="B13" s="7" t="s">
        <v>46</v>
      </c>
      <c r="C13" s="7" t="s">
        <v>47</v>
      </c>
    </row>
    <row r="14" spans="1:5" x14ac:dyDescent="0.45">
      <c r="A14" t="s">
        <v>48</v>
      </c>
      <c r="B14" t="str">
        <f>'Rev Requirement - SCH A'!F1</f>
        <v>Exhibit 21, Schedule A</v>
      </c>
      <c r="C14" t="str">
        <f ca="1">'Rev Requirement - SCH A'!F11</f>
        <v>Work Papers/[BGUOC 2020 Rate Case - Revenue Requirement and Conversion Factor (Water).xlsx]Rev Requirement - SCH A</v>
      </c>
    </row>
    <row r="15" spans="1:5" x14ac:dyDescent="0.45">
      <c r="A15" t="s">
        <v>49</v>
      </c>
      <c r="B15" t="str">
        <f>'Rev Conversion Factor - SCH H'!G1</f>
        <v>Exhibit 21, Schedule H</v>
      </c>
    </row>
    <row r="18" spans="1:2" x14ac:dyDescent="0.45">
      <c r="B18" t="s">
        <v>127</v>
      </c>
    </row>
    <row r="19" spans="1:2" x14ac:dyDescent="0.45">
      <c r="A19" t="s">
        <v>128</v>
      </c>
      <c r="B19" s="188">
        <f>'Billing Analysis - FY SCH M'!I16</f>
        <v>105.84004570453305</v>
      </c>
    </row>
  </sheetData>
  <pageMargins left="0.7" right="0.7" top="0.75" bottom="0.75" header="0.3" footer="0.3"/>
  <pageSetup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6"/>
  <sheetViews>
    <sheetView tabSelected="1" view="pageBreakPreview" topLeftCell="A10" zoomScale="60" zoomScaleNormal="80" workbookViewId="0">
      <selection activeCell="D22" sqref="D22"/>
    </sheetView>
  </sheetViews>
  <sheetFormatPr defaultColWidth="9.1328125" defaultRowHeight="14.25" x14ac:dyDescent="0.45"/>
  <cols>
    <col min="1" max="1" width="7.3984375" style="5" customWidth="1"/>
    <col min="2" max="2" width="64" style="5" bestFit="1" customWidth="1"/>
    <col min="3" max="3" width="18.59765625" style="5" customWidth="1"/>
    <col min="4" max="4" width="19.1328125" style="6" customWidth="1"/>
    <col min="5" max="5" width="21.59765625" style="139" customWidth="1"/>
    <col min="6" max="6" width="84.796875" style="213" customWidth="1"/>
    <col min="7" max="16384" width="9.1328125" style="5"/>
  </cols>
  <sheetData>
    <row r="1" spans="1:6" x14ac:dyDescent="0.45">
      <c r="A1" s="57"/>
      <c r="B1" s="61"/>
      <c r="C1" s="61"/>
      <c r="D1" s="62"/>
      <c r="F1" s="208" t="s">
        <v>107</v>
      </c>
    </row>
    <row r="2" spans="1:6" hidden="1" x14ac:dyDescent="0.45">
      <c r="A2" s="57"/>
      <c r="B2" s="61"/>
      <c r="C2" s="61"/>
      <c r="D2" s="8"/>
      <c r="F2" s="209" t="e">
        <f ca="1">RIGHT(CELL("filename",$A$1),LEN(CELL("filename",$A$1))-SEARCH("\Exhibits",CELL("filename",$A$1),1))</f>
        <v>#VALUE!</v>
      </c>
    </row>
    <row r="3" spans="1:6" hidden="1" x14ac:dyDescent="0.45">
      <c r="A3" s="61"/>
      <c r="B3" s="61"/>
      <c r="C3" s="61"/>
      <c r="D3" s="62"/>
      <c r="F3" s="210" t="s">
        <v>50</v>
      </c>
    </row>
    <row r="4" spans="1:6" x14ac:dyDescent="0.45">
      <c r="F4" s="211"/>
    </row>
    <row r="5" spans="1:6" x14ac:dyDescent="0.45">
      <c r="A5" s="224" t="str">
        <f>'Link In'!C2</f>
        <v>Bluegrass Water Utility Operating Company, LLC</v>
      </c>
      <c r="B5" s="224"/>
      <c r="C5" s="224"/>
      <c r="D5" s="224"/>
      <c r="E5" s="224"/>
      <c r="F5" s="224"/>
    </row>
    <row r="6" spans="1:6" x14ac:dyDescent="0.45">
      <c r="A6" s="225" t="str">
        <f>'Link In'!C4</f>
        <v>Case No. 2020-00290</v>
      </c>
      <c r="B6" s="225"/>
      <c r="C6" s="225"/>
      <c r="D6" s="225"/>
      <c r="E6" s="225"/>
      <c r="F6" s="225"/>
    </row>
    <row r="7" spans="1:6" x14ac:dyDescent="0.45">
      <c r="A7" s="225" t="s">
        <v>51</v>
      </c>
      <c r="B7" s="225"/>
      <c r="C7" s="225"/>
      <c r="D7" s="225"/>
      <c r="E7" s="225"/>
      <c r="F7" s="225"/>
    </row>
    <row r="8" spans="1:6" x14ac:dyDescent="0.45">
      <c r="A8" s="224"/>
      <c r="B8" s="224"/>
      <c r="C8" s="224"/>
      <c r="D8" s="224"/>
      <c r="E8" s="224"/>
      <c r="F8" s="224"/>
    </row>
    <row r="9" spans="1:6" x14ac:dyDescent="0.45">
      <c r="A9" s="224"/>
      <c r="B9" s="224"/>
      <c r="C9" s="224"/>
      <c r="D9" s="224"/>
      <c r="E9" s="224"/>
      <c r="F9" s="224"/>
    </row>
    <row r="10" spans="1:6" x14ac:dyDescent="0.45">
      <c r="A10" s="63"/>
      <c r="B10" s="63"/>
      <c r="C10" s="63"/>
      <c r="D10" s="64"/>
      <c r="F10" s="212" t="s">
        <v>107</v>
      </c>
    </row>
    <row r="11" spans="1:6" x14ac:dyDescent="0.45">
      <c r="A11" s="17" t="s">
        <v>52</v>
      </c>
      <c r="B11" s="65"/>
      <c r="C11" s="63"/>
      <c r="D11" s="64"/>
      <c r="F11" s="66" t="str">
        <f ca="1">RIGHT(CELL("filename",$A$1),LEN(CELL("filename",$A$1))-SEARCH("/Work Papers",CELL("filename",$A$1),1))</f>
        <v>Work Papers/[BGUOC 2020 Rate Case - Revenue Requirement and Conversion Factor (Water).xlsx]Rev Requirement - SCH A</v>
      </c>
    </row>
    <row r="12" spans="1:6" x14ac:dyDescent="0.45">
      <c r="A12" s="18" t="s">
        <v>53</v>
      </c>
      <c r="B12" s="61"/>
      <c r="C12" s="177"/>
      <c r="D12" s="178"/>
      <c r="F12" s="212" t="s">
        <v>111</v>
      </c>
    </row>
    <row r="13" spans="1:6" x14ac:dyDescent="0.45">
      <c r="A13" s="67"/>
      <c r="B13" s="61"/>
      <c r="C13" s="177" t="s">
        <v>17</v>
      </c>
      <c r="D13" s="178" t="s">
        <v>55</v>
      </c>
      <c r="E13" s="177" t="s">
        <v>54</v>
      </c>
    </row>
    <row r="14" spans="1:6" x14ac:dyDescent="0.45">
      <c r="A14" s="68" t="s">
        <v>56</v>
      </c>
      <c r="B14" s="69"/>
      <c r="C14" s="70" t="s">
        <v>58</v>
      </c>
      <c r="D14" s="71" t="s">
        <v>59</v>
      </c>
      <c r="E14" s="68" t="s">
        <v>57</v>
      </c>
      <c r="F14" s="214" t="s">
        <v>60</v>
      </c>
    </row>
    <row r="15" spans="1:6" x14ac:dyDescent="0.45">
      <c r="A15" s="72">
        <v>1</v>
      </c>
      <c r="B15" s="67"/>
      <c r="C15" s="67"/>
      <c r="D15" s="73"/>
    </row>
    <row r="16" spans="1:6" x14ac:dyDescent="0.45">
      <c r="A16" s="72">
        <v>2</v>
      </c>
      <c r="B16" s="58" t="s">
        <v>19</v>
      </c>
      <c r="C16" s="61"/>
      <c r="D16" s="190"/>
    </row>
    <row r="17" spans="1:6" x14ac:dyDescent="0.45">
      <c r="A17" s="72">
        <v>3</v>
      </c>
      <c r="B17" s="74"/>
      <c r="C17" s="61"/>
      <c r="D17" s="75"/>
      <c r="E17" s="76"/>
    </row>
    <row r="18" spans="1:6" ht="14.65" thickBot="1" x14ac:dyDescent="0.5">
      <c r="A18" s="72">
        <v>4</v>
      </c>
      <c r="B18" s="77" t="s">
        <v>20</v>
      </c>
      <c r="C18" s="127">
        <f>'Link In'!C31</f>
        <v>49777.279999999999</v>
      </c>
      <c r="D18" s="127">
        <f>'Link In'!D31</f>
        <v>90000</v>
      </c>
      <c r="E18" s="79" t="s">
        <v>109</v>
      </c>
      <c r="F18" s="213" t="s">
        <v>110</v>
      </c>
    </row>
    <row r="19" spans="1:6" ht="14.65" thickTop="1" x14ac:dyDescent="0.45">
      <c r="A19" s="72">
        <v>5</v>
      </c>
      <c r="B19" s="80"/>
      <c r="C19" s="61"/>
      <c r="D19" s="75"/>
      <c r="E19" s="79"/>
    </row>
    <row r="20" spans="1:6" x14ac:dyDescent="0.45">
      <c r="A20" s="72">
        <v>6</v>
      </c>
      <c r="B20" s="81" t="s">
        <v>22</v>
      </c>
      <c r="C20" s="61"/>
      <c r="D20" s="75"/>
      <c r="E20" s="82"/>
    </row>
    <row r="21" spans="1:6" x14ac:dyDescent="0.45">
      <c r="A21" s="72">
        <v>7</v>
      </c>
      <c r="B21" s="80" t="s">
        <v>61</v>
      </c>
      <c r="C21" s="129">
        <f>'Link In'!C34</f>
        <v>139164.03</v>
      </c>
      <c r="D21" s="129">
        <f>'Link In'!D34</f>
        <v>254013.99407327655</v>
      </c>
      <c r="E21" s="79" t="s">
        <v>109</v>
      </c>
      <c r="F21" s="213" t="s">
        <v>110</v>
      </c>
    </row>
    <row r="22" spans="1:6" x14ac:dyDescent="0.45">
      <c r="A22" s="72">
        <v>8</v>
      </c>
      <c r="B22" s="80" t="s">
        <v>62</v>
      </c>
      <c r="C22" s="84">
        <f>'Link In'!C35</f>
        <v>8049.3796333333376</v>
      </c>
      <c r="D22" s="84">
        <f>'Link In'!D35</f>
        <v>31940.930633333333</v>
      </c>
      <c r="E22" s="79" t="s">
        <v>109</v>
      </c>
      <c r="F22" s="213" t="s">
        <v>110</v>
      </c>
    </row>
    <row r="23" spans="1:6" x14ac:dyDescent="0.45">
      <c r="A23" s="72">
        <v>9</v>
      </c>
      <c r="B23" s="80" t="s">
        <v>63</v>
      </c>
      <c r="C23" s="84">
        <f>'Link In'!C36</f>
        <v>0</v>
      </c>
      <c r="D23" s="85">
        <f>'Link In'!D36</f>
        <v>0</v>
      </c>
      <c r="E23" s="79" t="s">
        <v>109</v>
      </c>
      <c r="F23" s="213" t="s">
        <v>110</v>
      </c>
    </row>
    <row r="24" spans="1:6" x14ac:dyDescent="0.45">
      <c r="A24" s="72">
        <v>10</v>
      </c>
      <c r="B24" s="80" t="s">
        <v>26</v>
      </c>
      <c r="C24" s="84">
        <f>'Link In'!C37</f>
        <v>0</v>
      </c>
      <c r="D24" s="85">
        <f>'Link In'!D37</f>
        <v>0</v>
      </c>
      <c r="E24" s="79" t="s">
        <v>109</v>
      </c>
      <c r="F24" s="213" t="s">
        <v>110</v>
      </c>
    </row>
    <row r="25" spans="1:6" x14ac:dyDescent="0.45">
      <c r="A25" s="72">
        <v>11</v>
      </c>
      <c r="B25" s="80" t="s">
        <v>64</v>
      </c>
      <c r="C25" s="84">
        <f>'Link In'!C38</f>
        <v>0</v>
      </c>
      <c r="D25" s="85">
        <f>'Link In'!D38</f>
        <v>0</v>
      </c>
      <c r="E25" s="79" t="s">
        <v>109</v>
      </c>
      <c r="F25" s="213" t="s">
        <v>110</v>
      </c>
    </row>
    <row r="26" spans="1:6" x14ac:dyDescent="0.45">
      <c r="A26" s="72">
        <v>12</v>
      </c>
      <c r="B26" s="80" t="s">
        <v>65</v>
      </c>
      <c r="C26" s="84">
        <f>'Link In'!C39</f>
        <v>0</v>
      </c>
      <c r="D26" s="85">
        <f>'Link In'!D39</f>
        <v>0</v>
      </c>
      <c r="E26" s="79" t="s">
        <v>109</v>
      </c>
      <c r="F26" s="213" t="s">
        <v>110</v>
      </c>
    </row>
    <row r="27" spans="1:6" x14ac:dyDescent="0.45">
      <c r="A27" s="72">
        <v>13</v>
      </c>
      <c r="B27" s="86" t="s">
        <v>66</v>
      </c>
      <c r="C27" s="84">
        <f>'Link In'!C41</f>
        <v>46.19</v>
      </c>
      <c r="D27" s="84">
        <f>'Link In'!D41</f>
        <v>92.38</v>
      </c>
      <c r="E27" s="79" t="s">
        <v>109</v>
      </c>
      <c r="F27" s="213" t="s">
        <v>110</v>
      </c>
    </row>
    <row r="28" spans="1:6" ht="14.65" thickBot="1" x14ac:dyDescent="0.5">
      <c r="A28" s="72">
        <v>14</v>
      </c>
      <c r="B28" s="60" t="s">
        <v>67</v>
      </c>
      <c r="C28" s="128">
        <f>SUM(C21:C27)</f>
        <v>147259.59963333333</v>
      </c>
      <c r="D28" s="128">
        <f>SUM(D21:D27)</f>
        <v>286047.30470660987</v>
      </c>
      <c r="E28" s="79"/>
    </row>
    <row r="29" spans="1:6" ht="14.65" thickTop="1" x14ac:dyDescent="0.45">
      <c r="A29" s="72">
        <v>15</v>
      </c>
      <c r="B29" s="61"/>
      <c r="C29" s="61"/>
      <c r="D29" s="75"/>
      <c r="E29" s="79"/>
    </row>
    <row r="30" spans="1:6" ht="14.65" thickBot="1" x14ac:dyDescent="0.5">
      <c r="A30" s="72">
        <v>16</v>
      </c>
      <c r="B30" s="60" t="s">
        <v>68</v>
      </c>
      <c r="C30" s="127">
        <f>C18-C28</f>
        <v>-97482.319633333333</v>
      </c>
      <c r="D30" s="127">
        <f>D18-D28</f>
        <v>-196047.30470660987</v>
      </c>
      <c r="E30" s="79"/>
    </row>
    <row r="31" spans="1:6" ht="14.65" thickTop="1" x14ac:dyDescent="0.45">
      <c r="A31" s="72">
        <v>17</v>
      </c>
      <c r="B31" s="60"/>
      <c r="C31" s="78"/>
      <c r="D31" s="83"/>
      <c r="E31" s="177"/>
    </row>
    <row r="32" spans="1:6" x14ac:dyDescent="0.45">
      <c r="A32" s="72">
        <v>18</v>
      </c>
      <c r="B32" s="60"/>
      <c r="C32" s="177"/>
      <c r="D32" s="178"/>
      <c r="E32" s="177"/>
    </row>
    <row r="33" spans="1:6" x14ac:dyDescent="0.45">
      <c r="A33" s="72">
        <v>19</v>
      </c>
      <c r="B33" s="67"/>
      <c r="C33" s="177" t="s">
        <v>17</v>
      </c>
      <c r="D33" s="178" t="s">
        <v>55</v>
      </c>
      <c r="E33" s="177" t="s">
        <v>54</v>
      </c>
    </row>
    <row r="34" spans="1:6" x14ac:dyDescent="0.45">
      <c r="A34" s="72">
        <v>20</v>
      </c>
      <c r="B34" s="69" t="s">
        <v>33</v>
      </c>
      <c r="C34" s="70" t="s">
        <v>58</v>
      </c>
      <c r="D34" s="71" t="s">
        <v>59</v>
      </c>
      <c r="E34" s="68" t="s">
        <v>57</v>
      </c>
      <c r="F34" s="214" t="s">
        <v>60</v>
      </c>
    </row>
    <row r="35" spans="1:6" x14ac:dyDescent="0.45">
      <c r="A35" s="72">
        <v>21</v>
      </c>
      <c r="B35" s="67"/>
      <c r="C35" s="67"/>
      <c r="D35" s="73"/>
      <c r="E35" s="67"/>
    </row>
    <row r="36" spans="1:6" ht="28.5" x14ac:dyDescent="0.45">
      <c r="A36" s="72">
        <v>22</v>
      </c>
      <c r="B36" s="80" t="s">
        <v>35</v>
      </c>
      <c r="C36" s="129">
        <f>'Link In'!C51</f>
        <v>790717.05926684721</v>
      </c>
      <c r="D36" s="129">
        <f>'Link In'!D51</f>
        <v>968960.06740640709</v>
      </c>
      <c r="E36" s="79" t="s">
        <v>112</v>
      </c>
      <c r="F36" s="215" t="s">
        <v>117</v>
      </c>
    </row>
    <row r="37" spans="1:6" x14ac:dyDescent="0.45">
      <c r="A37" s="72">
        <v>23</v>
      </c>
      <c r="B37" s="80" t="s">
        <v>36</v>
      </c>
      <c r="C37" s="88">
        <f>'Link In'!C52</f>
        <v>0.1065</v>
      </c>
      <c r="D37" s="88">
        <f>'Link In'!D52</f>
        <v>0.1065</v>
      </c>
      <c r="E37" s="79" t="s">
        <v>113</v>
      </c>
      <c r="F37" s="216" t="s">
        <v>114</v>
      </c>
    </row>
    <row r="38" spans="1:6" x14ac:dyDescent="0.45">
      <c r="A38" s="72">
        <v>24</v>
      </c>
      <c r="B38" s="61"/>
      <c r="C38" s="89"/>
      <c r="D38" s="89"/>
      <c r="E38" s="79"/>
    </row>
    <row r="39" spans="1:6" x14ac:dyDescent="0.45">
      <c r="A39" s="72">
        <v>25</v>
      </c>
      <c r="B39" s="60" t="s">
        <v>69</v>
      </c>
      <c r="C39" s="129">
        <f>C36*C37</f>
        <v>84211.36681191923</v>
      </c>
      <c r="D39" s="129">
        <f>D36*D37</f>
        <v>103194.24717878236</v>
      </c>
      <c r="E39" s="79"/>
    </row>
    <row r="40" spans="1:6" x14ac:dyDescent="0.45">
      <c r="A40" s="72">
        <v>26</v>
      </c>
      <c r="B40" s="61"/>
      <c r="C40" s="90"/>
      <c r="D40" s="90"/>
      <c r="E40" s="79"/>
    </row>
    <row r="41" spans="1:6" x14ac:dyDescent="0.45">
      <c r="A41" s="72">
        <v>27</v>
      </c>
      <c r="B41" s="91" t="s">
        <v>70</v>
      </c>
      <c r="C41" s="130">
        <f>C30</f>
        <v>-97482.319633333333</v>
      </c>
      <c r="D41" s="130">
        <f>D30</f>
        <v>-196047.30470660987</v>
      </c>
      <c r="E41" s="79"/>
    </row>
    <row r="42" spans="1:6" x14ac:dyDescent="0.45">
      <c r="A42" s="72">
        <v>28</v>
      </c>
      <c r="B42" s="60"/>
      <c r="C42" s="83"/>
      <c r="D42" s="83"/>
      <c r="E42" s="79"/>
    </row>
    <row r="43" spans="1:6" ht="14.65" thickBot="1" x14ac:dyDescent="0.5">
      <c r="A43" s="72">
        <v>29</v>
      </c>
      <c r="B43" s="60" t="s">
        <v>71</v>
      </c>
      <c r="C43" s="131">
        <f>C39-C41</f>
        <v>181693.68644525256</v>
      </c>
      <c r="D43" s="131">
        <f>D39-D41</f>
        <v>299241.55188539223</v>
      </c>
      <c r="E43" s="177"/>
    </row>
    <row r="44" spans="1:6" ht="14.65" thickTop="1" x14ac:dyDescent="0.45">
      <c r="A44" s="72">
        <v>30</v>
      </c>
      <c r="B44" s="61"/>
      <c r="C44" s="92"/>
      <c r="D44" s="92"/>
      <c r="E44" s="79"/>
    </row>
    <row r="45" spans="1:6" ht="28.5" x14ac:dyDescent="0.45">
      <c r="A45" s="72">
        <v>31</v>
      </c>
      <c r="B45" s="60" t="s">
        <v>72</v>
      </c>
      <c r="C45" s="171">
        <f>'Rev Conversion Factor - SCH H'!D31</f>
        <v>1.0095911155981827</v>
      </c>
      <c r="D45" s="171">
        <f>'Rev Conversion Factor - SCH H'!D31</f>
        <v>1.0095911155981827</v>
      </c>
      <c r="E45" s="79" t="s">
        <v>115</v>
      </c>
      <c r="F45" s="94" t="s">
        <v>116</v>
      </c>
    </row>
    <row r="46" spans="1:6" ht="28.5" x14ac:dyDescent="0.45">
      <c r="A46" s="72">
        <v>32</v>
      </c>
      <c r="B46" s="60" t="s">
        <v>73</v>
      </c>
      <c r="C46" s="93">
        <f>'Rev Conversion Factor - SCH H'!$D$32</f>
        <v>1.3452246710168991</v>
      </c>
      <c r="D46" s="93">
        <f>'Rev Conversion Factor - SCH H'!$D$32</f>
        <v>1.3452246710168991</v>
      </c>
      <c r="E46" s="79" t="s">
        <v>115</v>
      </c>
      <c r="F46" s="94" t="s">
        <v>116</v>
      </c>
    </row>
    <row r="47" spans="1:6" x14ac:dyDescent="0.45">
      <c r="A47" s="72">
        <v>33</v>
      </c>
      <c r="B47" s="61"/>
      <c r="C47" s="75"/>
      <c r="D47" s="75"/>
    </row>
    <row r="48" spans="1:6" ht="14.65" thickBot="1" x14ac:dyDescent="0.5">
      <c r="A48" s="72">
        <v>34</v>
      </c>
      <c r="B48" s="60" t="s">
        <v>74</v>
      </c>
      <c r="C48" s="131">
        <f>C43*C45</f>
        <v>183436.33159540893</v>
      </c>
      <c r="D48" s="131">
        <f>D39*D46+(D43-D39)*D45</f>
        <v>336747.06428067724</v>
      </c>
      <c r="E48" s="140"/>
      <c r="F48" s="217"/>
    </row>
    <row r="49" spans="1:17" ht="14.65" thickTop="1" x14ac:dyDescent="0.45">
      <c r="A49" s="72">
        <v>35</v>
      </c>
      <c r="B49" s="61"/>
      <c r="C49" s="95"/>
      <c r="D49" s="136"/>
      <c r="E49" s="141"/>
      <c r="F49" s="218"/>
    </row>
    <row r="50" spans="1:17" ht="28.9" thickBot="1" x14ac:dyDescent="0.5">
      <c r="A50" s="72">
        <v>36</v>
      </c>
      <c r="B50" s="96" t="s">
        <v>122</v>
      </c>
      <c r="C50" s="97">
        <f>C48/C18</f>
        <v>3.6851417272178981</v>
      </c>
      <c r="D50" s="97">
        <f>((D48+D18)/D18)-1</f>
        <v>3.74163404756308</v>
      </c>
      <c r="E50" s="79"/>
      <c r="F50" s="218"/>
      <c r="G50" s="78"/>
    </row>
    <row r="51" spans="1:17" ht="14.65" thickTop="1" x14ac:dyDescent="0.45">
      <c r="A51" s="72">
        <v>37</v>
      </c>
      <c r="B51" s="57"/>
      <c r="C51" s="83"/>
      <c r="D51" s="83"/>
      <c r="E51" s="79"/>
      <c r="G51" s="61"/>
    </row>
    <row r="52" spans="1:17" ht="14.65" thickBot="1" x14ac:dyDescent="0.5">
      <c r="A52" s="72">
        <v>38</v>
      </c>
      <c r="B52" s="60" t="s">
        <v>75</v>
      </c>
      <c r="C52" s="131">
        <f>C18+C48</f>
        <v>233213.61159540893</v>
      </c>
      <c r="D52" s="131">
        <f>D18+D48</f>
        <v>426747.06428067724</v>
      </c>
      <c r="E52" s="150"/>
      <c r="G52" s="61"/>
    </row>
    <row r="53" spans="1:17" ht="14.65" thickTop="1" x14ac:dyDescent="0.45">
      <c r="A53" s="72">
        <v>39</v>
      </c>
      <c r="B53" s="61"/>
      <c r="C53" s="61"/>
      <c r="D53" s="89"/>
      <c r="E53" s="143"/>
      <c r="F53" s="219"/>
      <c r="G53" s="87"/>
      <c r="H53" s="144"/>
      <c r="I53" s="144"/>
      <c r="J53" s="144"/>
      <c r="Q53" s="147"/>
    </row>
    <row r="54" spans="1:17" x14ac:dyDescent="0.45">
      <c r="A54" s="72"/>
      <c r="E54" s="143"/>
      <c r="F54" s="220"/>
      <c r="G54" s="87"/>
      <c r="H54" s="144"/>
      <c r="I54" s="144"/>
      <c r="J54" s="144"/>
      <c r="Q54" s="147"/>
    </row>
    <row r="55" spans="1:17" x14ac:dyDescent="0.45">
      <c r="A55" s="72"/>
      <c r="B55" s="61"/>
      <c r="C55" s="61"/>
      <c r="D55" s="75"/>
      <c r="E55" s="143"/>
      <c r="F55" s="221"/>
      <c r="G55" s="144"/>
      <c r="H55" s="144"/>
      <c r="I55" s="144"/>
      <c r="J55" s="144"/>
      <c r="Q55" s="147"/>
    </row>
    <row r="56" spans="1:17" x14ac:dyDescent="0.45">
      <c r="A56" s="79"/>
      <c r="B56" s="61"/>
      <c r="C56" s="61"/>
      <c r="D56" s="75"/>
      <c r="E56" s="143"/>
      <c r="F56" s="222"/>
      <c r="G56" s="87"/>
      <c r="H56" s="148"/>
      <c r="I56" s="144"/>
      <c r="J56" s="144"/>
      <c r="Q56" s="147"/>
    </row>
    <row r="57" spans="1:17" x14ac:dyDescent="0.45">
      <c r="A57" s="79"/>
      <c r="E57" s="146"/>
      <c r="F57" s="222"/>
      <c r="G57" s="87"/>
      <c r="H57" s="148"/>
      <c r="I57" s="144"/>
      <c r="J57" s="144"/>
      <c r="Q57" s="147"/>
    </row>
    <row r="58" spans="1:17" x14ac:dyDescent="0.45">
      <c r="E58" s="143"/>
      <c r="F58" s="220"/>
      <c r="G58" s="144"/>
      <c r="H58" s="148"/>
      <c r="I58" s="144"/>
      <c r="J58" s="144"/>
      <c r="Q58" s="147"/>
    </row>
    <row r="59" spans="1:17" x14ac:dyDescent="0.45">
      <c r="E59" s="146"/>
      <c r="F59" s="220"/>
      <c r="G59" s="144"/>
      <c r="H59" s="148"/>
      <c r="I59" s="144"/>
      <c r="Q59" s="147"/>
    </row>
    <row r="60" spans="1:17" x14ac:dyDescent="0.45">
      <c r="E60" s="143"/>
      <c r="F60" s="220"/>
      <c r="G60" s="144"/>
      <c r="H60" s="148"/>
      <c r="I60" s="144"/>
      <c r="Q60" s="147"/>
    </row>
    <row r="61" spans="1:17" x14ac:dyDescent="0.45">
      <c r="E61" s="143"/>
      <c r="F61" s="220"/>
      <c r="G61" s="144"/>
      <c r="H61" s="148"/>
      <c r="I61" s="144"/>
      <c r="Q61" s="147"/>
    </row>
    <row r="62" spans="1:17" x14ac:dyDescent="0.45">
      <c r="E62" s="143"/>
      <c r="F62" s="220"/>
      <c r="G62" s="144"/>
      <c r="H62" s="148"/>
      <c r="I62" s="144"/>
      <c r="Q62" s="147"/>
    </row>
    <row r="63" spans="1:17" x14ac:dyDescent="0.45">
      <c r="E63" s="143"/>
      <c r="F63" s="220"/>
      <c r="G63" s="144"/>
      <c r="H63" s="148"/>
      <c r="I63" s="144"/>
      <c r="Q63" s="147"/>
    </row>
    <row r="64" spans="1:17" x14ac:dyDescent="0.45">
      <c r="E64" s="143"/>
      <c r="F64" s="220"/>
      <c r="G64" s="144"/>
      <c r="H64" s="148"/>
      <c r="I64" s="144"/>
      <c r="Q64" s="147"/>
    </row>
    <row r="65" spans="4:17" x14ac:dyDescent="0.45">
      <c r="E65" s="146"/>
      <c r="F65" s="219"/>
      <c r="G65" s="144"/>
      <c r="H65" s="148"/>
      <c r="I65" s="144"/>
      <c r="Q65" s="147"/>
    </row>
    <row r="66" spans="4:17" x14ac:dyDescent="0.45">
      <c r="E66" s="146"/>
      <c r="F66" s="219"/>
      <c r="G66" s="144"/>
      <c r="H66" s="144"/>
      <c r="I66" s="144"/>
      <c r="Q66" s="147"/>
    </row>
    <row r="67" spans="4:17" x14ac:dyDescent="0.45">
      <c r="D67" s="149"/>
      <c r="G67" s="144"/>
      <c r="H67" s="144"/>
      <c r="I67" s="144"/>
      <c r="Q67" s="147"/>
    </row>
    <row r="115" spans="4:9" x14ac:dyDescent="0.45">
      <c r="D115" s="5"/>
    </row>
    <row r="116" spans="4:9" x14ac:dyDescent="0.45">
      <c r="I116" s="98"/>
    </row>
  </sheetData>
  <mergeCells count="5">
    <mergeCell ref="A5:F5"/>
    <mergeCell ref="A6:F6"/>
    <mergeCell ref="A7:F7"/>
    <mergeCell ref="A8:F8"/>
    <mergeCell ref="A9:F9"/>
  </mergeCells>
  <pageMargins left="0.22" right="0.23" top="0.37" bottom="0.4" header="0.3" footer="0.3"/>
  <pageSetup scale="62" orientation="landscape" r:id="rId1"/>
  <customProperties>
    <customPr name="_pios_id" r:id="rId2"/>
    <customPr name="Sheet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3"/>
  <sheetViews>
    <sheetView tabSelected="1" view="pageBreakPreview" zoomScale="60" zoomScaleNormal="80" workbookViewId="0">
      <selection activeCell="D22" sqref="D22"/>
    </sheetView>
  </sheetViews>
  <sheetFormatPr defaultColWidth="8.86328125" defaultRowHeight="14.25" x14ac:dyDescent="0.45"/>
  <cols>
    <col min="1" max="1" width="5.59765625" style="5" customWidth="1"/>
    <col min="2" max="2" width="57.3984375" style="5" customWidth="1"/>
    <col min="3" max="3" width="9" style="5" customWidth="1"/>
    <col min="4" max="4" width="12.1328125" style="5" customWidth="1"/>
    <col min="5" max="5" width="17.1328125" style="5" customWidth="1"/>
    <col min="6" max="6" width="10.86328125" style="5" customWidth="1"/>
    <col min="7" max="7" width="66" style="5" customWidth="1"/>
    <col min="8" max="16384" width="8.86328125" style="5"/>
  </cols>
  <sheetData>
    <row r="1" spans="1:7" x14ac:dyDescent="0.45">
      <c r="A1" s="9"/>
      <c r="B1" s="10"/>
      <c r="C1" s="10"/>
      <c r="D1" s="10"/>
      <c r="E1" s="10"/>
      <c r="F1" s="11"/>
      <c r="G1" s="12" t="s">
        <v>108</v>
      </c>
    </row>
    <row r="2" spans="1:7" x14ac:dyDescent="0.45">
      <c r="A2" s="9"/>
      <c r="B2" s="10"/>
      <c r="C2" s="10"/>
      <c r="D2" s="10"/>
      <c r="E2" s="8"/>
      <c r="F2" s="11"/>
      <c r="G2" s="12" t="e">
        <f ca="1">RIGHT(CELL("filename",$A$1),LEN(CELL("filename",$A$1))-SEARCH("\Exhibits",CELL("filename",$A$1),1))</f>
        <v>#VALUE!</v>
      </c>
    </row>
    <row r="3" spans="1:7" x14ac:dyDescent="0.45">
      <c r="A3" s="13"/>
      <c r="B3" s="13"/>
      <c r="C3" s="13"/>
      <c r="D3" s="13"/>
      <c r="E3" s="14"/>
      <c r="F3" s="11"/>
      <c r="G3" s="12" t="s">
        <v>76</v>
      </c>
    </row>
    <row r="6" spans="1:7" x14ac:dyDescent="0.45">
      <c r="A6" s="226" t="str">
        <f>'Link In'!C2</f>
        <v>Bluegrass Water Utility Operating Company, LLC</v>
      </c>
      <c r="B6" s="226"/>
      <c r="C6" s="226"/>
      <c r="D6" s="226"/>
      <c r="E6" s="226"/>
      <c r="F6" s="226"/>
      <c r="G6" s="226"/>
    </row>
    <row r="7" spans="1:7" x14ac:dyDescent="0.45">
      <c r="A7" s="226" t="str">
        <f>'Rev Requirement - SCH A'!A6:F6</f>
        <v>Case No. 2020-00290</v>
      </c>
      <c r="B7" s="226"/>
      <c r="C7" s="226"/>
      <c r="D7" s="226"/>
      <c r="E7" s="226"/>
      <c r="F7" s="226"/>
      <c r="G7" s="226"/>
    </row>
    <row r="8" spans="1:7" x14ac:dyDescent="0.45">
      <c r="A8" s="226" t="s">
        <v>77</v>
      </c>
      <c r="B8" s="226"/>
      <c r="C8" s="226"/>
      <c r="D8" s="226"/>
      <c r="E8" s="226"/>
      <c r="F8" s="226"/>
      <c r="G8" s="226"/>
    </row>
    <row r="9" spans="1:7" x14ac:dyDescent="0.45">
      <c r="A9" s="15"/>
      <c r="B9" s="15"/>
      <c r="C9" s="15"/>
      <c r="D9" s="15"/>
      <c r="E9" s="15"/>
    </row>
    <row r="10" spans="1:7" x14ac:dyDescent="0.45">
      <c r="A10" s="15"/>
      <c r="B10" s="15"/>
      <c r="C10" s="15"/>
      <c r="D10" s="15"/>
      <c r="E10" s="15"/>
      <c r="G10" s="16" t="s">
        <v>108</v>
      </c>
    </row>
    <row r="11" spans="1:7" x14ac:dyDescent="0.45">
      <c r="A11" s="17" t="s">
        <v>52</v>
      </c>
      <c r="B11" s="15"/>
      <c r="C11" s="15"/>
      <c r="D11" s="15"/>
      <c r="E11" s="15"/>
      <c r="G11" s="66" t="str">
        <f ca="1">RIGHT(CELL("filename",$A$1),LEN(CELL("filename",$A$1))-SEARCH("/Work Papers",CELL("filename",$A$1),1))</f>
        <v>Work Papers/[BGUOC 2020 Rate Case - Revenue Requirement and Conversion Factor (Water).xlsx]Rev Conversion Factor - SCH H</v>
      </c>
    </row>
    <row r="12" spans="1:7" x14ac:dyDescent="0.45">
      <c r="A12" s="18" t="s">
        <v>53</v>
      </c>
      <c r="B12" s="15"/>
      <c r="C12" s="15"/>
      <c r="D12" s="179"/>
      <c r="E12" s="15"/>
      <c r="G12" s="19" t="s">
        <v>111</v>
      </c>
    </row>
    <row r="13" spans="1:7" x14ac:dyDescent="0.45">
      <c r="A13" s="18"/>
      <c r="B13" s="15"/>
      <c r="C13" s="15"/>
      <c r="D13" s="179" t="s">
        <v>78</v>
      </c>
      <c r="E13" s="15"/>
      <c r="G13" s="19"/>
    </row>
    <row r="14" spans="1:7" x14ac:dyDescent="0.45">
      <c r="A14" s="13"/>
      <c r="B14" s="13"/>
      <c r="C14" s="13"/>
      <c r="D14" s="179" t="s">
        <v>42</v>
      </c>
      <c r="E14" s="179" t="s">
        <v>79</v>
      </c>
      <c r="G14" s="16"/>
    </row>
    <row r="15" spans="1:7" x14ac:dyDescent="0.45">
      <c r="A15" s="10" t="s">
        <v>7</v>
      </c>
      <c r="B15" s="13"/>
      <c r="C15" s="10" t="s">
        <v>80</v>
      </c>
      <c r="D15" s="179" t="s">
        <v>81</v>
      </c>
      <c r="E15" s="179" t="s">
        <v>80</v>
      </c>
      <c r="F15" s="10" t="s">
        <v>82</v>
      </c>
    </row>
    <row r="16" spans="1:7" x14ac:dyDescent="0.45">
      <c r="A16" s="20" t="s">
        <v>83</v>
      </c>
      <c r="B16" s="20" t="s">
        <v>9</v>
      </c>
      <c r="C16" s="20" t="s">
        <v>84</v>
      </c>
      <c r="D16" s="20" t="s">
        <v>85</v>
      </c>
      <c r="E16" s="20" t="s">
        <v>49</v>
      </c>
      <c r="F16" s="20" t="s">
        <v>57</v>
      </c>
      <c r="G16" s="20" t="s">
        <v>60</v>
      </c>
    </row>
    <row r="17" spans="1:7" x14ac:dyDescent="0.45">
      <c r="A17" s="10"/>
      <c r="B17" s="10"/>
      <c r="C17" s="10"/>
      <c r="D17" s="10"/>
      <c r="E17" s="10"/>
    </row>
    <row r="18" spans="1:7" x14ac:dyDescent="0.45">
      <c r="A18" s="21">
        <v>1</v>
      </c>
      <c r="B18" s="22" t="s">
        <v>86</v>
      </c>
      <c r="C18" s="23"/>
      <c r="D18" s="24">
        <v>1</v>
      </c>
      <c r="E18" s="24"/>
    </row>
    <row r="19" spans="1:7" x14ac:dyDescent="0.45">
      <c r="A19" s="21">
        <v>3</v>
      </c>
      <c r="B19" s="25" t="s">
        <v>87</v>
      </c>
      <c r="C19" s="26">
        <f>'Link In'!D18</f>
        <v>7.4999999999999997E-3</v>
      </c>
      <c r="D19" s="24">
        <f>C19</f>
        <v>7.4999999999999997E-3</v>
      </c>
      <c r="E19" s="180">
        <f>ROUND(D19/(D$18-D$29),6)</f>
        <v>2.9225000000000001E-2</v>
      </c>
      <c r="F19" s="28" t="s">
        <v>118</v>
      </c>
      <c r="G19" s="5" t="s">
        <v>119</v>
      </c>
    </row>
    <row r="20" spans="1:7" x14ac:dyDescent="0.45">
      <c r="A20" s="21">
        <v>4</v>
      </c>
      <c r="B20" s="29" t="s">
        <v>12</v>
      </c>
      <c r="C20" s="30">
        <f>'Link In'!D19</f>
        <v>2E-3</v>
      </c>
      <c r="D20" s="24">
        <f>C20</f>
        <v>2E-3</v>
      </c>
      <c r="E20" s="180">
        <f>ROUND(D20/(D$18-D$29),6)</f>
        <v>7.7929999999999996E-3</v>
      </c>
      <c r="F20" s="28" t="s">
        <v>120</v>
      </c>
      <c r="G20" s="5" t="s">
        <v>121</v>
      </c>
    </row>
    <row r="21" spans="1:7" x14ac:dyDescent="0.45">
      <c r="A21" s="21">
        <v>5</v>
      </c>
      <c r="B21" s="25" t="s">
        <v>88</v>
      </c>
      <c r="C21" s="31"/>
      <c r="D21" s="32">
        <f>D18-D19-D20</f>
        <v>0.99050000000000005</v>
      </c>
      <c r="E21" s="181"/>
    </row>
    <row r="22" spans="1:7" x14ac:dyDescent="0.45">
      <c r="A22" s="21">
        <v>6</v>
      </c>
      <c r="B22" s="13"/>
      <c r="C22" s="33"/>
      <c r="D22" s="34"/>
      <c r="E22" s="182"/>
    </row>
    <row r="23" spans="1:7" x14ac:dyDescent="0.45">
      <c r="A23" s="21">
        <v>7</v>
      </c>
      <c r="B23" s="13"/>
      <c r="C23" s="33"/>
      <c r="D23" s="13"/>
      <c r="E23" s="180"/>
    </row>
    <row r="24" spans="1:7" x14ac:dyDescent="0.45">
      <c r="A24" s="21">
        <v>8</v>
      </c>
      <c r="B24" s="29" t="s">
        <v>14</v>
      </c>
      <c r="C24" s="35">
        <v>0.05</v>
      </c>
      <c r="D24" s="24">
        <f>C24*D21</f>
        <v>4.9525000000000007E-2</v>
      </c>
      <c r="E24" s="180">
        <f>ROUND(D24/(D$18-D$29),6)</f>
        <v>0.19298199999999999</v>
      </c>
    </row>
    <row r="25" spans="1:7" x14ac:dyDescent="0.45">
      <c r="A25" s="21">
        <v>9</v>
      </c>
      <c r="B25" s="22" t="s">
        <v>89</v>
      </c>
      <c r="C25" s="36"/>
      <c r="D25" s="37">
        <f>D21-D24</f>
        <v>0.94097500000000001</v>
      </c>
      <c r="E25" s="180"/>
    </row>
    <row r="26" spans="1:7" x14ac:dyDescent="0.45">
      <c r="A26" s="21">
        <v>10</v>
      </c>
      <c r="B26" s="13"/>
      <c r="C26" s="33"/>
      <c r="D26" s="27"/>
      <c r="E26" s="180"/>
    </row>
    <row r="27" spans="1:7" x14ac:dyDescent="0.45">
      <c r="A27" s="21">
        <v>11</v>
      </c>
      <c r="B27" s="38" t="s">
        <v>16</v>
      </c>
      <c r="C27" s="39">
        <v>0.21</v>
      </c>
      <c r="D27" s="40">
        <f>C27*D25</f>
        <v>0.19760475</v>
      </c>
      <c r="E27" s="183">
        <f>ROUND(D27/(D$18-D$29),6)</f>
        <v>0.76999899999999999</v>
      </c>
    </row>
    <row r="28" spans="1:7" x14ac:dyDescent="0.45">
      <c r="A28" s="21">
        <v>12</v>
      </c>
      <c r="B28" s="13"/>
      <c r="C28" s="33"/>
      <c r="D28" s="27"/>
      <c r="E28" s="180"/>
    </row>
    <row r="29" spans="1:7" ht="28.9" thickBot="1" x14ac:dyDescent="0.5">
      <c r="A29" s="21">
        <v>13</v>
      </c>
      <c r="B29" s="41" t="s">
        <v>90</v>
      </c>
      <c r="C29" s="23"/>
      <c r="D29" s="42">
        <f>D25-D27</f>
        <v>0.74337025000000001</v>
      </c>
      <c r="E29" s="184">
        <f>SUM(E19:E20,E24,E27)</f>
        <v>0.99999899999999997</v>
      </c>
    </row>
    <row r="30" spans="1:7" ht="14.65" thickTop="1" x14ac:dyDescent="0.45">
      <c r="A30" s="21">
        <v>14</v>
      </c>
      <c r="B30" s="13"/>
      <c r="C30" s="43"/>
      <c r="D30" s="27"/>
      <c r="E30" s="27"/>
    </row>
    <row r="31" spans="1:7" ht="14.65" thickBot="1" x14ac:dyDescent="0.5">
      <c r="A31" s="21">
        <v>15</v>
      </c>
      <c r="B31" s="22" t="s">
        <v>105</v>
      </c>
      <c r="C31" s="23"/>
      <c r="D31" s="42">
        <f>1/D21</f>
        <v>1.0095911155981827</v>
      </c>
      <c r="E31" s="27"/>
    </row>
    <row r="32" spans="1:7" ht="15" thickTop="1" thickBot="1" x14ac:dyDescent="0.5">
      <c r="A32" s="21">
        <v>16</v>
      </c>
      <c r="B32" s="5" t="s">
        <v>104</v>
      </c>
      <c r="D32" s="42">
        <f>1/D29</f>
        <v>1.3452246710168991</v>
      </c>
    </row>
    <row r="33" ht="14.65" thickTop="1" x14ac:dyDescent="0.45"/>
    <row r="133" spans="9:9" x14ac:dyDescent="0.45">
      <c r="I133" s="44"/>
    </row>
  </sheetData>
  <mergeCells count="3">
    <mergeCell ref="A6:G6"/>
    <mergeCell ref="A7:G7"/>
    <mergeCell ref="A8:G8"/>
  </mergeCells>
  <pageMargins left="0.32" right="0.28999999999999998" top="0.75" bottom="0.75" header="0.3" footer="0.3"/>
  <pageSetup scale="74" orientation="landscape" r:id="rId1"/>
  <customProperties>
    <customPr name="_pios_id" r:id="rId2"/>
    <customPr name="Sheet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9B1A-6CDA-411B-8853-8489F1715E19}">
  <sheetPr>
    <pageSetUpPr fitToPage="1"/>
  </sheetPr>
  <dimension ref="A1:J46"/>
  <sheetViews>
    <sheetView tabSelected="1" view="pageBreakPreview" zoomScale="60" zoomScaleNormal="80" workbookViewId="0">
      <selection activeCell="D22" sqref="D22"/>
    </sheetView>
  </sheetViews>
  <sheetFormatPr defaultColWidth="9.1328125" defaultRowHeight="14.25" x14ac:dyDescent="0.45"/>
  <cols>
    <col min="1" max="1" width="9.1328125" style="5"/>
    <col min="2" max="2" width="75" style="5" customWidth="1"/>
    <col min="3" max="3" width="13.86328125" style="5" customWidth="1"/>
    <col min="4" max="5" width="12.1328125" style="5" customWidth="1"/>
    <col min="6" max="6" width="13.86328125" style="5" customWidth="1"/>
    <col min="7" max="7" width="2" style="144" customWidth="1"/>
    <col min="8" max="8" width="12.1328125" style="5" customWidth="1"/>
    <col min="9" max="9" width="12.1328125" style="5" bestFit="1" customWidth="1"/>
    <col min="10" max="10" width="9.1328125" style="5"/>
    <col min="11" max="11" width="4.06640625" style="5" customWidth="1"/>
    <col min="12" max="16384" width="9.1328125" style="5"/>
  </cols>
  <sheetData>
    <row r="1" spans="1:10" x14ac:dyDescent="0.45">
      <c r="A1" s="45"/>
      <c r="B1" s="46"/>
      <c r="C1" s="47"/>
      <c r="D1" s="47"/>
      <c r="E1" s="47"/>
      <c r="F1" s="47"/>
      <c r="G1" s="154"/>
    </row>
    <row r="2" spans="1:10" x14ac:dyDescent="0.45">
      <c r="A2" s="45"/>
      <c r="B2" s="46"/>
      <c r="C2" s="46"/>
      <c r="D2" s="46"/>
      <c r="E2" s="46"/>
      <c r="F2" s="46"/>
      <c r="G2" s="59"/>
    </row>
    <row r="3" spans="1:10" x14ac:dyDescent="0.45">
      <c r="A3" s="45"/>
      <c r="B3" s="46"/>
      <c r="C3" s="46"/>
      <c r="D3" s="46"/>
      <c r="E3" s="46"/>
      <c r="F3" s="46"/>
      <c r="G3" s="59"/>
    </row>
    <row r="4" spans="1:10" x14ac:dyDescent="0.45">
      <c r="A4" s="227" t="str">
        <f>'Link In'!C2</f>
        <v>Bluegrass Water Utility Operating Company, LLC</v>
      </c>
      <c r="B4" s="227"/>
      <c r="C4" s="227"/>
      <c r="D4" s="227"/>
      <c r="E4" s="227"/>
      <c r="F4" s="227"/>
      <c r="G4" s="227"/>
      <c r="H4" s="227"/>
      <c r="I4" s="227"/>
    </row>
    <row r="5" spans="1:10" x14ac:dyDescent="0.45">
      <c r="A5" s="227" t="str">
        <f>'Link In'!C4</f>
        <v>Case No. 2020-00290</v>
      </c>
      <c r="B5" s="227"/>
      <c r="C5" s="227"/>
      <c r="D5" s="227"/>
      <c r="E5" s="227"/>
      <c r="F5" s="227"/>
      <c r="G5" s="227"/>
      <c r="H5" s="227"/>
      <c r="I5" s="227"/>
    </row>
    <row r="6" spans="1:10" x14ac:dyDescent="0.45">
      <c r="A6" s="228" t="s">
        <v>123</v>
      </c>
      <c r="B6" s="228"/>
      <c r="C6" s="228"/>
      <c r="D6" s="228"/>
      <c r="E6" s="228"/>
      <c r="F6" s="228"/>
      <c r="G6" s="228"/>
      <c r="H6" s="228"/>
      <c r="I6" s="228"/>
    </row>
    <row r="7" spans="1:10" x14ac:dyDescent="0.45">
      <c r="A7" s="227"/>
      <c r="B7" s="227"/>
      <c r="C7" s="227"/>
      <c r="D7" s="227"/>
      <c r="E7" s="227"/>
      <c r="F7" s="227"/>
      <c r="G7" s="227"/>
      <c r="H7" s="227"/>
      <c r="I7" s="227"/>
    </row>
    <row r="8" spans="1:10" x14ac:dyDescent="0.45">
      <c r="A8" s="48"/>
      <c r="B8" s="48"/>
      <c r="C8" s="48"/>
      <c r="D8" s="48"/>
      <c r="E8" s="48"/>
      <c r="F8" s="48"/>
      <c r="G8" s="185"/>
      <c r="I8" s="19"/>
      <c r="J8" s="223" t="s">
        <v>153</v>
      </c>
    </row>
    <row r="9" spans="1:10" x14ac:dyDescent="0.45">
      <c r="A9" s="49" t="s">
        <v>91</v>
      </c>
      <c r="B9" s="48"/>
      <c r="C9" s="46"/>
      <c r="D9" s="46"/>
      <c r="E9" s="46"/>
      <c r="F9" s="46"/>
      <c r="G9" s="59"/>
      <c r="I9" s="66"/>
      <c r="J9" s="66" t="str">
        <f ca="1">RIGHT(CELL("filename",$A$1),LEN(CELL("filename",$A$1))-SEARCH("/Work Papers",CELL("filename",$A$1),1))</f>
        <v>Work Papers/[BGUOC 2020 Rate Case - Revenue Requirement and Conversion Factor (Water).xlsx]Billing Analysis - FY SCH M</v>
      </c>
    </row>
    <row r="10" spans="1:10" x14ac:dyDescent="0.45">
      <c r="A10" s="50" t="s">
        <v>92</v>
      </c>
      <c r="B10" s="48"/>
      <c r="C10" s="46"/>
      <c r="D10" s="46"/>
      <c r="E10" s="46"/>
      <c r="F10" s="46"/>
      <c r="G10" s="59"/>
      <c r="I10" s="19"/>
      <c r="J10" s="19" t="s">
        <v>111</v>
      </c>
    </row>
    <row r="11" spans="1:10" x14ac:dyDescent="0.45">
      <c r="A11" s="50"/>
      <c r="B11" s="48"/>
      <c r="C11" s="46"/>
      <c r="D11" s="46"/>
      <c r="E11" s="46"/>
      <c r="F11" s="46"/>
      <c r="G11" s="59"/>
      <c r="I11" s="19"/>
    </row>
    <row r="12" spans="1:10" x14ac:dyDescent="0.45">
      <c r="A12" s="46"/>
      <c r="B12" s="46"/>
      <c r="C12" s="51"/>
      <c r="D12" s="53" t="s">
        <v>93</v>
      </c>
      <c r="E12" s="53"/>
      <c r="F12" s="53" t="s">
        <v>101</v>
      </c>
      <c r="G12" s="157"/>
      <c r="H12" s="159" t="s">
        <v>101</v>
      </c>
      <c r="I12" s="159" t="s">
        <v>101</v>
      </c>
    </row>
    <row r="13" spans="1:10" x14ac:dyDescent="0.45">
      <c r="A13" s="52" t="s">
        <v>7</v>
      </c>
      <c r="B13" s="46"/>
      <c r="C13" s="159" t="s">
        <v>101</v>
      </c>
      <c r="D13" s="53" t="s">
        <v>94</v>
      </c>
      <c r="E13" s="53" t="s">
        <v>94</v>
      </c>
      <c r="F13" s="53" t="s">
        <v>103</v>
      </c>
      <c r="G13" s="157"/>
      <c r="H13" s="159" t="s">
        <v>95</v>
      </c>
      <c r="I13" s="159" t="s">
        <v>95</v>
      </c>
      <c r="J13" s="159" t="s">
        <v>102</v>
      </c>
    </row>
    <row r="14" spans="1:10" x14ac:dyDescent="0.45">
      <c r="A14" s="54" t="s">
        <v>8</v>
      </c>
      <c r="B14" s="54" t="s">
        <v>96</v>
      </c>
      <c r="C14" s="55" t="s">
        <v>97</v>
      </c>
      <c r="D14" s="55" t="s">
        <v>98</v>
      </c>
      <c r="E14" s="55" t="s">
        <v>99</v>
      </c>
      <c r="F14" s="55"/>
      <c r="G14" s="157"/>
      <c r="H14" s="3" t="s">
        <v>42</v>
      </c>
      <c r="I14" s="3" t="s">
        <v>100</v>
      </c>
      <c r="J14" s="3" t="s">
        <v>124</v>
      </c>
    </row>
    <row r="15" spans="1:10" x14ac:dyDescent="0.45">
      <c r="A15" s="56">
        <v>1</v>
      </c>
      <c r="B15" s="46"/>
      <c r="C15" s="46"/>
      <c r="D15" s="46"/>
      <c r="E15" s="46"/>
      <c r="F15" s="46"/>
      <c r="G15" s="59"/>
    </row>
    <row r="16" spans="1:10" x14ac:dyDescent="0.45">
      <c r="A16" s="56">
        <v>2</v>
      </c>
      <c r="B16" s="161" t="s">
        <v>125</v>
      </c>
      <c r="C16" s="163">
        <f>'Link In'!C56</f>
        <v>336</v>
      </c>
      <c r="D16" s="176">
        <v>1</v>
      </c>
      <c r="E16" s="162">
        <f>C16*D16</f>
        <v>336</v>
      </c>
      <c r="F16" s="145">
        <f>'Rev Requirement - SCH A'!D18</f>
        <v>90000</v>
      </c>
      <c r="G16" s="162"/>
      <c r="H16" s="145">
        <f>($H$21-$H$19)/$E$21*E16</f>
        <v>426747.0642806773</v>
      </c>
      <c r="I16" s="165">
        <f>H16/C16/12</f>
        <v>105.84004570453305</v>
      </c>
      <c r="J16" s="187">
        <f>(H16-F16)/F16</f>
        <v>3.7416340475630809</v>
      </c>
    </row>
    <row r="17" spans="1:10" x14ac:dyDescent="0.45">
      <c r="A17" s="56">
        <v>3</v>
      </c>
      <c r="C17" s="163"/>
      <c r="D17" s="176"/>
      <c r="E17" s="162"/>
      <c r="F17" s="162"/>
      <c r="G17" s="162"/>
      <c r="H17" s="145"/>
      <c r="I17" s="165"/>
      <c r="J17" s="187"/>
    </row>
    <row r="18" spans="1:10" x14ac:dyDescent="0.45">
      <c r="A18" s="56">
        <v>4</v>
      </c>
      <c r="B18" s="161"/>
      <c r="C18" s="163"/>
      <c r="D18" s="176"/>
      <c r="E18" s="162"/>
      <c r="F18" s="162"/>
      <c r="G18" s="162"/>
      <c r="H18" s="145"/>
      <c r="I18" s="165"/>
      <c r="J18" s="187"/>
    </row>
    <row r="19" spans="1:10" x14ac:dyDescent="0.45">
      <c r="A19" s="56">
        <v>5</v>
      </c>
      <c r="B19" s="161"/>
      <c r="C19" s="163"/>
      <c r="D19" s="166"/>
      <c r="E19" s="166"/>
      <c r="F19" s="166"/>
      <c r="G19" s="166"/>
      <c r="H19" s="145"/>
      <c r="I19" s="165"/>
      <c r="J19" s="187"/>
    </row>
    <row r="20" spans="1:10" x14ac:dyDescent="0.45">
      <c r="A20" s="56">
        <v>6</v>
      </c>
      <c r="B20" s="160"/>
      <c r="C20" s="163"/>
      <c r="D20" s="163"/>
      <c r="E20" s="163"/>
      <c r="F20" s="163"/>
      <c r="G20" s="163"/>
      <c r="H20" s="144"/>
      <c r="I20" s="165"/>
    </row>
    <row r="21" spans="1:10" x14ac:dyDescent="0.45">
      <c r="A21" s="56">
        <v>7</v>
      </c>
      <c r="B21" s="167" t="s">
        <v>80</v>
      </c>
      <c r="C21" s="168">
        <f>SUM(C16:C19)</f>
        <v>336</v>
      </c>
      <c r="D21" s="168"/>
      <c r="E21" s="168">
        <f>SUM(E16:E19)</f>
        <v>336</v>
      </c>
      <c r="F21" s="168"/>
      <c r="G21" s="186"/>
      <c r="H21" s="169">
        <f>'Rev Requirement - SCH A'!D52</f>
        <v>426747.06428067724</v>
      </c>
      <c r="I21" s="165"/>
    </row>
    <row r="22" spans="1:10" x14ac:dyDescent="0.45">
      <c r="A22" s="56">
        <v>8</v>
      </c>
      <c r="B22" s="160"/>
      <c r="C22" s="163"/>
      <c r="D22" s="163"/>
      <c r="E22" s="163"/>
      <c r="F22" s="163"/>
      <c r="G22" s="163"/>
      <c r="H22" s="144"/>
      <c r="I22" s="165"/>
    </row>
    <row r="23" spans="1:10" x14ac:dyDescent="0.45">
      <c r="A23" s="56">
        <v>9</v>
      </c>
      <c r="B23" s="160"/>
      <c r="C23" s="163"/>
      <c r="D23" s="163"/>
      <c r="E23" s="163"/>
      <c r="F23" s="163"/>
      <c r="G23" s="163"/>
      <c r="H23" s="144"/>
    </row>
    <row r="24" spans="1:10" x14ac:dyDescent="0.45">
      <c r="A24" s="56">
        <v>10</v>
      </c>
      <c r="B24" s="160"/>
      <c r="C24" s="163"/>
      <c r="D24" s="163"/>
      <c r="E24" s="163"/>
      <c r="F24" s="163"/>
      <c r="G24" s="163"/>
      <c r="H24" s="144"/>
    </row>
    <row r="25" spans="1:10" x14ac:dyDescent="0.45">
      <c r="A25" s="56">
        <v>11</v>
      </c>
      <c r="C25" s="163"/>
      <c r="D25" s="163"/>
      <c r="E25" s="163"/>
      <c r="F25" s="163"/>
      <c r="G25" s="163"/>
      <c r="H25" s="144"/>
    </row>
    <row r="26" spans="1:10" x14ac:dyDescent="0.45">
      <c r="A26" s="56">
        <v>12</v>
      </c>
      <c r="B26" s="160"/>
      <c r="C26" s="163"/>
      <c r="D26" s="163"/>
      <c r="E26" s="163"/>
      <c r="F26" s="163"/>
      <c r="G26" s="163"/>
      <c r="H26" s="144"/>
    </row>
    <row r="27" spans="1:10" x14ac:dyDescent="0.45">
      <c r="A27" s="56">
        <v>13</v>
      </c>
      <c r="B27" s="160"/>
      <c r="C27" s="163"/>
      <c r="D27" s="163"/>
      <c r="E27" s="163"/>
      <c r="F27" s="163"/>
      <c r="G27" s="163"/>
      <c r="H27" s="144"/>
    </row>
    <row r="28" spans="1:10" x14ac:dyDescent="0.45">
      <c r="A28" s="56">
        <v>14</v>
      </c>
      <c r="B28" s="160"/>
      <c r="C28" s="163"/>
      <c r="D28" s="163"/>
      <c r="E28" s="163"/>
      <c r="F28" s="163"/>
      <c r="G28" s="163"/>
      <c r="H28" s="144"/>
    </row>
    <row r="29" spans="1:10" x14ac:dyDescent="0.45">
      <c r="A29" s="56">
        <v>15</v>
      </c>
      <c r="B29" s="59"/>
      <c r="C29" s="153"/>
      <c r="D29" s="153"/>
      <c r="E29" s="153"/>
      <c r="F29" s="153"/>
      <c r="G29" s="153"/>
      <c r="H29" s="144"/>
    </row>
    <row r="30" spans="1:10" x14ac:dyDescent="0.45">
      <c r="A30" s="56">
        <v>16</v>
      </c>
      <c r="B30" s="164"/>
      <c r="C30" s="170"/>
      <c r="D30" s="153"/>
      <c r="E30" s="153"/>
      <c r="F30" s="153"/>
      <c r="G30" s="153"/>
      <c r="H30" s="144"/>
    </row>
    <row r="31" spans="1:10" x14ac:dyDescent="0.45">
      <c r="A31" s="56">
        <v>17</v>
      </c>
      <c r="B31" s="156"/>
      <c r="C31" s="157"/>
      <c r="D31" s="157"/>
      <c r="E31" s="157"/>
      <c r="F31" s="157"/>
      <c r="G31" s="157"/>
      <c r="H31" s="144"/>
    </row>
    <row r="32" spans="1:10" x14ac:dyDescent="0.45">
      <c r="A32" s="56">
        <v>18</v>
      </c>
      <c r="B32" s="155"/>
      <c r="C32" s="152"/>
      <c r="D32" s="152"/>
      <c r="E32" s="152"/>
      <c r="F32" s="152"/>
      <c r="G32" s="152"/>
      <c r="H32" s="157"/>
    </row>
    <row r="33" spans="1:8" x14ac:dyDescent="0.45">
      <c r="A33" s="56">
        <v>19</v>
      </c>
      <c r="B33" s="160"/>
      <c r="C33" s="158"/>
      <c r="D33" s="158"/>
      <c r="E33" s="158"/>
      <c r="F33" s="158"/>
      <c r="G33" s="158"/>
      <c r="H33" s="152"/>
    </row>
    <row r="34" spans="1:8" x14ac:dyDescent="0.45">
      <c r="A34" s="56">
        <v>20</v>
      </c>
      <c r="B34" s="156"/>
      <c r="C34" s="158"/>
      <c r="D34" s="158"/>
      <c r="E34" s="158"/>
      <c r="F34" s="158"/>
      <c r="G34" s="158"/>
      <c r="H34" s="144"/>
    </row>
    <row r="35" spans="1:8" x14ac:dyDescent="0.45">
      <c r="A35" s="56">
        <v>21</v>
      </c>
      <c r="B35" s="59"/>
      <c r="C35" s="152"/>
      <c r="D35" s="152"/>
      <c r="E35" s="152"/>
      <c r="F35" s="152"/>
      <c r="G35" s="152"/>
      <c r="H35" s="144"/>
    </row>
    <row r="36" spans="1:8" x14ac:dyDescent="0.45">
      <c r="A36" s="56">
        <v>22</v>
      </c>
      <c r="B36" s="59"/>
      <c r="C36" s="153"/>
      <c r="D36" s="153"/>
      <c r="E36" s="153"/>
      <c r="F36" s="153"/>
      <c r="G36" s="153"/>
      <c r="H36" s="152"/>
    </row>
    <row r="37" spans="1:8" x14ac:dyDescent="0.45">
      <c r="A37" s="56">
        <v>23</v>
      </c>
      <c r="B37" s="59"/>
      <c r="C37" s="153"/>
      <c r="D37" s="153"/>
      <c r="E37" s="153"/>
      <c r="F37" s="153"/>
      <c r="G37" s="153"/>
      <c r="H37" s="158"/>
    </row>
    <row r="38" spans="1:8" x14ac:dyDescent="0.45">
      <c r="A38" s="56">
        <v>24</v>
      </c>
      <c r="B38" s="59"/>
      <c r="C38" s="153"/>
      <c r="D38" s="153"/>
      <c r="E38" s="153"/>
      <c r="F38" s="153"/>
      <c r="G38" s="153"/>
      <c r="H38" s="153"/>
    </row>
    <row r="39" spans="1:8" x14ac:dyDescent="0.45">
      <c r="A39" s="56">
        <v>25</v>
      </c>
      <c r="B39" s="59"/>
      <c r="C39" s="153"/>
      <c r="D39" s="153"/>
      <c r="E39" s="153"/>
      <c r="F39" s="153"/>
      <c r="G39" s="153"/>
      <c r="H39" s="153"/>
    </row>
    <row r="40" spans="1:8" x14ac:dyDescent="0.45">
      <c r="A40" s="56">
        <v>26</v>
      </c>
      <c r="B40" s="59"/>
      <c r="C40" s="153"/>
      <c r="D40" s="153"/>
      <c r="E40" s="153"/>
      <c r="F40" s="153"/>
      <c r="G40" s="153"/>
      <c r="H40" s="153"/>
    </row>
    <row r="41" spans="1:8" x14ac:dyDescent="0.45">
      <c r="A41" s="56">
        <v>27</v>
      </c>
      <c r="B41" s="154"/>
      <c r="C41" s="152"/>
      <c r="D41" s="152"/>
      <c r="E41" s="152"/>
      <c r="F41" s="152"/>
      <c r="G41" s="152"/>
      <c r="H41" s="153"/>
    </row>
    <row r="42" spans="1:8" x14ac:dyDescent="0.45">
      <c r="A42" s="56">
        <v>28</v>
      </c>
      <c r="B42" s="59"/>
      <c r="C42" s="59"/>
      <c r="D42" s="59"/>
      <c r="E42" s="59"/>
      <c r="F42" s="59"/>
      <c r="G42" s="59"/>
      <c r="H42" s="152"/>
    </row>
    <row r="43" spans="1:8" x14ac:dyDescent="0.45">
      <c r="A43" s="56">
        <v>29</v>
      </c>
      <c r="B43" s="154"/>
      <c r="C43" s="152"/>
      <c r="D43" s="152"/>
      <c r="E43" s="152"/>
      <c r="F43" s="152"/>
      <c r="G43" s="152"/>
      <c r="H43" s="144"/>
    </row>
    <row r="44" spans="1:8" x14ac:dyDescent="0.45">
      <c r="A44" s="56">
        <v>30</v>
      </c>
      <c r="B44" s="46"/>
      <c r="C44" s="46"/>
      <c r="D44" s="46"/>
      <c r="E44" s="46"/>
      <c r="F44" s="46"/>
      <c r="G44" s="59"/>
      <c r="H44" s="152"/>
    </row>
    <row r="45" spans="1:8" x14ac:dyDescent="0.45">
      <c r="A45" s="56">
        <v>31</v>
      </c>
    </row>
    <row r="46" spans="1:8" x14ac:dyDescent="0.45">
      <c r="H46" s="147"/>
    </row>
  </sheetData>
  <mergeCells count="4">
    <mergeCell ref="A4:I4"/>
    <mergeCell ref="A5:I5"/>
    <mergeCell ref="A6:I6"/>
    <mergeCell ref="A7:I7"/>
  </mergeCells>
  <printOptions horizontalCentered="1"/>
  <pageMargins left="0.7" right="0.7" top="0.75" bottom="0.75" header="0.3" footer="0.3"/>
  <pageSetup scale="70" orientation="landscape" r:id="rId1"/>
  <customProperties>
    <customPr name="Sheet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B6CFA-4724-4D83-AA63-D4DB2B2CE587}">
  <sheetPr>
    <pageSetUpPr fitToPage="1"/>
  </sheetPr>
  <dimension ref="A1:E47"/>
  <sheetViews>
    <sheetView view="pageBreakPreview" topLeftCell="A4" zoomScale="60" zoomScaleNormal="80" workbookViewId="0">
      <selection activeCell="D24" sqref="D24"/>
    </sheetView>
  </sheetViews>
  <sheetFormatPr defaultColWidth="9.1328125" defaultRowHeight="14.25" x14ac:dyDescent="0.45"/>
  <cols>
    <col min="1" max="1" width="9.1328125" style="5"/>
    <col min="2" max="2" width="75" style="5" customWidth="1"/>
    <col min="3" max="3" width="15.1328125" style="5" bestFit="1" customWidth="1"/>
    <col min="4" max="4" width="22.1328125" style="5" customWidth="1"/>
    <col min="5" max="5" width="16.59765625" style="5" customWidth="1"/>
    <col min="6" max="16384" width="9.1328125" style="5"/>
  </cols>
  <sheetData>
    <row r="1" spans="1:5" x14ac:dyDescent="0.45">
      <c r="A1" s="45" t="s">
        <v>129</v>
      </c>
      <c r="B1" s="46"/>
      <c r="C1" s="46"/>
      <c r="E1" s="47"/>
    </row>
    <row r="2" spans="1:5" x14ac:dyDescent="0.45">
      <c r="A2" s="45" t="s">
        <v>130</v>
      </c>
      <c r="B2" s="46"/>
      <c r="C2" s="46"/>
      <c r="E2" s="14" t="str">
        <f ca="1">RIGHT(CELL("filename",$A$1),LEN(CELL("filename",$A$1))-SEARCH("/Work Papers",CELL("filename",$A$1),1))</f>
        <v>Work Papers/[BGUOC 2020 Rate Case - Revenue Requirement and Conversion Factor (Water).xlsx]Proposed Rate Adjustments</v>
      </c>
    </row>
    <row r="3" spans="1:5" x14ac:dyDescent="0.45">
      <c r="A3" s="45"/>
      <c r="B3" s="46"/>
      <c r="C3" s="46"/>
      <c r="D3" s="47"/>
    </row>
    <row r="4" spans="1:5" x14ac:dyDescent="0.45">
      <c r="A4" s="45"/>
      <c r="B4" s="46"/>
      <c r="C4" s="46"/>
      <c r="D4" s="46"/>
    </row>
    <row r="5" spans="1:5" x14ac:dyDescent="0.45">
      <c r="A5" s="45"/>
      <c r="B5" s="46"/>
      <c r="C5" s="46"/>
      <c r="D5" s="46"/>
    </row>
    <row r="6" spans="1:5" x14ac:dyDescent="0.45">
      <c r="A6" s="227" t="str">
        <f>'Link In'!C2</f>
        <v>Bluegrass Water Utility Operating Company, LLC</v>
      </c>
      <c r="B6" s="227"/>
      <c r="C6" s="227"/>
      <c r="D6" s="227"/>
      <c r="E6" s="227"/>
    </row>
    <row r="7" spans="1:5" x14ac:dyDescent="0.45">
      <c r="A7" s="227" t="str">
        <f>'Link In'!C4</f>
        <v>Case No. 2020-00290</v>
      </c>
      <c r="B7" s="227"/>
      <c r="C7" s="227"/>
      <c r="D7" s="227"/>
      <c r="E7" s="227"/>
    </row>
    <row r="8" spans="1:5" x14ac:dyDescent="0.45">
      <c r="A8" s="227" t="s">
        <v>131</v>
      </c>
      <c r="B8" s="227"/>
      <c r="C8" s="227"/>
      <c r="D8" s="227"/>
      <c r="E8" s="227"/>
    </row>
    <row r="9" spans="1:5" x14ac:dyDescent="0.45">
      <c r="A9" s="227"/>
      <c r="B9" s="227"/>
      <c r="C9" s="227"/>
      <c r="D9" s="227"/>
    </row>
    <row r="10" spans="1:5" x14ac:dyDescent="0.45">
      <c r="A10" s="45"/>
      <c r="B10" s="45"/>
      <c r="C10" s="45"/>
      <c r="D10" s="45"/>
    </row>
    <row r="11" spans="1:5" x14ac:dyDescent="0.45">
      <c r="A11" s="191" t="s">
        <v>132</v>
      </c>
      <c r="B11" s="45"/>
      <c r="C11" s="45"/>
      <c r="D11" s="46"/>
    </row>
    <row r="12" spans="1:5" x14ac:dyDescent="0.45">
      <c r="A12" s="192" t="s">
        <v>92</v>
      </c>
      <c r="B12" s="45"/>
      <c r="C12" s="45"/>
      <c r="D12" s="46"/>
    </row>
    <row r="13" spans="1:5" x14ac:dyDescent="0.45">
      <c r="A13" s="46"/>
      <c r="B13" s="46"/>
      <c r="C13" s="189" t="s">
        <v>133</v>
      </c>
      <c r="D13" s="51"/>
    </row>
    <row r="14" spans="1:5" x14ac:dyDescent="0.45">
      <c r="A14" s="189" t="s">
        <v>7</v>
      </c>
      <c r="B14" s="46"/>
      <c r="C14" s="189" t="s">
        <v>49</v>
      </c>
      <c r="D14" s="53" t="s">
        <v>80</v>
      </c>
    </row>
    <row r="15" spans="1:5" x14ac:dyDescent="0.45">
      <c r="A15" s="54" t="s">
        <v>8</v>
      </c>
      <c r="B15" s="54" t="s">
        <v>134</v>
      </c>
      <c r="C15" s="54" t="s">
        <v>102</v>
      </c>
      <c r="D15" s="55" t="s">
        <v>34</v>
      </c>
    </row>
    <row r="16" spans="1:5" x14ac:dyDescent="0.45">
      <c r="A16" s="56">
        <v>1</v>
      </c>
      <c r="B16" s="46"/>
      <c r="C16" s="46"/>
      <c r="D16" s="46"/>
    </row>
    <row r="17" spans="1:5" x14ac:dyDescent="0.45">
      <c r="A17" s="56">
        <v>2</v>
      </c>
      <c r="B17" s="57" t="s">
        <v>135</v>
      </c>
      <c r="C17" s="46"/>
      <c r="D17" s="193">
        <f>'Rev Requirement - SCH A'!D48</f>
        <v>336747.06428067724</v>
      </c>
      <c r="E17" s="194"/>
    </row>
    <row r="18" spans="1:5" x14ac:dyDescent="0.45">
      <c r="A18" s="56">
        <v>3</v>
      </c>
      <c r="B18" s="58" t="s">
        <v>152</v>
      </c>
      <c r="C18" s="46"/>
      <c r="D18" s="193">
        <f>'Rev Requirement - SCH A'!D43</f>
        <v>299241.55188539223</v>
      </c>
    </row>
    <row r="19" spans="1:5" ht="14.65" thickBot="1" x14ac:dyDescent="0.5">
      <c r="A19" s="56">
        <v>4</v>
      </c>
      <c r="B19" s="60" t="s">
        <v>136</v>
      </c>
      <c r="C19" s="46"/>
      <c r="D19" s="196">
        <f>D17-D18</f>
        <v>37505.512395285012</v>
      </c>
    </row>
    <row r="20" spans="1:5" ht="14.65" thickTop="1" x14ac:dyDescent="0.45">
      <c r="A20" s="56">
        <v>5</v>
      </c>
      <c r="B20" s="46"/>
      <c r="C20" s="46"/>
      <c r="D20" s="46"/>
    </row>
    <row r="21" spans="1:5" x14ac:dyDescent="0.45">
      <c r="A21" s="56">
        <v>6</v>
      </c>
      <c r="B21" s="197" t="s">
        <v>137</v>
      </c>
      <c r="C21" s="198"/>
      <c r="D21" s="46"/>
    </row>
    <row r="22" spans="1:5" x14ac:dyDescent="0.45">
      <c r="A22" s="56">
        <v>7</v>
      </c>
      <c r="B22" s="46" t="s">
        <v>138</v>
      </c>
      <c r="C22" s="199">
        <f>'Rev Conversion Factor - SCH H'!E19</f>
        <v>2.9225000000000001E-2</v>
      </c>
      <c r="D22" s="193">
        <f>D19*C22</f>
        <v>1096.0985997522046</v>
      </c>
    </row>
    <row r="23" spans="1:5" x14ac:dyDescent="0.45">
      <c r="A23" s="56">
        <v>8</v>
      </c>
      <c r="B23" s="46" t="s">
        <v>139</v>
      </c>
      <c r="C23" s="199">
        <f>'Rev Conversion Factor - SCH H'!E20</f>
        <v>7.7929999999999996E-3</v>
      </c>
      <c r="D23" s="195">
        <f>D19*C23</f>
        <v>292.28045809645607</v>
      </c>
    </row>
    <row r="24" spans="1:5" x14ac:dyDescent="0.45">
      <c r="A24" s="56">
        <v>9</v>
      </c>
      <c r="B24" s="46" t="s">
        <v>140</v>
      </c>
      <c r="C24" s="199">
        <f>'Rev Conversion Factor - SCH H'!E24</f>
        <v>0.19298199999999999</v>
      </c>
      <c r="D24" s="195">
        <f>D19*C24</f>
        <v>7237.8887930668916</v>
      </c>
    </row>
    <row r="25" spans="1:5" x14ac:dyDescent="0.45">
      <c r="A25" s="56">
        <v>10</v>
      </c>
      <c r="B25" s="200" t="s">
        <v>141</v>
      </c>
      <c r="C25" s="201">
        <f>'Rev Conversion Factor - SCH H'!E27</f>
        <v>0.76999899999999999</v>
      </c>
      <c r="D25" s="202">
        <f>D19*C25</f>
        <v>28879.207038857065</v>
      </c>
    </row>
    <row r="26" spans="1:5" x14ac:dyDescent="0.45">
      <c r="A26" s="56">
        <v>11</v>
      </c>
      <c r="B26" s="46"/>
      <c r="C26" s="203"/>
      <c r="D26" s="195"/>
    </row>
    <row r="27" spans="1:5" ht="14.65" thickBot="1" x14ac:dyDescent="0.5">
      <c r="A27" s="56">
        <v>12</v>
      </c>
      <c r="B27" s="47" t="s">
        <v>142</v>
      </c>
      <c r="C27" s="204">
        <v>1</v>
      </c>
      <c r="D27" s="205">
        <f>SUM(D22:D25)</f>
        <v>37505.474889772617</v>
      </c>
    </row>
    <row r="28" spans="1:5" ht="14.65" thickTop="1" x14ac:dyDescent="0.45">
      <c r="A28" s="56">
        <v>13</v>
      </c>
      <c r="B28" s="45"/>
      <c r="C28" s="46"/>
      <c r="D28" s="193"/>
    </row>
    <row r="29" spans="1:5" ht="14.65" thickBot="1" x14ac:dyDescent="0.5">
      <c r="A29" s="56">
        <v>14</v>
      </c>
      <c r="B29" s="47" t="s">
        <v>143</v>
      </c>
      <c r="C29" s="46"/>
      <c r="D29" s="205">
        <f>D17-D27</f>
        <v>299241.58939090464</v>
      </c>
    </row>
    <row r="30" spans="1:5" ht="14.65" thickTop="1" x14ac:dyDescent="0.45">
      <c r="A30" s="56">
        <v>15</v>
      </c>
      <c r="B30" s="46"/>
      <c r="C30" s="46"/>
      <c r="D30" s="206"/>
    </row>
    <row r="31" spans="1:5" x14ac:dyDescent="0.45">
      <c r="A31" s="56">
        <v>16</v>
      </c>
      <c r="B31" s="46"/>
      <c r="C31" s="46"/>
      <c r="D31" s="195"/>
    </row>
    <row r="32" spans="1:5" x14ac:dyDescent="0.45">
      <c r="A32" s="56">
        <v>17</v>
      </c>
      <c r="C32" s="46"/>
      <c r="D32" s="195"/>
    </row>
    <row r="33" spans="1:5" x14ac:dyDescent="0.45">
      <c r="A33" s="56">
        <v>18</v>
      </c>
      <c r="B33" s="207" t="s">
        <v>144</v>
      </c>
      <c r="C33" s="54" t="s">
        <v>103</v>
      </c>
      <c r="D33" s="55" t="s">
        <v>145</v>
      </c>
      <c r="E33" s="55" t="s">
        <v>146</v>
      </c>
    </row>
    <row r="34" spans="1:5" ht="14.65" thickBot="1" x14ac:dyDescent="0.5">
      <c r="A34" s="56">
        <v>19</v>
      </c>
      <c r="B34" s="45" t="s">
        <v>147</v>
      </c>
      <c r="C34" s="205">
        <f>'Rev Requirement - SCH A'!D15</f>
        <v>0</v>
      </c>
      <c r="D34" s="205">
        <f>D17</f>
        <v>336747.06428067724</v>
      </c>
      <c r="E34" s="205">
        <f>C34+D34</f>
        <v>336747.06428067724</v>
      </c>
    </row>
    <row r="35" spans="1:5" ht="14.65" thickTop="1" x14ac:dyDescent="0.45">
      <c r="A35" s="56">
        <v>20</v>
      </c>
      <c r="B35" s="46"/>
      <c r="C35" s="46"/>
      <c r="D35" s="195"/>
    </row>
    <row r="36" spans="1:5" x14ac:dyDescent="0.45">
      <c r="A36" s="56">
        <v>21</v>
      </c>
      <c r="B36" s="207" t="s">
        <v>148</v>
      </c>
      <c r="C36" s="46"/>
      <c r="D36" s="195"/>
    </row>
    <row r="37" spans="1:5" x14ac:dyDescent="0.45">
      <c r="A37" s="56">
        <v>22</v>
      </c>
      <c r="B37" s="46" t="s">
        <v>149</v>
      </c>
      <c r="C37" s="193">
        <f>'Rev Requirement - SCH A'!D18</f>
        <v>90000</v>
      </c>
      <c r="D37" s="193">
        <f>D22</f>
        <v>1096.0985997522046</v>
      </c>
      <c r="E37" s="193">
        <f t="shared" ref="E37:E43" si="0">C37+D37</f>
        <v>91096.098599752208</v>
      </c>
    </row>
    <row r="38" spans="1:5" x14ac:dyDescent="0.45">
      <c r="A38" s="56">
        <v>23</v>
      </c>
      <c r="B38" s="46" t="s">
        <v>62</v>
      </c>
      <c r="C38" s="195">
        <f>'Rev Requirement - SCH A'!D19</f>
        <v>0</v>
      </c>
      <c r="D38" s="195">
        <v>0</v>
      </c>
      <c r="E38" s="195">
        <f t="shared" si="0"/>
        <v>0</v>
      </c>
    </row>
    <row r="39" spans="1:5" x14ac:dyDescent="0.45">
      <c r="A39" s="56">
        <v>24</v>
      </c>
      <c r="B39" s="46" t="s">
        <v>150</v>
      </c>
      <c r="C39" s="193">
        <f>'Rev Requirement - SCH A'!D20+'Rev Requirement - SCH A'!D21</f>
        <v>254013.99407327655</v>
      </c>
      <c r="D39" s="195">
        <v>0</v>
      </c>
      <c r="E39" s="195">
        <f t="shared" si="0"/>
        <v>254013.99407327655</v>
      </c>
    </row>
    <row r="40" spans="1:5" x14ac:dyDescent="0.45">
      <c r="A40" s="56">
        <v>25</v>
      </c>
      <c r="B40" s="46" t="s">
        <v>30</v>
      </c>
      <c r="C40" s="195">
        <f>'Rev Requirement - SCH A'!D24</f>
        <v>0</v>
      </c>
      <c r="D40" s="195">
        <f>D23</f>
        <v>292.28045809645607</v>
      </c>
      <c r="E40" s="195">
        <f t="shared" si="0"/>
        <v>292.28045809645607</v>
      </c>
    </row>
    <row r="41" spans="1:5" x14ac:dyDescent="0.45">
      <c r="A41" s="56">
        <v>26</v>
      </c>
      <c r="B41" s="46" t="s">
        <v>64</v>
      </c>
      <c r="C41" s="195">
        <f>'Rev Requirement - SCH A'!D22</f>
        <v>31940.930633333333</v>
      </c>
      <c r="D41" s="195">
        <f>D24</f>
        <v>7237.8887930668916</v>
      </c>
      <c r="E41" s="195">
        <f t="shared" si="0"/>
        <v>39178.819426400223</v>
      </c>
    </row>
    <row r="42" spans="1:5" x14ac:dyDescent="0.45">
      <c r="A42" s="56">
        <v>27</v>
      </c>
      <c r="B42" s="46" t="s">
        <v>65</v>
      </c>
      <c r="C42" s="202">
        <f>'Rev Requirement - SCH A'!D23</f>
        <v>0</v>
      </c>
      <c r="D42" s="202">
        <f>D25</f>
        <v>28879.207038857065</v>
      </c>
      <c r="E42" s="202">
        <f t="shared" si="0"/>
        <v>28879.207038857065</v>
      </c>
    </row>
    <row r="43" spans="1:5" ht="14.65" thickBot="1" x14ac:dyDescent="0.5">
      <c r="A43" s="56">
        <v>28</v>
      </c>
      <c r="B43" s="47" t="s">
        <v>31</v>
      </c>
      <c r="C43" s="205">
        <f>'Rev Requirement - SCH A'!D25</f>
        <v>0</v>
      </c>
      <c r="D43" s="205">
        <f>SUM(D37:D42)</f>
        <v>37505.474889772617</v>
      </c>
      <c r="E43" s="205">
        <f t="shared" si="0"/>
        <v>37505.474889772617</v>
      </c>
    </row>
    <row r="44" spans="1:5" ht="14.65" thickTop="1" x14ac:dyDescent="0.45">
      <c r="A44" s="56">
        <v>29</v>
      </c>
      <c r="B44" s="46"/>
      <c r="C44" s="46"/>
      <c r="D44" s="46"/>
    </row>
    <row r="45" spans="1:5" ht="14.65" thickBot="1" x14ac:dyDescent="0.5">
      <c r="A45" s="56">
        <v>30</v>
      </c>
      <c r="B45" s="47" t="s">
        <v>151</v>
      </c>
      <c r="C45" s="205">
        <f>'Rev Requirement - SCH A'!D27</f>
        <v>92.38</v>
      </c>
      <c r="D45" s="205">
        <f>D34-D43</f>
        <v>299241.58939090464</v>
      </c>
      <c r="E45" s="205">
        <f>C45+D45</f>
        <v>299333.96939090465</v>
      </c>
    </row>
    <row r="46" spans="1:5" ht="14.65" thickTop="1" x14ac:dyDescent="0.45">
      <c r="A46" s="56">
        <v>31</v>
      </c>
      <c r="B46" s="46"/>
      <c r="C46" s="46"/>
      <c r="D46" s="46"/>
    </row>
    <row r="47" spans="1:5" x14ac:dyDescent="0.45">
      <c r="E47" s="147"/>
    </row>
  </sheetData>
  <mergeCells count="4">
    <mergeCell ref="A6:E6"/>
    <mergeCell ref="A7:E7"/>
    <mergeCell ref="A8:E8"/>
    <mergeCell ref="A9:D9"/>
  </mergeCells>
  <printOptions horizontalCentered="1"/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A8C2C-80E9-41E7-B006-34B21B2957FF}"/>
</file>

<file path=customXml/itemProps2.xml><?xml version="1.0" encoding="utf-8"?>
<ds:datastoreItem xmlns:ds="http://schemas.openxmlformats.org/officeDocument/2006/customXml" ds:itemID="{42B11F38-CDE7-434B-B6A0-199360BAA803}">
  <ds:schemaRefs>
    <ds:schemaRef ds:uri="http://purl.org/dc/elements/1.1/"/>
    <ds:schemaRef ds:uri="http://www.w3.org/XML/1998/namespace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cc29f954-72e5-4988-94c8-6074c4013efb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E12E18-6623-4219-912D-5F22F0F2D1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Link In</vt:lpstr>
      <vt:lpstr>Link Out</vt:lpstr>
      <vt:lpstr>Rev Requirement - SCH A</vt:lpstr>
      <vt:lpstr>Rev Conversion Factor - SCH H</vt:lpstr>
      <vt:lpstr>Billing Analysis - FY SCH M</vt:lpstr>
      <vt:lpstr>Proposed Rate Adjustments</vt:lpstr>
      <vt:lpstr>'Rev Conversion Factor - SCH H'!Print_Area</vt:lpstr>
      <vt:lpstr>'Rev Requirement - SCH A'!Print_Area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Duncan; Brent Thies; SCHWARML</dc:creator>
  <cp:keywords/>
  <dc:description/>
  <cp:lastModifiedBy>Mike Duncan</cp:lastModifiedBy>
  <cp:revision/>
  <cp:lastPrinted>2020-09-30T15:31:28Z</cp:lastPrinted>
  <dcterms:created xsi:type="dcterms:W3CDTF">2012-10-23T17:09:57Z</dcterms:created>
  <dcterms:modified xsi:type="dcterms:W3CDTF">2020-09-30T15:31:33Z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{159F2452-0987-4AD9-BF9A-6DCB3DA5755D}</vt:lpwstr>
  </property>
  <property fmtid="{D5CDD505-2E9C-101B-9397-08002B2CF9AE}" pid="3" name="ContentTypeId">
    <vt:lpwstr>0x01010035F955E8F06CBD48B7814246FB9E203E</vt:lpwstr>
  </property>
</Properties>
</file>