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wrgroup.sharepoint.com/Rate Cases/Kentucky/BGUOC Rate Case 2020-00290/DR Responses/Post Hearing Data Requests/"/>
    </mc:Choice>
  </mc:AlternateContent>
  <xr:revisionPtr revIDLastSave="11" documentId="8_{7A8D5297-9AFB-4F57-BD15-E8A5BCE81DA2}" xr6:coauthVersionLast="47" xr6:coauthVersionMax="47" xr10:uidLastSave="{703AC46F-D13D-4679-8851-AC6AEB1EF25B}"/>
  <bookViews>
    <workbookView xWindow="-108" yWindow="-108" windowWidth="23256" windowHeight="12576" tabRatio="939" firstSheet="8" activeTab="14" xr2:uid="{015367E3-802F-478E-A096-BAFD90F1DF6A}"/>
  </bookViews>
  <sheets>
    <sheet name="Summary" sheetId="3" r:id="rId1"/>
    <sheet name="Airview" sheetId="2" r:id="rId2"/>
    <sheet name="Arcadia Pines" sheetId="4" r:id="rId3"/>
    <sheet name="Brocklyn" sheetId="5" r:id="rId4"/>
    <sheet name="Carriage Park" sheetId="6" r:id="rId5"/>
    <sheet name="Fox Run" sheetId="7" r:id="rId6"/>
    <sheet name="Golden Acres" sheetId="8" r:id="rId7"/>
    <sheet name="Great Oaks" sheetId="9" r:id="rId8"/>
    <sheet name="Timberland" sheetId="10" r:id="rId9"/>
    <sheet name="Kingswood" sheetId="11" r:id="rId10"/>
    <sheet name="Lake Columbia" sheetId="12" r:id="rId11"/>
    <sheet name="LH Treatment" sheetId="13" r:id="rId12"/>
    <sheet name="Marshall Ridge" sheetId="15" r:id="rId13"/>
    <sheet name="Persimmon Ridge" sheetId="16" r:id="rId14"/>
    <sheet name="Randview" sheetId="17" r:id="rId15"/>
    <sheet name="River Bluffs" sheetId="18" r:id="rId16"/>
    <sheet name="Delaplain" sheetId="19" r:id="rId17"/>
    <sheet name="Herrington Haven" sheetId="20" r:id="rId18"/>
    <sheet name="Woodland Acres" sheetId="22" r:id="rId19"/>
    <sheet name="SpringCrest" sheetId="21" r:id="rId20"/>
  </sheets>
  <externalReferences>
    <externalReference r:id="rId21"/>
  </externalReferences>
  <definedNames>
    <definedName name="BY_end">'[1]Constants LinkIn'!$B$5</definedName>
    <definedName name="BY_Start">'[1]Constants LinkIn'!$B$4</definedName>
    <definedName name="FY_End">'[1]Constants LinkIn'!$B$7</definedName>
    <definedName name="FY_Start">'[1]Constants LinkIn'!$B$6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Airview!$A$1:$K$30</definedName>
    <definedName name="_xlnm.Print_Area" localSheetId="2">'Arcadia Pines'!$A$1:$K$30</definedName>
    <definedName name="_xlnm.Print_Area" localSheetId="3">Brocklyn!$A$1:$K$30</definedName>
    <definedName name="_xlnm.Print_Area" localSheetId="4">'Carriage Park'!$A$1:$K$30</definedName>
    <definedName name="_xlnm.Print_Area" localSheetId="16">Delaplain!$A$1:$K$30</definedName>
    <definedName name="_xlnm.Print_Area" localSheetId="5">'Fox Run'!$A$1:$K$30</definedName>
    <definedName name="_xlnm.Print_Area" localSheetId="6">'Golden Acres'!$A$1:$K$30</definedName>
    <definedName name="_xlnm.Print_Area" localSheetId="7">'Great Oaks'!$A$1:$K$30</definedName>
    <definedName name="_xlnm.Print_Area" localSheetId="17">'Herrington Haven'!$A$1:$K$30</definedName>
    <definedName name="_xlnm.Print_Area" localSheetId="9">Kingswood!$A$1:$K$30</definedName>
    <definedName name="_xlnm.Print_Area" localSheetId="10">'Lake Columbia'!$A$1:$K$30</definedName>
    <definedName name="_xlnm.Print_Area" localSheetId="11">'LH Treatment'!$A$1:$K$30</definedName>
    <definedName name="_xlnm.Print_Area" localSheetId="12">'Marshall Ridge'!$A$1:$K$30</definedName>
    <definedName name="_xlnm.Print_Area" localSheetId="13">'Persimmon Ridge'!$A$1:$K$30</definedName>
    <definedName name="_xlnm.Print_Area" localSheetId="14">Randview!$A$1:$K$30</definedName>
    <definedName name="_xlnm.Print_Area" localSheetId="15">'River Bluffs'!$A$1:$K$30</definedName>
    <definedName name="_xlnm.Print_Area" localSheetId="19">SpringCrest!$A$1:$K$30</definedName>
    <definedName name="_xlnm.Print_Area" localSheetId="8">Timberland!$A$1:$K$30</definedName>
    <definedName name="_xlnm.Print_Area" localSheetId="18">'Woodland Acres'!$A$1:$K$30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9" l="1"/>
  <c r="J16" i="19"/>
  <c r="J16" i="18"/>
  <c r="H14" i="22"/>
  <c r="J16" i="21"/>
  <c r="H16" i="21"/>
  <c r="H14" i="21"/>
  <c r="J16" i="22"/>
  <c r="H16" i="22"/>
  <c r="J16" i="20"/>
  <c r="H16" i="20"/>
  <c r="H14" i="20"/>
  <c r="H16" i="19"/>
  <c r="H14" i="19"/>
  <c r="H16" i="18"/>
  <c r="J16" i="16"/>
  <c r="H16" i="16"/>
  <c r="J16" i="13"/>
  <c r="H16" i="13"/>
  <c r="J16" i="11"/>
  <c r="H16" i="11"/>
  <c r="J16" i="10"/>
  <c r="J16" i="9"/>
  <c r="H16" i="9"/>
  <c r="J16" i="8"/>
  <c r="H16" i="8"/>
  <c r="J16" i="7"/>
  <c r="H16" i="7"/>
  <c r="J16" i="5"/>
  <c r="H16" i="5"/>
  <c r="J14" i="9"/>
  <c r="H14" i="9"/>
  <c r="J14" i="8"/>
  <c r="H14" i="8"/>
  <c r="J19" i="10" l="1"/>
  <c r="H19" i="10"/>
  <c r="J19" i="4"/>
  <c r="J19" i="5"/>
  <c r="J19" i="6"/>
  <c r="J19" i="7"/>
  <c r="J19" i="8"/>
  <c r="J19" i="9"/>
  <c r="J19" i="11"/>
  <c r="J19" i="12"/>
  <c r="J19" i="13"/>
  <c r="J19" i="15"/>
  <c r="J19" i="16"/>
  <c r="J19" i="17"/>
  <c r="J19" i="18"/>
  <c r="J19" i="19"/>
  <c r="J19" i="20"/>
  <c r="J19" i="22"/>
  <c r="J19" i="21"/>
  <c r="J19" i="2"/>
  <c r="H19" i="4"/>
  <c r="H19" i="5"/>
  <c r="H19" i="6"/>
  <c r="H19" i="7"/>
  <c r="H19" i="8"/>
  <c r="H19" i="9"/>
  <c r="H19" i="11"/>
  <c r="H19" i="12"/>
  <c r="H19" i="13"/>
  <c r="H19" i="15"/>
  <c r="H19" i="16"/>
  <c r="H19" i="17"/>
  <c r="H19" i="18"/>
  <c r="H19" i="19"/>
  <c r="H19" i="20"/>
  <c r="H19" i="22"/>
  <c r="H19" i="21"/>
  <c r="H19" i="2"/>
  <c r="J14" i="22" l="1"/>
  <c r="J22" i="5" l="1"/>
  <c r="N20" i="3" l="1"/>
  <c r="M10" i="3"/>
  <c r="M8" i="3"/>
  <c r="M13" i="3" l="1"/>
  <c r="J29" i="15" l="1"/>
  <c r="J29" i="16"/>
  <c r="J29" i="17"/>
  <c r="J29" i="18"/>
  <c r="J29" i="19"/>
  <c r="J29" i="20"/>
  <c r="J29" i="22"/>
  <c r="J29" i="21"/>
  <c r="J29" i="13"/>
  <c r="H29" i="15"/>
  <c r="H29" i="16"/>
  <c r="H29" i="17"/>
  <c r="H29" i="18"/>
  <c r="H29" i="19"/>
  <c r="H29" i="20"/>
  <c r="H29" i="22"/>
  <c r="H29" i="21"/>
  <c r="H29" i="13"/>
  <c r="J29" i="5"/>
  <c r="J29" i="6"/>
  <c r="J29" i="7"/>
  <c r="J29" i="8"/>
  <c r="J29" i="9"/>
  <c r="J29" i="10"/>
  <c r="J29" i="11"/>
  <c r="J29" i="4"/>
  <c r="H29" i="5"/>
  <c r="H29" i="6"/>
  <c r="H29" i="7"/>
  <c r="H29" i="8"/>
  <c r="H29" i="9"/>
  <c r="H29" i="10"/>
  <c r="H29" i="11"/>
  <c r="H29" i="4"/>
  <c r="J29" i="12"/>
  <c r="H29" i="12"/>
  <c r="J29" i="2" l="1"/>
  <c r="H29" i="2"/>
  <c r="C29" i="3" l="1"/>
  <c r="B26" i="3" l="1"/>
  <c r="B25" i="3"/>
  <c r="B24" i="3"/>
  <c r="B23" i="3"/>
  <c r="B22" i="3"/>
  <c r="B21" i="3"/>
  <c r="B20" i="3"/>
  <c r="B19" i="3"/>
  <c r="B18" i="3"/>
  <c r="B17" i="3"/>
  <c r="B16" i="3"/>
  <c r="B15" i="3"/>
  <c r="B13" i="3"/>
  <c r="B12" i="3"/>
  <c r="B11" i="3"/>
  <c r="B9" i="3"/>
  <c r="B8" i="3"/>
  <c r="B14" i="3" l="1"/>
  <c r="B10" i="3" l="1"/>
  <c r="B29" i="3" s="1"/>
  <c r="A2" i="3" l="1"/>
</calcChain>
</file>

<file path=xl/sharedStrings.xml><?xml version="1.0" encoding="utf-8"?>
<sst xmlns="http://schemas.openxmlformats.org/spreadsheetml/2006/main" count="611" uniqueCount="49">
  <si>
    <t>Rate Base Summary</t>
  </si>
  <si>
    <t>Exhibit 21, Schedule B-1</t>
  </si>
  <si>
    <r>
      <rPr>
        <b/>
        <sz val="11"/>
        <color theme="1"/>
        <rFont val="Calibri"/>
        <family val="2"/>
        <scheme val="minor"/>
      </rPr>
      <t>Data:</t>
    </r>
    <r>
      <rPr>
        <sz val="11"/>
        <color theme="1"/>
        <rFont val="Calibri"/>
        <family val="2"/>
        <scheme val="minor"/>
      </rPr>
      <t xml:space="preserve"> _ Base Period X Forecast Period</t>
    </r>
  </si>
  <si>
    <r>
      <rPr>
        <b/>
        <sz val="11"/>
        <color theme="1"/>
        <rFont val="Calibri"/>
        <family val="2"/>
        <scheme val="minor"/>
      </rPr>
      <t xml:space="preserve">Version: _ </t>
    </r>
    <r>
      <rPr>
        <sz val="11"/>
        <color theme="1"/>
        <rFont val="Calibri"/>
        <family val="2"/>
        <scheme val="minor"/>
      </rPr>
      <t>Original X Updated _Revised</t>
    </r>
  </si>
  <si>
    <t>Witness: B. Thies</t>
  </si>
  <si>
    <t>Line</t>
  </si>
  <si>
    <t>Supporting Reference Schedule</t>
  </si>
  <si>
    <t>End of Period Amount</t>
  </si>
  <si>
    <t>13 Mo. Forecasted Period Average</t>
  </si>
  <si>
    <t>No.</t>
  </si>
  <si>
    <t>Rate Base Component</t>
  </si>
  <si>
    <t>Sewer</t>
  </si>
  <si>
    <t>Utility Plant In Service</t>
  </si>
  <si>
    <t>B-2</t>
  </si>
  <si>
    <t>Accumulated Depreciation</t>
  </si>
  <si>
    <t>B-3</t>
  </si>
  <si>
    <t>Net Utility Plant in Service</t>
  </si>
  <si>
    <t>Construction Work In Progress</t>
  </si>
  <si>
    <t>B-4</t>
  </si>
  <si>
    <t>Working Capital Allowance</t>
  </si>
  <si>
    <t>B-5</t>
  </si>
  <si>
    <t>Contributions in Aid of Construction</t>
  </si>
  <si>
    <t>B-6</t>
  </si>
  <si>
    <t>Jurisdictional Rate Base</t>
  </si>
  <si>
    <t>BLUEGRASS WATER UTILITY OPERATING COMPANY, LLC</t>
  </si>
  <si>
    <t>Case No. 2020-00290</t>
  </si>
  <si>
    <t>Forecast Year for the 12 Months ended April 30, 2022</t>
  </si>
  <si>
    <t>Airview</t>
  </si>
  <si>
    <t>Arcadia Pines</t>
  </si>
  <si>
    <t>Work Papers/Rate Base/[BGUOC 2020 Rate Case - Rate Base (Sewer) - System Level.xlsx]FY Rate Base - Sewer B1</t>
  </si>
  <si>
    <t>Brocklyn</t>
  </si>
  <si>
    <t>Carriage Park</t>
  </si>
  <si>
    <t>Fox Run</t>
  </si>
  <si>
    <t>Golden Acres</t>
  </si>
  <si>
    <t>Great Oaks</t>
  </si>
  <si>
    <t>Timberland</t>
  </si>
  <si>
    <t>Kingswood</t>
  </si>
  <si>
    <t>Lake Columbia</t>
  </si>
  <si>
    <t>LH Treatment</t>
  </si>
  <si>
    <t>Marshall Ridge</t>
  </si>
  <si>
    <t>Persimmon Ridge</t>
  </si>
  <si>
    <t>Randview</t>
  </si>
  <si>
    <t>13 Mo. Forecasted Period Average- Sewer</t>
  </si>
  <si>
    <t>River Bluffs</t>
  </si>
  <si>
    <t>Delaplain</t>
  </si>
  <si>
    <t>Herrington Haven</t>
  </si>
  <si>
    <t>SpringCrest</t>
  </si>
  <si>
    <t>Woodland Acres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</si>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</sst>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3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1" xfId="0" applyFill="1" applyBorder="1"/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43" fontId="0" fillId="2" borderId="1" xfId="0" applyNumberFormat="1" applyFill="1" applyBorder="1" applyAlignment="1">
      <alignment horizontal="center"/>
    </xf>
    <xf numFmtId="43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right"/>
    </xf>
    <xf numFmtId="164" fontId="2" fillId="2" borderId="0" xfId="0" applyNumberFormat="1" applyFont="1" applyFill="1"/>
    <xf numFmtId="0" fontId="7" fillId="2" borderId="0" xfId="0" applyFont="1" applyFill="1"/>
    <xf numFmtId="165" fontId="0" fillId="2" borderId="0" xfId="0" applyNumberFormat="1" applyFill="1"/>
    <xf numFmtId="41" fontId="0" fillId="2" borderId="2" xfId="0" applyNumberFormat="1" applyFill="1" applyBorder="1"/>
    <xf numFmtId="41" fontId="2" fillId="2" borderId="0" xfId="0" applyNumberFormat="1" applyFont="1" applyFill="1"/>
    <xf numFmtId="41" fontId="0" fillId="2" borderId="3" xfId="0" applyNumberFormat="1" applyFill="1" applyBorder="1"/>
    <xf numFmtId="0" fontId="9" fillId="2" borderId="0" xfId="0" applyFont="1" applyFill="1"/>
    <xf numFmtId="165" fontId="0" fillId="2" borderId="0" xfId="0" applyNumberFormat="1" applyFill="1" applyAlignment="1">
      <alignment horizontal="right"/>
    </xf>
    <xf numFmtId="165" fontId="2" fillId="2" borderId="0" xfId="0" applyNumberFormat="1" applyFont="1" applyFill="1"/>
    <xf numFmtId="10" fontId="2" fillId="2" borderId="0" xfId="2" applyNumberFormat="1" applyFont="1" applyFill="1"/>
    <xf numFmtId="10" fontId="2" fillId="2" borderId="0" xfId="2" applyNumberFormat="1" applyFont="1" applyFill="1" applyBorder="1"/>
    <xf numFmtId="0" fontId="3" fillId="2" borderId="0" xfId="0" applyFont="1" applyFill="1" applyAlignment="1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left" indent="1"/>
    </xf>
    <xf numFmtId="41" fontId="0" fillId="2" borderId="0" xfId="0" applyNumberFormat="1" applyFill="1"/>
    <xf numFmtId="0" fontId="0" fillId="2" borderId="0" xfId="0" applyFill="1" applyAlignment="1">
      <alignment horizontal="left"/>
    </xf>
    <xf numFmtId="0" fontId="8" fillId="2" borderId="0" xfId="0" applyFont="1" applyFill="1"/>
    <xf numFmtId="0" fontId="9" fillId="2" borderId="0" xfId="0" applyFont="1" applyFill="1" applyAlignment="1">
      <alignment horizontal="left" indent="1"/>
    </xf>
    <xf numFmtId="0" fontId="0" fillId="2" borderId="0" xfId="0" applyFill="1" applyAlignment="1"/>
    <xf numFmtId="43" fontId="0" fillId="2" borderId="0" xfId="1" applyFont="1" applyFill="1"/>
    <xf numFmtId="0" fontId="2" fillId="2" borderId="4" xfId="0" applyFont="1" applyFill="1" applyBorder="1"/>
    <xf numFmtId="43" fontId="2" fillId="2" borderId="4" xfId="1" applyFont="1" applyFill="1" applyBorder="1"/>
    <xf numFmtId="43" fontId="0" fillId="2" borderId="0" xfId="0" applyNumberFormat="1" applyFill="1"/>
    <xf numFmtId="0" fontId="0" fillId="2" borderId="0" xfId="0" applyFill="1" applyAlignment="1">
      <alignment horizontal="center"/>
    </xf>
    <xf numFmtId="41" fontId="4" fillId="2" borderId="0" xfId="0" applyNumberFormat="1" applyFont="1" applyFill="1"/>
    <xf numFmtId="164" fontId="0" fillId="2" borderId="0" xfId="1" applyNumberFormat="1" applyFont="1" applyFill="1"/>
    <xf numFmtId="164" fontId="0" fillId="2" borderId="0" xfId="0" applyNumberForma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/>
    <xf numFmtId="164" fontId="2" fillId="2" borderId="4" xfId="1" applyNumberFormat="1" applyFont="1" applyFill="1" applyBorder="1"/>
    <xf numFmtId="0" fontId="0" fillId="2" borderId="0" xfId="0" applyFill="1" applyBorder="1" applyAlignment="1"/>
    <xf numFmtId="0" fontId="0" fillId="2" borderId="0" xfId="0" applyFill="1" applyBorder="1"/>
    <xf numFmtId="0" fontId="2" fillId="2" borderId="0" xfId="0" applyFont="1" applyFill="1" applyBorder="1" applyAlignment="1"/>
    <xf numFmtId="43" fontId="0" fillId="2" borderId="0" xfId="1" applyFont="1" applyFill="1" applyBorder="1"/>
    <xf numFmtId="41" fontId="0" fillId="2" borderId="0" xfId="0" applyNumberFormat="1" applyFill="1" applyBorder="1"/>
    <xf numFmtId="164" fontId="0" fillId="2" borderId="0" xfId="1" applyNumberFormat="1" applyFont="1" applyFill="1" applyBorder="1"/>
    <xf numFmtId="0" fontId="0" fillId="2" borderId="0" xfId="0" applyFill="1" applyBorder="1" applyAlignment="1">
      <alignment horizontal="left" indent="1"/>
    </xf>
    <xf numFmtId="0" fontId="8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left"/>
    </xf>
    <xf numFmtId="43" fontId="0" fillId="2" borderId="0" xfId="0" applyNumberFormat="1" applyFill="1" applyBorder="1"/>
    <xf numFmtId="0" fontId="9" fillId="2" borderId="0" xfId="0" applyFont="1" applyFill="1" applyBorder="1" applyAlignment="1">
      <alignment horizontal="left" indent="1"/>
    </xf>
    <xf numFmtId="164" fontId="2" fillId="2" borderId="0" xfId="1" applyNumberFormat="1" applyFont="1" applyFill="1" applyAlignment="1">
      <alignment horizontal="center" wrapText="1"/>
    </xf>
  </cellXfs>
  <cellStyles count="4">
    <cellStyle name="Comma" xfId="1" builtinId="3"/>
    <cellStyle name="Normal" xfId="0" builtinId="0"/>
    <cellStyle name="Normal 2" xfId="3" xr:uid="{3B49EC6F-00CE-4C97-A59D-C9D2E67146F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s/Kentucky/BGUOC%20Rate%20Case%202020-00290/Work%20Papers/Rate%20Base/BGUOC%202020%20Rate%20Case%20-%20Rate%20Base%20(Sewer)%20-%20System%20Lev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s LinkIn"/>
      <sheetName val="Link Out"/>
      <sheetName val="BY Rate Base - Sewer B1"/>
      <sheetName val="FY Rate Base - Sewer B1"/>
      <sheetName val="UPIS - BY B2"/>
      <sheetName val="UPIS - FY B2"/>
      <sheetName val="AccDep - BY B3"/>
      <sheetName val="AccDep - FY B3"/>
      <sheetName val="Dep - BY B3.1"/>
      <sheetName val="Dep - FY B3.1"/>
      <sheetName val="CWIP - BY B4"/>
      <sheetName val="CWIP - FY B4"/>
      <sheetName val="WC - BY B5"/>
      <sheetName val="WC - FY B5"/>
      <sheetName val="CIAC - BY B6"/>
      <sheetName val="CIAC - FY B6"/>
      <sheetName val="Worksheets&gt;"/>
      <sheetName val="CIAC WP"/>
      <sheetName val="UPIS LinkIn"/>
      <sheetName val="UPIS Detail"/>
      <sheetName val="AccDep LinkIn"/>
      <sheetName val="Dep LinkIn"/>
      <sheetName val="CWIP Detail"/>
    </sheetNames>
    <sheetDataSet>
      <sheetData sheetId="0">
        <row r="3">
          <cell r="B3" t="str">
            <v>Case No. 2020-00290</v>
          </cell>
        </row>
        <row r="4">
          <cell r="B4">
            <v>43830</v>
          </cell>
        </row>
        <row r="5">
          <cell r="B5">
            <v>44196</v>
          </cell>
        </row>
        <row r="6">
          <cell r="B6">
            <v>44316</v>
          </cell>
        </row>
        <row r="7">
          <cell r="B7">
            <v>44681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7FBC-3B5C-41CF-B85C-AA2626827279}">
  <dimension ref="A1:N30"/>
  <sheetViews>
    <sheetView topLeftCell="A7" workbookViewId="0">
      <selection activeCell="D16" sqref="D16"/>
    </sheetView>
  </sheetViews>
  <sheetFormatPr defaultRowHeight="14.4" x14ac:dyDescent="0.3"/>
  <cols>
    <col min="1" max="1" width="17.6640625" style="26" customWidth="1"/>
    <col min="2" max="2" width="16.21875" style="40" customWidth="1"/>
    <col min="3" max="3" width="18.21875" style="26" customWidth="1"/>
    <col min="4" max="4" width="8.88671875" style="26"/>
    <col min="5" max="5" width="12.88671875" style="26" bestFit="1" customWidth="1"/>
    <col min="6" max="6" width="30.5546875" style="26" bestFit="1" customWidth="1"/>
    <col min="7" max="8" width="13.21875" style="26" bestFit="1" customWidth="1"/>
    <col min="9" max="9" width="11.6640625" style="26" bestFit="1" customWidth="1"/>
    <col min="10" max="10" width="9.6640625" style="26" bestFit="1" customWidth="1"/>
    <col min="11" max="11" width="19" style="26" bestFit="1" customWidth="1"/>
    <col min="12" max="12" width="11" style="26" bestFit="1" customWidth="1"/>
    <col min="13" max="13" width="9.44140625" style="26" bestFit="1" customWidth="1"/>
    <col min="14" max="14" width="9.6640625" style="26" bestFit="1" customWidth="1"/>
    <col min="15" max="16384" width="8.88671875" style="26"/>
  </cols>
  <sheetData>
    <row r="1" spans="1:14" ht="17.399999999999999" x14ac:dyDescent="0.35">
      <c r="A1" s="42" t="s">
        <v>24</v>
      </c>
      <c r="B1" s="42"/>
      <c r="C1" s="42"/>
      <c r="D1" s="42"/>
      <c r="E1" s="25"/>
      <c r="F1" s="25"/>
      <c r="G1" s="25"/>
      <c r="H1" s="25"/>
    </row>
    <row r="2" spans="1:14" x14ac:dyDescent="0.3">
      <c r="A2" s="43" t="str">
        <f>'[1]Constants LinkIn'!B3</f>
        <v>Case No. 2020-00290</v>
      </c>
      <c r="B2" s="43"/>
      <c r="C2" s="43"/>
      <c r="D2" s="43"/>
      <c r="E2" s="33"/>
      <c r="F2" s="33"/>
      <c r="G2" s="33"/>
      <c r="H2" s="33"/>
    </row>
    <row r="3" spans="1:14" x14ac:dyDescent="0.3">
      <c r="A3" s="43" t="s">
        <v>0</v>
      </c>
      <c r="B3" s="43"/>
      <c r="C3" s="43"/>
      <c r="D3" s="43"/>
      <c r="E3" s="33"/>
      <c r="F3" s="33"/>
      <c r="G3" s="33"/>
      <c r="H3" s="33"/>
      <c r="I3" s="37"/>
    </row>
    <row r="4" spans="1:14" x14ac:dyDescent="0.3">
      <c r="A4" s="33"/>
      <c r="B4" s="44"/>
      <c r="C4" s="33"/>
      <c r="D4" s="33"/>
      <c r="E4" s="33"/>
      <c r="F4" s="33"/>
      <c r="G4" s="33"/>
      <c r="H4" s="33"/>
    </row>
    <row r="5" spans="1:14" x14ac:dyDescent="0.3">
      <c r="A5" s="33"/>
      <c r="B5" s="44"/>
      <c r="C5" s="33"/>
      <c r="D5" s="46"/>
      <c r="E5" s="46"/>
      <c r="F5" s="46"/>
      <c r="G5" s="46"/>
      <c r="H5" s="46"/>
      <c r="I5" s="47"/>
      <c r="J5" s="47"/>
      <c r="K5" s="46"/>
      <c r="L5" s="46"/>
    </row>
    <row r="6" spans="1:14" x14ac:dyDescent="0.3">
      <c r="A6" s="33"/>
      <c r="B6" s="44"/>
      <c r="C6" s="33"/>
      <c r="D6" s="46"/>
      <c r="E6" s="46"/>
      <c r="F6" s="46"/>
      <c r="G6" s="48"/>
      <c r="H6" s="48"/>
      <c r="I6" s="47"/>
      <c r="J6" s="47"/>
      <c r="K6" s="48"/>
      <c r="L6" s="48"/>
    </row>
    <row r="7" spans="1:14" ht="29.4" customHeight="1" x14ac:dyDescent="0.3">
      <c r="B7" s="58" t="s">
        <v>42</v>
      </c>
      <c r="D7" s="47"/>
      <c r="E7" s="47"/>
      <c r="F7" s="47"/>
      <c r="G7" s="47"/>
      <c r="H7" s="47"/>
      <c r="I7" s="47"/>
      <c r="J7" s="47"/>
      <c r="K7" s="47"/>
      <c r="L7" s="47"/>
      <c r="N7" s="37"/>
    </row>
    <row r="8" spans="1:14" x14ac:dyDescent="0.3">
      <c r="A8" s="26" t="s">
        <v>27</v>
      </c>
      <c r="B8" s="40">
        <f>Airview!J29</f>
        <v>457619.9267739082</v>
      </c>
      <c r="D8" s="47"/>
      <c r="E8" s="47"/>
      <c r="F8" s="47"/>
      <c r="G8" s="49"/>
      <c r="H8" s="49"/>
      <c r="I8" s="50"/>
      <c r="J8" s="47"/>
      <c r="K8" s="51"/>
      <c r="L8" s="51"/>
      <c r="M8" s="29">
        <f>K8-L8</f>
        <v>0</v>
      </c>
    </row>
    <row r="9" spans="1:14" x14ac:dyDescent="0.3">
      <c r="A9" s="26" t="s">
        <v>28</v>
      </c>
      <c r="B9" s="40">
        <f>'Arcadia Pines'!J29</f>
        <v>84709.998368413624</v>
      </c>
      <c r="D9" s="47"/>
      <c r="E9" s="47"/>
      <c r="F9" s="52"/>
      <c r="G9" s="49"/>
      <c r="H9" s="49"/>
      <c r="I9" s="47"/>
      <c r="J9" s="47"/>
      <c r="K9" s="51"/>
      <c r="L9" s="51"/>
    </row>
    <row r="10" spans="1:14" x14ac:dyDescent="0.3">
      <c r="A10" s="26" t="s">
        <v>30</v>
      </c>
      <c r="B10" s="40">
        <f>Brocklyn!J29</f>
        <v>942192.16005713027</v>
      </c>
      <c r="D10" s="47"/>
      <c r="E10" s="47"/>
      <c r="F10" s="47"/>
      <c r="G10" s="49"/>
      <c r="H10" s="49"/>
      <c r="I10" s="50"/>
      <c r="J10" s="47"/>
      <c r="K10" s="51"/>
      <c r="L10" s="51"/>
      <c r="M10" s="29">
        <f>K10-L10</f>
        <v>0</v>
      </c>
    </row>
    <row r="11" spans="1:14" x14ac:dyDescent="0.3">
      <c r="A11" s="26" t="s">
        <v>31</v>
      </c>
      <c r="B11" s="40">
        <f>'Carriage Park'!J29</f>
        <v>103676.69903832066</v>
      </c>
      <c r="D11" s="47"/>
      <c r="E11" s="47"/>
      <c r="F11" s="53"/>
      <c r="G11" s="49"/>
      <c r="H11" s="49"/>
      <c r="I11" s="47"/>
      <c r="J11" s="47"/>
      <c r="K11" s="51"/>
      <c r="L11" s="51"/>
    </row>
    <row r="12" spans="1:14" x14ac:dyDescent="0.3">
      <c r="A12" s="26" t="s">
        <v>32</v>
      </c>
      <c r="B12" s="40">
        <f>'Fox Run'!J29</f>
        <v>342533.40489405976</v>
      </c>
      <c r="D12" s="47"/>
      <c r="E12" s="47"/>
      <c r="F12" s="54"/>
      <c r="G12" s="49"/>
      <c r="H12" s="49"/>
      <c r="I12" s="47"/>
      <c r="J12" s="47"/>
      <c r="K12" s="51"/>
      <c r="L12" s="51"/>
    </row>
    <row r="13" spans="1:14" x14ac:dyDescent="0.3">
      <c r="A13" s="26" t="s">
        <v>33</v>
      </c>
      <c r="B13" s="40">
        <f>'Golden Acres'!J29</f>
        <v>300616.62625491637</v>
      </c>
      <c r="D13" s="47"/>
      <c r="E13" s="47"/>
      <c r="F13" s="55"/>
      <c r="G13" s="49"/>
      <c r="H13" s="49"/>
      <c r="I13" s="50"/>
      <c r="J13" s="47"/>
      <c r="K13" s="51"/>
      <c r="L13" s="51"/>
      <c r="M13" s="29">
        <f>K13-L13</f>
        <v>0</v>
      </c>
    </row>
    <row r="14" spans="1:14" x14ac:dyDescent="0.3">
      <c r="A14" s="26" t="s">
        <v>34</v>
      </c>
      <c r="B14" s="40">
        <f>'Great Oaks'!J29</f>
        <v>298265.73580665392</v>
      </c>
      <c r="D14" s="47"/>
      <c r="E14" s="47"/>
      <c r="F14" s="52"/>
      <c r="G14" s="49"/>
      <c r="H14" s="49"/>
      <c r="I14" s="47"/>
      <c r="J14" s="47"/>
      <c r="K14" s="51"/>
      <c r="L14" s="51"/>
    </row>
    <row r="15" spans="1:14" x14ac:dyDescent="0.3">
      <c r="A15" s="26" t="s">
        <v>35</v>
      </c>
      <c r="B15" s="40">
        <f>Timberland!J29</f>
        <v>379755.43768645159</v>
      </c>
      <c r="D15" s="47"/>
      <c r="E15" s="47"/>
      <c r="F15" s="52"/>
      <c r="G15" s="49"/>
      <c r="H15" s="49"/>
      <c r="I15" s="47"/>
      <c r="J15" s="47"/>
      <c r="K15" s="51"/>
      <c r="L15" s="51"/>
    </row>
    <row r="16" spans="1:14" x14ac:dyDescent="0.3">
      <c r="A16" s="26" t="s">
        <v>36</v>
      </c>
      <c r="B16" s="40">
        <f>Kingswood!J29</f>
        <v>282685.61135964683</v>
      </c>
      <c r="D16" s="47"/>
      <c r="E16" s="47"/>
      <c r="F16" s="55"/>
      <c r="G16" s="49"/>
      <c r="H16" s="49"/>
      <c r="I16" s="50"/>
      <c r="J16" s="47"/>
      <c r="K16" s="51"/>
      <c r="L16" s="51"/>
    </row>
    <row r="17" spans="1:14" x14ac:dyDescent="0.3">
      <c r="A17" s="26" t="s">
        <v>37</v>
      </c>
      <c r="B17" s="40">
        <f>'Lake Columbia'!J29</f>
        <v>309558.52724056429</v>
      </c>
      <c r="D17" s="47"/>
      <c r="E17" s="47"/>
      <c r="F17" s="52"/>
      <c r="G17" s="49"/>
      <c r="H17" s="49"/>
      <c r="I17" s="47"/>
      <c r="J17" s="47"/>
      <c r="K17" s="51"/>
      <c r="L17" s="51"/>
    </row>
    <row r="18" spans="1:14" x14ac:dyDescent="0.3">
      <c r="A18" s="26" t="s">
        <v>38</v>
      </c>
      <c r="B18" s="40">
        <f>'LH Treatment'!J29</f>
        <v>408795.34729305614</v>
      </c>
      <c r="D18" s="47"/>
      <c r="E18" s="47"/>
      <c r="F18" s="55"/>
      <c r="G18" s="49"/>
      <c r="H18" s="49"/>
      <c r="I18" s="50"/>
      <c r="J18" s="56"/>
      <c r="K18" s="51"/>
      <c r="L18" s="51"/>
    </row>
    <row r="19" spans="1:14" x14ac:dyDescent="0.3">
      <c r="A19" s="26" t="s">
        <v>39</v>
      </c>
      <c r="B19" s="40">
        <f>'Marshall Ridge'!J29</f>
        <v>97642.0022710388</v>
      </c>
      <c r="D19" s="47"/>
      <c r="E19" s="47"/>
      <c r="F19" s="52"/>
      <c r="G19" s="49"/>
      <c r="H19" s="49"/>
      <c r="I19" s="47"/>
      <c r="J19" s="47"/>
      <c r="K19" s="51"/>
      <c r="L19" s="51"/>
    </row>
    <row r="20" spans="1:14" x14ac:dyDescent="0.3">
      <c r="A20" s="26" t="s">
        <v>40</v>
      </c>
      <c r="B20" s="40">
        <f>'Persimmon Ridge'!J29</f>
        <v>479579.38231250009</v>
      </c>
      <c r="D20" s="47"/>
      <c r="E20" s="47"/>
      <c r="F20" s="55"/>
      <c r="G20" s="49"/>
      <c r="H20" s="49"/>
      <c r="I20" s="50"/>
      <c r="J20" s="47"/>
      <c r="K20" s="51"/>
      <c r="L20" s="51"/>
      <c r="N20" s="41">
        <f>L20-K20</f>
        <v>0</v>
      </c>
    </row>
    <row r="21" spans="1:14" x14ac:dyDescent="0.3">
      <c r="A21" s="26" t="s">
        <v>41</v>
      </c>
      <c r="B21" s="40">
        <f>Randview!J29</f>
        <v>223044.26866816942</v>
      </c>
      <c r="D21" s="47"/>
      <c r="E21" s="47"/>
      <c r="F21" s="47"/>
      <c r="G21" s="49"/>
      <c r="H21" s="49"/>
      <c r="I21" s="47"/>
      <c r="J21" s="47"/>
      <c r="K21" s="51"/>
      <c r="L21" s="51"/>
    </row>
    <row r="22" spans="1:14" x14ac:dyDescent="0.3">
      <c r="A22" s="26" t="s">
        <v>43</v>
      </c>
      <c r="B22" s="40">
        <f>'River Bluffs'!J29</f>
        <v>755201.11706120218</v>
      </c>
      <c r="D22" s="47"/>
      <c r="E22" s="47"/>
      <c r="F22" s="57"/>
      <c r="G22" s="49"/>
      <c r="H22" s="49"/>
      <c r="I22" s="47"/>
      <c r="J22" s="47"/>
      <c r="K22" s="51"/>
      <c r="L22" s="51"/>
    </row>
    <row r="23" spans="1:14" x14ac:dyDescent="0.3">
      <c r="A23" s="26" t="s">
        <v>44</v>
      </c>
      <c r="B23" s="40">
        <f>Delaplain!J29</f>
        <v>1490133.7250689515</v>
      </c>
      <c r="D23" s="47"/>
      <c r="E23" s="47"/>
      <c r="F23" s="55"/>
      <c r="G23" s="49"/>
      <c r="H23" s="49"/>
      <c r="I23" s="49"/>
      <c r="J23" s="47"/>
      <c r="K23" s="51"/>
      <c r="L23" s="51"/>
    </row>
    <row r="24" spans="1:14" x14ac:dyDescent="0.3">
      <c r="A24" s="26" t="s">
        <v>45</v>
      </c>
      <c r="B24" s="40">
        <f>'Herrington Haven'!J29</f>
        <v>199329.26118992295</v>
      </c>
      <c r="D24" s="47"/>
      <c r="E24" s="47"/>
      <c r="F24" s="47"/>
      <c r="G24" s="49"/>
      <c r="H24" s="49"/>
      <c r="I24" s="47"/>
      <c r="J24" s="47"/>
      <c r="K24" s="47"/>
      <c r="L24" s="47"/>
    </row>
    <row r="25" spans="1:14" x14ac:dyDescent="0.3">
      <c r="A25" s="26" t="s">
        <v>46</v>
      </c>
      <c r="B25" s="40">
        <f>SpringCrest!J29</f>
        <v>134786.30447684269</v>
      </c>
      <c r="G25" s="34"/>
      <c r="H25" s="34"/>
    </row>
    <row r="26" spans="1:14" x14ac:dyDescent="0.3">
      <c r="A26" s="26" t="s">
        <v>47</v>
      </c>
      <c r="B26" s="40">
        <f>'Woodland Acres'!J29</f>
        <v>313634.00389027986</v>
      </c>
      <c r="G26" s="34"/>
      <c r="H26" s="34"/>
    </row>
    <row r="27" spans="1:14" x14ac:dyDescent="0.3">
      <c r="G27" s="34"/>
      <c r="H27" s="34"/>
    </row>
    <row r="28" spans="1:14" x14ac:dyDescent="0.3">
      <c r="G28" s="34"/>
      <c r="H28" s="34"/>
    </row>
    <row r="29" spans="1:14" x14ac:dyDescent="0.3">
      <c r="A29" s="35" t="s">
        <v>48</v>
      </c>
      <c r="B29" s="45">
        <f>SUM(B8:B28)</f>
        <v>7603759.5397120286</v>
      </c>
      <c r="C29" s="36">
        <f>SUM(C8:C28)</f>
        <v>0</v>
      </c>
      <c r="E29" s="37"/>
      <c r="G29" s="34"/>
      <c r="H29" s="34"/>
    </row>
    <row r="30" spans="1:14" x14ac:dyDescent="0.3">
      <c r="G30" s="34"/>
      <c r="H30" s="34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DCE3-0F10-4178-8ED8-08968A1CE7D4}">
  <dimension ref="A1:P63"/>
  <sheetViews>
    <sheetView view="pageBreakPreview" topLeftCell="E12" zoomScale="90" zoomScaleNormal="110" zoomScaleSheetLayoutView="9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36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400264.42</v>
      </c>
      <c r="J14" s="29">
        <v>387555.67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f>-123627.291493056-11000</f>
        <v>-134627.29149305599</v>
      </c>
      <c r="I16" s="29"/>
      <c r="J16" s="29">
        <f>-117924.589057372-11750</f>
        <v>-129674.589057372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265637.12850694399</v>
      </c>
      <c r="J19" s="29">
        <f>J14+J16</f>
        <v>257881.08094262797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10852.230417018869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279589.42850694398</v>
      </c>
      <c r="I29" s="26"/>
      <c r="J29" s="19">
        <f>J19+SUM(J22,J24,J26)</f>
        <v>282685.61135964683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80A95-FCEF-44CD-9ECF-305DFDE9863B}">
  <dimension ref="A1:P63"/>
  <sheetViews>
    <sheetView view="pageBreakPreview" topLeftCell="D12" zoomScale="80" zoomScaleNormal="110" zoomScaleSheetLayoutView="8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37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390772.23999999993</v>
      </c>
      <c r="J14" s="29">
        <v>346940.44384615391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v>-89255.78882916666</v>
      </c>
      <c r="I16" s="29"/>
      <c r="J16" s="29">
        <v>-82939.000079807694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301516.45117083326</v>
      </c>
      <c r="J19" s="29">
        <f>J14+J16</f>
        <v>264001.4437663462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31604.783474218075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315468.75117083325</v>
      </c>
      <c r="I29" s="26"/>
      <c r="J29" s="19">
        <f>J19+SUM(J22,J24,J26)</f>
        <v>309558.52724056429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F8C9-CACC-46E3-A429-C8EBFBD43728}">
  <dimension ref="A1:P63"/>
  <sheetViews>
    <sheetView view="pageBreakPreview" topLeftCell="C7" zoomScale="80" zoomScaleNormal="110" zoomScaleSheetLayoutView="8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38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721537.3</v>
      </c>
      <c r="J14" s="29">
        <v>721537.30000000016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f>-331042.551373611-1302</f>
        <v>-332344.55137361097</v>
      </c>
      <c r="I16" s="29"/>
      <c r="J16" s="29">
        <f>-320183.252706944-800</f>
        <v>-320983.25270694401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389192.74862638908</v>
      </c>
      <c r="J19" s="29">
        <f>J14+J16</f>
        <v>400554.04729305615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0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-5604</v>
      </c>
      <c r="I26" s="26"/>
      <c r="J26" s="29">
        <v>-5711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397541.04862638906</v>
      </c>
      <c r="I29" s="26"/>
      <c r="J29" s="19">
        <f>J19+SUM(J22,J24,J26)</f>
        <v>408795.34729305614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D8B46-58F0-4F08-8504-5F980863487F}">
  <dimension ref="A1:P63"/>
  <sheetViews>
    <sheetView view="pageBreakPreview" topLeftCell="H13" zoomScale="115" zoomScaleNormal="110" zoomScaleSheetLayoutView="115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39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e">
        <v>#VALUE!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91096.950000000012</v>
      </c>
      <c r="J14" s="29">
        <v>67850.276923076934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v>-2339.1043027777782</v>
      </c>
      <c r="I16" s="29"/>
      <c r="J16" s="29">
        <v>-967.2437841880344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88757.845697222234</v>
      </c>
      <c r="J19" s="29">
        <f>J14+J16</f>
        <v>66883.033138888903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16806.669132149902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102710.14569722224</v>
      </c>
      <c r="I29" s="26"/>
      <c r="J29" s="19">
        <f>J19+SUM(J22,J24,J26)</f>
        <v>97642.0022710388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AEEFF-FB2B-473E-82AD-EE0E1B6FFA05}">
  <dimension ref="A1:P63"/>
  <sheetViews>
    <sheetView view="pageBreakPreview" topLeftCell="F11" zoomScale="115" zoomScaleNormal="110" zoomScaleSheetLayoutView="115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40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655248.14</v>
      </c>
      <c r="J14" s="29">
        <v>655248.14000000013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f>-198327.710954166-120</f>
        <v>-198447.71095416599</v>
      </c>
      <c r="I16" s="29"/>
      <c r="J16" s="29">
        <f>-189561.0576875-60</f>
        <v>-189621.0576875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456800.429045834</v>
      </c>
      <c r="J19" s="29">
        <f>J14+J16</f>
        <v>465627.0823125001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0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470752.72904583398</v>
      </c>
      <c r="I29" s="26"/>
      <c r="J29" s="19">
        <f>J19+SUM(J22,J24,J26)</f>
        <v>479579.38231250009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7C18-1645-4BB1-A2FC-1294A7BA91F2}">
  <dimension ref="A1:P63"/>
  <sheetViews>
    <sheetView tabSelected="1" view="pageBreakPreview" topLeftCell="E7" zoomScale="90" zoomScaleNormal="110" zoomScaleSheetLayoutView="90" workbookViewId="0">
      <selection activeCell="P30" sqref="P30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41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227794</v>
      </c>
      <c r="J14" s="29">
        <v>153903.89615384614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v>-6918.0305555555551</v>
      </c>
      <c r="I16" s="29"/>
      <c r="J16" s="29">
        <v>-2535.237094017094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220875.96944444443</v>
      </c>
      <c r="J19" s="29">
        <f>J14+J16</f>
        <v>151368.65905982905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57723.309608340373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234828.26944444442</v>
      </c>
      <c r="I29" s="26"/>
      <c r="J29" s="19">
        <f>J19+SUM(J22,J24,J26)</f>
        <v>223044.26866816942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2867-8302-462C-B653-C9AA40F9954A}">
  <dimension ref="A1:P63"/>
  <sheetViews>
    <sheetView view="pageBreakPreview" topLeftCell="C6" zoomScale="80" zoomScaleNormal="110" zoomScaleSheetLayoutView="8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43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932119.56</v>
      </c>
      <c r="J14" s="29">
        <v>821889.82153846149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f>-172295.649680556-11041</f>
        <v>-183336.649680556</v>
      </c>
      <c r="I16" s="29"/>
      <c r="J16" s="29">
        <f>-159461.444856838-10270</f>
        <v>-169731.444856838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748782.91031944402</v>
      </c>
      <c r="J19" s="29">
        <f>J14+J16</f>
        <v>652158.37668162351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107080.77875457869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-14170.575999999972</v>
      </c>
      <c r="I26" s="26"/>
      <c r="J26" s="29">
        <v>-17990.33837499997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748564.63431944407</v>
      </c>
      <c r="I29" s="26"/>
      <c r="J29" s="19">
        <f>J19+SUM(J22,J24,J26)</f>
        <v>755201.11706120218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207C0-F1FF-48E9-9321-82ED347F45C9}">
  <dimension ref="A1:P63"/>
  <sheetViews>
    <sheetView view="pageBreakPreview" topLeftCell="A4" zoomScale="70" zoomScaleNormal="110" zoomScaleSheetLayoutView="7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44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f>23325+3203379+28424</f>
        <v>3255128</v>
      </c>
      <c r="J14" s="29">
        <f>3017+2252079+1980</f>
        <v>2257076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f>-1313293.7645-3954</f>
        <v>-1317247.7645</v>
      </c>
      <c r="I16" s="29"/>
      <c r="J16" s="29">
        <f>-1277207.04880769-2199</f>
        <v>-1279406.0488076899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1937880.2355</v>
      </c>
      <c r="J19" s="29">
        <f>J14+J16</f>
        <v>977669.95119231008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575195.26895997487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-67369.740333333379</v>
      </c>
      <c r="I26" s="26"/>
      <c r="J26" s="29">
        <v>-76683.795083333374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1884462.7951666666</v>
      </c>
      <c r="I29" s="26"/>
      <c r="J29" s="19">
        <f>J19+SUM(J22,J24,J26)</f>
        <v>1490133.7250689515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E2E79-E70C-4274-A48D-75D102F281DF}">
  <dimension ref="A1:P63"/>
  <sheetViews>
    <sheetView view="pageBreakPreview" topLeftCell="F12" zoomScale="115" zoomScaleNormal="110" zoomScaleSheetLayoutView="115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45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f>6494.5+268207.5</f>
        <v>274702</v>
      </c>
      <c r="J14" s="29">
        <v>60727.5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f>-2367.8375-70</f>
        <v>-2437.8375000000001</v>
      </c>
      <c r="I16" s="29"/>
      <c r="J16" s="29">
        <f>-576.973076923077-11</f>
        <v>-587.97307692307697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272264.16249999998</v>
      </c>
      <c r="J19" s="29">
        <f>J14+J16</f>
        <v>60139.526923076926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125237.43426684603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286216.46249999997</v>
      </c>
      <c r="I29" s="26"/>
      <c r="J29" s="19">
        <f>J19+SUM(J22,J24,J26)</f>
        <v>199329.26118992295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4BCF2-5F88-4D74-9E0A-DE273A856537}">
  <dimension ref="A1:P63"/>
  <sheetViews>
    <sheetView view="pageBreakPreview" topLeftCell="E11" zoomScale="90" zoomScaleNormal="110" zoomScaleSheetLayoutView="9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47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f>5000+485312.5+12189</f>
        <v>502501.5</v>
      </c>
      <c r="J14" s="29">
        <f>400+80162.5</f>
        <v>80562.5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f>-12933.71875-110</f>
        <v>-13043.71875</v>
      </c>
      <c r="I16" s="29"/>
      <c r="J16" s="29">
        <f>-10409.8245192308-15</f>
        <v>-10424.8245192308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489457.78125</v>
      </c>
      <c r="J19" s="29">
        <f>J14+J16</f>
        <v>70137.675480769205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229544.02840951065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503410.08124999999</v>
      </c>
      <c r="I29" s="26"/>
      <c r="J29" s="19">
        <f>J19+SUM(J22,J24,J26)</f>
        <v>313634.00389027986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BE889-CF5D-4B9B-A6A7-F0690C3EE1DA}">
  <dimension ref="A1:P63"/>
  <sheetViews>
    <sheetView view="pageBreakPreview" topLeftCell="E9" zoomScale="110" zoomScaleNormal="110" zoomScaleSheetLayoutView="11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27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560712.25</v>
      </c>
      <c r="J14" s="29">
        <v>486999.98461538466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v>-109100.28281250007</v>
      </c>
      <c r="I16" s="29"/>
      <c r="J16" s="29">
        <v>-98612.736497435893</v>
      </c>
      <c r="L16" s="29"/>
      <c r="N16" s="29"/>
      <c r="O16" s="29"/>
    </row>
    <row r="17" spans="1:16" x14ac:dyDescent="0.3">
      <c r="B17" s="38">
        <v>5</v>
      </c>
      <c r="C17" s="16"/>
      <c r="D17" s="31"/>
      <c r="L17" s="29"/>
      <c r="N17" s="29"/>
      <c r="O17" s="29"/>
    </row>
    <row r="18" spans="1:16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6" x14ac:dyDescent="0.3">
      <c r="B19" s="38">
        <v>7</v>
      </c>
      <c r="D19" s="30" t="s">
        <v>16</v>
      </c>
      <c r="H19" s="29">
        <f>H14+H16</f>
        <v>451611.96718749992</v>
      </c>
      <c r="J19" s="29">
        <f>J14+J16</f>
        <v>388387.24811794877</v>
      </c>
      <c r="L19" s="18"/>
      <c r="N19" s="18"/>
      <c r="O19" s="18"/>
    </row>
    <row r="20" spans="1:16" x14ac:dyDescent="0.3">
      <c r="B20" s="38">
        <v>8</v>
      </c>
      <c r="D20" s="28"/>
      <c r="H20" s="29"/>
      <c r="J20" s="29"/>
    </row>
    <row r="21" spans="1:16" x14ac:dyDescent="0.3">
      <c r="B21" s="38">
        <v>9</v>
      </c>
      <c r="C21" s="27"/>
      <c r="D21" s="28"/>
      <c r="H21" s="29"/>
      <c r="J21" s="29"/>
    </row>
    <row r="22" spans="1:16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55280.378655959459</v>
      </c>
      <c r="K22" s="26"/>
      <c r="L22" s="26"/>
      <c r="M22" s="26"/>
      <c r="N22" s="26"/>
      <c r="O22" s="26"/>
    </row>
    <row r="23" spans="1:16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6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</v>
      </c>
      <c r="I24" s="26"/>
      <c r="J24" s="29">
        <v>13952.3</v>
      </c>
      <c r="K24" s="26"/>
      <c r="L24" s="29"/>
      <c r="M24" s="26"/>
      <c r="N24" s="29"/>
      <c r="O24" s="29"/>
      <c r="P24" s="39"/>
    </row>
    <row r="25" spans="1:16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6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6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6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6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465563.96718749992</v>
      </c>
      <c r="I29" s="26"/>
      <c r="J29" s="19">
        <f>J19+SUM(J22,J24,J26)</f>
        <v>457619.9267739082</v>
      </c>
      <c r="K29" s="26"/>
      <c r="L29" s="29"/>
      <c r="M29" s="26"/>
      <c r="N29" s="29"/>
      <c r="O29" s="29"/>
    </row>
    <row r="30" spans="1:16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6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6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BDAC-2087-4202-8491-72FC5A8BF8A3}">
  <dimension ref="A1:P63"/>
  <sheetViews>
    <sheetView view="pageBreakPreview" topLeftCell="A12" zoomScale="70" zoomScaleNormal="110" zoomScaleSheetLayoutView="7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46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f>3800+163200</f>
        <v>167000</v>
      </c>
      <c r="J14" s="29">
        <v>49200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f>-1861.25-39-12</f>
        <v>-1912.25</v>
      </c>
      <c r="I16" s="29"/>
      <c r="J16" s="29">
        <f>-519.096153846154-7</f>
        <v>-526.09615384615404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165087.75</v>
      </c>
      <c r="J19" s="29">
        <f>J14+J16</f>
        <v>48673.903846153844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72160.100630688859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179040.05</v>
      </c>
      <c r="I29" s="26"/>
      <c r="J29" s="19">
        <f>J19+SUM(J22,J24,J26)</f>
        <v>134786.30447684269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BE411-D11D-44A9-86C6-5608C92FDA8C}">
  <dimension ref="A1:P63"/>
  <sheetViews>
    <sheetView view="pageBreakPreview" topLeftCell="F8" zoomScale="110" zoomScaleNormal="110" zoomScaleSheetLayoutView="11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28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76093.789999999994</v>
      </c>
      <c r="J14" s="29">
        <v>56825.939999999995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v>-2021.7815000000003</v>
      </c>
      <c r="I16" s="29"/>
      <c r="J16" s="29">
        <v>-850.55655128205115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74072.008499999996</v>
      </c>
      <c r="J19" s="29">
        <f>J14+J16</f>
        <v>55975.383448717941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14782.314919695687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88024.308499999999</v>
      </c>
      <c r="I29" s="26"/>
      <c r="J29" s="19">
        <f>J19+SUM(J22,J24,J26)</f>
        <v>84709.998368413624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66539-DF37-4F18-9825-025585E5A96D}">
  <dimension ref="A1:P63"/>
  <sheetViews>
    <sheetView view="pageBreakPreview" topLeftCell="F12" zoomScale="110" zoomScaleNormal="110" zoomScaleSheetLayoutView="11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30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1143908.6000000001</v>
      </c>
      <c r="J14" s="29">
        <v>698989.81230769237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f>-65204.7492166666-12000</f>
        <v>-77204.749216666591</v>
      </c>
      <c r="I16" s="29"/>
      <c r="J16" s="29">
        <f>-47470.842998718-13658</f>
        <v>-61128.842998717999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1066703.8507833334</v>
      </c>
      <c r="J19" s="29">
        <f>J14+J16</f>
        <v>637860.96930897434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f>-3679+294057.890748156</f>
        <v>290378.890748156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1080656.1507833335</v>
      </c>
      <c r="I29" s="26"/>
      <c r="J29" s="19">
        <f>J19+SUM(J22,J24,J26)</f>
        <v>942192.16005713027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267FB-314F-497E-9D9F-DD8AA99180D7}">
  <dimension ref="A1:P63"/>
  <sheetViews>
    <sheetView view="pageBreakPreview" topLeftCell="G12" zoomScaleNormal="110" zoomScaleSheetLayoutView="10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31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99681.41</v>
      </c>
      <c r="J14" s="29">
        <v>68444.952307692307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v>-2576.231991666667</v>
      </c>
      <c r="I16" s="29"/>
      <c r="J16" s="29">
        <v>-935.9982820512821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97105.178008333343</v>
      </c>
      <c r="J19" s="29">
        <f>J14+J16</f>
        <v>67508.954025641026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22215.445012679629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111057.47800833335</v>
      </c>
      <c r="I29" s="26"/>
      <c r="J29" s="19">
        <f>J19+SUM(J22,J24,J26)</f>
        <v>103676.69903832066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2C1AB-24D7-4985-A246-104E31B78570}">
  <dimension ref="A1:P63"/>
  <sheetViews>
    <sheetView view="pageBreakPreview" topLeftCell="F14" zoomScale="115" zoomScaleNormal="110" zoomScaleSheetLayoutView="115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32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465862.94000000006</v>
      </c>
      <c r="J14" s="29">
        <v>412941.49384615396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f>-136063.638120833-6694</f>
        <v>-142757.638120833</v>
      </c>
      <c r="I16" s="29"/>
      <c r="J16" s="29">
        <f>-126428.467114957-1269-2850</f>
        <v>-130547.46711495701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323105.30187916709</v>
      </c>
      <c r="J19" s="29">
        <f>J14+J16</f>
        <v>282394.02673119697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46187.078162862766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337057.60187916708</v>
      </c>
      <c r="I29" s="26"/>
      <c r="J29" s="19">
        <f>J19+SUM(J22,J24,J26)</f>
        <v>342533.40489405976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73DA8-9321-4F09-8C53-9CBDBB4A329B}">
  <dimension ref="A1:P63"/>
  <sheetViews>
    <sheetView view="pageBreakPreview" topLeftCell="F12" zoomScaleNormal="110" zoomScaleSheetLayoutView="10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33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f>101548.36+305348.99</f>
        <v>406897.35</v>
      </c>
      <c r="J14" s="29">
        <f>101548.36+253227.928461538</f>
        <v>354776.28846153797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f>-14337.6245902778-98480-2346</f>
        <v>-115163.6245902778</v>
      </c>
      <c r="I16" s="29"/>
      <c r="J16" s="29">
        <f>-9059.13293076923-98480-446-1000.5</f>
        <v>-108985.63293076924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291733.72540972219</v>
      </c>
      <c r="J19" s="29">
        <f>J14+J16</f>
        <v>245790.65553076874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40873.670724147647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305686.02540972218</v>
      </c>
      <c r="I29" s="26"/>
      <c r="J29" s="19">
        <f>J19+SUM(J22,J24,J26)</f>
        <v>300616.62625491637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8B95-AE06-4A23-9A76-745A22A1269D}">
  <dimension ref="A1:P63"/>
  <sheetViews>
    <sheetView view="pageBreakPreview" topLeftCell="E12" zoomScale="90" zoomScaleNormal="110" zoomScaleSheetLayoutView="9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34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f>101548.36+302572.62</f>
        <v>404120.98</v>
      </c>
      <c r="J14" s="29">
        <f>101548.36+261880.231538461</f>
        <v>363428.59153846098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f>-15206.9888125-98480-2347</f>
        <v>-116033.9888125</v>
      </c>
      <c r="I16" s="29"/>
      <c r="J16" s="29">
        <f>-9843.13027393162-98480-1447</f>
        <v>-109770.13027393162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288086.99118749995</v>
      </c>
      <c r="J19" s="29">
        <f>J14+J16</f>
        <v>253658.46126452938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30654.974542124528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302039.29118749994</v>
      </c>
      <c r="I29" s="26"/>
      <c r="J29" s="19">
        <f>J19+SUM(J22,J24,J26)</f>
        <v>298265.73580665392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1D76-62DE-4CEA-9B12-B045D3972CFE}">
  <dimension ref="A1:P63"/>
  <sheetViews>
    <sheetView view="pageBreakPreview" topLeftCell="E12" zoomScale="80" zoomScaleNormal="110" zoomScaleSheetLayoutView="80" workbookViewId="0">
      <selection activeCell="L9" sqref="L1:U1048576"/>
    </sheetView>
  </sheetViews>
  <sheetFormatPr defaultColWidth="9.109375" defaultRowHeight="14.4" x14ac:dyDescent="0.3"/>
  <cols>
    <col min="1" max="1" width="4" style="26" customWidth="1"/>
    <col min="2" max="2" width="5.109375" style="26" customWidth="1"/>
    <col min="3" max="3" width="7.6640625" style="26" customWidth="1"/>
    <col min="4" max="4" width="55.109375" style="26" bestFit="1" customWidth="1"/>
    <col min="5" max="5" width="3.109375" style="26" customWidth="1"/>
    <col min="6" max="6" width="14.6640625" style="26" customWidth="1"/>
    <col min="7" max="7" width="3.109375" style="26" customWidth="1"/>
    <col min="8" max="8" width="14.6640625" style="26" customWidth="1"/>
    <col min="9" max="9" width="3.6640625" style="26" customWidth="1"/>
    <col min="10" max="10" width="14.6640625" style="26" customWidth="1"/>
    <col min="11" max="11" width="3.6640625" style="26" customWidth="1"/>
    <col min="12" max="12" width="14.6640625" style="26" customWidth="1"/>
    <col min="13" max="13" width="3.6640625" style="26" customWidth="1"/>
    <col min="14" max="14" width="14.6640625" style="26" customWidth="1"/>
    <col min="15" max="15" width="3.109375" style="26" customWidth="1"/>
    <col min="16" max="16" width="26" style="1" bestFit="1" customWidth="1"/>
    <col min="17" max="16384" width="9.109375" style="26"/>
  </cols>
  <sheetData>
    <row r="1" spans="1:16" ht="17.399999999999999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x14ac:dyDescent="0.3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O2" s="2"/>
    </row>
    <row r="3" spans="1:16" x14ac:dyDescent="0.3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O3" s="2"/>
    </row>
    <row r="4" spans="1:16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O4" s="2"/>
    </row>
    <row r="5" spans="1:16" x14ac:dyDescent="0.3">
      <c r="B5" s="43" t="s">
        <v>35</v>
      </c>
      <c r="C5" s="43"/>
      <c r="D5" s="43"/>
      <c r="E5" s="43"/>
      <c r="F5" s="43"/>
      <c r="G5" s="43"/>
      <c r="H5" s="43"/>
      <c r="I5" s="43"/>
      <c r="J5" s="43"/>
      <c r="O5" s="2"/>
    </row>
    <row r="6" spans="1:16" x14ac:dyDescent="0.3">
      <c r="O6" s="2"/>
    </row>
    <row r="7" spans="1:16" x14ac:dyDescent="0.3">
      <c r="J7" s="3" t="s">
        <v>1</v>
      </c>
      <c r="O7" s="2"/>
    </row>
    <row r="8" spans="1:16" x14ac:dyDescent="0.3">
      <c r="A8" s="26" t="s">
        <v>2</v>
      </c>
      <c r="J8" s="4" t="s">
        <v>29</v>
      </c>
      <c r="O8" s="2"/>
    </row>
    <row r="9" spans="1:16" x14ac:dyDescent="0.3">
      <c r="A9" s="26" t="s">
        <v>3</v>
      </c>
      <c r="J9" s="5" t="s">
        <v>4</v>
      </c>
      <c r="O9" s="2"/>
    </row>
    <row r="10" spans="1:16" ht="15" thickBot="1" x14ac:dyDescent="0.35">
      <c r="B10" s="6"/>
      <c r="C10" s="6"/>
      <c r="D10" s="6"/>
      <c r="E10" s="6"/>
      <c r="F10" s="6"/>
      <c r="G10" s="6"/>
      <c r="H10" s="6"/>
      <c r="I10" s="6"/>
      <c r="J10" s="6"/>
      <c r="O10" s="2"/>
    </row>
    <row r="11" spans="1:16" ht="43.2" x14ac:dyDescent="0.3">
      <c r="B11" s="7" t="s">
        <v>5</v>
      </c>
      <c r="C11" s="7"/>
      <c r="F11" s="8" t="s">
        <v>6</v>
      </c>
      <c r="G11" s="9"/>
      <c r="H11" s="8" t="s">
        <v>7</v>
      </c>
      <c r="I11" s="9"/>
      <c r="J11" s="8" t="s">
        <v>8</v>
      </c>
      <c r="K11" s="9"/>
      <c r="L11" s="7"/>
      <c r="M11" s="9"/>
      <c r="N11" s="7"/>
      <c r="O11" s="2"/>
      <c r="P11" s="7"/>
    </row>
    <row r="12" spans="1:16" ht="15" thickBot="1" x14ac:dyDescent="0.35">
      <c r="B12" s="10" t="s">
        <v>9</v>
      </c>
      <c r="C12" s="10"/>
      <c r="D12" s="10" t="s">
        <v>10</v>
      </c>
      <c r="E12" s="6"/>
      <c r="F12" s="11" t="s">
        <v>11</v>
      </c>
      <c r="G12" s="6"/>
      <c r="H12" s="11" t="s">
        <v>11</v>
      </c>
      <c r="I12" s="6"/>
      <c r="J12" s="11" t="s">
        <v>11</v>
      </c>
      <c r="L12" s="12"/>
      <c r="N12" s="12"/>
      <c r="O12" s="12"/>
      <c r="P12" s="12"/>
    </row>
    <row r="13" spans="1:16" s="27" customFormat="1" x14ac:dyDescent="0.3">
      <c r="B13" s="38">
        <v>1</v>
      </c>
      <c r="D13" s="13"/>
      <c r="F13" s="14"/>
      <c r="H13" s="14"/>
      <c r="J13" s="14"/>
      <c r="L13" s="14"/>
      <c r="N13" s="14"/>
      <c r="O13" s="14"/>
      <c r="P13" s="15"/>
    </row>
    <row r="14" spans="1:16" x14ac:dyDescent="0.3">
      <c r="B14" s="38">
        <v>2</v>
      </c>
      <c r="C14" s="27"/>
      <c r="D14" s="26" t="s">
        <v>12</v>
      </c>
      <c r="F14" s="38" t="s">
        <v>13</v>
      </c>
      <c r="H14" s="29">
        <v>472116.79000000004</v>
      </c>
      <c r="J14" s="29">
        <v>347714.98615384614</v>
      </c>
      <c r="L14" s="29"/>
    </row>
    <row r="15" spans="1:16" x14ac:dyDescent="0.3">
      <c r="B15" s="38">
        <v>3</v>
      </c>
      <c r="C15" s="16"/>
      <c r="D15" s="28"/>
      <c r="F15" s="29"/>
      <c r="H15" s="29"/>
      <c r="J15" s="29"/>
      <c r="L15" s="29"/>
      <c r="N15" s="29"/>
      <c r="O15" s="29"/>
    </row>
    <row r="16" spans="1:16" x14ac:dyDescent="0.3">
      <c r="B16" s="38">
        <v>4</v>
      </c>
      <c r="C16" s="16"/>
      <c r="D16" s="26" t="s">
        <v>14</v>
      </c>
      <c r="F16" s="38" t="s">
        <v>15</v>
      </c>
      <c r="H16" s="29">
        <v>-91104.393990277822</v>
      </c>
      <c r="I16" s="29"/>
      <c r="J16" s="29">
        <f>-82915.9329559829-200</f>
        <v>-83115.932955982906</v>
      </c>
      <c r="L16" s="29"/>
      <c r="N16" s="29"/>
      <c r="O16" s="29"/>
    </row>
    <row r="17" spans="1:15" x14ac:dyDescent="0.3">
      <c r="B17" s="38">
        <v>5</v>
      </c>
      <c r="C17" s="16"/>
      <c r="D17" s="31"/>
      <c r="L17" s="29"/>
      <c r="N17" s="29"/>
      <c r="O17" s="29"/>
    </row>
    <row r="18" spans="1:15" x14ac:dyDescent="0.3">
      <c r="B18" s="38">
        <v>6</v>
      </c>
      <c r="C18" s="16"/>
      <c r="D18" s="27"/>
      <c r="H18" s="17"/>
      <c r="J18" s="17"/>
      <c r="L18" s="29"/>
      <c r="N18" s="29"/>
      <c r="O18" s="29"/>
    </row>
    <row r="19" spans="1:15" x14ac:dyDescent="0.3">
      <c r="B19" s="38">
        <v>7</v>
      </c>
      <c r="D19" s="30" t="s">
        <v>16</v>
      </c>
      <c r="H19" s="29">
        <f>H14+H16</f>
        <v>381012.3960097222</v>
      </c>
      <c r="J19" s="29">
        <f>J14+J16</f>
        <v>264599.05319786322</v>
      </c>
      <c r="L19" s="18"/>
      <c r="N19" s="18"/>
      <c r="O19" s="18"/>
    </row>
    <row r="20" spans="1:15" x14ac:dyDescent="0.3">
      <c r="B20" s="38">
        <v>8</v>
      </c>
      <c r="D20" s="28"/>
      <c r="H20" s="29"/>
      <c r="J20" s="29"/>
    </row>
    <row r="21" spans="1:15" x14ac:dyDescent="0.3">
      <c r="B21" s="38">
        <v>9</v>
      </c>
      <c r="C21" s="27"/>
      <c r="D21" s="28"/>
      <c r="H21" s="29"/>
      <c r="J21" s="29"/>
    </row>
    <row r="22" spans="1:15" s="1" customFormat="1" x14ac:dyDescent="0.3">
      <c r="A22" s="26"/>
      <c r="B22" s="38">
        <v>10</v>
      </c>
      <c r="C22" s="26"/>
      <c r="D22" s="30" t="s">
        <v>17</v>
      </c>
      <c r="E22" s="26"/>
      <c r="F22" s="38" t="s">
        <v>18</v>
      </c>
      <c r="G22" s="26"/>
      <c r="H22" s="29">
        <v>0</v>
      </c>
      <c r="I22" s="26"/>
      <c r="J22" s="29">
        <v>101204.08448858836</v>
      </c>
      <c r="K22" s="26"/>
      <c r="L22" s="26"/>
      <c r="M22" s="26"/>
      <c r="N22" s="26"/>
      <c r="O22" s="26"/>
    </row>
    <row r="23" spans="1:15" s="1" customFormat="1" x14ac:dyDescent="0.3">
      <c r="A23" s="26"/>
      <c r="B23" s="38">
        <v>11</v>
      </c>
      <c r="C23" s="16"/>
      <c r="D23" s="28"/>
      <c r="E23" s="26"/>
      <c r="F23" s="26"/>
      <c r="G23" s="26"/>
      <c r="H23" s="29"/>
      <c r="I23" s="26"/>
      <c r="J23" s="29"/>
      <c r="K23" s="26"/>
      <c r="L23" s="29"/>
      <c r="M23" s="26"/>
      <c r="N23" s="29"/>
      <c r="O23" s="29"/>
    </row>
    <row r="24" spans="1:15" s="1" customFormat="1" x14ac:dyDescent="0.3">
      <c r="A24" s="26"/>
      <c r="B24" s="38">
        <v>12</v>
      </c>
      <c r="C24" s="16"/>
      <c r="D24" s="30" t="s">
        <v>19</v>
      </c>
      <c r="E24" s="26"/>
      <c r="F24" s="38" t="s">
        <v>20</v>
      </c>
      <c r="G24" s="26"/>
      <c r="H24" s="29">
        <v>13952.3</v>
      </c>
      <c r="I24" s="26"/>
      <c r="J24" s="29">
        <v>13952.3</v>
      </c>
      <c r="K24" s="26"/>
      <c r="L24" s="29"/>
      <c r="M24" s="26"/>
      <c r="N24" s="29"/>
      <c r="O24" s="29"/>
    </row>
    <row r="25" spans="1:15" s="1" customFormat="1" x14ac:dyDescent="0.3">
      <c r="A25" s="26"/>
      <c r="B25" s="38">
        <v>13</v>
      </c>
      <c r="C25" s="16"/>
      <c r="D25" s="28"/>
      <c r="E25" s="26"/>
      <c r="F25" s="26"/>
      <c r="G25" s="26"/>
      <c r="H25" s="29"/>
      <c r="I25" s="26"/>
      <c r="J25" s="29"/>
      <c r="K25" s="26"/>
      <c r="L25" s="29"/>
      <c r="M25" s="26"/>
      <c r="N25" s="29"/>
      <c r="O25" s="29"/>
    </row>
    <row r="26" spans="1:15" s="1" customFormat="1" x14ac:dyDescent="0.3">
      <c r="A26" s="26"/>
      <c r="B26" s="38">
        <v>14</v>
      </c>
      <c r="C26" s="16"/>
      <c r="D26" s="30" t="s">
        <v>21</v>
      </c>
      <c r="E26" s="26"/>
      <c r="F26" s="38" t="s">
        <v>22</v>
      </c>
      <c r="G26" s="26"/>
      <c r="H26" s="29">
        <v>0</v>
      </c>
      <c r="I26" s="26"/>
      <c r="J26" s="29">
        <v>0</v>
      </c>
      <c r="K26" s="26"/>
      <c r="L26" s="29"/>
      <c r="M26" s="26"/>
      <c r="N26" s="29"/>
      <c r="O26" s="29"/>
    </row>
    <row r="27" spans="1:15" s="1" customFormat="1" x14ac:dyDescent="0.3">
      <c r="A27" s="26"/>
      <c r="B27" s="38">
        <v>15</v>
      </c>
      <c r="C27" s="16"/>
      <c r="D27" s="26"/>
      <c r="E27" s="26"/>
      <c r="F27" s="26"/>
      <c r="G27" s="26"/>
      <c r="H27" s="18"/>
      <c r="I27" s="26"/>
      <c r="J27" s="18"/>
      <c r="K27" s="26"/>
      <c r="L27" s="29"/>
      <c r="M27" s="26"/>
      <c r="N27" s="29"/>
      <c r="O27" s="29"/>
    </row>
    <row r="28" spans="1:15" s="1" customFormat="1" x14ac:dyDescent="0.3">
      <c r="A28" s="26"/>
      <c r="B28" s="38">
        <v>16</v>
      </c>
      <c r="C28" s="16"/>
      <c r="D28" s="32"/>
      <c r="E28" s="26"/>
      <c r="F28" s="26"/>
      <c r="G28" s="26"/>
      <c r="H28" s="29"/>
      <c r="I28" s="26"/>
      <c r="J28" s="29"/>
      <c r="K28" s="26"/>
      <c r="L28" s="29"/>
      <c r="M28" s="26"/>
      <c r="N28" s="29"/>
      <c r="O28" s="29"/>
    </row>
    <row r="29" spans="1:15" s="1" customFormat="1" ht="15" thickBot="1" x14ac:dyDescent="0.35">
      <c r="A29" s="26"/>
      <c r="B29" s="38">
        <v>17</v>
      </c>
      <c r="C29" s="16"/>
      <c r="D29" s="30" t="s">
        <v>23</v>
      </c>
      <c r="E29" s="26"/>
      <c r="F29" s="26"/>
      <c r="G29" s="26"/>
      <c r="H29" s="19">
        <f>H19+SUM(H22,H24,H26)</f>
        <v>394964.69600972219</v>
      </c>
      <c r="I29" s="26"/>
      <c r="J29" s="19">
        <f>J19+SUM(J22,J24,J26)</f>
        <v>379755.43768645159</v>
      </c>
      <c r="K29" s="26"/>
      <c r="L29" s="29"/>
      <c r="M29" s="26"/>
      <c r="N29" s="29"/>
      <c r="O29" s="29"/>
    </row>
    <row r="30" spans="1:15" s="1" customFormat="1" ht="15" thickTop="1" x14ac:dyDescent="0.3">
      <c r="A30" s="26"/>
      <c r="B30" s="38">
        <v>18</v>
      </c>
      <c r="C30" s="16"/>
      <c r="D30" s="32"/>
      <c r="E30" s="26"/>
      <c r="F30" s="29"/>
      <c r="G30" s="26"/>
      <c r="H30" s="29"/>
      <c r="I30" s="26"/>
      <c r="J30" s="29"/>
      <c r="K30" s="26"/>
      <c r="L30" s="29"/>
      <c r="M30" s="26"/>
      <c r="N30" s="29"/>
      <c r="O30" s="29"/>
    </row>
    <row r="31" spans="1:15" s="1" customFormat="1" x14ac:dyDescent="0.3">
      <c r="A31" s="26"/>
      <c r="B31" s="38"/>
      <c r="C31" s="16"/>
      <c r="D31" s="32"/>
      <c r="E31" s="26"/>
      <c r="F31" s="29"/>
      <c r="G31" s="26"/>
      <c r="H31" s="29"/>
      <c r="I31" s="26"/>
      <c r="J31" s="29"/>
      <c r="K31" s="26"/>
      <c r="L31" s="18"/>
      <c r="M31" s="26"/>
      <c r="N31" s="18"/>
      <c r="O31" s="18"/>
    </row>
    <row r="32" spans="1:15" s="1" customFormat="1" x14ac:dyDescent="0.3">
      <c r="A32" s="26"/>
      <c r="B32" s="38"/>
      <c r="D32" s="32"/>
      <c r="E32" s="26"/>
      <c r="F32" s="29"/>
      <c r="G32" s="26"/>
      <c r="H32" s="29"/>
      <c r="I32" s="26"/>
      <c r="J32" s="29"/>
      <c r="K32" s="26"/>
      <c r="L32" s="26"/>
      <c r="M32" s="26"/>
      <c r="N32" s="26"/>
      <c r="O32" s="26"/>
    </row>
    <row r="33" spans="1:15" s="1" customFormat="1" x14ac:dyDescent="0.3">
      <c r="A33" s="26"/>
      <c r="B33" s="38"/>
      <c r="C33" s="16"/>
      <c r="D33" s="32"/>
      <c r="E33" s="26"/>
      <c r="F33" s="29"/>
      <c r="G33" s="26"/>
      <c r="H33" s="29"/>
      <c r="I33" s="26"/>
      <c r="J33" s="29"/>
      <c r="K33" s="26"/>
      <c r="L33" s="29"/>
      <c r="M33" s="26"/>
      <c r="N33" s="29"/>
      <c r="O33" s="29"/>
    </row>
    <row r="34" spans="1:15" s="1" customFormat="1" x14ac:dyDescent="0.3">
      <c r="A34" s="26"/>
      <c r="B34" s="38"/>
      <c r="C34" s="16"/>
      <c r="D34" s="26"/>
      <c r="E34" s="26"/>
      <c r="F34" s="18"/>
      <c r="G34" s="26"/>
      <c r="H34" s="18"/>
      <c r="I34" s="26"/>
      <c r="J34" s="18"/>
      <c r="K34" s="26"/>
      <c r="L34" s="29"/>
      <c r="M34" s="26"/>
      <c r="N34" s="29"/>
      <c r="O34" s="29"/>
    </row>
    <row r="35" spans="1:15" s="1" customFormat="1" x14ac:dyDescent="0.3">
      <c r="A35" s="26"/>
      <c r="B35" s="38"/>
      <c r="C35" s="16"/>
      <c r="D35" s="26"/>
      <c r="E35" s="26"/>
      <c r="F35" s="26"/>
      <c r="G35" s="26"/>
      <c r="H35" s="26"/>
      <c r="I35" s="26"/>
      <c r="J35" s="26"/>
      <c r="K35" s="26"/>
      <c r="L35" s="29"/>
      <c r="M35" s="26"/>
      <c r="N35" s="29"/>
      <c r="O35" s="29"/>
    </row>
    <row r="36" spans="1:15" s="1" customFormat="1" x14ac:dyDescent="0.3">
      <c r="A36" s="26"/>
      <c r="B36" s="38"/>
      <c r="C36" s="16"/>
      <c r="D36" s="32"/>
      <c r="E36" s="26"/>
      <c r="F36" s="29"/>
      <c r="G36" s="26"/>
      <c r="H36" s="29"/>
      <c r="I36" s="26"/>
      <c r="J36" s="29"/>
      <c r="K36" s="26"/>
      <c r="L36" s="29"/>
      <c r="M36" s="26"/>
      <c r="N36" s="29"/>
      <c r="O36" s="29"/>
    </row>
    <row r="37" spans="1:15" s="1" customFormat="1" x14ac:dyDescent="0.3">
      <c r="A37" s="26"/>
      <c r="B37" s="38"/>
      <c r="C37" s="16"/>
      <c r="D37" s="32"/>
      <c r="E37" s="26"/>
      <c r="F37" s="29"/>
      <c r="G37" s="26"/>
      <c r="H37" s="29"/>
      <c r="I37" s="26"/>
      <c r="J37" s="29"/>
      <c r="K37" s="26"/>
      <c r="L37" s="29"/>
      <c r="M37" s="26"/>
      <c r="N37" s="29"/>
      <c r="O37" s="29"/>
    </row>
    <row r="38" spans="1:15" s="1" customFormat="1" x14ac:dyDescent="0.3">
      <c r="A38" s="26"/>
      <c r="B38" s="38"/>
      <c r="C38" s="16"/>
      <c r="D38" s="32"/>
      <c r="E38" s="26"/>
      <c r="F38" s="29"/>
      <c r="G38" s="26"/>
      <c r="H38" s="29"/>
      <c r="I38" s="26"/>
      <c r="J38" s="29"/>
      <c r="K38" s="26"/>
      <c r="L38" s="29"/>
      <c r="M38" s="26"/>
      <c r="N38" s="29"/>
      <c r="O38" s="29"/>
    </row>
    <row r="39" spans="1:15" s="1" customFormat="1" x14ac:dyDescent="0.3">
      <c r="A39" s="26"/>
      <c r="B39" s="38"/>
      <c r="C39" s="16"/>
      <c r="D39" s="26"/>
      <c r="E39" s="26"/>
      <c r="F39" s="26"/>
      <c r="G39" s="26"/>
      <c r="H39" s="26"/>
      <c r="I39" s="26"/>
      <c r="J39" s="26"/>
      <c r="K39" s="26"/>
      <c r="L39" s="29"/>
      <c r="M39" s="26"/>
      <c r="N39" s="29"/>
      <c r="O39" s="29"/>
    </row>
    <row r="40" spans="1:15" s="1" customFormat="1" x14ac:dyDescent="0.3">
      <c r="A40" s="26"/>
      <c r="B40" s="38"/>
      <c r="C40" s="16"/>
      <c r="D40" s="20"/>
      <c r="E40" s="26"/>
      <c r="F40" s="29"/>
      <c r="G40" s="26"/>
      <c r="H40" s="29"/>
      <c r="I40" s="26"/>
      <c r="J40" s="29"/>
      <c r="K40" s="26"/>
      <c r="L40" s="29"/>
      <c r="M40" s="26"/>
      <c r="N40" s="29"/>
      <c r="O40" s="29"/>
    </row>
    <row r="41" spans="1:15" s="1" customFormat="1" x14ac:dyDescent="0.3">
      <c r="A41" s="26"/>
      <c r="B41" s="38"/>
      <c r="C41" s="16"/>
      <c r="D41" s="26"/>
      <c r="E41" s="26"/>
      <c r="F41" s="26"/>
      <c r="G41" s="26"/>
      <c r="H41" s="26"/>
      <c r="I41" s="26"/>
      <c r="J41" s="26"/>
      <c r="K41" s="26"/>
      <c r="L41" s="29"/>
      <c r="M41" s="26"/>
      <c r="N41" s="29"/>
      <c r="O41" s="29"/>
    </row>
    <row r="42" spans="1:15" s="1" customFormat="1" x14ac:dyDescent="0.3">
      <c r="A42" s="26"/>
      <c r="B42" s="38"/>
      <c r="C42" s="21"/>
      <c r="D42" s="26"/>
      <c r="E42" s="26"/>
      <c r="F42" s="26"/>
      <c r="G42" s="26"/>
      <c r="H42" s="26"/>
      <c r="I42" s="26"/>
      <c r="J42" s="26"/>
      <c r="K42" s="26"/>
      <c r="L42" s="29"/>
      <c r="M42" s="26"/>
      <c r="N42" s="29"/>
      <c r="O42" s="29"/>
    </row>
    <row r="43" spans="1:15" s="1" customFormat="1" x14ac:dyDescent="0.3">
      <c r="A43" s="26"/>
      <c r="B43" s="38"/>
      <c r="C43" s="16"/>
      <c r="D43" s="20"/>
      <c r="E43" s="26"/>
      <c r="F43" s="29"/>
      <c r="G43" s="26"/>
      <c r="H43" s="29"/>
      <c r="I43" s="26"/>
      <c r="J43" s="29"/>
      <c r="K43" s="26"/>
      <c r="L43" s="18"/>
      <c r="M43" s="26"/>
      <c r="N43" s="18"/>
      <c r="O43" s="18"/>
    </row>
    <row r="44" spans="1:15" s="1" customFormat="1" x14ac:dyDescent="0.3">
      <c r="A44" s="26"/>
      <c r="B44" s="38"/>
      <c r="C44" s="22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s="1" customFormat="1" x14ac:dyDescent="0.3">
      <c r="A45" s="26"/>
      <c r="B45" s="38"/>
      <c r="C45" s="16"/>
      <c r="D45" s="26"/>
      <c r="E45" s="26"/>
      <c r="F45" s="29"/>
      <c r="G45" s="26"/>
      <c r="H45" s="29"/>
      <c r="I45" s="26"/>
      <c r="J45" s="29"/>
      <c r="K45" s="26"/>
      <c r="L45" s="29"/>
      <c r="M45" s="26"/>
      <c r="N45" s="29"/>
      <c r="O45" s="29"/>
    </row>
    <row r="46" spans="1:15" s="1" customFormat="1" x14ac:dyDescent="0.3">
      <c r="A46" s="26"/>
      <c r="B46" s="38"/>
      <c r="C46" s="16"/>
      <c r="D46" s="26"/>
      <c r="E46" s="26"/>
      <c r="F46" s="26"/>
      <c r="G46" s="26"/>
      <c r="H46" s="26"/>
      <c r="I46" s="26"/>
      <c r="J46" s="26"/>
      <c r="K46" s="26"/>
      <c r="L46" s="29"/>
      <c r="M46" s="26"/>
      <c r="N46" s="29"/>
      <c r="O46" s="29"/>
    </row>
    <row r="47" spans="1:15" s="1" customFormat="1" x14ac:dyDescent="0.3">
      <c r="A47" s="26"/>
      <c r="B47" s="38"/>
      <c r="C47" s="16"/>
      <c r="D47" s="26"/>
      <c r="E47" s="26"/>
      <c r="F47" s="18"/>
      <c r="G47" s="26"/>
      <c r="H47" s="18"/>
      <c r="I47" s="26"/>
      <c r="J47" s="18"/>
      <c r="K47" s="26"/>
      <c r="L47" s="29"/>
      <c r="M47" s="26"/>
      <c r="N47" s="29"/>
      <c r="O47" s="29"/>
    </row>
    <row r="48" spans="1:15" s="1" customFormat="1" x14ac:dyDescent="0.3">
      <c r="A48" s="26"/>
      <c r="B48" s="38"/>
      <c r="C48" s="22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1" customFormat="1" x14ac:dyDescent="0.3">
      <c r="A49" s="26"/>
      <c r="B49" s="38"/>
      <c r="C49" s="16"/>
      <c r="D49" s="26"/>
      <c r="E49" s="26"/>
      <c r="F49" s="18"/>
      <c r="G49" s="26"/>
      <c r="H49" s="18"/>
      <c r="I49" s="26"/>
      <c r="J49" s="18"/>
      <c r="K49" s="26"/>
      <c r="L49" s="29"/>
      <c r="M49" s="26"/>
      <c r="N49" s="29"/>
      <c r="O49" s="29"/>
    </row>
    <row r="50" spans="1:15" s="1" customFormat="1" x14ac:dyDescent="0.3">
      <c r="A50" s="26"/>
      <c r="B50" s="38"/>
      <c r="C50" s="16"/>
      <c r="D50" s="26"/>
      <c r="E50" s="26"/>
      <c r="F50" s="23"/>
      <c r="G50" s="26"/>
      <c r="H50" s="23"/>
      <c r="I50" s="26"/>
      <c r="J50" s="23"/>
      <c r="K50" s="26"/>
      <c r="L50" s="26"/>
      <c r="M50" s="26"/>
      <c r="N50" s="26"/>
      <c r="O50" s="26"/>
    </row>
    <row r="51" spans="1:15" s="1" customFormat="1" x14ac:dyDescent="0.3">
      <c r="A51" s="26"/>
      <c r="B51" s="38"/>
      <c r="C51" s="22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1" customFormat="1" x14ac:dyDescent="0.3">
      <c r="A52" s="26"/>
      <c r="B52" s="38"/>
      <c r="C52" s="16"/>
      <c r="D52" s="26"/>
      <c r="E52" s="26"/>
      <c r="F52" s="26"/>
      <c r="G52" s="26"/>
      <c r="H52" s="26"/>
      <c r="I52" s="26"/>
      <c r="J52" s="26"/>
      <c r="K52" s="26"/>
      <c r="L52" s="29"/>
      <c r="M52" s="26"/>
      <c r="N52" s="29"/>
      <c r="O52" s="29"/>
    </row>
    <row r="53" spans="1:15" s="1" customFormat="1" x14ac:dyDescent="0.3">
      <c r="A53" s="26"/>
      <c r="B53" s="38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1" customFormat="1" x14ac:dyDescent="0.3">
      <c r="A54" s="26"/>
      <c r="B54" s="38"/>
      <c r="C54" s="27"/>
      <c r="D54" s="27"/>
      <c r="E54" s="26"/>
      <c r="F54" s="26"/>
      <c r="G54" s="26"/>
      <c r="H54" s="26"/>
      <c r="I54" s="26"/>
      <c r="J54" s="26"/>
      <c r="K54" s="26"/>
      <c r="L54" s="29"/>
      <c r="M54" s="26"/>
      <c r="N54" s="29"/>
      <c r="O54" s="29"/>
    </row>
    <row r="55" spans="1:15" s="1" customFormat="1" x14ac:dyDescent="0.3">
      <c r="A55" s="26"/>
      <c r="B55" s="38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1" customFormat="1" x14ac:dyDescent="0.3">
      <c r="A56" s="26"/>
      <c r="B56" s="38"/>
      <c r="C56" s="27"/>
      <c r="D56" s="26"/>
      <c r="E56" s="26"/>
      <c r="F56" s="26"/>
      <c r="G56" s="26"/>
      <c r="H56" s="26"/>
      <c r="I56" s="26"/>
      <c r="J56" s="26"/>
      <c r="K56" s="26"/>
      <c r="L56" s="18"/>
      <c r="M56" s="26"/>
      <c r="N56" s="18"/>
      <c r="O56" s="18"/>
    </row>
    <row r="57" spans="1:15" s="1" customFormat="1" x14ac:dyDescent="0.3">
      <c r="A57" s="26"/>
      <c r="B57" s="38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1" customFormat="1" x14ac:dyDescent="0.3">
      <c r="A58" s="26"/>
      <c r="B58" s="38"/>
      <c r="C58" s="27"/>
      <c r="D58" s="26"/>
      <c r="E58" s="26"/>
      <c r="F58" s="26"/>
      <c r="G58" s="26"/>
      <c r="H58" s="26"/>
      <c r="I58" s="26"/>
      <c r="J58" s="26"/>
      <c r="K58" s="26"/>
      <c r="L58" s="18"/>
      <c r="M58" s="26"/>
      <c r="N58" s="18"/>
      <c r="O58" s="18"/>
    </row>
    <row r="59" spans="1:15" s="1" customFormat="1" x14ac:dyDescent="0.3">
      <c r="A59" s="26"/>
      <c r="B59" s="38"/>
      <c r="C59" s="27"/>
      <c r="D59" s="26"/>
      <c r="E59" s="26"/>
      <c r="F59" s="26"/>
      <c r="G59" s="26"/>
      <c r="H59" s="26"/>
      <c r="I59" s="26"/>
      <c r="J59" s="26"/>
      <c r="K59" s="26"/>
      <c r="L59" s="24"/>
      <c r="M59" s="26"/>
      <c r="N59" s="24"/>
      <c r="O59" s="24"/>
    </row>
    <row r="60" spans="1:15" s="1" customFormat="1" x14ac:dyDescent="0.3">
      <c r="A60" s="26"/>
      <c r="B60" s="38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s="1" customFormat="1" x14ac:dyDescent="0.3">
      <c r="A61" s="26"/>
      <c r="B61" s="38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s="1" customFormat="1" x14ac:dyDescent="0.3">
      <c r="A62" s="26"/>
      <c r="B62" s="38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s="1" customForma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scale="95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955E8F06CBD48B7814246FB9E203E" ma:contentTypeVersion="12" ma:contentTypeDescription="Create a new document." ma:contentTypeScope="" ma:versionID="ad274f5c268e6443438abf6ac2aab579">
  <xsd:schema xmlns:xsd="http://www.w3.org/2001/XMLSchema" xmlns:xs="http://www.w3.org/2001/XMLSchema" xmlns:p="http://schemas.microsoft.com/office/2006/metadata/properties" xmlns:ns2="cc29f954-72e5-4988-94c8-6074c4013efb" xmlns:ns3="219c5758-d311-4f49-8eb7-a0c37216249c" targetNamespace="http://schemas.microsoft.com/office/2006/metadata/properties" ma:root="true" ma:fieldsID="b35f0d760f0b69f295c070a8c3c1d2fa" ns2:_="" ns3:_="">
    <xsd:import namespace="cc29f954-72e5-4988-94c8-6074c4013efb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9f954-72e5-4988-94c8-6074c401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FD567E-E5E7-4E6A-864D-3466F1C14C8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14C24F-F9E7-4F7A-8970-965E7166C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444888-8B77-457F-BA32-81B580CC86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Summary</vt:lpstr>
      <vt:lpstr>Airview</vt:lpstr>
      <vt:lpstr>Arcadia Pines</vt:lpstr>
      <vt:lpstr>Brocklyn</vt:lpstr>
      <vt:lpstr>Carriage Park</vt:lpstr>
      <vt:lpstr>Fox Run</vt:lpstr>
      <vt:lpstr>Golden Acres</vt:lpstr>
      <vt:lpstr>Great Oaks</vt:lpstr>
      <vt:lpstr>Timberland</vt:lpstr>
      <vt:lpstr>Kingswood</vt:lpstr>
      <vt:lpstr>Lake Columbia</vt:lpstr>
      <vt:lpstr>LH Treatment</vt:lpstr>
      <vt:lpstr>Marshall Ridge</vt:lpstr>
      <vt:lpstr>Persimmon Ridge</vt:lpstr>
      <vt:lpstr>Randview</vt:lpstr>
      <vt:lpstr>River Bluffs</vt:lpstr>
      <vt:lpstr>Delaplain</vt:lpstr>
      <vt:lpstr>Herrington Haven</vt:lpstr>
      <vt:lpstr>Woodland Acres</vt:lpstr>
      <vt:lpstr>SpringCrest</vt:lpstr>
      <vt:lpstr>Airview!Print_Area</vt:lpstr>
      <vt:lpstr>'Arcadia Pines'!Print_Area</vt:lpstr>
      <vt:lpstr>Brocklyn!Print_Area</vt:lpstr>
      <vt:lpstr>'Carriage Park'!Print_Area</vt:lpstr>
      <vt:lpstr>Delaplain!Print_Area</vt:lpstr>
      <vt:lpstr>'Fox Run'!Print_Area</vt:lpstr>
      <vt:lpstr>'Golden Acres'!Print_Area</vt:lpstr>
      <vt:lpstr>'Great Oaks'!Print_Area</vt:lpstr>
      <vt:lpstr>'Herrington Haven'!Print_Area</vt:lpstr>
      <vt:lpstr>Kingswood!Print_Area</vt:lpstr>
      <vt:lpstr>'Lake Columbia'!Print_Area</vt:lpstr>
      <vt:lpstr>'LH Treatment'!Print_Area</vt:lpstr>
      <vt:lpstr>'Marshall Ridge'!Print_Area</vt:lpstr>
      <vt:lpstr>'Persimmon Ridge'!Print_Area</vt:lpstr>
      <vt:lpstr>Randview!Print_Area</vt:lpstr>
      <vt:lpstr>'River Bluffs'!Print_Area</vt:lpstr>
      <vt:lpstr>SpringCrest!Print_Area</vt:lpstr>
      <vt:lpstr>Timberland!Print_Area</vt:lpstr>
      <vt:lpstr>'Woodland Acres'!Print_Area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O’Reilly</dc:creator>
  <cp:lastModifiedBy>Brent Thies</cp:lastModifiedBy>
  <cp:lastPrinted>2021-05-28T21:43:46Z</cp:lastPrinted>
  <dcterms:created xsi:type="dcterms:W3CDTF">2021-05-25T17:58:24Z</dcterms:created>
  <dcterms:modified xsi:type="dcterms:W3CDTF">2021-05-29T04:33:34Z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0x01010035F955E8F06CBD48B7814246FB9E203E</vt:lpwstr>
  </property>
</Properties>
</file>