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4675" windowHeight="11805"/>
  </bookViews>
  <sheets>
    <sheet name="Methodology" sheetId="7" r:id="rId1"/>
    <sheet name="Audit" sheetId="1" r:id="rId2"/>
    <sheet name="Debt Service Factor" sheetId="2" r:id="rId3"/>
    <sheet name="Depr. Schedule" sheetId="6" r:id="rId4"/>
  </sheets>
  <calcPr calcId="145621"/>
</workbook>
</file>

<file path=xl/calcChain.xml><?xml version="1.0" encoding="utf-8"?>
<calcChain xmlns="http://schemas.openxmlformats.org/spreadsheetml/2006/main">
  <c r="G16" i="1" l="1"/>
  <c r="G15" i="1"/>
  <c r="G13" i="1"/>
  <c r="G12" i="1"/>
  <c r="G20" i="1" l="1"/>
  <c r="E20" i="1"/>
  <c r="D11" i="7"/>
  <c r="D7" i="7"/>
  <c r="E8" i="7" s="1"/>
  <c r="L16" i="6" l="1"/>
  <c r="L35" i="6" s="1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M29" i="6" s="1"/>
  <c r="N29" i="6" s="1"/>
  <c r="J10" i="6"/>
  <c r="K10" i="6"/>
  <c r="M10" i="6" s="1"/>
  <c r="L10" i="6"/>
  <c r="J11" i="6"/>
  <c r="K11" i="6"/>
  <c r="M11" i="6" s="1"/>
  <c r="N11" i="6" s="1"/>
  <c r="L11" i="6"/>
  <c r="L31" i="6" s="1"/>
  <c r="K12" i="6"/>
  <c r="L12" i="6"/>
  <c r="M12" i="6" s="1"/>
  <c r="N12" i="6" s="1"/>
  <c r="K13" i="6"/>
  <c r="M13" i="6" s="1"/>
  <c r="N13" i="6" s="1"/>
  <c r="L13" i="6"/>
  <c r="K14" i="6"/>
  <c r="L14" i="6"/>
  <c r="M14" i="6" s="1"/>
  <c r="N14" i="6" s="1"/>
  <c r="K15" i="6"/>
  <c r="M15" i="6"/>
  <c r="N15" i="6" s="1"/>
  <c r="K16" i="6"/>
  <c r="M16" i="6" s="1"/>
  <c r="N16" i="6" s="1"/>
  <c r="K17" i="6"/>
  <c r="M17" i="6" s="1"/>
  <c r="N17" i="6" s="1"/>
  <c r="K18" i="6"/>
  <c r="M18" i="6" s="1"/>
  <c r="N18" i="6" s="1"/>
  <c r="K19" i="6"/>
  <c r="M19" i="6"/>
  <c r="N19" i="6" s="1"/>
  <c r="K20" i="6"/>
  <c r="M20" i="6"/>
  <c r="N20" i="6"/>
  <c r="K21" i="6"/>
  <c r="M21" i="6"/>
  <c r="N21" i="6" s="1"/>
  <c r="K22" i="6"/>
  <c r="M22" i="6" s="1"/>
  <c r="N22" i="6" s="1"/>
  <c r="K23" i="6"/>
  <c r="M23" i="6"/>
  <c r="N23" i="6" s="1"/>
  <c r="K24" i="6"/>
  <c r="M24" i="6" s="1"/>
  <c r="N24" i="6" s="1"/>
  <c r="K25" i="6"/>
  <c r="M25" i="6" s="1"/>
  <c r="N25" i="6" s="1"/>
  <c r="K26" i="6"/>
  <c r="M26" i="6" s="1"/>
  <c r="N26" i="6" s="1"/>
  <c r="K27" i="6"/>
  <c r="M27" i="6"/>
  <c r="N27" i="6" s="1"/>
  <c r="K28" i="6"/>
  <c r="M28" i="6"/>
  <c r="N28" i="6"/>
  <c r="K30" i="6"/>
  <c r="J31" i="6"/>
  <c r="I31" i="6"/>
  <c r="G31" i="6"/>
  <c r="G7" i="1"/>
  <c r="G14" i="1"/>
  <c r="C9" i="2"/>
  <c r="B9" i="2"/>
  <c r="B12" i="2" s="1"/>
  <c r="B14" i="2" s="1"/>
  <c r="D9" i="2"/>
  <c r="D26" i="1"/>
  <c r="E18" i="1"/>
  <c r="D10" i="7" l="1"/>
  <c r="M31" i="6"/>
  <c r="N10" i="6"/>
  <c r="N31" i="6" s="1"/>
  <c r="B16" i="2"/>
  <c r="H20" i="1"/>
  <c r="B17" i="2"/>
  <c r="K31" i="6"/>
  <c r="G18" i="1"/>
  <c r="D30" i="1"/>
  <c r="D29" i="1"/>
  <c r="C9" i="7" s="1"/>
  <c r="E11" i="7" s="1"/>
  <c r="E10" i="7" l="1"/>
  <c r="E13" i="7" s="1"/>
  <c r="H17" i="1"/>
  <c r="H8" i="1"/>
  <c r="H9" i="1"/>
  <c r="H11" i="1"/>
  <c r="H10" i="1"/>
  <c r="H15" i="1"/>
  <c r="H16" i="1"/>
  <c r="H13" i="1"/>
  <c r="H14" i="1"/>
  <c r="H12" i="1"/>
  <c r="H7" i="1"/>
  <c r="H18" i="1" l="1"/>
</calcChain>
</file>

<file path=xl/sharedStrings.xml><?xml version="1.0" encoding="utf-8"?>
<sst xmlns="http://schemas.openxmlformats.org/spreadsheetml/2006/main" count="115" uniqueCount="104">
  <si>
    <t>Augusta Regional Water Treatment Plant</t>
  </si>
  <si>
    <t>Category</t>
  </si>
  <si>
    <t>OPERATING EXPENSES</t>
  </si>
  <si>
    <t>Salaries and Wages</t>
  </si>
  <si>
    <t>Professional Fees</t>
  </si>
  <si>
    <t>Insurance</t>
  </si>
  <si>
    <t>Repairs and Supplies</t>
  </si>
  <si>
    <t>Office Expense</t>
  </si>
  <si>
    <t>Total Operating Expense</t>
  </si>
  <si>
    <t>Chemicals and Testing</t>
  </si>
  <si>
    <t>BCWD</t>
  </si>
  <si>
    <t>Augusta</t>
  </si>
  <si>
    <t>Travel &amp; Training</t>
  </si>
  <si>
    <t>Depreciation</t>
  </si>
  <si>
    <t>FY 2019</t>
  </si>
  <si>
    <t>Audit</t>
  </si>
  <si>
    <t>Gallons FY'19</t>
  </si>
  <si>
    <t>16.c. Debt Service Component</t>
  </si>
  <si>
    <t>Principal Paid</t>
  </si>
  <si>
    <t>Interest Paid</t>
  </si>
  <si>
    <t>FY'2019</t>
  </si>
  <si>
    <t>Loan Proceeds</t>
  </si>
  <si>
    <t>TOTAL</t>
  </si>
  <si>
    <t>3-year average</t>
  </si>
  <si>
    <t>1.2 factor</t>
  </si>
  <si>
    <t>FY'2020</t>
  </si>
  <si>
    <t>FY'2021</t>
  </si>
  <si>
    <t>RATE CALCUATION</t>
  </si>
  <si>
    <t>Debt Service (1.2%)</t>
  </si>
  <si>
    <t>City of Augusta</t>
  </si>
  <si>
    <t>PAGE 1 OF 4</t>
  </si>
  <si>
    <t>Water Depreciation Schedule</t>
  </si>
  <si>
    <t>For the Year Ended June 30, 2019</t>
  </si>
  <si>
    <t>ACCUM</t>
  </si>
  <si>
    <t>DEPR</t>
  </si>
  <si>
    <t>EXPENSE</t>
  </si>
  <si>
    <t>BOOK</t>
  </si>
  <si>
    <t>DATE</t>
  </si>
  <si>
    <t>DESCRIPTION</t>
  </si>
  <si>
    <t>LIFE</t>
  </si>
  <si>
    <t>COST</t>
  </si>
  <si>
    <t>VALUE</t>
  </si>
  <si>
    <t>WATER TREATMENT PLANT</t>
  </si>
  <si>
    <t>Water Treatment Plant</t>
  </si>
  <si>
    <t>Additions</t>
  </si>
  <si>
    <t>Engineering</t>
  </si>
  <si>
    <t>Lagoon</t>
  </si>
  <si>
    <t>Well Recharge</t>
  </si>
  <si>
    <t>Air Compressor</t>
  </si>
  <si>
    <t>Radios</t>
  </si>
  <si>
    <t>Pump</t>
  </si>
  <si>
    <t>Pump and motor</t>
  </si>
  <si>
    <t>Motor</t>
  </si>
  <si>
    <t>12" spool &amp; injection line</t>
  </si>
  <si>
    <t>aeration disc on aerator</t>
  </si>
  <si>
    <t>Diaphragm Meter Pump</t>
  </si>
  <si>
    <t>Benchtop Meter</t>
  </si>
  <si>
    <t>Spectrophotometer</t>
  </si>
  <si>
    <t>Backflow Preventer</t>
  </si>
  <si>
    <t>Furnace</t>
  </si>
  <si>
    <t>Master Meter BCWD</t>
  </si>
  <si>
    <t>Chemical Feed Pump</t>
  </si>
  <si>
    <t>Total:  WTP</t>
  </si>
  <si>
    <t xml:space="preserve"> - Additions</t>
  </si>
  <si>
    <t>Non-financed Exp.</t>
  </si>
  <si>
    <t>Section 16 of 2016 Water Purchase Agreement</t>
  </si>
  <si>
    <t>16.a</t>
  </si>
  <si>
    <t>Test Period FY'2019 Audit</t>
  </si>
  <si>
    <t>16.b</t>
  </si>
  <si>
    <t>Flat volumetreic rate</t>
  </si>
  <si>
    <t>16.c</t>
  </si>
  <si>
    <t>16.d</t>
  </si>
  <si>
    <t>16.e</t>
  </si>
  <si>
    <t>BCWD 71% Augusta 29% operating costs</t>
  </si>
  <si>
    <t>16.f</t>
  </si>
  <si>
    <t>16.g</t>
  </si>
  <si>
    <t>Depreciation Expense based on non-financed debt</t>
  </si>
  <si>
    <t>16.h</t>
  </si>
  <si>
    <t>Penalties or fines</t>
  </si>
  <si>
    <t>16.i</t>
  </si>
  <si>
    <t>Natural Gas</t>
  </si>
  <si>
    <t>Electric</t>
  </si>
  <si>
    <t>Telephone</t>
  </si>
  <si>
    <t>KU Rate Increase</t>
  </si>
  <si>
    <t>Dropped Fax Line</t>
  </si>
  <si>
    <t>Brackcen County Water District Usage</t>
  </si>
  <si>
    <t>Augusta Usage</t>
  </si>
  <si>
    <t>BCWD Costs</t>
  </si>
  <si>
    <t>BCWD 64% Debt</t>
  </si>
  <si>
    <t xml:space="preserve"> Notes</t>
  </si>
  <si>
    <t>10% cost increase planned repairs based on communications with the Water District</t>
  </si>
  <si>
    <t>Debt service equal to 120 percent, 3-year average</t>
  </si>
  <si>
    <t>Total Cost</t>
  </si>
  <si>
    <t>Cost Assigned to BCWD</t>
  </si>
  <si>
    <t>Allocation to BCWD</t>
  </si>
  <si>
    <t>Adjusted rate D/S + operating costs divided by TY Sales</t>
  </si>
  <si>
    <t xml:space="preserve"> Water Usage</t>
  </si>
  <si>
    <t>Methodology for Rate Adjustment Pursuant to Contract</t>
  </si>
  <si>
    <t>Pro Forma</t>
  </si>
  <si>
    <t>Increase in Testing Costs</t>
  </si>
  <si>
    <t xml:space="preserve">Debt Service Expense: BCWD 64% </t>
  </si>
  <si>
    <t>Test Period Operating Costs with Known and Measurable Changes</t>
  </si>
  <si>
    <t>Non-Financed Depreciation</t>
  </si>
  <si>
    <t>Approved salary increase + $2,895 Increase in Health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</si>
</sst>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/>
    <xf numFmtId="3" fontId="0" fillId="0" borderId="2" xfId="0" applyNumberFormat="1" applyBorder="1"/>
    <xf numFmtId="3" fontId="0" fillId="0" borderId="4" xfId="0" applyNumberFormat="1" applyBorder="1"/>
    <xf numFmtId="4" fontId="0" fillId="0" borderId="0" xfId="0" applyNumberFormat="1"/>
    <xf numFmtId="0" fontId="0" fillId="0" borderId="11" xfId="0" applyBorder="1" applyAlignment="1">
      <alignment horizontal="right"/>
    </xf>
    <xf numFmtId="3" fontId="0" fillId="0" borderId="11" xfId="0" applyNumberFormat="1" applyBorder="1"/>
    <xf numFmtId="0" fontId="0" fillId="0" borderId="12" xfId="0" applyBorder="1"/>
    <xf numFmtId="3" fontId="0" fillId="0" borderId="12" xfId="0" applyNumberFormat="1" applyBorder="1"/>
    <xf numFmtId="0" fontId="0" fillId="0" borderId="13" xfId="0" applyBorder="1" applyAlignment="1">
      <alignment horizontal="right"/>
    </xf>
    <xf numFmtId="3" fontId="0" fillId="0" borderId="13" xfId="0" applyNumberFormat="1" applyBorder="1"/>
    <xf numFmtId="0" fontId="0" fillId="0" borderId="1" xfId="0" applyBorder="1"/>
    <xf numFmtId="3" fontId="0" fillId="0" borderId="1" xfId="0" applyNumberFormat="1" applyBorder="1"/>
    <xf numFmtId="38" fontId="0" fillId="0" borderId="9" xfId="0" applyNumberFormat="1" applyBorder="1"/>
    <xf numFmtId="38" fontId="0" fillId="0" borderId="10" xfId="0" applyNumberFormat="1" applyBorder="1"/>
    <xf numFmtId="38" fontId="0" fillId="0" borderId="5" xfId="0" applyNumberFormat="1" applyBorder="1"/>
    <xf numFmtId="38" fontId="0" fillId="0" borderId="14" xfId="0" applyNumberFormat="1" applyBorder="1"/>
    <xf numFmtId="3" fontId="0" fillId="0" borderId="4" xfId="0" applyNumberFormat="1" applyFill="1" applyBorder="1"/>
    <xf numFmtId="14" fontId="0" fillId="0" borderId="0" xfId="0" applyNumberFormat="1"/>
    <xf numFmtId="38" fontId="0" fillId="0" borderId="11" xfId="0" applyNumberFormat="1" applyBorder="1"/>
    <xf numFmtId="3" fontId="2" fillId="0" borderId="16" xfId="0" quotePrefix="1" applyNumberFormat="1" applyFont="1" applyBorder="1" applyAlignment="1">
      <alignment horizontal="right"/>
    </xf>
    <xf numFmtId="38" fontId="0" fillId="0" borderId="8" xfId="0" applyNumberFormat="1" applyBorder="1"/>
    <xf numFmtId="38" fontId="0" fillId="0" borderId="3" xfId="0" applyNumberFormat="1" applyBorder="1"/>
    <xf numFmtId="3" fontId="0" fillId="0" borderId="1" xfId="0" applyNumberFormat="1" applyBorder="1" applyAlignment="1">
      <alignment horizontal="center"/>
    </xf>
    <xf numFmtId="0" fontId="0" fillId="0" borderId="11" xfId="0" applyBorder="1"/>
    <xf numFmtId="3" fontId="0" fillId="0" borderId="11" xfId="0" applyNumberFormat="1" applyFill="1" applyBorder="1"/>
    <xf numFmtId="0" fontId="0" fillId="0" borderId="16" xfId="0" applyBorder="1"/>
    <xf numFmtId="0" fontId="0" fillId="0" borderId="13" xfId="0" applyBorder="1"/>
    <xf numFmtId="3" fontId="0" fillId="0" borderId="4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4" fontId="0" fillId="0" borderId="11" xfId="0" applyNumberFormat="1" applyBorder="1"/>
    <xf numFmtId="14" fontId="0" fillId="0" borderId="12" xfId="0" applyNumberFormat="1" applyBorder="1"/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0" xfId="0" applyAlignment="1">
      <alignment horizontal="center"/>
    </xf>
    <xf numFmtId="3" fontId="0" fillId="0" borderId="16" xfId="0" quotePrefix="1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/>
    <xf numFmtId="14" fontId="3" fillId="0" borderId="17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39" fontId="0" fillId="0" borderId="0" xfId="0" applyNumberFormat="1" applyBorder="1"/>
    <xf numFmtId="39" fontId="0" fillId="0" borderId="0" xfId="0" applyNumberFormat="1"/>
    <xf numFmtId="14" fontId="0" fillId="0" borderId="0" xfId="0" applyNumberFormat="1" applyAlignment="1">
      <alignment horizontal="center"/>
    </xf>
    <xf numFmtId="43" fontId="0" fillId="0" borderId="0" xfId="0" applyNumberFormat="1"/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0" applyNumberFormat="1" applyBorder="1"/>
    <xf numFmtId="14" fontId="0" fillId="0" borderId="0" xfId="0" applyNumberFormat="1" applyBorder="1"/>
    <xf numFmtId="39" fontId="0" fillId="0" borderId="0" xfId="0" applyNumberFormat="1" applyFill="1" applyBorder="1"/>
    <xf numFmtId="0" fontId="0" fillId="0" borderId="0" xfId="0" applyFill="1" applyBorder="1"/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43" fontId="0" fillId="0" borderId="0" xfId="0" applyNumberFormat="1" applyFill="1"/>
    <xf numFmtId="43" fontId="0" fillId="0" borderId="0" xfId="0" applyNumberFormat="1" applyFill="1" applyBorder="1"/>
    <xf numFmtId="43" fontId="0" fillId="2" borderId="0" xfId="0" applyNumberFormat="1" applyFill="1" applyBorder="1"/>
    <xf numFmtId="14" fontId="0" fillId="3" borderId="0" xfId="0" applyNumberFormat="1" applyFill="1" applyAlignment="1">
      <alignment horizontal="center"/>
    </xf>
    <xf numFmtId="0" fontId="0" fillId="3" borderId="0" xfId="0" applyFill="1"/>
    <xf numFmtId="0" fontId="0" fillId="3" borderId="0" xfId="0" applyFont="1" applyFill="1" applyBorder="1"/>
    <xf numFmtId="0" fontId="0" fillId="3" borderId="0" xfId="0" applyFill="1" applyAlignment="1">
      <alignment horizontal="center"/>
    </xf>
    <xf numFmtId="39" fontId="0" fillId="3" borderId="0" xfId="0" applyNumberFormat="1" applyFill="1" applyBorder="1"/>
    <xf numFmtId="43" fontId="0" fillId="3" borderId="0" xfId="0" applyNumberFormat="1" applyFill="1"/>
    <xf numFmtId="43" fontId="0" fillId="3" borderId="0" xfId="0" applyNumberFormat="1" applyFill="1" applyBorder="1"/>
    <xf numFmtId="14" fontId="0" fillId="4" borderId="0" xfId="0" applyNumberFormat="1" applyFill="1" applyAlignment="1">
      <alignment horizontal="center"/>
    </xf>
    <xf numFmtId="0" fontId="0" fillId="4" borderId="0" xfId="0" applyFill="1"/>
    <xf numFmtId="0" fontId="5" fillId="4" borderId="0" xfId="0" applyFont="1" applyFill="1" applyBorder="1"/>
    <xf numFmtId="0" fontId="0" fillId="4" borderId="0" xfId="0" applyFill="1" applyAlignment="1">
      <alignment horizontal="center"/>
    </xf>
    <xf numFmtId="39" fontId="0" fillId="4" borderId="0" xfId="0" applyNumberFormat="1" applyFill="1" applyBorder="1"/>
    <xf numFmtId="43" fontId="0" fillId="4" borderId="0" xfId="0" applyNumberFormat="1" applyFill="1"/>
    <xf numFmtId="43" fontId="0" fillId="4" borderId="0" xfId="0" applyNumberFormat="1" applyFill="1" applyBorder="1"/>
    <xf numFmtId="39" fontId="3" fillId="0" borderId="18" xfId="0" applyNumberFormat="1" applyFont="1" applyBorder="1"/>
    <xf numFmtId="0" fontId="0" fillId="5" borderId="0" xfId="0" applyFill="1" applyAlignment="1">
      <alignment horizontal="center"/>
    </xf>
    <xf numFmtId="0" fontId="5" fillId="0" borderId="0" xfId="0" applyFont="1"/>
    <xf numFmtId="43" fontId="0" fillId="2" borderId="0" xfId="0" applyNumberFormat="1" applyFill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3" xfId="0" applyFill="1" applyBorder="1"/>
    <xf numFmtId="0" fontId="0" fillId="2" borderId="11" xfId="0" applyFill="1" applyBorder="1"/>
    <xf numFmtId="3" fontId="0" fillId="2" borderId="11" xfId="0" applyNumberFormat="1" applyFill="1" applyBorder="1"/>
    <xf numFmtId="3" fontId="0" fillId="2" borderId="12" xfId="0" applyNumberFormat="1" applyFill="1" applyBorder="1"/>
    <xf numFmtId="3" fontId="0" fillId="2" borderId="5" xfId="0" applyNumberFormat="1" applyFill="1" applyBorder="1"/>
    <xf numFmtId="0" fontId="0" fillId="2" borderId="15" xfId="0" applyFill="1" applyBorder="1"/>
    <xf numFmtId="9" fontId="0" fillId="2" borderId="0" xfId="0" applyNumberFormat="1" applyFill="1"/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44" fontId="0" fillId="0" borderId="0" xfId="1" applyFont="1"/>
    <xf numFmtId="44" fontId="0" fillId="0" borderId="0" xfId="0" applyNumberFormat="1"/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9" fontId="0" fillId="0" borderId="0" xfId="2" applyFont="1"/>
    <xf numFmtId="44" fontId="0" fillId="2" borderId="0" xfId="1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B13" sqref="B13"/>
    </sheetView>
  </sheetViews>
  <sheetFormatPr defaultRowHeight="15" x14ac:dyDescent="0.25"/>
  <cols>
    <col min="2" max="2" width="59" customWidth="1"/>
    <col min="3" max="3" width="22.42578125" customWidth="1"/>
    <col min="4" max="4" width="18.5703125" customWidth="1"/>
    <col min="5" max="5" width="21.85546875" bestFit="1" customWidth="1"/>
    <col min="7" max="7" width="19.28515625" customWidth="1"/>
  </cols>
  <sheetData>
    <row r="1" spans="1:7" x14ac:dyDescent="0.25">
      <c r="A1" s="103" t="s">
        <v>97</v>
      </c>
      <c r="B1" s="103"/>
      <c r="C1" s="104" t="s">
        <v>94</v>
      </c>
      <c r="D1" s="104" t="s">
        <v>92</v>
      </c>
      <c r="E1" s="104" t="s">
        <v>93</v>
      </c>
    </row>
    <row r="3" spans="1:7" x14ac:dyDescent="0.25">
      <c r="A3" s="95" t="s">
        <v>65</v>
      </c>
      <c r="B3" s="95"/>
      <c r="C3" s="84"/>
    </row>
    <row r="5" spans="1:7" x14ac:dyDescent="0.25">
      <c r="A5" t="s">
        <v>66</v>
      </c>
      <c r="B5" t="s">
        <v>67</v>
      </c>
    </row>
    <row r="6" spans="1:7" x14ac:dyDescent="0.25">
      <c r="A6" t="s">
        <v>68</v>
      </c>
      <c r="B6" t="s">
        <v>69</v>
      </c>
    </row>
    <row r="7" spans="1:7" x14ac:dyDescent="0.25">
      <c r="A7" t="s">
        <v>70</v>
      </c>
      <c r="B7" t="s">
        <v>91</v>
      </c>
      <c r="C7" s="101"/>
      <c r="D7" s="101">
        <f>'Debt Service Factor'!B14</f>
        <v>105380.4</v>
      </c>
      <c r="E7" s="101"/>
    </row>
    <row r="8" spans="1:7" x14ac:dyDescent="0.25">
      <c r="A8" t="s">
        <v>71</v>
      </c>
      <c r="B8" t="s">
        <v>100</v>
      </c>
      <c r="C8" s="105">
        <v>0.64</v>
      </c>
      <c r="D8" s="101"/>
      <c r="E8" s="101">
        <f>D7*0.64</f>
        <v>67443.455999999991</v>
      </c>
      <c r="G8" s="102"/>
    </row>
    <row r="9" spans="1:7" x14ac:dyDescent="0.25">
      <c r="A9" t="s">
        <v>72</v>
      </c>
      <c r="B9" t="s">
        <v>73</v>
      </c>
      <c r="C9" s="105">
        <f>Audit!D29</f>
        <v>0.71133822199126195</v>
      </c>
      <c r="D9" s="101"/>
      <c r="E9" s="101"/>
    </row>
    <row r="10" spans="1:7" x14ac:dyDescent="0.25">
      <c r="A10" t="s">
        <v>74</v>
      </c>
      <c r="B10" t="s">
        <v>101</v>
      </c>
      <c r="C10" s="101"/>
      <c r="D10" s="101">
        <f>SUM(Audit!G7:G16)</f>
        <v>431190.53</v>
      </c>
      <c r="E10" s="101">
        <f>D10*C9</f>
        <v>306722.30494966992</v>
      </c>
    </row>
    <row r="11" spans="1:7" x14ac:dyDescent="0.25">
      <c r="A11" t="s">
        <v>75</v>
      </c>
      <c r="B11" t="s">
        <v>76</v>
      </c>
      <c r="C11" s="101"/>
      <c r="D11" s="101">
        <f>Audit!G17</f>
        <v>11193</v>
      </c>
      <c r="E11" s="101">
        <f>D11*C9</f>
        <v>7962.008718748195</v>
      </c>
    </row>
    <row r="12" spans="1:7" x14ac:dyDescent="0.25">
      <c r="A12" t="s">
        <v>77</v>
      </c>
      <c r="B12" t="s">
        <v>78</v>
      </c>
      <c r="C12" s="101"/>
      <c r="D12" s="101">
        <v>0</v>
      </c>
      <c r="E12" s="101"/>
    </row>
    <row r="13" spans="1:7" x14ac:dyDescent="0.25">
      <c r="A13" t="s">
        <v>79</v>
      </c>
      <c r="B13" t="s">
        <v>95</v>
      </c>
      <c r="C13" s="101"/>
      <c r="D13" s="101"/>
      <c r="E13" s="106">
        <f>(E8+E10+E11)/Audit!D23*1000</f>
        <v>2.584808637060108</v>
      </c>
    </row>
    <row r="14" spans="1:7" x14ac:dyDescent="0.25">
      <c r="C14" s="101"/>
      <c r="D14" s="101"/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I8" sqref="I8"/>
    </sheetView>
  </sheetViews>
  <sheetFormatPr defaultRowHeight="15" x14ac:dyDescent="0.25"/>
  <cols>
    <col min="1" max="1" width="5.5703125" customWidth="1"/>
    <col min="2" max="2" width="24.85546875" customWidth="1"/>
    <col min="3" max="3" width="8.85546875" customWidth="1"/>
    <col min="4" max="4" width="15.7109375" customWidth="1"/>
    <col min="5" max="5" width="14.28515625" customWidth="1"/>
    <col min="7" max="7" width="11.5703125" style="3" customWidth="1"/>
    <col min="8" max="8" width="14" customWidth="1"/>
    <col min="9" max="9" width="44.42578125" bestFit="1" customWidth="1"/>
  </cols>
  <sheetData>
    <row r="1" spans="1:10" x14ac:dyDescent="0.25">
      <c r="A1" s="95" t="s">
        <v>0</v>
      </c>
      <c r="B1" s="95"/>
      <c r="C1" s="95"/>
      <c r="D1" s="95"/>
      <c r="E1" s="95"/>
      <c r="F1" s="95"/>
      <c r="G1" s="95"/>
    </row>
    <row r="2" spans="1:10" x14ac:dyDescent="0.25">
      <c r="A2" s="95" t="s">
        <v>27</v>
      </c>
      <c r="B2" s="95"/>
      <c r="C2" s="95"/>
      <c r="D2" s="95"/>
      <c r="E2" s="95"/>
      <c r="F2" s="95"/>
      <c r="G2" s="95"/>
    </row>
    <row r="3" spans="1:10" x14ac:dyDescent="0.25">
      <c r="A3" t="s">
        <v>1</v>
      </c>
      <c r="C3" s="99"/>
      <c r="D3" s="100"/>
      <c r="E3" s="98" t="s">
        <v>14</v>
      </c>
      <c r="F3" s="98"/>
      <c r="G3" s="14" t="s">
        <v>98</v>
      </c>
      <c r="H3" s="85" t="s">
        <v>87</v>
      </c>
    </row>
    <row r="4" spans="1:10" x14ac:dyDescent="0.25">
      <c r="C4" s="4"/>
      <c r="D4" s="4"/>
      <c r="E4" s="12" t="s">
        <v>20</v>
      </c>
      <c r="F4" s="29"/>
      <c r="G4" s="12"/>
      <c r="H4" s="86"/>
      <c r="I4" t="s">
        <v>89</v>
      </c>
    </row>
    <row r="5" spans="1:10" x14ac:dyDescent="0.25">
      <c r="C5" s="5"/>
      <c r="D5" s="19"/>
      <c r="E5" s="27" t="s">
        <v>15</v>
      </c>
      <c r="F5" s="26"/>
      <c r="G5" s="8"/>
      <c r="H5" s="87"/>
    </row>
    <row r="6" spans="1:10" x14ac:dyDescent="0.25">
      <c r="A6" s="95" t="s">
        <v>2</v>
      </c>
      <c r="B6" s="95"/>
      <c r="C6" s="18"/>
      <c r="D6" s="12"/>
      <c r="E6" s="12"/>
      <c r="F6" s="29"/>
      <c r="G6" s="12"/>
      <c r="H6" s="87"/>
    </row>
    <row r="7" spans="1:10" ht="30" x14ac:dyDescent="0.25">
      <c r="B7" s="2" t="s">
        <v>3</v>
      </c>
      <c r="C7" s="15"/>
      <c r="D7" s="8"/>
      <c r="E7" s="8">
        <v>186731</v>
      </c>
      <c r="F7" s="26"/>
      <c r="G7" s="8">
        <f>(E7*1.03)+2895</f>
        <v>195227.93</v>
      </c>
      <c r="H7" s="88">
        <f>G7*$D$29</f>
        <v>138873.08860923455</v>
      </c>
      <c r="I7" s="82" t="s">
        <v>103</v>
      </c>
    </row>
    <row r="8" spans="1:10" x14ac:dyDescent="0.25">
      <c r="B8" s="2" t="s">
        <v>9</v>
      </c>
      <c r="C8" s="15"/>
      <c r="D8" s="8"/>
      <c r="E8" s="8">
        <v>33217</v>
      </c>
      <c r="F8" s="26"/>
      <c r="G8" s="8">
        <v>35239</v>
      </c>
      <c r="H8" s="88">
        <f>G8*$D$29</f>
        <v>25066.847604750081</v>
      </c>
      <c r="I8" s="82" t="s">
        <v>99</v>
      </c>
    </row>
    <row r="9" spans="1:10" x14ac:dyDescent="0.25">
      <c r="B9" s="2" t="s">
        <v>80</v>
      </c>
      <c r="C9" s="15"/>
      <c r="D9" s="8"/>
      <c r="E9" s="8">
        <v>5900</v>
      </c>
      <c r="F9" s="26"/>
      <c r="G9" s="8">
        <v>5900</v>
      </c>
      <c r="H9" s="88">
        <f>G9*$D$29</f>
        <v>4196.8955097484459</v>
      </c>
    </row>
    <row r="10" spans="1:10" x14ac:dyDescent="0.25">
      <c r="B10" s="2" t="s">
        <v>81</v>
      </c>
      <c r="C10" s="15"/>
      <c r="D10" s="8"/>
      <c r="E10" s="8">
        <v>64317</v>
      </c>
      <c r="F10" s="26"/>
      <c r="G10" s="8">
        <v>73434</v>
      </c>
      <c r="H10" s="88">
        <f>G10*$D$29</f>
        <v>52236.410993706333</v>
      </c>
      <c r="I10" t="s">
        <v>83</v>
      </c>
    </row>
    <row r="11" spans="1:10" x14ac:dyDescent="0.25">
      <c r="B11" s="2" t="s">
        <v>82</v>
      </c>
      <c r="C11" s="15"/>
      <c r="D11" s="8"/>
      <c r="E11" s="8">
        <v>2272</v>
      </c>
      <c r="F11" s="26"/>
      <c r="G11" s="8">
        <v>2010</v>
      </c>
      <c r="H11" s="88">
        <f>G11*$D$29</f>
        <v>1429.7898262024364</v>
      </c>
      <c r="I11" t="s">
        <v>84</v>
      </c>
    </row>
    <row r="12" spans="1:10" x14ac:dyDescent="0.25">
      <c r="B12" s="2" t="s">
        <v>4</v>
      </c>
      <c r="C12" s="15"/>
      <c r="D12" s="8"/>
      <c r="E12" s="8">
        <v>5793</v>
      </c>
      <c r="F12" s="26"/>
      <c r="G12" s="8">
        <f>E12</f>
        <v>5793</v>
      </c>
      <c r="H12" s="88">
        <f>G12*$D$29</f>
        <v>4120.7823199953809</v>
      </c>
    </row>
    <row r="13" spans="1:10" x14ac:dyDescent="0.25">
      <c r="B13" s="2" t="s">
        <v>5</v>
      </c>
      <c r="C13" s="15"/>
      <c r="D13" s="8"/>
      <c r="E13" s="8">
        <v>31831</v>
      </c>
      <c r="F13" s="26"/>
      <c r="G13" s="8">
        <f>E13</f>
        <v>31831</v>
      </c>
      <c r="H13" s="88">
        <f>G13*$D$29</f>
        <v>22642.606944203861</v>
      </c>
    </row>
    <row r="14" spans="1:10" ht="30" x14ac:dyDescent="0.25">
      <c r="B14" s="2" t="s">
        <v>6</v>
      </c>
      <c r="C14" s="15"/>
      <c r="D14" s="8"/>
      <c r="E14" s="8">
        <v>72006</v>
      </c>
      <c r="F14" s="26"/>
      <c r="G14" s="8">
        <f t="shared" ref="G14" si="0">E14*1.1</f>
        <v>79206.600000000006</v>
      </c>
      <c r="H14" s="88">
        <f>G14*$D$29</f>
        <v>56342.682013973092</v>
      </c>
      <c r="I14" s="82" t="s">
        <v>90</v>
      </c>
    </row>
    <row r="15" spans="1:10" x14ac:dyDescent="0.25">
      <c r="B15" s="2" t="s">
        <v>12</v>
      </c>
      <c r="C15" s="15"/>
      <c r="D15" s="8"/>
      <c r="E15" s="8">
        <v>1390</v>
      </c>
      <c r="F15" s="26"/>
      <c r="G15" s="8">
        <f>E15</f>
        <v>1390</v>
      </c>
      <c r="H15" s="88">
        <f>G15*$D$29</f>
        <v>988.76012856785417</v>
      </c>
    </row>
    <row r="16" spans="1:10" x14ac:dyDescent="0.25">
      <c r="B16" s="2" t="s">
        <v>7</v>
      </c>
      <c r="C16" s="15"/>
      <c r="D16" s="8"/>
      <c r="E16" s="8">
        <v>1159</v>
      </c>
      <c r="F16" s="26"/>
      <c r="G16" s="8">
        <f>E16</f>
        <v>1159</v>
      </c>
      <c r="H16" s="88">
        <f>G16*$D$29</f>
        <v>824.44099928787261</v>
      </c>
      <c r="J16" s="3"/>
    </row>
    <row r="17" spans="2:9" x14ac:dyDescent="0.25">
      <c r="B17" s="2" t="s">
        <v>13</v>
      </c>
      <c r="C17" s="16"/>
      <c r="D17" s="22"/>
      <c r="E17" s="37">
        <v>11193</v>
      </c>
      <c r="F17" s="28"/>
      <c r="G17" s="37">
        <v>11193</v>
      </c>
      <c r="H17" s="89">
        <f>G17*$D$29</f>
        <v>7962.008718748195</v>
      </c>
      <c r="I17" t="s">
        <v>102</v>
      </c>
    </row>
    <row r="18" spans="2:9" x14ac:dyDescent="0.25">
      <c r="B18" s="2" t="s">
        <v>8</v>
      </c>
      <c r="C18" s="17"/>
      <c r="D18" s="14"/>
      <c r="E18" s="14">
        <f>SUM(E7:E17)</f>
        <v>415809</v>
      </c>
      <c r="F18" s="13"/>
      <c r="G18" s="14">
        <f>SUM(G7:G17)</f>
        <v>442383.53</v>
      </c>
      <c r="H18" s="90">
        <f>SUM(H7:H17)</f>
        <v>314684.31366841809</v>
      </c>
    </row>
    <row r="19" spans="2:9" x14ac:dyDescent="0.25">
      <c r="C19" s="18"/>
      <c r="D19" s="12"/>
      <c r="E19" s="12"/>
      <c r="F19" s="29"/>
      <c r="G19" s="12"/>
      <c r="H19" s="91"/>
    </row>
    <row r="20" spans="2:9" x14ac:dyDescent="0.25">
      <c r="B20" s="2" t="s">
        <v>28</v>
      </c>
      <c r="C20" s="23"/>
      <c r="D20" s="24"/>
      <c r="E20" s="21">
        <f>'Debt Service Factor'!B14</f>
        <v>105380.4</v>
      </c>
      <c r="F20" s="26"/>
      <c r="G20" s="21">
        <f>'Debt Service Factor'!B14</f>
        <v>105380.4</v>
      </c>
      <c r="H20" s="88">
        <f>G20*0.64</f>
        <v>67443.455999999991</v>
      </c>
      <c r="I20" t="s">
        <v>88</v>
      </c>
    </row>
    <row r="21" spans="2:9" x14ac:dyDescent="0.25">
      <c r="B21" s="1"/>
    </row>
    <row r="22" spans="2:9" x14ac:dyDescent="0.25">
      <c r="B22" s="96" t="s">
        <v>96</v>
      </c>
      <c r="C22" s="97"/>
      <c r="D22" s="25" t="s">
        <v>16</v>
      </c>
      <c r="G22"/>
    </row>
    <row r="23" spans="2:9" x14ac:dyDescent="0.25">
      <c r="B23" s="11"/>
      <c r="C23" s="11" t="s">
        <v>10</v>
      </c>
      <c r="D23" s="12">
        <v>147836000</v>
      </c>
      <c r="G23"/>
    </row>
    <row r="24" spans="2:9" x14ac:dyDescent="0.25">
      <c r="B24" s="7"/>
      <c r="C24" s="7" t="s">
        <v>11</v>
      </c>
      <c r="D24" s="8">
        <v>59992000</v>
      </c>
      <c r="E24" s="3"/>
      <c r="G24"/>
    </row>
    <row r="25" spans="2:9" x14ac:dyDescent="0.25">
      <c r="B25" s="7"/>
      <c r="C25" s="7"/>
      <c r="D25" s="8"/>
      <c r="G25"/>
    </row>
    <row r="26" spans="2:9" x14ac:dyDescent="0.25">
      <c r="B26" s="9"/>
      <c r="C26" s="9"/>
      <c r="D26" s="10">
        <f>SUM(D23:D25)</f>
        <v>207828000</v>
      </c>
      <c r="G26"/>
    </row>
    <row r="29" spans="2:9" x14ac:dyDescent="0.25">
      <c r="B29" s="93" t="s">
        <v>85</v>
      </c>
      <c r="C29" s="93"/>
      <c r="D29" s="92">
        <f>D23/D26</f>
        <v>0.71133822199126195</v>
      </c>
    </row>
    <row r="30" spans="2:9" x14ac:dyDescent="0.25">
      <c r="B30" s="94" t="s">
        <v>86</v>
      </c>
      <c r="C30" s="94"/>
      <c r="D30" s="83">
        <f>D24/D26</f>
        <v>0.28866177800873799</v>
      </c>
    </row>
  </sheetData>
  <mergeCells count="8">
    <mergeCell ref="A1:G1"/>
    <mergeCell ref="A2:G2"/>
    <mergeCell ref="A6:B6"/>
    <mergeCell ref="C3:D3"/>
    <mergeCell ref="B29:C29"/>
    <mergeCell ref="B30:C30"/>
    <mergeCell ref="B22:C22"/>
    <mergeCell ref="E3:F3"/>
  </mergeCells>
  <pageMargins left="0.25" right="0.25" top="0.25" bottom="0.25" header="0.3" footer="0.3"/>
  <pageSetup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workbookViewId="0">
      <selection activeCell="B12" sqref="B12"/>
    </sheetView>
  </sheetViews>
  <sheetFormatPr defaultRowHeight="15" x14ac:dyDescent="0.25"/>
  <cols>
    <col min="1" max="1" width="13.42578125" customWidth="1"/>
    <col min="2" max="3" width="13.42578125" style="3" customWidth="1"/>
    <col min="4" max="4" width="15.85546875" style="3" customWidth="1"/>
    <col min="5" max="5" width="9.140625" style="6"/>
    <col min="7" max="7" width="10.140625" bestFit="1" customWidth="1"/>
  </cols>
  <sheetData>
    <row r="2" spans="1:4" x14ac:dyDescent="0.25">
      <c r="A2" t="s">
        <v>17</v>
      </c>
    </row>
    <row r="4" spans="1:4" x14ac:dyDescent="0.25">
      <c r="A4" s="13"/>
      <c r="B4" s="14" t="s">
        <v>26</v>
      </c>
      <c r="C4" s="14" t="s">
        <v>25</v>
      </c>
      <c r="D4" s="25" t="s">
        <v>20</v>
      </c>
    </row>
    <row r="5" spans="1:4" x14ac:dyDescent="0.25">
      <c r="A5" s="29" t="s">
        <v>21</v>
      </c>
      <c r="B5" s="12"/>
      <c r="C5" s="12"/>
      <c r="D5" s="35"/>
    </row>
    <row r="6" spans="1:4" x14ac:dyDescent="0.25">
      <c r="A6" s="26" t="s">
        <v>18</v>
      </c>
      <c r="B6" s="8">
        <v>51900</v>
      </c>
      <c r="C6" s="8">
        <v>51800</v>
      </c>
      <c r="D6" s="31">
        <v>51700</v>
      </c>
    </row>
    <row r="7" spans="1:4" x14ac:dyDescent="0.25">
      <c r="A7" s="32" t="s">
        <v>19</v>
      </c>
      <c r="B7" s="8">
        <v>34520</v>
      </c>
      <c r="C7" s="8">
        <v>35950</v>
      </c>
      <c r="D7" s="31">
        <v>37581</v>
      </c>
    </row>
    <row r="8" spans="1:4" x14ac:dyDescent="0.25">
      <c r="A8" s="32"/>
      <c r="B8" s="10"/>
      <c r="C8" s="10"/>
      <c r="D8" s="34"/>
    </row>
    <row r="9" spans="1:4" x14ac:dyDescent="0.25">
      <c r="A9" s="33" t="s">
        <v>22</v>
      </c>
      <c r="B9" s="30">
        <f t="shared" ref="B9:C9" si="0">SUM(B6:B8)</f>
        <v>86420</v>
      </c>
      <c r="C9" s="30">
        <f t="shared" si="0"/>
        <v>87750</v>
      </c>
      <c r="D9" s="30">
        <f>SUM(D6:D8)</f>
        <v>89281</v>
      </c>
    </row>
    <row r="10" spans="1:4" x14ac:dyDescent="0.25">
      <c r="A10" s="20"/>
    </row>
    <row r="11" spans="1:4" x14ac:dyDescent="0.25">
      <c r="A11" s="20"/>
    </row>
    <row r="12" spans="1:4" x14ac:dyDescent="0.25">
      <c r="A12" s="20" t="s">
        <v>23</v>
      </c>
      <c r="B12" s="3">
        <f>SUM(B9:D9)/3</f>
        <v>87817</v>
      </c>
    </row>
    <row r="13" spans="1:4" x14ac:dyDescent="0.25">
      <c r="A13" s="20"/>
    </row>
    <row r="14" spans="1:4" x14ac:dyDescent="0.25">
      <c r="A14" s="20" t="s">
        <v>24</v>
      </c>
      <c r="B14" s="3">
        <f>B12*1.2</f>
        <v>105380.4</v>
      </c>
    </row>
    <row r="15" spans="1:4" x14ac:dyDescent="0.25">
      <c r="A15" s="20"/>
    </row>
    <row r="16" spans="1:4" x14ac:dyDescent="0.25">
      <c r="A16" s="20" t="s">
        <v>10</v>
      </c>
      <c r="B16" s="3">
        <f>B14*C16</f>
        <v>67443.455999999991</v>
      </c>
      <c r="C16" s="83">
        <v>0.64</v>
      </c>
    </row>
    <row r="17" spans="1:3" x14ac:dyDescent="0.25">
      <c r="A17" s="20" t="s">
        <v>11</v>
      </c>
      <c r="B17" s="3">
        <f>B14*C17</f>
        <v>37936.943999999996</v>
      </c>
      <c r="C17" s="83">
        <v>0.36</v>
      </c>
    </row>
    <row r="18" spans="1:3" x14ac:dyDescent="0.25">
      <c r="A18" s="20"/>
    </row>
    <row r="19" spans="1:3" x14ac:dyDescent="0.25">
      <c r="A19" s="20"/>
    </row>
    <row r="20" spans="1:3" x14ac:dyDescent="0.25">
      <c r="A20" s="20"/>
    </row>
    <row r="21" spans="1:3" x14ac:dyDescent="0.25">
      <c r="A21" s="20"/>
    </row>
    <row r="22" spans="1:3" x14ac:dyDescent="0.25">
      <c r="A22" s="20"/>
    </row>
    <row r="23" spans="1:3" x14ac:dyDescent="0.25">
      <c r="A23" s="20"/>
    </row>
    <row r="24" spans="1:3" x14ac:dyDescent="0.25">
      <c r="A24" s="20"/>
    </row>
    <row r="25" spans="1:3" x14ac:dyDescent="0.25">
      <c r="A25" s="20"/>
    </row>
    <row r="26" spans="1:3" x14ac:dyDescent="0.25">
      <c r="A26" s="20"/>
    </row>
    <row r="27" spans="1:3" x14ac:dyDescent="0.25">
      <c r="A27" s="20"/>
    </row>
    <row r="28" spans="1:3" x14ac:dyDescent="0.25">
      <c r="A28" s="20"/>
    </row>
    <row r="29" spans="1:3" x14ac:dyDescent="0.25">
      <c r="A29" s="20"/>
    </row>
    <row r="30" spans="1:3" x14ac:dyDescent="0.25">
      <c r="A30" s="20"/>
    </row>
    <row r="31" spans="1:3" x14ac:dyDescent="0.25">
      <c r="A31" s="20"/>
    </row>
    <row r="34" spans="7:7" x14ac:dyDescent="0.25">
      <c r="G34" s="6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4" workbookViewId="0">
      <selection activeCell="E10" sqref="E10"/>
    </sheetView>
  </sheetViews>
  <sheetFormatPr defaultRowHeight="15" x14ac:dyDescent="0.25"/>
  <cols>
    <col min="1" max="1" width="11.140625" style="36" customWidth="1"/>
    <col min="2" max="2" width="0.85546875" customWidth="1"/>
    <col min="3" max="3" width="19.7109375" bestFit="1" customWidth="1"/>
    <col min="4" max="4" width="0.85546875" customWidth="1"/>
    <col min="5" max="5" width="5.28515625" style="36" bestFit="1" customWidth="1"/>
    <col min="6" max="6" width="0.85546875" customWidth="1"/>
    <col min="7" max="7" width="19.85546875" bestFit="1" customWidth="1"/>
    <col min="8" max="8" width="0.85546875" customWidth="1"/>
    <col min="9" max="9" width="17.5703125" bestFit="1" customWidth="1"/>
    <col min="10" max="10" width="12.28515625" customWidth="1"/>
    <col min="11" max="11" width="17.7109375" bestFit="1" customWidth="1"/>
    <col min="12" max="12" width="17.5703125" bestFit="1" customWidth="1"/>
    <col min="13" max="13" width="19.42578125" bestFit="1" customWidth="1"/>
    <col min="14" max="14" width="20.140625" bestFit="1" customWidth="1"/>
  </cols>
  <sheetData>
    <row r="1" spans="1:14" x14ac:dyDescent="0.25">
      <c r="A1" s="38" t="s">
        <v>29</v>
      </c>
      <c r="N1" s="39" t="s">
        <v>30</v>
      </c>
    </row>
    <row r="2" spans="1:14" x14ac:dyDescent="0.25">
      <c r="A2" s="38" t="s">
        <v>31</v>
      </c>
    </row>
    <row r="3" spans="1:14" x14ac:dyDescent="0.25">
      <c r="A3" s="38" t="s">
        <v>32</v>
      </c>
      <c r="B3" s="40"/>
      <c r="C3" s="40"/>
      <c r="D3" s="40"/>
      <c r="F3" s="40"/>
      <c r="G3" s="40"/>
      <c r="H3" s="40"/>
    </row>
    <row r="4" spans="1:14" x14ac:dyDescent="0.25">
      <c r="I4" s="41" t="s">
        <v>33</v>
      </c>
      <c r="J4" s="41" t="s">
        <v>34</v>
      </c>
      <c r="K4" s="41" t="s">
        <v>33</v>
      </c>
      <c r="L4" s="41" t="s">
        <v>34</v>
      </c>
      <c r="M4" s="41" t="s">
        <v>33</v>
      </c>
    </row>
    <row r="5" spans="1:14" x14ac:dyDescent="0.25">
      <c r="I5" s="41" t="s">
        <v>34</v>
      </c>
      <c r="J5" s="41" t="s">
        <v>35</v>
      </c>
      <c r="K5" s="41" t="s">
        <v>34</v>
      </c>
      <c r="L5" s="41" t="s">
        <v>35</v>
      </c>
      <c r="M5" s="41" t="s">
        <v>34</v>
      </c>
      <c r="N5" s="42" t="s">
        <v>36</v>
      </c>
    </row>
    <row r="6" spans="1:14" x14ac:dyDescent="0.25">
      <c r="A6" s="43" t="s">
        <v>37</v>
      </c>
      <c r="B6" s="44"/>
      <c r="C6" s="43" t="s">
        <v>38</v>
      </c>
      <c r="E6" s="43" t="s">
        <v>39</v>
      </c>
      <c r="G6" s="43" t="s">
        <v>40</v>
      </c>
      <c r="I6" s="45">
        <v>42916</v>
      </c>
      <c r="J6" s="45">
        <v>43281</v>
      </c>
      <c r="K6" s="45">
        <v>43281</v>
      </c>
      <c r="L6" s="45">
        <v>43646</v>
      </c>
      <c r="M6" s="45">
        <v>43646</v>
      </c>
      <c r="N6" s="43" t="s">
        <v>41</v>
      </c>
    </row>
    <row r="7" spans="1:14" x14ac:dyDescent="0.25">
      <c r="A7" s="42"/>
      <c r="B7" s="44"/>
      <c r="C7" s="42"/>
      <c r="E7" s="42"/>
      <c r="G7" s="42"/>
      <c r="I7" s="46"/>
      <c r="J7" s="46"/>
      <c r="K7" s="46"/>
      <c r="L7" s="46"/>
      <c r="M7" s="46"/>
      <c r="N7" s="42"/>
    </row>
    <row r="8" spans="1:14" x14ac:dyDescent="0.25">
      <c r="A8" s="41"/>
      <c r="B8" s="44"/>
      <c r="G8" s="47"/>
    </row>
    <row r="9" spans="1:14" x14ac:dyDescent="0.25">
      <c r="A9" s="41" t="s">
        <v>42</v>
      </c>
      <c r="G9" s="48"/>
    </row>
    <row r="10" spans="1:14" x14ac:dyDescent="0.25">
      <c r="A10" s="49">
        <v>35400</v>
      </c>
      <c r="C10" t="s">
        <v>43</v>
      </c>
      <c r="E10" s="36">
        <v>38</v>
      </c>
      <c r="G10" s="48">
        <v>2882702.04</v>
      </c>
      <c r="I10" s="50">
        <v>1561248.6</v>
      </c>
      <c r="J10" s="50">
        <f>+G10/E10</f>
        <v>75860.58</v>
      </c>
      <c r="K10" s="50">
        <f t="shared" ref="K10:K18" si="0">SUM(I10:J10)</f>
        <v>1637109.1800000002</v>
      </c>
      <c r="L10" s="50">
        <f t="shared" ref="L10:L14" si="1">+G10/E10</f>
        <v>75860.58</v>
      </c>
      <c r="M10" s="50">
        <f t="shared" ref="M10:M29" si="2">SUM(K10:L10)</f>
        <v>1712969.7600000002</v>
      </c>
      <c r="N10" s="48">
        <f t="shared" ref="N10:N29" si="3">+G10-M10</f>
        <v>1169732.2799999998</v>
      </c>
    </row>
    <row r="11" spans="1:14" x14ac:dyDescent="0.25">
      <c r="A11" s="49">
        <v>35976</v>
      </c>
      <c r="C11" t="s">
        <v>44</v>
      </c>
      <c r="E11" s="36">
        <v>38</v>
      </c>
      <c r="G11" s="47">
        <v>89511.62</v>
      </c>
      <c r="H11" s="51"/>
      <c r="I11" s="50">
        <v>47111.4</v>
      </c>
      <c r="J11" s="50">
        <f>+G11/E11</f>
        <v>2355.568947368421</v>
      </c>
      <c r="K11" s="50">
        <f t="shared" si="0"/>
        <v>49466.968947368419</v>
      </c>
      <c r="L11" s="50">
        <f t="shared" si="1"/>
        <v>2355.568947368421</v>
      </c>
      <c r="M11" s="50">
        <f t="shared" si="2"/>
        <v>51822.537894736837</v>
      </c>
      <c r="N11" s="48">
        <f t="shared" si="3"/>
        <v>37689.082105263158</v>
      </c>
    </row>
    <row r="12" spans="1:14" x14ac:dyDescent="0.25">
      <c r="A12" s="49">
        <v>37437</v>
      </c>
      <c r="C12" t="s">
        <v>45</v>
      </c>
      <c r="E12" s="36">
        <v>38</v>
      </c>
      <c r="G12" s="47">
        <v>32000</v>
      </c>
      <c r="H12" s="51"/>
      <c r="I12" s="50">
        <v>12631.65</v>
      </c>
      <c r="J12" s="50">
        <v>842.11</v>
      </c>
      <c r="K12" s="50">
        <f t="shared" si="0"/>
        <v>13473.76</v>
      </c>
      <c r="L12" s="50">
        <f t="shared" si="1"/>
        <v>842.10526315789468</v>
      </c>
      <c r="M12" s="50">
        <f t="shared" si="2"/>
        <v>14315.865263157895</v>
      </c>
      <c r="N12" s="48">
        <f t="shared" si="3"/>
        <v>17684.134736842105</v>
      </c>
    </row>
    <row r="13" spans="1:14" s="51" customFormat="1" x14ac:dyDescent="0.25">
      <c r="A13" s="52">
        <v>38497</v>
      </c>
      <c r="C13" s="51" t="s">
        <v>46</v>
      </c>
      <c r="E13" s="53">
        <v>38</v>
      </c>
      <c r="G13" s="47">
        <v>487854.72</v>
      </c>
      <c r="I13" s="54">
        <v>155129.22</v>
      </c>
      <c r="J13" s="54">
        <v>12838.28</v>
      </c>
      <c r="K13" s="54">
        <f t="shared" si="0"/>
        <v>167967.5</v>
      </c>
      <c r="L13" s="54">
        <f t="shared" si="1"/>
        <v>12838.282105263157</v>
      </c>
      <c r="M13" s="54">
        <f t="shared" si="2"/>
        <v>180805.78210526315</v>
      </c>
      <c r="N13" s="47">
        <f t="shared" si="3"/>
        <v>307048.93789473682</v>
      </c>
    </row>
    <row r="14" spans="1:14" s="51" customFormat="1" x14ac:dyDescent="0.25">
      <c r="A14" s="52">
        <v>38837</v>
      </c>
      <c r="C14" s="55" t="s">
        <v>47</v>
      </c>
      <c r="E14" s="53">
        <v>38</v>
      </c>
      <c r="G14" s="56">
        <v>209847.39</v>
      </c>
      <c r="I14" s="54">
        <v>61661.3</v>
      </c>
      <c r="J14" s="54">
        <v>5522.3</v>
      </c>
      <c r="K14" s="54">
        <f t="shared" si="0"/>
        <v>67183.600000000006</v>
      </c>
      <c r="L14" s="54">
        <f t="shared" si="1"/>
        <v>5522.2997368421056</v>
      </c>
      <c r="M14" s="54">
        <f t="shared" si="2"/>
        <v>72705.899736842111</v>
      </c>
      <c r="N14" s="47">
        <f t="shared" si="3"/>
        <v>137141.4902631579</v>
      </c>
    </row>
    <row r="15" spans="1:14" s="51" customFormat="1" x14ac:dyDescent="0.25">
      <c r="A15" s="52">
        <v>38896</v>
      </c>
      <c r="C15" s="57" t="s">
        <v>48</v>
      </c>
      <c r="E15" s="53">
        <v>10</v>
      </c>
      <c r="G15" s="56">
        <v>7824.69</v>
      </c>
      <c r="I15" s="54">
        <v>7824.69</v>
      </c>
      <c r="J15" s="54">
        <v>0</v>
      </c>
      <c r="K15" s="54">
        <f t="shared" si="0"/>
        <v>7824.69</v>
      </c>
      <c r="L15" s="54">
        <v>0</v>
      </c>
      <c r="M15" s="54">
        <f t="shared" si="2"/>
        <v>7824.69</v>
      </c>
      <c r="N15" s="47">
        <f t="shared" si="3"/>
        <v>0</v>
      </c>
    </row>
    <row r="16" spans="1:14" x14ac:dyDescent="0.25">
      <c r="A16" s="58">
        <v>40270</v>
      </c>
      <c r="B16" s="59"/>
      <c r="C16" s="57" t="s">
        <v>49</v>
      </c>
      <c r="D16" s="59"/>
      <c r="E16" s="60">
        <v>15</v>
      </c>
      <c r="F16" s="59"/>
      <c r="G16" s="56">
        <v>14115</v>
      </c>
      <c r="H16" s="59"/>
      <c r="I16" s="61">
        <v>6822.25</v>
      </c>
      <c r="J16" s="62">
        <v>941</v>
      </c>
      <c r="K16" s="61">
        <f t="shared" si="0"/>
        <v>7763.25</v>
      </c>
      <c r="L16" s="63">
        <f t="shared" ref="L16:L27" si="4">+G16/E16</f>
        <v>941</v>
      </c>
      <c r="M16" s="62">
        <f t="shared" si="2"/>
        <v>8704.25</v>
      </c>
      <c r="N16" s="56">
        <f t="shared" si="3"/>
        <v>5410.75</v>
      </c>
    </row>
    <row r="17" spans="1:14" x14ac:dyDescent="0.25">
      <c r="A17" s="58">
        <v>40617</v>
      </c>
      <c r="B17" s="59"/>
      <c r="C17" s="57" t="s">
        <v>50</v>
      </c>
      <c r="D17" s="59"/>
      <c r="E17" s="60">
        <v>10</v>
      </c>
      <c r="F17" s="59"/>
      <c r="G17" s="56">
        <v>1668.86</v>
      </c>
      <c r="H17" s="59"/>
      <c r="I17" s="61">
        <v>1043.06</v>
      </c>
      <c r="J17" s="62">
        <v>166.89</v>
      </c>
      <c r="K17" s="61">
        <f t="shared" si="0"/>
        <v>1209.9499999999998</v>
      </c>
      <c r="L17" s="63">
        <f t="shared" si="4"/>
        <v>166.886</v>
      </c>
      <c r="M17" s="62">
        <f t="shared" si="2"/>
        <v>1376.8359999999998</v>
      </c>
      <c r="N17" s="56">
        <f t="shared" si="3"/>
        <v>292.02400000000011</v>
      </c>
    </row>
    <row r="18" spans="1:14" x14ac:dyDescent="0.25">
      <c r="A18" s="58">
        <v>40969</v>
      </c>
      <c r="B18" s="59"/>
      <c r="C18" s="57" t="s">
        <v>51</v>
      </c>
      <c r="D18" s="59"/>
      <c r="E18" s="60">
        <v>10</v>
      </c>
      <c r="F18" s="59"/>
      <c r="G18" s="56">
        <v>56249</v>
      </c>
      <c r="H18" s="59"/>
      <c r="I18" s="61">
        <v>29999.47</v>
      </c>
      <c r="J18" s="62">
        <v>5624.9</v>
      </c>
      <c r="K18" s="61">
        <f t="shared" si="0"/>
        <v>35624.370000000003</v>
      </c>
      <c r="L18" s="63">
        <f t="shared" si="4"/>
        <v>5624.9</v>
      </c>
      <c r="M18" s="62">
        <f t="shared" si="2"/>
        <v>41249.270000000004</v>
      </c>
      <c r="N18" s="56">
        <f t="shared" si="3"/>
        <v>14999.729999999996</v>
      </c>
    </row>
    <row r="19" spans="1:14" x14ac:dyDescent="0.25">
      <c r="A19" s="58">
        <v>41304</v>
      </c>
      <c r="B19" s="59"/>
      <c r="C19" s="57" t="s">
        <v>52</v>
      </c>
      <c r="D19" s="59"/>
      <c r="E19" s="60">
        <v>10</v>
      </c>
      <c r="F19" s="59"/>
      <c r="G19" s="56">
        <v>6866.65</v>
      </c>
      <c r="H19" s="59"/>
      <c r="I19" s="61">
        <v>3032.79</v>
      </c>
      <c r="J19" s="62">
        <v>686.67</v>
      </c>
      <c r="K19" s="61">
        <f t="shared" ref="K19:K30" si="5">SUM(I19:J19)</f>
        <v>3719.46</v>
      </c>
      <c r="L19" s="63">
        <f t="shared" si="4"/>
        <v>686.66499999999996</v>
      </c>
      <c r="M19" s="62">
        <f t="shared" si="2"/>
        <v>4406.125</v>
      </c>
      <c r="N19" s="56">
        <f t="shared" si="3"/>
        <v>2460.5249999999996</v>
      </c>
    </row>
    <row r="20" spans="1:14" x14ac:dyDescent="0.25">
      <c r="A20" s="64">
        <v>41656</v>
      </c>
      <c r="B20" s="65"/>
      <c r="C20" s="66" t="s">
        <v>50</v>
      </c>
      <c r="D20" s="65"/>
      <c r="E20" s="67">
        <v>10</v>
      </c>
      <c r="F20" s="65"/>
      <c r="G20" s="68">
        <v>1650</v>
      </c>
      <c r="H20" s="65"/>
      <c r="I20" s="69">
        <v>563.75</v>
      </c>
      <c r="J20" s="70">
        <v>165</v>
      </c>
      <c r="K20" s="61">
        <f t="shared" si="5"/>
        <v>728.75</v>
      </c>
      <c r="L20" s="63">
        <f t="shared" si="4"/>
        <v>165</v>
      </c>
      <c r="M20" s="70">
        <f t="shared" si="2"/>
        <v>893.75</v>
      </c>
      <c r="N20" s="68">
        <f t="shared" si="3"/>
        <v>756.25</v>
      </c>
    </row>
    <row r="21" spans="1:14" x14ac:dyDescent="0.25">
      <c r="A21" s="64">
        <v>41590</v>
      </c>
      <c r="B21" s="65"/>
      <c r="C21" s="66" t="s">
        <v>53</v>
      </c>
      <c r="D21" s="65"/>
      <c r="E21" s="67">
        <v>10</v>
      </c>
      <c r="F21" s="65"/>
      <c r="G21" s="68">
        <v>7984.54</v>
      </c>
      <c r="H21" s="65"/>
      <c r="I21" s="69">
        <v>2195.73</v>
      </c>
      <c r="J21" s="70">
        <v>798.45</v>
      </c>
      <c r="K21" s="61">
        <f t="shared" si="5"/>
        <v>2994.1800000000003</v>
      </c>
      <c r="L21" s="63">
        <f t="shared" si="4"/>
        <v>798.45399999999995</v>
      </c>
      <c r="M21" s="70">
        <f t="shared" si="2"/>
        <v>3792.634</v>
      </c>
      <c r="N21" s="68">
        <f t="shared" si="3"/>
        <v>4191.9059999999999</v>
      </c>
    </row>
    <row r="22" spans="1:14" x14ac:dyDescent="0.25">
      <c r="A22" s="64">
        <v>41758</v>
      </c>
      <c r="B22" s="65"/>
      <c r="C22" s="66" t="s">
        <v>54</v>
      </c>
      <c r="D22" s="65"/>
      <c r="E22" s="67">
        <v>10</v>
      </c>
      <c r="F22" s="65"/>
      <c r="G22" s="68">
        <v>6369.6</v>
      </c>
      <c r="H22" s="65"/>
      <c r="I22" s="69">
        <v>2017.04</v>
      </c>
      <c r="J22" s="70">
        <v>636.96</v>
      </c>
      <c r="K22" s="61">
        <f t="shared" si="5"/>
        <v>2654</v>
      </c>
      <c r="L22" s="63">
        <f t="shared" si="4"/>
        <v>636.96</v>
      </c>
      <c r="M22" s="70">
        <f t="shared" si="2"/>
        <v>3290.96</v>
      </c>
      <c r="N22" s="68">
        <f t="shared" si="3"/>
        <v>3078.6400000000003</v>
      </c>
    </row>
    <row r="23" spans="1:14" x14ac:dyDescent="0.25">
      <c r="A23" s="58">
        <v>41880</v>
      </c>
      <c r="B23" s="59"/>
      <c r="C23" s="57" t="s">
        <v>55</v>
      </c>
      <c r="D23" s="59"/>
      <c r="E23" s="60">
        <v>10</v>
      </c>
      <c r="F23" s="59"/>
      <c r="G23" s="56">
        <v>1829.41</v>
      </c>
      <c r="H23" s="59"/>
      <c r="I23" s="61">
        <v>518.33000000000004</v>
      </c>
      <c r="J23" s="62">
        <v>182.94</v>
      </c>
      <c r="K23" s="61">
        <f t="shared" si="5"/>
        <v>701.27</v>
      </c>
      <c r="L23" s="63">
        <f t="shared" si="4"/>
        <v>182.941</v>
      </c>
      <c r="M23" s="62">
        <f t="shared" si="2"/>
        <v>884.21100000000001</v>
      </c>
      <c r="N23" s="56">
        <f t="shared" si="3"/>
        <v>945.19900000000007</v>
      </c>
    </row>
    <row r="24" spans="1:14" x14ac:dyDescent="0.25">
      <c r="A24" s="58">
        <v>41962</v>
      </c>
      <c r="B24" s="59"/>
      <c r="C24" s="57" t="s">
        <v>56</v>
      </c>
      <c r="D24" s="59"/>
      <c r="E24" s="60">
        <v>10</v>
      </c>
      <c r="F24" s="59"/>
      <c r="G24" s="56">
        <v>1098.42</v>
      </c>
      <c r="H24" s="59"/>
      <c r="I24" s="61">
        <v>283.75</v>
      </c>
      <c r="J24" s="62">
        <v>109.84</v>
      </c>
      <c r="K24" s="61">
        <f t="shared" si="5"/>
        <v>393.59000000000003</v>
      </c>
      <c r="L24" s="63">
        <f t="shared" si="4"/>
        <v>109.84200000000001</v>
      </c>
      <c r="M24" s="62">
        <f t="shared" si="2"/>
        <v>503.43200000000002</v>
      </c>
      <c r="N24" s="56">
        <f t="shared" si="3"/>
        <v>594.98800000000006</v>
      </c>
    </row>
    <row r="25" spans="1:14" x14ac:dyDescent="0.25">
      <c r="A25" s="58">
        <v>41962</v>
      </c>
      <c r="B25" s="59"/>
      <c r="C25" s="57" t="s">
        <v>57</v>
      </c>
      <c r="D25" s="59"/>
      <c r="E25" s="60">
        <v>10</v>
      </c>
      <c r="F25" s="59"/>
      <c r="G25" s="56">
        <v>3955</v>
      </c>
      <c r="H25" s="59"/>
      <c r="I25" s="61">
        <v>1021.71</v>
      </c>
      <c r="J25" s="62">
        <v>395.5</v>
      </c>
      <c r="K25" s="61">
        <f t="shared" si="5"/>
        <v>1417.21</v>
      </c>
      <c r="L25" s="63">
        <f t="shared" si="4"/>
        <v>395.5</v>
      </c>
      <c r="M25" s="62">
        <f t="shared" si="2"/>
        <v>1812.71</v>
      </c>
      <c r="N25" s="56">
        <f t="shared" si="3"/>
        <v>2142.29</v>
      </c>
    </row>
    <row r="26" spans="1:14" x14ac:dyDescent="0.25">
      <c r="A26" s="58">
        <v>42181</v>
      </c>
      <c r="B26" s="59"/>
      <c r="C26" s="57" t="s">
        <v>58</v>
      </c>
      <c r="D26" s="59"/>
      <c r="E26" s="60">
        <v>10</v>
      </c>
      <c r="F26" s="59"/>
      <c r="G26" s="56">
        <v>6124</v>
      </c>
      <c r="H26" s="59"/>
      <c r="I26" s="61">
        <v>1224.8</v>
      </c>
      <c r="J26" s="62">
        <v>612.4</v>
      </c>
      <c r="K26" s="61">
        <f t="shared" si="5"/>
        <v>1837.1999999999998</v>
      </c>
      <c r="L26" s="63">
        <f t="shared" si="4"/>
        <v>612.4</v>
      </c>
      <c r="M26" s="62">
        <f t="shared" si="2"/>
        <v>2449.6</v>
      </c>
      <c r="N26" s="56">
        <f t="shared" si="3"/>
        <v>3674.4</v>
      </c>
    </row>
    <row r="27" spans="1:14" x14ac:dyDescent="0.25">
      <c r="A27" s="58">
        <v>41981</v>
      </c>
      <c r="B27" s="59"/>
      <c r="C27" s="57" t="s">
        <v>59</v>
      </c>
      <c r="D27" s="59"/>
      <c r="E27" s="60">
        <v>10</v>
      </c>
      <c r="F27" s="59"/>
      <c r="G27" s="56">
        <v>5800</v>
      </c>
      <c r="H27" s="59"/>
      <c r="I27" s="61">
        <v>1450</v>
      </c>
      <c r="J27" s="62">
        <v>580</v>
      </c>
      <c r="K27" s="61">
        <f t="shared" si="5"/>
        <v>2030</v>
      </c>
      <c r="L27" s="63">
        <f t="shared" si="4"/>
        <v>580</v>
      </c>
      <c r="M27" s="62">
        <f t="shared" si="2"/>
        <v>2610</v>
      </c>
      <c r="N27" s="56">
        <f t="shared" si="3"/>
        <v>3190</v>
      </c>
    </row>
    <row r="28" spans="1:14" x14ac:dyDescent="0.25">
      <c r="A28" s="71">
        <v>43541</v>
      </c>
      <c r="B28" s="72"/>
      <c r="C28" s="73" t="s">
        <v>60</v>
      </c>
      <c r="D28" s="72"/>
      <c r="E28" s="74">
        <v>10</v>
      </c>
      <c r="F28" s="72"/>
      <c r="G28" s="75">
        <v>3312.78</v>
      </c>
      <c r="H28" s="72"/>
      <c r="I28" s="76"/>
      <c r="J28" s="77">
        <v>0</v>
      </c>
      <c r="K28" s="76">
        <f t="shared" si="5"/>
        <v>0</v>
      </c>
      <c r="L28" s="63">
        <f>+G28/E28*3/12</f>
        <v>82.819500000000005</v>
      </c>
      <c r="M28" s="77">
        <f t="shared" si="2"/>
        <v>82.819500000000005</v>
      </c>
      <c r="N28" s="75">
        <f t="shared" si="3"/>
        <v>3229.9605000000001</v>
      </c>
    </row>
    <row r="29" spans="1:14" x14ac:dyDescent="0.25">
      <c r="A29" s="71">
        <v>43371</v>
      </c>
      <c r="B29" s="72"/>
      <c r="C29" s="73" t="s">
        <v>61</v>
      </c>
      <c r="D29" s="72"/>
      <c r="E29" s="74">
        <v>10</v>
      </c>
      <c r="F29" s="72"/>
      <c r="G29" s="75">
        <v>2797.31</v>
      </c>
      <c r="H29" s="72"/>
      <c r="I29" s="76"/>
      <c r="J29" s="77"/>
      <c r="K29" s="76"/>
      <c r="L29" s="63">
        <f>+G29/E29*9/12</f>
        <v>209.79824999999997</v>
      </c>
      <c r="M29" s="77">
        <f t="shared" si="2"/>
        <v>209.79824999999997</v>
      </c>
      <c r="N29" s="75">
        <f t="shared" si="3"/>
        <v>2587.5117500000001</v>
      </c>
    </row>
    <row r="30" spans="1:14" x14ac:dyDescent="0.25">
      <c r="A30" s="58"/>
      <c r="B30" s="59"/>
      <c r="C30" s="57"/>
      <c r="D30" s="59"/>
      <c r="E30" s="60"/>
      <c r="F30" s="59"/>
      <c r="G30" s="56"/>
      <c r="H30" s="59"/>
      <c r="I30" s="61"/>
      <c r="J30" s="62"/>
      <c r="K30" s="61">
        <f t="shared" si="5"/>
        <v>0</v>
      </c>
      <c r="L30" s="62"/>
      <c r="M30" s="62"/>
      <c r="N30" s="56"/>
    </row>
    <row r="31" spans="1:14" s="44" customFormat="1" ht="13.5" thickBot="1" x14ac:dyDescent="0.25">
      <c r="A31" s="41"/>
      <c r="B31" s="44" t="s">
        <v>62</v>
      </c>
      <c r="E31" s="41"/>
      <c r="G31" s="78">
        <f>SUM(G10:G30)</f>
        <v>3829561.03</v>
      </c>
      <c r="I31" s="78">
        <f t="shared" ref="I31:N31" si="6">SUM(I10:I30)</f>
        <v>1895779.54</v>
      </c>
      <c r="J31" s="78">
        <f t="shared" si="6"/>
        <v>108319.38894736841</v>
      </c>
      <c r="K31" s="78">
        <f t="shared" si="6"/>
        <v>2004098.9289473686</v>
      </c>
      <c r="L31" s="78">
        <f t="shared" si="6"/>
        <v>108612.00180263158</v>
      </c>
      <c r="M31" s="78">
        <f t="shared" si="6"/>
        <v>2112710.9307500003</v>
      </c>
      <c r="N31" s="78">
        <f t="shared" si="6"/>
        <v>1716850.0992499995</v>
      </c>
    </row>
    <row r="32" spans="1:14" ht="15.75" thickTop="1" x14ac:dyDescent="0.25"/>
    <row r="34" spans="1:12" x14ac:dyDescent="0.25">
      <c r="A34" s="79"/>
      <c r="C34" t="s">
        <v>63</v>
      </c>
      <c r="G34" s="48"/>
    </row>
    <row r="35" spans="1:12" x14ac:dyDescent="0.25">
      <c r="K35" s="80" t="s">
        <v>64</v>
      </c>
      <c r="L35" s="81">
        <f>SUM(L16:L29)</f>
        <v>11193.165750000002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Methodology</vt:lpstr>
      <vt:lpstr>Audit</vt:lpstr>
      <vt:lpstr>Debt Service Factor</vt:lpstr>
      <vt:lpstr>Depr. Schedule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Todd Osterloh</cp:lastModifiedBy>
  <cp:lastPrinted>2020-09-08T17:39:17Z</cp:lastPrinted>
  <dcterms:created xsi:type="dcterms:W3CDTF">2015-06-22T16:36:48Z</dcterms:created>
  <dcterms:modified xsi:type="dcterms:W3CDTF">2020-09-14T18:31:16Z</dcterms:modified>
</cp:coreProperties>
</file>