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johnw\AppData\Local\Microsoft\Windows\INetCache\Content.Outlook\Y0CQGHH0\"/>
    </mc:Choice>
  </mc:AlternateContent>
  <xr:revisionPtr revIDLastSave="0" documentId="13_ncr:1_{601AAD03-FF95-4686-A313-83F39D2711FD}" xr6:coauthVersionLast="45" xr6:coauthVersionMax="45" xr10:uidLastSave="{00000000-0000-0000-0000-000000000000}"/>
  <bookViews>
    <workbookView xWindow="-108" yWindow="-108" windowWidth="23256" windowHeight="12576" tabRatio="773" xr2:uid="{00000000-000D-0000-FFFF-FFFF00000000}"/>
  </bookViews>
  <sheets>
    <sheet name="RevReq" sheetId="64" r:id="rId1"/>
    <sheet name="Adj List" sheetId="48" r:id="rId2"/>
    <sheet name="Adj BS" sheetId="65" r:id="rId3"/>
    <sheet name="Adj IS" sheetId="36" r:id="rId4"/>
    <sheet name="1.01 FAC" sheetId="6" r:id="rId5"/>
    <sheet name="1.02 ES" sheetId="17" r:id="rId6"/>
    <sheet name="1.03 RC" sheetId="28" r:id="rId7"/>
    <sheet name="1.04 CUST" sheetId="33" r:id="rId8"/>
    <sheet name="1.05 Depr" sheetId="39" r:id="rId9"/>
    <sheet name="1.06 Donat&amp;Promo" sheetId="68" r:id="rId10"/>
    <sheet name="1.07 Misc" sheetId="75" r:id="rId11"/>
    <sheet name="1.08 Dir" sheetId="66" r:id="rId12"/>
    <sheet name=" 1.09 RS401k" sheetId="74" r:id="rId13"/>
    <sheet name="1.10 Wages" sheetId="71" r:id="rId14"/>
    <sheet name="1.11 Prof" sheetId="69" r:id="rId15"/>
    <sheet name="1.12 GTCC" sheetId="70" r:id="rId16"/>
    <sheet name="1.13PayrTx" sheetId="72" r:id="rId17"/>
    <sheet name="1.14 Int" sheetId="73" r:id="rId18"/>
    <sheet name="1.15 Life Ins" sheetId="63" r:id="rId19"/>
  </sheets>
  <definedNames>
    <definedName name="_xlnm.Print_Area" localSheetId="12">' 1.09 RS401k'!$A$1:$I$104</definedName>
    <definedName name="_xlnm.Print_Area" localSheetId="4">'1.01 FAC'!$A$1:$H$34</definedName>
    <definedName name="_xlnm.Print_Area" localSheetId="5">'1.02 ES'!$A$1:$H$34</definedName>
    <definedName name="_xlnm.Print_Area" localSheetId="6">'1.03 RC'!$A$1:$F$31</definedName>
    <definedName name="_xlnm.Print_Area" localSheetId="7">'1.04 CUST'!$A$1:$L$60</definedName>
    <definedName name="_xlnm.Print_Area" localSheetId="8">'1.05 Depr'!$A$1:$I$59</definedName>
    <definedName name="_xlnm.Print_Area" localSheetId="10">'1.07 Misc'!$A$1:$E$22</definedName>
    <definedName name="_xlnm.Print_Area" localSheetId="11">'1.08 Dir'!$A$1:$L$37</definedName>
    <definedName name="_xlnm.Print_Area" localSheetId="13">'1.10 Wages'!$A$1:$Z$105</definedName>
    <definedName name="_xlnm.Print_Area" localSheetId="14">'1.11 Prof'!$A$1:$J$58</definedName>
    <definedName name="_xlnm.Print_Area" localSheetId="15">'1.12 GTCC'!$A$1:$F$21</definedName>
    <definedName name="_xlnm.Print_Area" localSheetId="16">'1.13PayrTx'!$A$1:$O$103</definedName>
    <definedName name="_xlnm.Print_Area" localSheetId="17">'1.14 Int'!$A$1:$K$67</definedName>
    <definedName name="_xlnm.Print_Area" localSheetId="18">'1.15 Life Ins'!$A$1:$I$97</definedName>
    <definedName name="_xlnm.Print_Area" localSheetId="2">'Adj BS'!$A$1:$F$69</definedName>
    <definedName name="_xlnm.Print_Area" localSheetId="3">'Adj IS'!$A$1:$V$42</definedName>
    <definedName name="_xlnm.Print_Area" localSheetId="1">'Adj List'!$A$1:$G$27</definedName>
    <definedName name="_xlnm.Print_Area" localSheetId="0">RevReq!$A$1:$G$68</definedName>
    <definedName name="_xlnm.Print_Titles" localSheetId="12">' 1.09 RS401k'!$1:$14</definedName>
    <definedName name="_xlnm.Print_Titles" localSheetId="7">'1.04 CUST'!$1:$12</definedName>
    <definedName name="_xlnm.Print_Titles" localSheetId="8">'1.05 Depr'!$4:$10</definedName>
    <definedName name="_xlnm.Print_Titles" localSheetId="9">'1.06 Donat&amp;Promo'!$1:$7</definedName>
    <definedName name="_xlnm.Print_Titles" localSheetId="13">'1.10 Wages'!$1:$7</definedName>
    <definedName name="_xlnm.Print_Titles" localSheetId="16">'1.13PayrTx'!$1:$7</definedName>
    <definedName name="_xlnm.Print_Titles" localSheetId="18">'1.15 Life Ins'!$1:$11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8" l="1"/>
  <c r="E16" i="28"/>
  <c r="E18" i="28" s="1"/>
  <c r="E20" i="28" s="1"/>
  <c r="E24" i="28" s="1"/>
  <c r="H36" i="39"/>
  <c r="E26" i="28" l="1"/>
  <c r="L116" i="71" l="1"/>
  <c r="L119" i="71"/>
  <c r="K136" i="71" l="1"/>
  <c r="M114" i="71" s="1"/>
  <c r="M130" i="71"/>
  <c r="M122" i="71"/>
  <c r="M135" i="71"/>
  <c r="M115" i="71" l="1"/>
  <c r="M127" i="71"/>
  <c r="M116" i="71"/>
  <c r="M120" i="71"/>
  <c r="M126" i="71"/>
  <c r="M118" i="71"/>
  <c r="M131" i="71"/>
  <c r="M121" i="71"/>
  <c r="M125" i="71"/>
  <c r="M133" i="71"/>
  <c r="M128" i="71"/>
  <c r="M136" i="71"/>
  <c r="M134" i="71"/>
  <c r="M117" i="71"/>
  <c r="M129" i="71"/>
  <c r="M124" i="71"/>
  <c r="M132" i="71"/>
  <c r="M123" i="71"/>
  <c r="M119" i="71"/>
  <c r="D9" i="64"/>
  <c r="I41" i="69" l="1"/>
  <c r="I40" i="69" l="1"/>
  <c r="I36" i="69"/>
  <c r="I30" i="69"/>
  <c r="I27" i="69"/>
  <c r="I17" i="69"/>
  <c r="I32" i="69" l="1"/>
  <c r="U26" i="71" l="1"/>
  <c r="U27" i="71"/>
  <c r="U28" i="71"/>
  <c r="U29" i="71"/>
  <c r="U30" i="71"/>
  <c r="U31" i="71"/>
  <c r="U32" i="71"/>
  <c r="U33" i="71"/>
  <c r="U34" i="71"/>
  <c r="U35" i="71"/>
  <c r="U36" i="71"/>
  <c r="U37" i="71"/>
  <c r="U38" i="71"/>
  <c r="U39" i="71"/>
  <c r="U40" i="71"/>
  <c r="U41" i="71"/>
  <c r="U42" i="71"/>
  <c r="U43" i="71"/>
  <c r="U44" i="71"/>
  <c r="U45" i="71"/>
  <c r="U46" i="71"/>
  <c r="U51" i="71"/>
  <c r="U52" i="71"/>
  <c r="U53" i="71"/>
  <c r="U54" i="71"/>
  <c r="U55" i="71"/>
  <c r="U56" i="71"/>
  <c r="U57" i="71"/>
  <c r="U58" i="71"/>
  <c r="U59" i="71"/>
  <c r="U60" i="71"/>
  <c r="U61" i="71"/>
  <c r="U62" i="71"/>
  <c r="U63" i="71"/>
  <c r="U64" i="71"/>
  <c r="U65" i="71"/>
  <c r="U66" i="71"/>
  <c r="U25" i="71"/>
  <c r="A13" i="63"/>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84" i="63" s="1"/>
  <c r="A85" i="63" s="1"/>
  <c r="A86" i="63" s="1"/>
  <c r="A87" i="63" s="1"/>
  <c r="A88" i="63" s="1"/>
  <c r="A89" i="63" s="1"/>
  <c r="A90" i="63" s="1"/>
  <c r="A91" i="63" s="1"/>
  <c r="A92" i="63" s="1"/>
  <c r="A93" i="63" s="1"/>
  <c r="A94" i="63" s="1"/>
  <c r="A95" i="63" s="1"/>
  <c r="A96" i="63" s="1"/>
  <c r="A97" i="63" s="1"/>
  <c r="F95" i="63"/>
  <c r="F89" i="63"/>
  <c r="I38" i="69" l="1"/>
  <c r="I65" i="63" l="1"/>
  <c r="D65" i="63"/>
  <c r="D61" i="63"/>
  <c r="D67" i="63" s="1"/>
  <c r="I74" i="63" l="1"/>
  <c r="C22" i="66"/>
  <c r="Q6" i="36" l="1"/>
  <c r="Q4" i="36"/>
  <c r="H69" i="74" l="1"/>
  <c r="D67" i="72"/>
  <c r="D73" i="72"/>
  <c r="D72" i="72"/>
  <c r="D71" i="72"/>
  <c r="U68" i="71"/>
  <c r="T68" i="71"/>
  <c r="G72" i="74" s="1"/>
  <c r="I72" i="74" s="1"/>
  <c r="V68" i="71"/>
  <c r="T67" i="71"/>
  <c r="G71" i="74" s="1"/>
  <c r="I71" i="74" s="1"/>
  <c r="U67" i="71"/>
  <c r="V67" i="71"/>
  <c r="P67" i="71"/>
  <c r="P68" i="71"/>
  <c r="V66" i="71"/>
  <c r="T66" i="71"/>
  <c r="L66" i="71"/>
  <c r="P66" i="71" s="1"/>
  <c r="I70" i="74"/>
  <c r="X68" i="71" l="1"/>
  <c r="Z68" i="71" s="1"/>
  <c r="X67" i="71"/>
  <c r="Z67" i="71" s="1"/>
  <c r="X66" i="71"/>
  <c r="B5" i="63"/>
  <c r="B4" i="63"/>
  <c r="A3" i="70"/>
  <c r="F73" i="72" l="1"/>
  <c r="I73" i="72" s="1"/>
  <c r="J73" i="72" s="1"/>
  <c r="F72" i="72"/>
  <c r="K72" i="72" s="1"/>
  <c r="L72" i="72" s="1"/>
  <c r="G72" i="72"/>
  <c r="H72" i="72" s="1"/>
  <c r="Z66" i="71"/>
  <c r="F71" i="72"/>
  <c r="A4" i="73"/>
  <c r="A3" i="73"/>
  <c r="A4" i="72"/>
  <c r="A3" i="72"/>
  <c r="A4" i="70"/>
  <c r="A4" i="69"/>
  <c r="A3" i="69"/>
  <c r="A4" i="71"/>
  <c r="A3" i="71"/>
  <c r="A4" i="74"/>
  <c r="A3" i="74"/>
  <c r="A5" i="66"/>
  <c r="A4" i="66"/>
  <c r="A4" i="75"/>
  <c r="A3" i="75"/>
  <c r="A4" i="68"/>
  <c r="A3" i="68"/>
  <c r="A4" i="39"/>
  <c r="A3" i="39"/>
  <c r="A5" i="33"/>
  <c r="A4" i="33"/>
  <c r="A4" i="28"/>
  <c r="A3" i="28"/>
  <c r="A5" i="17"/>
  <c r="A4" i="17"/>
  <c r="A5" i="6"/>
  <c r="A4" i="6"/>
  <c r="B1" i="36"/>
  <c r="A1" i="48"/>
  <c r="M72" i="72" l="1"/>
  <c r="N72" i="72" s="1"/>
  <c r="I72" i="72"/>
  <c r="J72" i="72" s="1"/>
  <c r="K73" i="72"/>
  <c r="L73" i="72" s="1"/>
  <c r="G73" i="72"/>
  <c r="H73" i="72" s="1"/>
  <c r="O73" i="72" s="1"/>
  <c r="M73" i="72"/>
  <c r="N73" i="72" s="1"/>
  <c r="O72" i="72"/>
  <c r="C61" i="64"/>
  <c r="P6" i="36"/>
  <c r="P4" i="36"/>
  <c r="O6" i="36"/>
  <c r="O4" i="36"/>
  <c r="O40" i="36"/>
  <c r="O46" i="36" s="1"/>
  <c r="O24" i="36"/>
  <c r="O12" i="36"/>
  <c r="O44" i="36" s="1"/>
  <c r="N6" i="36"/>
  <c r="M6" i="36"/>
  <c r="L6" i="36"/>
  <c r="K6" i="36"/>
  <c r="J6" i="36"/>
  <c r="I6" i="36"/>
  <c r="H6" i="36"/>
  <c r="G6" i="36"/>
  <c r="F6" i="36"/>
  <c r="E6" i="36"/>
  <c r="D6" i="36"/>
  <c r="C6" i="36"/>
  <c r="I36" i="33" l="1"/>
  <c r="I26" i="33"/>
  <c r="I31" i="33" s="1"/>
  <c r="J36" i="33"/>
  <c r="J26" i="33"/>
  <c r="J28" i="33" s="1"/>
  <c r="A1" i="65"/>
  <c r="G22" i="48"/>
  <c r="G23" i="48"/>
  <c r="G24" i="48"/>
  <c r="G25" i="48"/>
  <c r="G26" i="48"/>
  <c r="I28" i="33" l="1"/>
  <c r="I32" i="33" s="1"/>
  <c r="J31" i="33"/>
  <c r="J32" i="33" s="1"/>
  <c r="J37" i="33" s="1"/>
  <c r="I37" i="33" l="1"/>
  <c r="G40" i="39" l="1"/>
  <c r="I40" i="39" s="1"/>
  <c r="E56" i="39" s="1"/>
  <c r="E36" i="39"/>
  <c r="D36" i="39"/>
  <c r="G34" i="39"/>
  <c r="I34" i="39" s="1"/>
  <c r="G33" i="39"/>
  <c r="I33" i="39" s="1"/>
  <c r="G32" i="39"/>
  <c r="I32" i="39" s="1"/>
  <c r="G31" i="39"/>
  <c r="I31" i="39" s="1"/>
  <c r="G30" i="39"/>
  <c r="I30" i="39" s="1"/>
  <c r="G29" i="39"/>
  <c r="I29" i="39" s="1"/>
  <c r="G28" i="39"/>
  <c r="I28" i="39" s="1"/>
  <c r="G27" i="39"/>
  <c r="I27" i="39" s="1"/>
  <c r="D23" i="39"/>
  <c r="H23" i="39"/>
  <c r="G22" i="39"/>
  <c r="I22" i="39" s="1"/>
  <c r="G21" i="39"/>
  <c r="I21" i="39" s="1"/>
  <c r="G20" i="39"/>
  <c r="I20" i="39" s="1"/>
  <c r="G19" i="39"/>
  <c r="I19" i="39" s="1"/>
  <c r="G18" i="39"/>
  <c r="I18" i="39" s="1"/>
  <c r="G17" i="39"/>
  <c r="I17" i="39" s="1"/>
  <c r="F16" i="28"/>
  <c r="F18" i="28" s="1"/>
  <c r="A12" i="28"/>
  <c r="A13" i="28" s="1"/>
  <c r="A14" i="28" s="1"/>
  <c r="A15" i="28" s="1"/>
  <c r="A16" i="28" s="1"/>
  <c r="A17" i="28" s="1"/>
  <c r="A18" i="28" s="1"/>
  <c r="A19" i="28" s="1"/>
  <c r="A20" i="28" s="1"/>
  <c r="A21" i="28" s="1"/>
  <c r="A22" i="28" s="1"/>
  <c r="A23" i="28" s="1"/>
  <c r="A24" i="28" s="1"/>
  <c r="A25" i="28" s="1"/>
  <c r="A26" i="28" s="1"/>
  <c r="F20" i="28" l="1"/>
  <c r="F24" i="28" s="1"/>
  <c r="F26" i="28" s="1"/>
  <c r="E9" i="48" s="1"/>
  <c r="E50" i="39"/>
  <c r="E52" i="39"/>
  <c r="E49" i="39"/>
  <c r="E51" i="39"/>
  <c r="E53" i="39"/>
  <c r="G36" i="39"/>
  <c r="E23" i="36" l="1"/>
  <c r="G9" i="48"/>
  <c r="E17" i="75"/>
  <c r="E19" i="75" s="1"/>
  <c r="E13" i="48" s="1"/>
  <c r="A13" i="75"/>
  <c r="A14" i="75" s="1"/>
  <c r="A15" i="75" s="1"/>
  <c r="A16" i="75" s="1"/>
  <c r="A17" i="75" s="1"/>
  <c r="A18" i="75" s="1"/>
  <c r="A19" i="75" s="1"/>
  <c r="H102" i="74"/>
  <c r="H96" i="74"/>
  <c r="I79" i="74"/>
  <c r="C75" i="74"/>
  <c r="D74" i="74"/>
  <c r="D73" i="74"/>
  <c r="H68" i="74"/>
  <c r="D68" i="74"/>
  <c r="H67" i="74"/>
  <c r="D67" i="74"/>
  <c r="H66" i="74"/>
  <c r="D66" i="74"/>
  <c r="H65" i="74"/>
  <c r="D65" i="74"/>
  <c r="H64" i="74"/>
  <c r="D64" i="74"/>
  <c r="H63" i="74"/>
  <c r="D63" i="74"/>
  <c r="H62" i="74"/>
  <c r="D62" i="74"/>
  <c r="H61" i="74"/>
  <c r="D61" i="74"/>
  <c r="H60" i="74"/>
  <c r="D60" i="74"/>
  <c r="H59" i="74"/>
  <c r="D59" i="74"/>
  <c r="H58" i="74"/>
  <c r="D58" i="74"/>
  <c r="H57" i="74"/>
  <c r="D57" i="74"/>
  <c r="H56" i="74"/>
  <c r="D56" i="74"/>
  <c r="H55" i="74"/>
  <c r="D55" i="74"/>
  <c r="H54" i="74"/>
  <c r="D54" i="74"/>
  <c r="H53" i="74"/>
  <c r="D53" i="74"/>
  <c r="H52" i="74"/>
  <c r="D52" i="74"/>
  <c r="H51" i="74"/>
  <c r="D51" i="74"/>
  <c r="H50" i="74"/>
  <c r="D50" i="74"/>
  <c r="H49" i="74"/>
  <c r="D49" i="74"/>
  <c r="H48" i="74"/>
  <c r="D48" i="74"/>
  <c r="H47" i="74"/>
  <c r="D47" i="74"/>
  <c r="H46" i="74"/>
  <c r="D46" i="74"/>
  <c r="H45" i="74"/>
  <c r="D45" i="74"/>
  <c r="H44" i="74"/>
  <c r="D44" i="74"/>
  <c r="H43" i="74"/>
  <c r="D43" i="74"/>
  <c r="H42" i="74"/>
  <c r="D42" i="74"/>
  <c r="H41" i="74"/>
  <c r="D41" i="74"/>
  <c r="H40" i="74"/>
  <c r="D40" i="74"/>
  <c r="H39" i="74"/>
  <c r="D39" i="74"/>
  <c r="H38" i="74"/>
  <c r="D38" i="74"/>
  <c r="H37" i="74"/>
  <c r="D37" i="74"/>
  <c r="H36" i="74"/>
  <c r="D36" i="74"/>
  <c r="H35" i="74"/>
  <c r="D35" i="74"/>
  <c r="H34" i="74"/>
  <c r="D34" i="74"/>
  <c r="H33" i="74"/>
  <c r="D33" i="74"/>
  <c r="H32" i="74"/>
  <c r="D32" i="74"/>
  <c r="D28" i="74"/>
  <c r="C28" i="74"/>
  <c r="D27" i="74"/>
  <c r="C27" i="74"/>
  <c r="D26" i="74"/>
  <c r="C26" i="74"/>
  <c r="D25" i="74"/>
  <c r="C25" i="74"/>
  <c r="D24" i="74"/>
  <c r="C24" i="74"/>
  <c r="D23" i="74"/>
  <c r="C23" i="74"/>
  <c r="D22" i="74"/>
  <c r="C22" i="74"/>
  <c r="D21" i="74"/>
  <c r="C21" i="74"/>
  <c r="D20" i="74"/>
  <c r="C20" i="74"/>
  <c r="D19" i="74"/>
  <c r="C19" i="74"/>
  <c r="A19" i="74"/>
  <c r="A20" i="74" s="1"/>
  <c r="A21" i="74" s="1"/>
  <c r="A22" i="74" s="1"/>
  <c r="A23" i="74" s="1"/>
  <c r="A24" i="74" s="1"/>
  <c r="A25" i="74" s="1"/>
  <c r="A26" i="74" s="1"/>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A67" i="74" s="1"/>
  <c r="A68" i="74" s="1"/>
  <c r="A69" i="74" s="1"/>
  <c r="A70" i="74" s="1"/>
  <c r="A71" i="74" s="1"/>
  <c r="A72" i="74" s="1"/>
  <c r="A73" i="74" s="1"/>
  <c r="A74" i="74" s="1"/>
  <c r="A75" i="74" s="1"/>
  <c r="A76" i="74" s="1"/>
  <c r="A77" i="74" s="1"/>
  <c r="A78" i="74" s="1"/>
  <c r="A79" i="74" s="1"/>
  <c r="A80" i="74" s="1"/>
  <c r="A81" i="74" s="1"/>
  <c r="A82" i="74" s="1"/>
  <c r="A83" i="74" s="1"/>
  <c r="D13" i="74"/>
  <c r="E13" i="74" s="1"/>
  <c r="I8" i="74"/>
  <c r="H24" i="74" s="1"/>
  <c r="I54" i="73"/>
  <c r="K54" i="73" s="1"/>
  <c r="J51" i="73"/>
  <c r="G51" i="73"/>
  <c r="I50" i="73"/>
  <c r="K50" i="73" s="1"/>
  <c r="I49" i="73"/>
  <c r="I48" i="73"/>
  <c r="K48" i="73" s="1"/>
  <c r="I47" i="73"/>
  <c r="K47" i="73" s="1"/>
  <c r="J45" i="73"/>
  <c r="G45" i="73"/>
  <c r="K44" i="73"/>
  <c r="I44" i="73"/>
  <c r="I43" i="73"/>
  <c r="K43" i="73" s="1"/>
  <c r="I42" i="73"/>
  <c r="K42" i="73" s="1"/>
  <c r="I41" i="73"/>
  <c r="J39" i="73"/>
  <c r="G39" i="73"/>
  <c r="I38" i="73"/>
  <c r="K38" i="73" s="1"/>
  <c r="I37" i="73"/>
  <c r="K37" i="73" s="1"/>
  <c r="I36" i="73"/>
  <c r="K36" i="73" s="1"/>
  <c r="K35" i="73"/>
  <c r="I34" i="73"/>
  <c r="K34" i="73" s="1"/>
  <c r="I33" i="73"/>
  <c r="K33" i="73" s="1"/>
  <c r="I32" i="73"/>
  <c r="K32" i="73" s="1"/>
  <c r="I31" i="73"/>
  <c r="K31" i="73" s="1"/>
  <c r="I30" i="73"/>
  <c r="K30" i="73" s="1"/>
  <c r="I29" i="73"/>
  <c r="K29" i="73" s="1"/>
  <c r="I28" i="73"/>
  <c r="K28" i="73" s="1"/>
  <c r="I27" i="73"/>
  <c r="K27" i="73" s="1"/>
  <c r="I26" i="73"/>
  <c r="K26" i="73" s="1"/>
  <c r="K25" i="73"/>
  <c r="K24" i="73"/>
  <c r="K23" i="73"/>
  <c r="K22" i="73"/>
  <c r="K21" i="73"/>
  <c r="K20" i="73"/>
  <c r="K19" i="73"/>
  <c r="K18" i="73"/>
  <c r="K17" i="73"/>
  <c r="J14" i="73"/>
  <c r="G14" i="73"/>
  <c r="I13" i="73"/>
  <c r="K13" i="73" s="1"/>
  <c r="I12" i="73"/>
  <c r="A12" i="73"/>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52" i="73" s="1"/>
  <c r="A53" i="73" s="1"/>
  <c r="A54" i="73" s="1"/>
  <c r="A55" i="73" s="1"/>
  <c r="A56" i="73" s="1"/>
  <c r="A57" i="73" s="1"/>
  <c r="A58" i="73" s="1"/>
  <c r="A59" i="73" s="1"/>
  <c r="A60" i="73" s="1"/>
  <c r="A61" i="73" s="1"/>
  <c r="A62" i="73" s="1"/>
  <c r="H101" i="72"/>
  <c r="H95" i="72"/>
  <c r="H78" i="72"/>
  <c r="O78" i="72" s="1"/>
  <c r="C73" i="72"/>
  <c r="D70" i="72"/>
  <c r="D69" i="72"/>
  <c r="D68" i="72"/>
  <c r="D66" i="72"/>
  <c r="C66" i="72"/>
  <c r="D65" i="72"/>
  <c r="C65" i="72"/>
  <c r="D64" i="72"/>
  <c r="C64" i="72"/>
  <c r="D63" i="72"/>
  <c r="C63" i="72"/>
  <c r="D62" i="72"/>
  <c r="C62" i="72"/>
  <c r="D61" i="72"/>
  <c r="C61" i="72"/>
  <c r="D60" i="72"/>
  <c r="C60" i="72"/>
  <c r="D59" i="72"/>
  <c r="C59" i="72"/>
  <c r="D58" i="72"/>
  <c r="C58" i="72"/>
  <c r="D57" i="72"/>
  <c r="C57" i="72"/>
  <c r="D56" i="72"/>
  <c r="C56" i="72"/>
  <c r="D55" i="72"/>
  <c r="C55" i="72"/>
  <c r="D54" i="72"/>
  <c r="C54" i="72"/>
  <c r="D53" i="72"/>
  <c r="C53" i="72"/>
  <c r="D52" i="72"/>
  <c r="C52" i="72"/>
  <c r="D51" i="72"/>
  <c r="C51" i="72"/>
  <c r="D50" i="72"/>
  <c r="C50" i="72"/>
  <c r="D49" i="72"/>
  <c r="C49" i="72"/>
  <c r="D48" i="72"/>
  <c r="C48" i="72"/>
  <c r="D47" i="72"/>
  <c r="C47" i="72"/>
  <c r="D46" i="72"/>
  <c r="C46" i="72"/>
  <c r="D45" i="72"/>
  <c r="C45" i="72"/>
  <c r="D44" i="72"/>
  <c r="C44" i="72"/>
  <c r="D43" i="72"/>
  <c r="C43" i="72"/>
  <c r="D42" i="72"/>
  <c r="C42" i="72"/>
  <c r="D41" i="72"/>
  <c r="C41" i="72"/>
  <c r="D40" i="72"/>
  <c r="C40" i="72"/>
  <c r="D39" i="72"/>
  <c r="C39" i="72"/>
  <c r="D38" i="72"/>
  <c r="C38" i="72"/>
  <c r="D37" i="72"/>
  <c r="C37" i="72"/>
  <c r="D36" i="72"/>
  <c r="C36" i="72"/>
  <c r="D35" i="72"/>
  <c r="C35" i="72"/>
  <c r="D34" i="72"/>
  <c r="C34" i="72"/>
  <c r="D33" i="72"/>
  <c r="C33" i="72"/>
  <c r="D32" i="72"/>
  <c r="C32" i="72"/>
  <c r="D31" i="72"/>
  <c r="C31" i="72"/>
  <c r="D30" i="72"/>
  <c r="C30" i="72"/>
  <c r="M29" i="72"/>
  <c r="K29" i="72"/>
  <c r="M28" i="72"/>
  <c r="K28" i="72"/>
  <c r="D26" i="72"/>
  <c r="C26" i="72"/>
  <c r="D25" i="72"/>
  <c r="C25" i="72"/>
  <c r="D24" i="72"/>
  <c r="C24" i="72"/>
  <c r="D23" i="72"/>
  <c r="C23" i="72"/>
  <c r="D22" i="72"/>
  <c r="D21" i="72"/>
  <c r="C21" i="72"/>
  <c r="D20" i="72"/>
  <c r="C20" i="72"/>
  <c r="D19" i="72"/>
  <c r="C19" i="72"/>
  <c r="D18" i="72"/>
  <c r="C18" i="72"/>
  <c r="D17" i="72"/>
  <c r="C17" i="72"/>
  <c r="A17" i="72"/>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G11" i="72"/>
  <c r="H11" i="72" s="1"/>
  <c r="I11" i="72" s="1"/>
  <c r="J11" i="72" s="1"/>
  <c r="K11" i="72" s="1"/>
  <c r="L11" i="72" s="1"/>
  <c r="M11" i="72" s="1"/>
  <c r="N11" i="72" s="1"/>
  <c r="O11" i="72" s="1"/>
  <c r="D11" i="72"/>
  <c r="E11" i="72" s="1"/>
  <c r="L100" i="71"/>
  <c r="L101" i="71"/>
  <c r="L99" i="71"/>
  <c r="L96" i="71"/>
  <c r="L95" i="71"/>
  <c r="L94" i="71"/>
  <c r="L93" i="71"/>
  <c r="L92" i="71"/>
  <c r="W80" i="71"/>
  <c r="V80" i="71"/>
  <c r="U80" i="71"/>
  <c r="O80" i="71"/>
  <c r="N80" i="71"/>
  <c r="M80" i="71"/>
  <c r="J80" i="71"/>
  <c r="I80" i="71"/>
  <c r="C80" i="71"/>
  <c r="T79" i="71"/>
  <c r="G69" i="74" s="1"/>
  <c r="I69" i="74" s="1"/>
  <c r="L79" i="71"/>
  <c r="H79" i="71"/>
  <c r="H80" i="71" s="1"/>
  <c r="O76" i="71"/>
  <c r="N76" i="71"/>
  <c r="M76" i="71"/>
  <c r="L76" i="71"/>
  <c r="J76" i="71"/>
  <c r="I76" i="71"/>
  <c r="H76" i="71"/>
  <c r="C76" i="71"/>
  <c r="W75" i="71"/>
  <c r="V75" i="71"/>
  <c r="U75" i="71"/>
  <c r="T75" i="71"/>
  <c r="P75" i="71"/>
  <c r="V74" i="71"/>
  <c r="U74" i="71"/>
  <c r="T74" i="71"/>
  <c r="P74" i="71"/>
  <c r="W73" i="71"/>
  <c r="V73" i="71"/>
  <c r="U73" i="71"/>
  <c r="T73" i="71"/>
  <c r="F69" i="72" s="1"/>
  <c r="P73" i="71"/>
  <c r="V72" i="71"/>
  <c r="U72" i="71"/>
  <c r="T72" i="71"/>
  <c r="P72" i="71"/>
  <c r="O69" i="71"/>
  <c r="N69" i="71"/>
  <c r="M69" i="71"/>
  <c r="J69" i="71"/>
  <c r="I69" i="71"/>
  <c r="C69" i="71"/>
  <c r="W65" i="71"/>
  <c r="V65" i="71"/>
  <c r="T65" i="71"/>
  <c r="L65" i="71"/>
  <c r="P65" i="71" s="1"/>
  <c r="H65" i="71"/>
  <c r="V64" i="71"/>
  <c r="T64" i="71"/>
  <c r="G67" i="74" s="1"/>
  <c r="L64" i="71"/>
  <c r="P64" i="71" s="1"/>
  <c r="H64" i="71"/>
  <c r="V63" i="71"/>
  <c r="T63" i="71"/>
  <c r="G66" i="74" s="1"/>
  <c r="I66" i="74" s="1"/>
  <c r="L63" i="71"/>
  <c r="P63" i="71" s="1"/>
  <c r="H63" i="71"/>
  <c r="V62" i="71"/>
  <c r="T62" i="71"/>
  <c r="G65" i="74" s="1"/>
  <c r="L62" i="71"/>
  <c r="P62" i="71" s="1"/>
  <c r="H62" i="71"/>
  <c r="V61" i="71"/>
  <c r="T61" i="71"/>
  <c r="L61" i="71"/>
  <c r="P61" i="71" s="1"/>
  <c r="H61" i="71"/>
  <c r="V60" i="71"/>
  <c r="T60" i="71"/>
  <c r="G63" i="74" s="1"/>
  <c r="I63" i="74" s="1"/>
  <c r="L60" i="71"/>
  <c r="P60" i="71" s="1"/>
  <c r="H60" i="71"/>
  <c r="V59" i="71"/>
  <c r="T59" i="71"/>
  <c r="G62" i="74" s="1"/>
  <c r="I62" i="74" s="1"/>
  <c r="L59" i="71"/>
  <c r="P59" i="71" s="1"/>
  <c r="H59" i="71"/>
  <c r="V58" i="71"/>
  <c r="T58" i="71"/>
  <c r="G61" i="74" s="1"/>
  <c r="L58" i="71"/>
  <c r="P58" i="71" s="1"/>
  <c r="H58" i="71"/>
  <c r="V57" i="71"/>
  <c r="T57" i="71"/>
  <c r="L57" i="71"/>
  <c r="P57" i="71" s="1"/>
  <c r="H57" i="71"/>
  <c r="V56" i="71"/>
  <c r="T56" i="71"/>
  <c r="G59" i="74" s="1"/>
  <c r="L56" i="71"/>
  <c r="P56" i="71" s="1"/>
  <c r="H56" i="71"/>
  <c r="V55" i="71"/>
  <c r="T55" i="71"/>
  <c r="G58" i="74" s="1"/>
  <c r="L55" i="71"/>
  <c r="P55" i="71" s="1"/>
  <c r="H55" i="71"/>
  <c r="V54" i="71"/>
  <c r="T54" i="71"/>
  <c r="G57" i="74" s="1"/>
  <c r="I57" i="74" s="1"/>
  <c r="P54" i="71"/>
  <c r="L54" i="71"/>
  <c r="H54" i="71"/>
  <c r="V53" i="71"/>
  <c r="T53" i="71"/>
  <c r="L53" i="71"/>
  <c r="P53" i="71" s="1"/>
  <c r="H53" i="71"/>
  <c r="V52" i="71"/>
  <c r="T52" i="71"/>
  <c r="G55" i="74" s="1"/>
  <c r="L52" i="71"/>
  <c r="P52" i="71" s="1"/>
  <c r="H52" i="71"/>
  <c r="V51" i="71"/>
  <c r="T51" i="71"/>
  <c r="G54" i="74" s="1"/>
  <c r="I54" i="74" s="1"/>
  <c r="L51" i="71"/>
  <c r="P51" i="71" s="1"/>
  <c r="H51" i="71"/>
  <c r="D50" i="71"/>
  <c r="F50" i="71" s="1"/>
  <c r="H50" i="71" s="1"/>
  <c r="I50" i="71" s="1"/>
  <c r="J50" i="71" s="1"/>
  <c r="L50" i="71" s="1"/>
  <c r="M50" i="71" s="1"/>
  <c r="N50" i="71" s="1"/>
  <c r="O50" i="71" s="1"/>
  <c r="P50" i="71" s="1"/>
  <c r="R50" i="71" s="1"/>
  <c r="T50" i="71" s="1"/>
  <c r="U50" i="71" s="1"/>
  <c r="V50" i="71" s="1"/>
  <c r="W50" i="71" s="1"/>
  <c r="X50" i="71" s="1"/>
  <c r="Z50" i="71" s="1"/>
  <c r="W46" i="71"/>
  <c r="V46" i="71"/>
  <c r="T46" i="71"/>
  <c r="L46" i="71"/>
  <c r="P46" i="71" s="1"/>
  <c r="H46" i="71"/>
  <c r="W45" i="71"/>
  <c r="V45" i="71"/>
  <c r="T45" i="71"/>
  <c r="G52" i="74" s="1"/>
  <c r="L45" i="71"/>
  <c r="P45" i="71" s="1"/>
  <c r="H45" i="71"/>
  <c r="W44" i="71"/>
  <c r="V44" i="71"/>
  <c r="T44" i="71"/>
  <c r="G51" i="74" s="1"/>
  <c r="I51" i="74" s="1"/>
  <c r="L44" i="71"/>
  <c r="P44" i="71" s="1"/>
  <c r="H44" i="71"/>
  <c r="W43" i="71"/>
  <c r="V43" i="71"/>
  <c r="T43" i="71"/>
  <c r="G50" i="74" s="1"/>
  <c r="I50" i="74" s="1"/>
  <c r="L43" i="71"/>
  <c r="P43" i="71" s="1"/>
  <c r="H43" i="71"/>
  <c r="W42" i="71"/>
  <c r="V42" i="71"/>
  <c r="T42" i="71"/>
  <c r="G49" i="74" s="1"/>
  <c r="L42" i="71"/>
  <c r="P42" i="71" s="1"/>
  <c r="H42" i="71"/>
  <c r="W41" i="71"/>
  <c r="V41" i="71"/>
  <c r="T41" i="71"/>
  <c r="G48" i="74" s="1"/>
  <c r="I48" i="74" s="1"/>
  <c r="L41" i="71"/>
  <c r="P41" i="71" s="1"/>
  <c r="H41" i="71"/>
  <c r="W40" i="71"/>
  <c r="V40" i="71"/>
  <c r="T40" i="71"/>
  <c r="G47" i="74" s="1"/>
  <c r="L40" i="71"/>
  <c r="P40" i="71" s="1"/>
  <c r="H40" i="71"/>
  <c r="W39" i="71"/>
  <c r="V39" i="71"/>
  <c r="T39" i="71"/>
  <c r="G46" i="74" s="1"/>
  <c r="L39" i="71"/>
  <c r="P39" i="71" s="1"/>
  <c r="H39" i="71"/>
  <c r="W38" i="71"/>
  <c r="V38" i="71"/>
  <c r="T38" i="71"/>
  <c r="G45" i="74" s="1"/>
  <c r="I45" i="74" s="1"/>
  <c r="L38" i="71"/>
  <c r="P38" i="71" s="1"/>
  <c r="H38" i="71"/>
  <c r="W37" i="71"/>
  <c r="V37" i="71"/>
  <c r="T37" i="71"/>
  <c r="G44" i="74" s="1"/>
  <c r="L37" i="71"/>
  <c r="P37" i="71" s="1"/>
  <c r="H37" i="71"/>
  <c r="W36" i="71"/>
  <c r="V36" i="71"/>
  <c r="T36" i="71"/>
  <c r="G43" i="74" s="1"/>
  <c r="L36" i="71"/>
  <c r="P36" i="71" s="1"/>
  <c r="H36" i="71"/>
  <c r="W35" i="71"/>
  <c r="V35" i="71"/>
  <c r="T35" i="71"/>
  <c r="G42" i="74" s="1"/>
  <c r="I42" i="74" s="1"/>
  <c r="L35" i="71"/>
  <c r="P35" i="71" s="1"/>
  <c r="H35" i="71"/>
  <c r="W34" i="71"/>
  <c r="V34" i="71"/>
  <c r="T34" i="71"/>
  <c r="G41" i="74" s="1"/>
  <c r="L34" i="71"/>
  <c r="P34" i="71" s="1"/>
  <c r="H34" i="71"/>
  <c r="W33" i="71"/>
  <c r="V33" i="71"/>
  <c r="T33" i="71"/>
  <c r="G40" i="74" s="1"/>
  <c r="L33" i="71"/>
  <c r="P33" i="71" s="1"/>
  <c r="H33" i="71"/>
  <c r="W32" i="71"/>
  <c r="V32" i="71"/>
  <c r="T32" i="71"/>
  <c r="G39" i="74" s="1"/>
  <c r="I39" i="74" s="1"/>
  <c r="L32" i="71"/>
  <c r="P32" i="71" s="1"/>
  <c r="H32" i="71"/>
  <c r="W31" i="71"/>
  <c r="V31" i="71"/>
  <c r="T31" i="71"/>
  <c r="G38" i="74" s="1"/>
  <c r="I38" i="74" s="1"/>
  <c r="L31" i="71"/>
  <c r="P31" i="71" s="1"/>
  <c r="H31" i="71"/>
  <c r="W30" i="71"/>
  <c r="V30" i="71"/>
  <c r="T30" i="71"/>
  <c r="G37" i="74" s="1"/>
  <c r="L30" i="71"/>
  <c r="P30" i="71" s="1"/>
  <c r="H30" i="71"/>
  <c r="W29" i="71"/>
  <c r="V29" i="71"/>
  <c r="T29" i="71"/>
  <c r="G36" i="74" s="1"/>
  <c r="I36" i="74" s="1"/>
  <c r="L29" i="71"/>
  <c r="P29" i="71" s="1"/>
  <c r="H29" i="71"/>
  <c r="W28" i="71"/>
  <c r="V28" i="71"/>
  <c r="T28" i="71"/>
  <c r="G35" i="74" s="1"/>
  <c r="I35" i="74" s="1"/>
  <c r="L28" i="71"/>
  <c r="P28" i="71" s="1"/>
  <c r="H28" i="71"/>
  <c r="W27" i="71"/>
  <c r="V27" i="71"/>
  <c r="T27" i="71"/>
  <c r="G34" i="74" s="1"/>
  <c r="L27" i="71"/>
  <c r="P27" i="71" s="1"/>
  <c r="H27" i="71"/>
  <c r="W26" i="71"/>
  <c r="V26" i="71"/>
  <c r="T26" i="71"/>
  <c r="G33" i="74" s="1"/>
  <c r="I33" i="74" s="1"/>
  <c r="L26" i="71"/>
  <c r="H26" i="71"/>
  <c r="W25" i="71"/>
  <c r="V25" i="71"/>
  <c r="T25" i="71"/>
  <c r="G32" i="74" s="1"/>
  <c r="L25" i="71"/>
  <c r="P25" i="71" s="1"/>
  <c r="H25" i="71"/>
  <c r="W22" i="71"/>
  <c r="V22" i="71"/>
  <c r="U22" i="71"/>
  <c r="O22" i="71"/>
  <c r="N22" i="71"/>
  <c r="M22" i="71"/>
  <c r="J22" i="71"/>
  <c r="I22" i="71"/>
  <c r="H22" i="71"/>
  <c r="C22" i="71"/>
  <c r="T21" i="71"/>
  <c r="G28" i="74" s="1"/>
  <c r="L21" i="71"/>
  <c r="P21" i="71" s="1"/>
  <c r="T20" i="71"/>
  <c r="G27" i="74" s="1"/>
  <c r="L20" i="71"/>
  <c r="P20" i="71" s="1"/>
  <c r="T19" i="71"/>
  <c r="G26" i="74" s="1"/>
  <c r="L19" i="71"/>
  <c r="P19" i="71" s="1"/>
  <c r="T18" i="71"/>
  <c r="X18" i="71" s="1"/>
  <c r="L18" i="71"/>
  <c r="P18" i="71" s="1"/>
  <c r="T17" i="71"/>
  <c r="G24" i="74" s="1"/>
  <c r="L17" i="71"/>
  <c r="P17" i="71" s="1"/>
  <c r="T16" i="71"/>
  <c r="G23" i="74" s="1"/>
  <c r="P16" i="71"/>
  <c r="T15" i="71"/>
  <c r="L15" i="71"/>
  <c r="P15" i="71" s="1"/>
  <c r="T14" i="71"/>
  <c r="G21" i="74" s="1"/>
  <c r="L14" i="71"/>
  <c r="P14" i="71" s="1"/>
  <c r="T13" i="71"/>
  <c r="L13" i="71"/>
  <c r="P13" i="71" s="1"/>
  <c r="A13" i="7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36" i="71" s="1"/>
  <c r="A37" i="71" s="1"/>
  <c r="A38" i="71" s="1"/>
  <c r="A39" i="71" s="1"/>
  <c r="A40" i="71" s="1"/>
  <c r="A41" i="71" s="1"/>
  <c r="A42" i="71" s="1"/>
  <c r="A43" i="71" s="1"/>
  <c r="A44" i="71" s="1"/>
  <c r="A45" i="71" s="1"/>
  <c r="A46" i="71" s="1"/>
  <c r="A51" i="71" s="1"/>
  <c r="A52" i="71" s="1"/>
  <c r="A53" i="71" s="1"/>
  <c r="A54" i="71" s="1"/>
  <c r="A55" i="71" s="1"/>
  <c r="A56" i="71" s="1"/>
  <c r="A57" i="71" s="1"/>
  <c r="A58" i="71" s="1"/>
  <c r="A59" i="71" s="1"/>
  <c r="A60" i="71" s="1"/>
  <c r="A61" i="71" s="1"/>
  <c r="A62" i="71" s="1"/>
  <c r="A63" i="71" s="1"/>
  <c r="A64" i="71" s="1"/>
  <c r="A65" i="71" s="1"/>
  <c r="T12" i="71"/>
  <c r="G19" i="74" s="1"/>
  <c r="L12" i="71"/>
  <c r="P12" i="71" s="1"/>
  <c r="D10" i="71"/>
  <c r="F10" i="71" s="1"/>
  <c r="H10" i="71" s="1"/>
  <c r="I10" i="71" s="1"/>
  <c r="J10" i="71" s="1"/>
  <c r="L10" i="71" s="1"/>
  <c r="M10" i="71" s="1"/>
  <c r="N10" i="71" s="1"/>
  <c r="O10" i="71" s="1"/>
  <c r="P10" i="71" s="1"/>
  <c r="R10" i="71" s="1"/>
  <c r="T10" i="71" s="1"/>
  <c r="U10" i="71" s="1"/>
  <c r="V10" i="71" s="1"/>
  <c r="W10" i="71" s="1"/>
  <c r="X10" i="71" s="1"/>
  <c r="Z10" i="71" s="1"/>
  <c r="F18" i="70"/>
  <c r="F18" i="48" s="1"/>
  <c r="I48" i="69"/>
  <c r="F48" i="69"/>
  <c r="A11" i="69"/>
  <c r="A12" i="69" s="1"/>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A51" i="69" s="1"/>
  <c r="A52" i="69" s="1"/>
  <c r="G136" i="68"/>
  <c r="H19" i="68" s="1"/>
  <c r="G130" i="68"/>
  <c r="H18" i="68" s="1"/>
  <c r="G123" i="68"/>
  <c r="H17" i="68" s="1"/>
  <c r="G107" i="68"/>
  <c r="H16" i="68" s="1"/>
  <c r="G99" i="68"/>
  <c r="H15" i="68" s="1"/>
  <c r="G88" i="68"/>
  <c r="H14" i="68" s="1"/>
  <c r="G75" i="68"/>
  <c r="H13" i="68" s="1"/>
  <c r="G53" i="68"/>
  <c r="H12" i="68" s="1"/>
  <c r="A13" i="68"/>
  <c r="A14" i="68" s="1"/>
  <c r="A15" i="68" s="1"/>
  <c r="A16" i="68" s="1"/>
  <c r="A17" i="68" s="1"/>
  <c r="A18" i="68" s="1"/>
  <c r="A19" i="68" s="1"/>
  <c r="A20" i="68" s="1"/>
  <c r="A21" i="68" s="1"/>
  <c r="A22" i="68" s="1"/>
  <c r="A23" i="68" s="1"/>
  <c r="A24"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2" i="68" s="1"/>
  <c r="A53" i="68" s="1"/>
  <c r="A55" i="68" s="1"/>
  <c r="A56" i="68" s="1"/>
  <c r="A57" i="68" s="1"/>
  <c r="A58" i="68" s="1"/>
  <c r="A59" i="68" s="1"/>
  <c r="A60" i="68" s="1"/>
  <c r="A61" i="68" s="1"/>
  <c r="A62" i="68" s="1"/>
  <c r="A63" i="68" s="1"/>
  <c r="A64" i="68" s="1"/>
  <c r="A65" i="68" s="1"/>
  <c r="A66" i="68" s="1"/>
  <c r="A67" i="68" s="1"/>
  <c r="A68" i="68" s="1"/>
  <c r="A69" i="68" s="1"/>
  <c r="A70" i="68" s="1"/>
  <c r="A71" i="68" s="1"/>
  <c r="A72" i="68" s="1"/>
  <c r="A73" i="68" s="1"/>
  <c r="A74" i="68" s="1"/>
  <c r="A75" i="68" s="1"/>
  <c r="A77" i="68" s="1"/>
  <c r="A78" i="68" s="1"/>
  <c r="A79" i="68" s="1"/>
  <c r="A80" i="68" s="1"/>
  <c r="A81" i="68" s="1"/>
  <c r="A82" i="68" s="1"/>
  <c r="A83" i="68" s="1"/>
  <c r="A84" i="68" s="1"/>
  <c r="A85" i="68" s="1"/>
  <c r="A86" i="68" s="1"/>
  <c r="A87" i="68" s="1"/>
  <c r="A88" i="68" s="1"/>
  <c r="A90" i="68" s="1"/>
  <c r="A91" i="68" s="1"/>
  <c r="A92" i="68" s="1"/>
  <c r="A93" i="68" s="1"/>
  <c r="A94" i="68" s="1"/>
  <c r="A95" i="68" s="1"/>
  <c r="A96" i="68" s="1"/>
  <c r="A97" i="68" s="1"/>
  <c r="A98" i="68" s="1"/>
  <c r="A99" i="68" s="1"/>
  <c r="A101" i="68" s="1"/>
  <c r="A102" i="68" s="1"/>
  <c r="A103" i="68" s="1"/>
  <c r="A104" i="68" s="1"/>
  <c r="A105" i="68" s="1"/>
  <c r="A106" i="68" s="1"/>
  <c r="A107" i="68" s="1"/>
  <c r="A109" i="68" s="1"/>
  <c r="A110" i="68" s="1"/>
  <c r="A111" i="68" s="1"/>
  <c r="A112" i="68" s="1"/>
  <c r="A113" i="68" s="1"/>
  <c r="A114" i="68" s="1"/>
  <c r="A115" i="68" s="1"/>
  <c r="A116" i="68" s="1"/>
  <c r="A117" i="68" s="1"/>
  <c r="A118" i="68" s="1"/>
  <c r="A119" i="68" s="1"/>
  <c r="A120" i="68" s="1"/>
  <c r="A121" i="68" s="1"/>
  <c r="A122" i="68" s="1"/>
  <c r="A123" i="68" s="1"/>
  <c r="A125" i="68" s="1"/>
  <c r="A126" i="68" s="1"/>
  <c r="A127" i="68" s="1"/>
  <c r="A128" i="68" s="1"/>
  <c r="A129" i="68" s="1"/>
  <c r="A130" i="68" s="1"/>
  <c r="A132" i="68" s="1"/>
  <c r="A133" i="68" s="1"/>
  <c r="A134" i="68" s="1"/>
  <c r="A135" i="68" s="1"/>
  <c r="A136" i="68" s="1"/>
  <c r="J16" i="66"/>
  <c r="I16" i="66"/>
  <c r="G16" i="66"/>
  <c r="F16" i="66"/>
  <c r="E16" i="66"/>
  <c r="J15" i="66"/>
  <c r="I15" i="66"/>
  <c r="G15" i="66"/>
  <c r="F15" i="66"/>
  <c r="E15" i="66"/>
  <c r="J14" i="66"/>
  <c r="I14" i="66"/>
  <c r="G14" i="66"/>
  <c r="F14" i="66"/>
  <c r="E14" i="66"/>
  <c r="L13" i="66"/>
  <c r="K13" i="66"/>
  <c r="J13" i="66"/>
  <c r="I13" i="66"/>
  <c r="H13" i="66"/>
  <c r="G13" i="66"/>
  <c r="F13" i="66"/>
  <c r="E13" i="66"/>
  <c r="C13" i="66"/>
  <c r="L12" i="66"/>
  <c r="K12" i="66"/>
  <c r="I12" i="66"/>
  <c r="G12" i="66"/>
  <c r="L11" i="66"/>
  <c r="K11" i="66"/>
  <c r="H11" i="66"/>
  <c r="F11" i="66"/>
  <c r="E11" i="66"/>
  <c r="D11" i="66"/>
  <c r="D17" i="66" s="1"/>
  <c r="C11" i="66"/>
  <c r="E69" i="65"/>
  <c r="D69" i="65"/>
  <c r="F68" i="65"/>
  <c r="F67" i="65"/>
  <c r="F63" i="65"/>
  <c r="F62" i="65"/>
  <c r="E60" i="65"/>
  <c r="E64" i="65" s="1"/>
  <c r="D60" i="65"/>
  <c r="F59" i="65"/>
  <c r="F56" i="65"/>
  <c r="F55" i="65"/>
  <c r="F54" i="65"/>
  <c r="F52" i="65"/>
  <c r="E50" i="65"/>
  <c r="D50" i="65"/>
  <c r="F49" i="65"/>
  <c r="F48" i="65"/>
  <c r="F47" i="65"/>
  <c r="F46" i="65"/>
  <c r="F45" i="65"/>
  <c r="E43" i="65"/>
  <c r="D43" i="65"/>
  <c r="F42" i="65"/>
  <c r="F41" i="65"/>
  <c r="F40" i="65"/>
  <c r="F39" i="65"/>
  <c r="F38" i="65"/>
  <c r="F33" i="65"/>
  <c r="F32" i="65"/>
  <c r="E30" i="65"/>
  <c r="D30" i="65"/>
  <c r="F29" i="65"/>
  <c r="F28" i="65"/>
  <c r="F27" i="65"/>
  <c r="F26" i="65"/>
  <c r="F25" i="65"/>
  <c r="F24" i="65"/>
  <c r="F23" i="65"/>
  <c r="F22" i="65"/>
  <c r="F21" i="65"/>
  <c r="F20" i="65"/>
  <c r="E18" i="65"/>
  <c r="D18" i="65"/>
  <c r="F17" i="65"/>
  <c r="F16" i="65"/>
  <c r="F15" i="65"/>
  <c r="F14" i="65"/>
  <c r="E12" i="65"/>
  <c r="D12" i="65"/>
  <c r="F11" i="65"/>
  <c r="F10" i="65"/>
  <c r="F9" i="65"/>
  <c r="F8" i="65"/>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D6" i="65"/>
  <c r="E6" i="65" s="1"/>
  <c r="C62" i="64"/>
  <c r="F61" i="64"/>
  <c r="F62" i="64" s="1"/>
  <c r="D61" i="64"/>
  <c r="C56" i="64"/>
  <c r="C52" i="64"/>
  <c r="F51" i="64"/>
  <c r="D51" i="64"/>
  <c r="D50" i="64"/>
  <c r="C47" i="64"/>
  <c r="D46" i="64"/>
  <c r="D41" i="64"/>
  <c r="F41" i="64" s="1"/>
  <c r="G41" i="64" s="1"/>
  <c r="D37" i="64"/>
  <c r="F37" i="64" s="1"/>
  <c r="G37" i="64" s="1"/>
  <c r="D36" i="64"/>
  <c r="D35" i="64"/>
  <c r="F35" i="64" s="1"/>
  <c r="G35" i="64" s="1"/>
  <c r="D34" i="64"/>
  <c r="F34" i="64" s="1"/>
  <c r="G34" i="64" s="1"/>
  <c r="D33" i="64"/>
  <c r="F33" i="64" s="1"/>
  <c r="G33" i="64" s="1"/>
  <c r="D27" i="64"/>
  <c r="F27" i="64" s="1"/>
  <c r="G27" i="64" s="1"/>
  <c r="D26" i="64"/>
  <c r="F26" i="64" s="1"/>
  <c r="G26" i="64" s="1"/>
  <c r="D25" i="64"/>
  <c r="D24" i="64"/>
  <c r="D23" i="64"/>
  <c r="C21" i="64"/>
  <c r="C29" i="64" s="1"/>
  <c r="D20" i="64"/>
  <c r="F19" i="64"/>
  <c r="G19" i="64" s="1"/>
  <c r="D19" i="64"/>
  <c r="D18" i="64"/>
  <c r="F18" i="64" s="1"/>
  <c r="G18" i="64" s="1"/>
  <c r="D17" i="64"/>
  <c r="F17" i="64" s="1"/>
  <c r="G17" i="64" s="1"/>
  <c r="D16" i="64"/>
  <c r="F16" i="64" s="1"/>
  <c r="G16" i="64" s="1"/>
  <c r="D15" i="64"/>
  <c r="F15" i="64" s="1"/>
  <c r="G15" i="64" s="1"/>
  <c r="D14" i="64"/>
  <c r="C11" i="64"/>
  <c r="D10" i="64"/>
  <c r="F10" i="64" s="1"/>
  <c r="G10" i="64" s="1"/>
  <c r="D56" i="64"/>
  <c r="A9" i="64"/>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51" i="64" s="1"/>
  <c r="A52" i="64" s="1"/>
  <c r="A53" i="64" s="1"/>
  <c r="A54" i="64" s="1"/>
  <c r="A55" i="64" s="1"/>
  <c r="A56" i="64" s="1"/>
  <c r="A57" i="64" s="1"/>
  <c r="A58" i="64" s="1"/>
  <c r="A59" i="64" s="1"/>
  <c r="A60" i="64" s="1"/>
  <c r="A61" i="64" s="1"/>
  <c r="A62" i="64" s="1"/>
  <c r="A63" i="64" s="1"/>
  <c r="A64" i="64" s="1"/>
  <c r="A65" i="64" s="1"/>
  <c r="A66" i="64" s="1"/>
  <c r="A67" i="64" s="1"/>
  <c r="A68" i="64" s="1"/>
  <c r="C7" i="64"/>
  <c r="X12" i="71" l="1"/>
  <c r="F17" i="72" s="1"/>
  <c r="D35" i="65"/>
  <c r="X46" i="71"/>
  <c r="T76" i="71"/>
  <c r="X14" i="71"/>
  <c r="F19" i="72" s="1"/>
  <c r="A66" i="71"/>
  <c r="A67" i="71" s="1"/>
  <c r="A68" i="71" s="1"/>
  <c r="A69" i="71" s="1"/>
  <c r="A70" i="71" s="1"/>
  <c r="A71" i="71" s="1"/>
  <c r="A72" i="71" s="1"/>
  <c r="A73" i="71" s="1"/>
  <c r="A74" i="71" s="1"/>
  <c r="A75" i="71" s="1"/>
  <c r="A76" i="71" s="1"/>
  <c r="A77" i="71" s="1"/>
  <c r="A78" i="71" s="1"/>
  <c r="A79" i="71" s="1"/>
  <c r="A80" i="71" s="1"/>
  <c r="A81" i="71" s="1"/>
  <c r="A82" i="71" s="1"/>
  <c r="A83" i="71" s="1"/>
  <c r="A84" i="71" s="1"/>
  <c r="A92" i="71" s="1"/>
  <c r="A93" i="71" s="1"/>
  <c r="A94" i="71" s="1"/>
  <c r="A95" i="71" s="1"/>
  <c r="A96" i="71" s="1"/>
  <c r="A97" i="71" s="1"/>
  <c r="A99" i="71" s="1"/>
  <c r="A100" i="71" s="1"/>
  <c r="A101" i="71" s="1"/>
  <c r="A102" i="71" s="1"/>
  <c r="A103" i="71" s="1"/>
  <c r="A105" i="71" s="1"/>
  <c r="D21" i="64"/>
  <c r="D29" i="64" s="1"/>
  <c r="F12" i="65"/>
  <c r="F69" i="65"/>
  <c r="I17" i="66"/>
  <c r="I24" i="74"/>
  <c r="I43" i="74"/>
  <c r="I46" i="74"/>
  <c r="I49" i="74"/>
  <c r="I58" i="74"/>
  <c r="X74" i="71"/>
  <c r="C82" i="71"/>
  <c r="I34" i="74"/>
  <c r="I37" i="74"/>
  <c r="G68" i="74"/>
  <c r="I68" i="74" s="1"/>
  <c r="J57" i="73"/>
  <c r="H17" i="66"/>
  <c r="F51" i="72"/>
  <c r="I51" i="72" s="1"/>
  <c r="J51" i="72" s="1"/>
  <c r="D62" i="64"/>
  <c r="L17" i="66"/>
  <c r="I67" i="74"/>
  <c r="V76" i="71"/>
  <c r="F23" i="72"/>
  <c r="I23" i="72" s="1"/>
  <c r="J23" i="72" s="1"/>
  <c r="I52" i="74"/>
  <c r="F17" i="66"/>
  <c r="L102" i="71"/>
  <c r="K103" i="71" s="1"/>
  <c r="A89" i="74"/>
  <c r="A90" i="74" s="1"/>
  <c r="A91" i="74" s="1"/>
  <c r="A92" i="74" s="1"/>
  <c r="A93" i="74" s="1"/>
  <c r="A94" i="74" s="1"/>
  <c r="A95" i="74" s="1"/>
  <c r="A96" i="74" s="1"/>
  <c r="A97" i="74" s="1"/>
  <c r="A98" i="74" s="1"/>
  <c r="A99" i="74" s="1"/>
  <c r="A100" i="74" s="1"/>
  <c r="A101" i="74" s="1"/>
  <c r="A102" i="74" s="1"/>
  <c r="A103" i="74" s="1"/>
  <c r="A104" i="74" s="1"/>
  <c r="I55" i="74"/>
  <c r="I61" i="74"/>
  <c r="I40" i="74"/>
  <c r="N82" i="71"/>
  <c r="I82" i="71"/>
  <c r="C27" i="72"/>
  <c r="X59" i="71"/>
  <c r="F60" i="72" s="1"/>
  <c r="X54" i="71"/>
  <c r="Z54" i="71" s="1"/>
  <c r="X58" i="71"/>
  <c r="I65" i="74"/>
  <c r="I41" i="74"/>
  <c r="I59" i="74"/>
  <c r="I44" i="74"/>
  <c r="I47" i="74"/>
  <c r="D52" i="64"/>
  <c r="D53" i="64" s="1"/>
  <c r="F18" i="65"/>
  <c r="C26" i="66"/>
  <c r="H20" i="68"/>
  <c r="H24" i="68" s="1"/>
  <c r="E12" i="48" s="1"/>
  <c r="X51" i="71"/>
  <c r="H69" i="71"/>
  <c r="H82" i="71" s="1"/>
  <c r="X60" i="71"/>
  <c r="X63" i="71"/>
  <c r="O82" i="71"/>
  <c r="Z58" i="71"/>
  <c r="F30" i="65"/>
  <c r="F60" i="65"/>
  <c r="T22" i="71"/>
  <c r="G29" i="74" s="1"/>
  <c r="X52" i="71"/>
  <c r="F43" i="65"/>
  <c r="T69" i="71"/>
  <c r="G75" i="74" s="1"/>
  <c r="D11" i="64"/>
  <c r="D31" i="64" s="1"/>
  <c r="C27" i="66"/>
  <c r="F50" i="69"/>
  <c r="F52" i="69" s="1"/>
  <c r="E17" i="48" s="1"/>
  <c r="X62" i="71"/>
  <c r="K97" i="71"/>
  <c r="G53" i="74"/>
  <c r="I53" i="74" s="1"/>
  <c r="X55" i="71"/>
  <c r="X64" i="71"/>
  <c r="E35" i="65"/>
  <c r="K17" i="66"/>
  <c r="W69" i="71"/>
  <c r="X32" i="71"/>
  <c r="X56" i="71"/>
  <c r="X75" i="71"/>
  <c r="J82" i="71"/>
  <c r="G25" i="74"/>
  <c r="I23" i="36"/>
  <c r="G13" i="48"/>
  <c r="E36" i="64"/>
  <c r="F33" i="48" s="1"/>
  <c r="N38" i="36"/>
  <c r="G18" i="48"/>
  <c r="C53" i="64"/>
  <c r="C48" i="64"/>
  <c r="D48" i="64" s="1"/>
  <c r="C31" i="64"/>
  <c r="C23" i="66"/>
  <c r="C17" i="66"/>
  <c r="Z74" i="71"/>
  <c r="P79" i="71"/>
  <c r="P80" i="71" s="1"/>
  <c r="L80" i="71"/>
  <c r="P22" i="71"/>
  <c r="F50" i="65"/>
  <c r="C32" i="66"/>
  <c r="C34" i="66" s="1"/>
  <c r="V69" i="71"/>
  <c r="F35" i="65"/>
  <c r="E17" i="66"/>
  <c r="C25" i="66"/>
  <c r="C24" i="66"/>
  <c r="J17" i="66"/>
  <c r="P26" i="71"/>
  <c r="P69" i="71" s="1"/>
  <c r="L69" i="71"/>
  <c r="D64" i="65"/>
  <c r="G17" i="66"/>
  <c r="P76" i="71"/>
  <c r="M82" i="71"/>
  <c r="K23" i="72"/>
  <c r="L23" i="72" s="1"/>
  <c r="Z46" i="71"/>
  <c r="D47" i="64"/>
  <c r="Z14" i="71"/>
  <c r="L22" i="71"/>
  <c r="U69" i="71"/>
  <c r="U76" i="71"/>
  <c r="X72" i="71"/>
  <c r="X73" i="71"/>
  <c r="M102" i="71"/>
  <c r="C74" i="72"/>
  <c r="K69" i="72"/>
  <c r="L69" i="72" s="1"/>
  <c r="G69" i="72"/>
  <c r="H69" i="72" s="1"/>
  <c r="I69" i="72"/>
  <c r="J69" i="72" s="1"/>
  <c r="M69" i="72"/>
  <c r="N69" i="72" s="1"/>
  <c r="Z12" i="71"/>
  <c r="G20" i="74"/>
  <c r="X13" i="71"/>
  <c r="G22" i="74"/>
  <c r="X15" i="71"/>
  <c r="X17" i="71"/>
  <c r="Z18" i="71"/>
  <c r="X19" i="71"/>
  <c r="X21" i="71"/>
  <c r="I32" i="74"/>
  <c r="X25" i="71"/>
  <c r="X27" i="71"/>
  <c r="X29" i="71"/>
  <c r="X31" i="71"/>
  <c r="X33" i="71"/>
  <c r="X35" i="71"/>
  <c r="X37" i="71"/>
  <c r="X39" i="71"/>
  <c r="X41" i="71"/>
  <c r="X43" i="71"/>
  <c r="X45" i="71"/>
  <c r="G56" i="74"/>
  <c r="I56" i="74" s="1"/>
  <c r="X53" i="71"/>
  <c r="G60" i="74"/>
  <c r="I60" i="74" s="1"/>
  <c r="X57" i="71"/>
  <c r="G64" i="74"/>
  <c r="I64" i="74" s="1"/>
  <c r="X61" i="71"/>
  <c r="X65" i="71"/>
  <c r="W76" i="71"/>
  <c r="M95" i="71"/>
  <c r="M101" i="71"/>
  <c r="M99" i="71"/>
  <c r="X16" i="71"/>
  <c r="X20" i="71"/>
  <c r="X26" i="71"/>
  <c r="X28" i="71"/>
  <c r="X30" i="71"/>
  <c r="X34" i="71"/>
  <c r="X36" i="71"/>
  <c r="X38" i="71"/>
  <c r="X40" i="71"/>
  <c r="X42" i="71"/>
  <c r="X44" i="71"/>
  <c r="T80" i="71"/>
  <c r="X79" i="71"/>
  <c r="I14" i="73"/>
  <c r="K12" i="73"/>
  <c r="K14" i="73" s="1"/>
  <c r="K49" i="73"/>
  <c r="I51" i="73"/>
  <c r="K51" i="73" s="1"/>
  <c r="G57" i="73"/>
  <c r="I39" i="73"/>
  <c r="K39" i="73" s="1"/>
  <c r="H27" i="74"/>
  <c r="I27" i="74" s="1"/>
  <c r="H25" i="74"/>
  <c r="H23" i="74"/>
  <c r="I23" i="74" s="1"/>
  <c r="H21" i="74"/>
  <c r="I21" i="74" s="1"/>
  <c r="H19" i="74"/>
  <c r="I19" i="74" s="1"/>
  <c r="H26" i="74"/>
  <c r="I26" i="74" s="1"/>
  <c r="H22" i="74"/>
  <c r="H20" i="74"/>
  <c r="H28" i="74"/>
  <c r="I28" i="74" s="1"/>
  <c r="I45" i="73"/>
  <c r="K45" i="73" s="1"/>
  <c r="K41" i="73"/>
  <c r="C29" i="74"/>
  <c r="C77" i="74" s="1"/>
  <c r="G17" i="72" l="1"/>
  <c r="H17" i="72" s="1"/>
  <c r="M17" i="72"/>
  <c r="K17" i="72"/>
  <c r="F64" i="65"/>
  <c r="K51" i="72"/>
  <c r="L51" i="72" s="1"/>
  <c r="M51" i="72"/>
  <c r="N51" i="72" s="1"/>
  <c r="M19" i="72"/>
  <c r="N19" i="72" s="1"/>
  <c r="I19" i="72"/>
  <c r="J19" i="72" s="1"/>
  <c r="K19" i="72"/>
  <c r="L19" i="72" s="1"/>
  <c r="G19" i="72"/>
  <c r="H19" i="72" s="1"/>
  <c r="O19" i="72" s="1"/>
  <c r="M100" i="71"/>
  <c r="M103" i="71" s="1"/>
  <c r="G51" i="72"/>
  <c r="H51" i="72" s="1"/>
  <c r="V82" i="71"/>
  <c r="I17" i="72"/>
  <c r="J17" i="72" s="1"/>
  <c r="M23" i="72"/>
  <c r="N23" i="72" s="1"/>
  <c r="G23" i="72"/>
  <c r="H23" i="72" s="1"/>
  <c r="F57" i="72"/>
  <c r="K57" i="72" s="1"/>
  <c r="L57" i="72" s="1"/>
  <c r="F56" i="72"/>
  <c r="M56" i="72" s="1"/>
  <c r="N56" i="72" s="1"/>
  <c r="Z64" i="71"/>
  <c r="M23" i="36"/>
  <c r="G17" i="48"/>
  <c r="F67" i="72"/>
  <c r="F70" i="72"/>
  <c r="W82" i="71"/>
  <c r="F59" i="72"/>
  <c r="G59" i="72" s="1"/>
  <c r="H59" i="72" s="1"/>
  <c r="F37" i="72"/>
  <c r="M37" i="72" s="1"/>
  <c r="N37" i="72" s="1"/>
  <c r="Z51" i="71"/>
  <c r="G74" i="74"/>
  <c r="I74" i="74" s="1"/>
  <c r="K105" i="71"/>
  <c r="F55" i="72"/>
  <c r="G55" i="72" s="1"/>
  <c r="H55" i="72" s="1"/>
  <c r="Z73" i="71"/>
  <c r="J59" i="73"/>
  <c r="M93" i="71"/>
  <c r="Z75" i="71"/>
  <c r="Z62" i="71"/>
  <c r="F53" i="72"/>
  <c r="G53" i="72" s="1"/>
  <c r="H53" i="72" s="1"/>
  <c r="F64" i="72"/>
  <c r="I64" i="72" s="1"/>
  <c r="J64" i="72" s="1"/>
  <c r="Z59" i="71"/>
  <c r="U82" i="71"/>
  <c r="Z56" i="71"/>
  <c r="F52" i="72"/>
  <c r="G52" i="72" s="1"/>
  <c r="H52" i="72" s="1"/>
  <c r="M59" i="72"/>
  <c r="N59" i="72" s="1"/>
  <c r="F63" i="72"/>
  <c r="M63" i="72" s="1"/>
  <c r="N63" i="72" s="1"/>
  <c r="Z63" i="71"/>
  <c r="C76" i="72"/>
  <c r="Z52" i="71"/>
  <c r="F65" i="72"/>
  <c r="I65" i="72" s="1"/>
  <c r="J65" i="72" s="1"/>
  <c r="I25" i="74"/>
  <c r="F36" i="64"/>
  <c r="G36" i="64" s="1"/>
  <c r="T82" i="71"/>
  <c r="M92" i="71"/>
  <c r="Z32" i="71"/>
  <c r="Z55" i="71"/>
  <c r="C29" i="66"/>
  <c r="K25" i="66" s="1"/>
  <c r="H23" i="36"/>
  <c r="G12" i="48"/>
  <c r="L82" i="71"/>
  <c r="M94" i="71"/>
  <c r="G77" i="74"/>
  <c r="Z60" i="71"/>
  <c r="F61" i="72"/>
  <c r="F49" i="72"/>
  <c r="Z44" i="71"/>
  <c r="Z41" i="71"/>
  <c r="F46" i="72"/>
  <c r="Z25" i="71"/>
  <c r="F30" i="72"/>
  <c r="X69" i="71"/>
  <c r="L17" i="72"/>
  <c r="K71" i="72"/>
  <c r="L71" i="72" s="1"/>
  <c r="G71" i="72"/>
  <c r="H71" i="72" s="1"/>
  <c r="M71" i="72"/>
  <c r="N71" i="72" s="1"/>
  <c r="I71" i="72"/>
  <c r="J71" i="72" s="1"/>
  <c r="F47" i="72"/>
  <c r="Z42" i="71"/>
  <c r="F25" i="72"/>
  <c r="Z20" i="71"/>
  <c r="F44" i="72"/>
  <c r="Z39" i="71"/>
  <c r="F36" i="72"/>
  <c r="Z31" i="71"/>
  <c r="O23" i="72"/>
  <c r="G60" i="72"/>
  <c r="H60" i="72" s="1"/>
  <c r="M60" i="72"/>
  <c r="N60" i="72" s="1"/>
  <c r="I60" i="72"/>
  <c r="J60" i="72" s="1"/>
  <c r="K60" i="72"/>
  <c r="L60" i="72" s="1"/>
  <c r="F45" i="72"/>
  <c r="Z40" i="71"/>
  <c r="Z16" i="71"/>
  <c r="F21" i="72"/>
  <c r="F66" i="72"/>
  <c r="Z65" i="71"/>
  <c r="F50" i="72"/>
  <c r="Z45" i="71"/>
  <c r="F42" i="72"/>
  <c r="Z37" i="71"/>
  <c r="F34" i="72"/>
  <c r="Z29" i="71"/>
  <c r="F26" i="72"/>
  <c r="Z21" i="71"/>
  <c r="Z15" i="71"/>
  <c r="F20" i="72"/>
  <c r="Z13" i="71"/>
  <c r="F18" i="72"/>
  <c r="X22" i="71"/>
  <c r="N17" i="72"/>
  <c r="C39" i="64"/>
  <c r="C42" i="64"/>
  <c r="F41" i="72"/>
  <c r="Z36" i="71"/>
  <c r="Z26" i="71"/>
  <c r="F31" i="72"/>
  <c r="F54" i="72"/>
  <c r="Z53" i="71"/>
  <c r="Z33" i="71"/>
  <c r="F38" i="72"/>
  <c r="I57" i="72"/>
  <c r="J57" i="72" s="1"/>
  <c r="F68" i="72"/>
  <c r="G73" i="74"/>
  <c r="I73" i="74" s="1"/>
  <c r="I75" i="74" s="1"/>
  <c r="Z72" i="71"/>
  <c r="X76" i="71"/>
  <c r="K56" i="72"/>
  <c r="L56" i="72" s="1"/>
  <c r="F39" i="72"/>
  <c r="Z34" i="71"/>
  <c r="F58" i="72"/>
  <c r="Z57" i="71"/>
  <c r="Z17" i="71"/>
  <c r="F22" i="72"/>
  <c r="K63" i="72"/>
  <c r="L63" i="72" s="1"/>
  <c r="I63" i="72"/>
  <c r="J63" i="72" s="1"/>
  <c r="P82" i="71"/>
  <c r="X80" i="71"/>
  <c r="Z79" i="71"/>
  <c r="F35" i="72"/>
  <c r="Z30" i="71"/>
  <c r="I57" i="73"/>
  <c r="F43" i="72"/>
  <c r="Z38" i="71"/>
  <c r="F33" i="72"/>
  <c r="Z28" i="71"/>
  <c r="M96" i="71"/>
  <c r="F62" i="72"/>
  <c r="Z61" i="71"/>
  <c r="F48" i="72"/>
  <c r="Z43" i="71"/>
  <c r="F40" i="72"/>
  <c r="Z35" i="71"/>
  <c r="F32" i="72"/>
  <c r="Z27" i="71"/>
  <c r="F24" i="72"/>
  <c r="Z19" i="71"/>
  <c r="I22" i="74"/>
  <c r="I20" i="74"/>
  <c r="O69" i="72"/>
  <c r="D42" i="64"/>
  <c r="D39" i="64"/>
  <c r="K70" i="72"/>
  <c r="L70" i="72" s="1"/>
  <c r="G70" i="72"/>
  <c r="H70" i="72" s="1"/>
  <c r="M70" i="72"/>
  <c r="N70" i="72" s="1"/>
  <c r="I70" i="72"/>
  <c r="J70" i="72" s="1"/>
  <c r="K53" i="72" l="1"/>
  <c r="L53" i="72" s="1"/>
  <c r="O51" i="72"/>
  <c r="I53" i="72"/>
  <c r="J53" i="72" s="1"/>
  <c r="G56" i="72"/>
  <c r="H56" i="72" s="1"/>
  <c r="I56" i="72"/>
  <c r="J56" i="72" s="1"/>
  <c r="O56" i="72" s="1"/>
  <c r="M53" i="72"/>
  <c r="N53" i="72" s="1"/>
  <c r="G64" i="72"/>
  <c r="H64" i="72" s="1"/>
  <c r="M57" i="72"/>
  <c r="N57" i="72" s="1"/>
  <c r="I59" i="72"/>
  <c r="J59" i="72" s="1"/>
  <c r="K59" i="72"/>
  <c r="L59" i="72" s="1"/>
  <c r="G57" i="72"/>
  <c r="H57" i="72" s="1"/>
  <c r="O57" i="72" s="1"/>
  <c r="K55" i="72"/>
  <c r="L55" i="72" s="1"/>
  <c r="K27" i="66"/>
  <c r="E14" i="48" s="1"/>
  <c r="G14" i="48" s="1"/>
  <c r="M64" i="72"/>
  <c r="N64" i="72" s="1"/>
  <c r="G37" i="72"/>
  <c r="H37" i="72" s="1"/>
  <c r="O37" i="72" s="1"/>
  <c r="G67" i="72"/>
  <c r="H67" i="72" s="1"/>
  <c r="I67" i="72"/>
  <c r="J67" i="72" s="1"/>
  <c r="K67" i="72"/>
  <c r="L67" i="72" s="1"/>
  <c r="M67" i="72"/>
  <c r="N67" i="72" s="1"/>
  <c r="K64" i="72"/>
  <c r="L64" i="72" s="1"/>
  <c r="Z69" i="71"/>
  <c r="I37" i="72"/>
  <c r="J37" i="72" s="1"/>
  <c r="M55" i="72"/>
  <c r="N55" i="72" s="1"/>
  <c r="M97" i="71"/>
  <c r="M105" i="71" s="1"/>
  <c r="I55" i="72"/>
  <c r="J55" i="72" s="1"/>
  <c r="K37" i="72"/>
  <c r="L37" i="72" s="1"/>
  <c r="Z76" i="71"/>
  <c r="Z22" i="71"/>
  <c r="I52" i="72"/>
  <c r="J52" i="72" s="1"/>
  <c r="G63" i="72"/>
  <c r="H63" i="72" s="1"/>
  <c r="O63" i="72" s="1"/>
  <c r="M65" i="72"/>
  <c r="N65" i="72" s="1"/>
  <c r="K52" i="72"/>
  <c r="L52" i="72" s="1"/>
  <c r="G65" i="72"/>
  <c r="H65" i="72" s="1"/>
  <c r="M52" i="72"/>
  <c r="N52" i="72" s="1"/>
  <c r="K65" i="72"/>
  <c r="L65" i="72" s="1"/>
  <c r="I61" i="72"/>
  <c r="J61" i="72" s="1"/>
  <c r="K61" i="72"/>
  <c r="L61" i="72" s="1"/>
  <c r="M61" i="72"/>
  <c r="N61" i="72" s="1"/>
  <c r="G61" i="72"/>
  <c r="H61" i="72" s="1"/>
  <c r="O70" i="72"/>
  <c r="O60" i="72"/>
  <c r="I29" i="74"/>
  <c r="I77" i="74" s="1"/>
  <c r="I81" i="74" s="1"/>
  <c r="I83" i="74" s="1"/>
  <c r="K32" i="72"/>
  <c r="L32" i="72" s="1"/>
  <c r="G32" i="72"/>
  <c r="H32" i="72" s="1"/>
  <c r="M32" i="72"/>
  <c r="N32" i="72" s="1"/>
  <c r="I32" i="72"/>
  <c r="J32" i="72" s="1"/>
  <c r="K48" i="72"/>
  <c r="L48" i="72" s="1"/>
  <c r="G48" i="72"/>
  <c r="H48" i="72" s="1"/>
  <c r="M48" i="72"/>
  <c r="N48" i="72" s="1"/>
  <c r="I48" i="72"/>
  <c r="J48" i="72" s="1"/>
  <c r="M68" i="72"/>
  <c r="N68" i="72" s="1"/>
  <c r="G68" i="72"/>
  <c r="H68" i="72" s="1"/>
  <c r="K68" i="72"/>
  <c r="L68" i="72" s="1"/>
  <c r="I68" i="72"/>
  <c r="J68" i="72" s="1"/>
  <c r="M54" i="72"/>
  <c r="N54" i="72" s="1"/>
  <c r="G54" i="72"/>
  <c r="H54" i="72" s="1"/>
  <c r="I54" i="72"/>
  <c r="J54" i="72" s="1"/>
  <c r="K54" i="72"/>
  <c r="L54" i="72" s="1"/>
  <c r="M42" i="72"/>
  <c r="N42" i="72" s="1"/>
  <c r="I42" i="72"/>
  <c r="J42" i="72" s="1"/>
  <c r="G42" i="72"/>
  <c r="H42" i="72" s="1"/>
  <c r="K42" i="72"/>
  <c r="L42" i="72" s="1"/>
  <c r="M33" i="72"/>
  <c r="N33" i="72" s="1"/>
  <c r="I33" i="72"/>
  <c r="J33" i="72" s="1"/>
  <c r="G33" i="72"/>
  <c r="H33" i="72" s="1"/>
  <c r="K33" i="72"/>
  <c r="L33" i="72" s="1"/>
  <c r="M38" i="72"/>
  <c r="N38" i="72" s="1"/>
  <c r="I38" i="72"/>
  <c r="J38" i="72" s="1"/>
  <c r="K38" i="72"/>
  <c r="L38" i="72" s="1"/>
  <c r="G38" i="72"/>
  <c r="H38" i="72" s="1"/>
  <c r="K31" i="72"/>
  <c r="L31" i="72" s="1"/>
  <c r="G31" i="72"/>
  <c r="H31" i="72" s="1"/>
  <c r="M31" i="72"/>
  <c r="N31" i="72" s="1"/>
  <c r="I31" i="72"/>
  <c r="J31" i="72" s="1"/>
  <c r="M20" i="72"/>
  <c r="N20" i="72" s="1"/>
  <c r="I20" i="72"/>
  <c r="J20" i="72" s="1"/>
  <c r="G20" i="72"/>
  <c r="H20" i="72" s="1"/>
  <c r="K20" i="72"/>
  <c r="L20" i="72" s="1"/>
  <c r="I21" i="72"/>
  <c r="J21" i="72" s="1"/>
  <c r="K21" i="72"/>
  <c r="L21" i="72" s="1"/>
  <c r="M21" i="72"/>
  <c r="N21" i="72" s="1"/>
  <c r="G21" i="72"/>
  <c r="H21" i="72" s="1"/>
  <c r="K44" i="72"/>
  <c r="L44" i="72" s="1"/>
  <c r="G44" i="72"/>
  <c r="H44" i="72" s="1"/>
  <c r="I44" i="72"/>
  <c r="J44" i="72" s="1"/>
  <c r="M44" i="72"/>
  <c r="N44" i="72" s="1"/>
  <c r="K47" i="72"/>
  <c r="L47" i="72" s="1"/>
  <c r="G47" i="72"/>
  <c r="H47" i="72" s="1"/>
  <c r="M47" i="72"/>
  <c r="N47" i="72" s="1"/>
  <c r="I47" i="72"/>
  <c r="J47" i="72" s="1"/>
  <c r="M24" i="72"/>
  <c r="N24" i="72" s="1"/>
  <c r="I24" i="72"/>
  <c r="J24" i="72" s="1"/>
  <c r="K24" i="72"/>
  <c r="L24" i="72" s="1"/>
  <c r="G24" i="72"/>
  <c r="H24" i="72" s="1"/>
  <c r="K40" i="72"/>
  <c r="L40" i="72" s="1"/>
  <c r="G40" i="72"/>
  <c r="H40" i="72" s="1"/>
  <c r="M40" i="72"/>
  <c r="N40" i="72" s="1"/>
  <c r="I40" i="72"/>
  <c r="J40" i="72" s="1"/>
  <c r="K62" i="72"/>
  <c r="L62" i="72" s="1"/>
  <c r="G62" i="72"/>
  <c r="H62" i="72" s="1"/>
  <c r="M62" i="72"/>
  <c r="N62" i="72" s="1"/>
  <c r="I62" i="72"/>
  <c r="J62" i="72" s="1"/>
  <c r="K35" i="72"/>
  <c r="L35" i="72" s="1"/>
  <c r="G35" i="72"/>
  <c r="H35" i="72" s="1"/>
  <c r="I35" i="72"/>
  <c r="J35" i="72" s="1"/>
  <c r="M35" i="72"/>
  <c r="N35" i="72" s="1"/>
  <c r="M22" i="72"/>
  <c r="N22" i="72" s="1"/>
  <c r="G22" i="72"/>
  <c r="H22" i="72" s="1"/>
  <c r="I22" i="72"/>
  <c r="J22" i="72" s="1"/>
  <c r="K22" i="72"/>
  <c r="L22" i="72" s="1"/>
  <c r="K58" i="72"/>
  <c r="L58" i="72" s="1"/>
  <c r="M58" i="72"/>
  <c r="N58" i="72" s="1"/>
  <c r="G58" i="72"/>
  <c r="H58" i="72" s="1"/>
  <c r="I58" i="72"/>
  <c r="J58" i="72" s="1"/>
  <c r="C44" i="64"/>
  <c r="C43" i="64"/>
  <c r="C49" i="64"/>
  <c r="D49" i="64" s="1"/>
  <c r="C54" i="64"/>
  <c r="M34" i="72"/>
  <c r="N34" i="72" s="1"/>
  <c r="I34" i="72"/>
  <c r="J34" i="72" s="1"/>
  <c r="G34" i="72"/>
  <c r="H34" i="72" s="1"/>
  <c r="K34" i="72"/>
  <c r="L34" i="72" s="1"/>
  <c r="I50" i="72"/>
  <c r="J50" i="72" s="1"/>
  <c r="G50" i="72"/>
  <c r="H50" i="72" s="1"/>
  <c r="M50" i="72"/>
  <c r="N50" i="72" s="1"/>
  <c r="K50" i="72"/>
  <c r="L50" i="72" s="1"/>
  <c r="M46" i="72"/>
  <c r="N46" i="72" s="1"/>
  <c r="I46" i="72"/>
  <c r="J46" i="72" s="1"/>
  <c r="K46" i="72"/>
  <c r="L46" i="72" s="1"/>
  <c r="G46" i="72"/>
  <c r="H46" i="72" s="1"/>
  <c r="M49" i="72"/>
  <c r="N49" i="72" s="1"/>
  <c r="I49" i="72"/>
  <c r="J49" i="72" s="1"/>
  <c r="G49" i="72"/>
  <c r="H49" i="72" s="1"/>
  <c r="K49" i="72"/>
  <c r="L49" i="72" s="1"/>
  <c r="K57" i="73"/>
  <c r="K62" i="73" s="1"/>
  <c r="E20" i="48" s="1"/>
  <c r="I59" i="73"/>
  <c r="Z80" i="71"/>
  <c r="X82" i="71"/>
  <c r="K39" i="72"/>
  <c r="L39" i="72" s="1"/>
  <c r="G39" i="72"/>
  <c r="H39" i="72" s="1"/>
  <c r="M39" i="72"/>
  <c r="N39" i="72" s="1"/>
  <c r="I39" i="72"/>
  <c r="J39" i="72" s="1"/>
  <c r="M41" i="72"/>
  <c r="N41" i="72" s="1"/>
  <c r="I41" i="72"/>
  <c r="J41" i="72" s="1"/>
  <c r="G41" i="72"/>
  <c r="H41" i="72" s="1"/>
  <c r="K41" i="72"/>
  <c r="L41" i="72" s="1"/>
  <c r="K26" i="72"/>
  <c r="L26" i="72" s="1"/>
  <c r="M26" i="72"/>
  <c r="N26" i="72" s="1"/>
  <c r="G26" i="72"/>
  <c r="H26" i="72" s="1"/>
  <c r="I26" i="72"/>
  <c r="J26" i="72" s="1"/>
  <c r="I66" i="72"/>
  <c r="J66" i="72" s="1"/>
  <c r="K66" i="72"/>
  <c r="L66" i="72" s="1"/>
  <c r="M66" i="72"/>
  <c r="N66" i="72" s="1"/>
  <c r="G66" i="72"/>
  <c r="H66" i="72" s="1"/>
  <c r="M45" i="72"/>
  <c r="N45" i="72" s="1"/>
  <c r="I45" i="72"/>
  <c r="J45" i="72" s="1"/>
  <c r="K45" i="72"/>
  <c r="L45" i="72" s="1"/>
  <c r="G45" i="72"/>
  <c r="H45" i="72" s="1"/>
  <c r="F74" i="72"/>
  <c r="M30" i="72"/>
  <c r="I30" i="72"/>
  <c r="K30" i="72"/>
  <c r="G30" i="72"/>
  <c r="D43" i="64"/>
  <c r="D44" i="64"/>
  <c r="D54" i="64"/>
  <c r="K43" i="72"/>
  <c r="L43" i="72" s="1"/>
  <c r="G43" i="72"/>
  <c r="H43" i="72" s="1"/>
  <c r="I43" i="72"/>
  <c r="J43" i="72" s="1"/>
  <c r="M43" i="72"/>
  <c r="N43" i="72" s="1"/>
  <c r="O17" i="72"/>
  <c r="K18" i="72"/>
  <c r="G18" i="72"/>
  <c r="M18" i="72"/>
  <c r="I18" i="72"/>
  <c r="F27" i="72"/>
  <c r="K36" i="72"/>
  <c r="L36" i="72" s="1"/>
  <c r="G36" i="72"/>
  <c r="H36" i="72" s="1"/>
  <c r="I36" i="72"/>
  <c r="J36" i="72" s="1"/>
  <c r="M36" i="72"/>
  <c r="N36" i="72" s="1"/>
  <c r="M25" i="72"/>
  <c r="N25" i="72" s="1"/>
  <c r="I25" i="72"/>
  <c r="J25" i="72" s="1"/>
  <c r="K25" i="72"/>
  <c r="L25" i="72" s="1"/>
  <c r="G25" i="72"/>
  <c r="H25" i="72" s="1"/>
  <c r="O71" i="72"/>
  <c r="O59" i="72" l="1"/>
  <c r="O53" i="72"/>
  <c r="O64" i="72"/>
  <c r="O55" i="72"/>
  <c r="O67" i="72"/>
  <c r="Z82" i="71"/>
  <c r="Z84" i="71" s="1"/>
  <c r="P102" i="71" s="1"/>
  <c r="O52" i="72"/>
  <c r="O65" i="72"/>
  <c r="I98" i="74"/>
  <c r="I91" i="74"/>
  <c r="O20" i="72"/>
  <c r="I94" i="74"/>
  <c r="P28" i="36"/>
  <c r="E25" i="64"/>
  <c r="F25" i="64" s="1"/>
  <c r="G20" i="48"/>
  <c r="I99" i="74"/>
  <c r="I95" i="74"/>
  <c r="O61" i="72"/>
  <c r="O50" i="72"/>
  <c r="I101" i="74"/>
  <c r="I92" i="74"/>
  <c r="I93" i="74"/>
  <c r="I100" i="74"/>
  <c r="H18" i="72"/>
  <c r="G27" i="72"/>
  <c r="L18" i="72"/>
  <c r="L27" i="72" s="1"/>
  <c r="K27" i="72"/>
  <c r="D58" i="64"/>
  <c r="D57" i="64"/>
  <c r="O45" i="72"/>
  <c r="O46" i="72"/>
  <c r="O24" i="72"/>
  <c r="O47" i="72"/>
  <c r="O38" i="72"/>
  <c r="O54" i="72"/>
  <c r="O68" i="72"/>
  <c r="O48" i="72"/>
  <c r="O32" i="72"/>
  <c r="J18" i="72"/>
  <c r="J27" i="72" s="1"/>
  <c r="I27" i="72"/>
  <c r="I74" i="72"/>
  <c r="J30" i="72"/>
  <c r="J74" i="72" s="1"/>
  <c r="O26" i="72"/>
  <c r="O41" i="72"/>
  <c r="O49" i="72"/>
  <c r="O22" i="72"/>
  <c r="G74" i="72"/>
  <c r="H30" i="72"/>
  <c r="O25" i="72"/>
  <c r="F76" i="72"/>
  <c r="K74" i="72"/>
  <c r="L30" i="72"/>
  <c r="L74" i="72" s="1"/>
  <c r="O66" i="72"/>
  <c r="O58" i="72"/>
  <c r="O44" i="72"/>
  <c r="O36" i="72"/>
  <c r="N18" i="72"/>
  <c r="N27" i="72" s="1"/>
  <c r="M27" i="72"/>
  <c r="O43" i="72"/>
  <c r="M74" i="72"/>
  <c r="N30" i="72"/>
  <c r="N74" i="72" s="1"/>
  <c r="O39" i="72"/>
  <c r="O34" i="72"/>
  <c r="C58" i="64"/>
  <c r="C57" i="64"/>
  <c r="O35" i="72"/>
  <c r="O62" i="72"/>
  <c r="O40" i="72"/>
  <c r="O21" i="72"/>
  <c r="O31" i="72"/>
  <c r="O33" i="72"/>
  <c r="O42" i="72"/>
  <c r="I36" i="39"/>
  <c r="N4" i="36"/>
  <c r="M4" i="36"/>
  <c r="L4" i="36"/>
  <c r="K4" i="36"/>
  <c r="J4" i="36"/>
  <c r="I4" i="36"/>
  <c r="H4" i="36"/>
  <c r="G4" i="36"/>
  <c r="F4" i="36"/>
  <c r="E4" i="36"/>
  <c r="D4" i="36"/>
  <c r="C4" i="36"/>
  <c r="F64" i="63"/>
  <c r="H64" i="63" s="1"/>
  <c r="F63" i="63"/>
  <c r="H63" i="63" s="1"/>
  <c r="F60" i="63"/>
  <c r="H60" i="63" s="1"/>
  <c r="F59" i="63"/>
  <c r="H59" i="63" s="1"/>
  <c r="F58" i="63"/>
  <c r="H58" i="63" s="1"/>
  <c r="F57" i="63"/>
  <c r="H57" i="63" s="1"/>
  <c r="F56" i="63"/>
  <c r="H56" i="63" s="1"/>
  <c r="F55" i="63"/>
  <c r="H55" i="63" s="1"/>
  <c r="F54" i="63"/>
  <c r="H54" i="63" s="1"/>
  <c r="F53" i="63"/>
  <c r="H53" i="63" s="1"/>
  <c r="F52" i="63"/>
  <c r="F51" i="63"/>
  <c r="H51" i="63" s="1"/>
  <c r="F50" i="63"/>
  <c r="H50" i="63" s="1"/>
  <c r="F49" i="63"/>
  <c r="H49" i="63" s="1"/>
  <c r="F48" i="63"/>
  <c r="H48" i="63" s="1"/>
  <c r="F47" i="63"/>
  <c r="H47" i="63" s="1"/>
  <c r="F46" i="63"/>
  <c r="F45" i="63"/>
  <c r="H45" i="63" s="1"/>
  <c r="F44" i="63"/>
  <c r="H44" i="63" s="1"/>
  <c r="F43" i="63"/>
  <c r="F42" i="63"/>
  <c r="H42" i="63" s="1"/>
  <c r="F41" i="63"/>
  <c r="H41" i="63" s="1"/>
  <c r="F40" i="63"/>
  <c r="H40" i="63" s="1"/>
  <c r="F39" i="63"/>
  <c r="H39" i="63" s="1"/>
  <c r="F38" i="63"/>
  <c r="F37" i="63"/>
  <c r="H37" i="63" s="1"/>
  <c r="F36" i="63"/>
  <c r="H36" i="63" s="1"/>
  <c r="F35" i="63"/>
  <c r="H35" i="63" s="1"/>
  <c r="F34" i="63"/>
  <c r="F33" i="63"/>
  <c r="H33" i="63" s="1"/>
  <c r="F32" i="63"/>
  <c r="H32" i="63" s="1"/>
  <c r="F31" i="63"/>
  <c r="H31" i="63" s="1"/>
  <c r="F30" i="63"/>
  <c r="F29" i="63"/>
  <c r="H29" i="63" s="1"/>
  <c r="F28" i="63"/>
  <c r="H28" i="63" s="1"/>
  <c r="F27" i="63"/>
  <c r="H27" i="63" s="1"/>
  <c r="F26" i="63"/>
  <c r="F25" i="63"/>
  <c r="H25" i="63" s="1"/>
  <c r="F24" i="63"/>
  <c r="H24" i="63" s="1"/>
  <c r="F23" i="63"/>
  <c r="H23" i="63" s="1"/>
  <c r="F22" i="63"/>
  <c r="F21" i="63"/>
  <c r="H21" i="63" s="1"/>
  <c r="F20" i="63"/>
  <c r="F19" i="63"/>
  <c r="H19" i="63" s="1"/>
  <c r="F18" i="63"/>
  <c r="F17" i="63"/>
  <c r="H17" i="63" s="1"/>
  <c r="F16" i="63"/>
  <c r="H16" i="63" s="1"/>
  <c r="F15" i="63"/>
  <c r="H15" i="63" s="1"/>
  <c r="F14" i="63"/>
  <c r="F13" i="63"/>
  <c r="H13" i="63" s="1"/>
  <c r="F12" i="63"/>
  <c r="P92" i="71" l="1"/>
  <c r="P100" i="71"/>
  <c r="P96" i="71"/>
  <c r="P94" i="71"/>
  <c r="P101" i="71"/>
  <c r="P99" i="71"/>
  <c r="P93" i="71"/>
  <c r="P95" i="71"/>
  <c r="G14" i="63"/>
  <c r="H14" i="63"/>
  <c r="G26" i="63"/>
  <c r="H26" i="63"/>
  <c r="G53" i="63"/>
  <c r="I53" i="63" s="1"/>
  <c r="G43" i="63"/>
  <c r="H43" i="63"/>
  <c r="G47" i="63"/>
  <c r="I47" i="63" s="1"/>
  <c r="H12" i="63"/>
  <c r="G12" i="63"/>
  <c r="G18" i="63"/>
  <c r="H18" i="63"/>
  <c r="G52" i="63"/>
  <c r="H52" i="63"/>
  <c r="G30" i="63"/>
  <c r="H30" i="63"/>
  <c r="G57" i="63"/>
  <c r="I57" i="63" s="1"/>
  <c r="G20" i="63"/>
  <c r="H20" i="63"/>
  <c r="G46" i="63"/>
  <c r="H46" i="63"/>
  <c r="G50" i="63"/>
  <c r="I50" i="63" s="1"/>
  <c r="G22" i="63"/>
  <c r="H22" i="63"/>
  <c r="G38" i="63"/>
  <c r="H38" i="63"/>
  <c r="G34" i="63"/>
  <c r="H34" i="63"/>
  <c r="G44" i="63"/>
  <c r="I44" i="63" s="1"/>
  <c r="L76" i="72"/>
  <c r="L80" i="72" s="1"/>
  <c r="L82" i="72" s="1"/>
  <c r="I96" i="74"/>
  <c r="E15" i="48" s="1"/>
  <c r="G15" i="48" s="1"/>
  <c r="I102" i="74"/>
  <c r="G23" i="63"/>
  <c r="I23" i="63" s="1"/>
  <c r="G25" i="63"/>
  <c r="I25" i="63" s="1"/>
  <c r="G60" i="63"/>
  <c r="I60" i="63" s="1"/>
  <c r="G13" i="63"/>
  <c r="I13" i="63" s="1"/>
  <c r="G15" i="63"/>
  <c r="I15" i="63" s="1"/>
  <c r="G39" i="63"/>
  <c r="I39" i="63" s="1"/>
  <c r="F47" i="64"/>
  <c r="F52" i="64"/>
  <c r="G25" i="64"/>
  <c r="G47" i="64" s="1"/>
  <c r="G19" i="63"/>
  <c r="I19" i="63" s="1"/>
  <c r="G36" i="63"/>
  <c r="I36" i="63" s="1"/>
  <c r="G40" i="63"/>
  <c r="I40" i="63" s="1"/>
  <c r="G56" i="63"/>
  <c r="I56" i="63" s="1"/>
  <c r="G35" i="63"/>
  <c r="I35" i="63" s="1"/>
  <c r="G24" i="63"/>
  <c r="I24" i="63" s="1"/>
  <c r="G27" i="63"/>
  <c r="I27" i="63" s="1"/>
  <c r="G31" i="63"/>
  <c r="I31" i="63" s="1"/>
  <c r="I76" i="72"/>
  <c r="G28" i="63"/>
  <c r="I28" i="63" s="1"/>
  <c r="J76" i="72"/>
  <c r="K76" i="72"/>
  <c r="N76" i="72"/>
  <c r="N80" i="72" s="1"/>
  <c r="N82" i="72" s="1"/>
  <c r="C59" i="64"/>
  <c r="H74" i="72"/>
  <c r="O74" i="72" s="1"/>
  <c r="O30" i="72"/>
  <c r="G76" i="72"/>
  <c r="M76" i="72"/>
  <c r="D64" i="64"/>
  <c r="D59" i="64"/>
  <c r="D65" i="64" s="1"/>
  <c r="O18" i="72"/>
  <c r="H27" i="72"/>
  <c r="G33" i="63"/>
  <c r="G58" i="63"/>
  <c r="G16" i="63"/>
  <c r="I16" i="63" s="1"/>
  <c r="G17" i="63"/>
  <c r="I17" i="63" s="1"/>
  <c r="G48" i="63"/>
  <c r="I48" i="63" s="1"/>
  <c r="G63" i="63"/>
  <c r="G21" i="63"/>
  <c r="I21" i="63" s="1"/>
  <c r="G29" i="63"/>
  <c r="G32" i="63"/>
  <c r="I32" i="63" s="1"/>
  <c r="G37" i="63"/>
  <c r="I37" i="63" s="1"/>
  <c r="G51" i="63"/>
  <c r="G41" i="63"/>
  <c r="G54" i="63"/>
  <c r="G42" i="63"/>
  <c r="I42" i="63" s="1"/>
  <c r="G45" i="63"/>
  <c r="I45" i="63" s="1"/>
  <c r="G49" i="63"/>
  <c r="I49" i="63" s="1"/>
  <c r="G55" i="63"/>
  <c r="I55" i="63" s="1"/>
  <c r="G59" i="63"/>
  <c r="I59" i="63" s="1"/>
  <c r="G64" i="63"/>
  <c r="P97" i="71" l="1"/>
  <c r="E16" i="48" s="1"/>
  <c r="G16" i="48" s="1"/>
  <c r="P103" i="71"/>
  <c r="I38" i="63"/>
  <c r="I52" i="63"/>
  <c r="I14" i="63"/>
  <c r="I22" i="63"/>
  <c r="I18" i="63"/>
  <c r="I43" i="63"/>
  <c r="I20" i="63"/>
  <c r="I34" i="63"/>
  <c r="I30" i="63"/>
  <c r="I26" i="63"/>
  <c r="I46" i="63"/>
  <c r="I12" i="63"/>
  <c r="I104" i="74"/>
  <c r="I41" i="63"/>
  <c r="I58" i="63"/>
  <c r="I51" i="63"/>
  <c r="I33" i="63"/>
  <c r="O27" i="72"/>
  <c r="H76" i="72"/>
  <c r="I54" i="63"/>
  <c r="I29" i="63"/>
  <c r="I61" i="63" l="1"/>
  <c r="I67" i="63" s="1"/>
  <c r="I72" i="63" s="1"/>
  <c r="I76" i="63" s="1"/>
  <c r="I78" i="63" s="1"/>
  <c r="L23" i="36"/>
  <c r="P105" i="71"/>
  <c r="H80" i="72"/>
  <c r="O76" i="72"/>
  <c r="A12" i="39"/>
  <c r="A13" i="39" s="1"/>
  <c r="G93" i="63" l="1"/>
  <c r="G86" i="63"/>
  <c r="G87" i="63"/>
  <c r="G92" i="63"/>
  <c r="G85" i="63"/>
  <c r="G84" i="63"/>
  <c r="G94" i="63"/>
  <c r="G91" i="63"/>
  <c r="G88" i="63"/>
  <c r="A14" i="39"/>
  <c r="A15" i="39" s="1"/>
  <c r="O80" i="72"/>
  <c r="H82" i="72"/>
  <c r="O82" i="72" s="1"/>
  <c r="G95" i="63" l="1"/>
  <c r="G89" i="63"/>
  <c r="E21" i="48" s="1"/>
  <c r="A16" i="39"/>
  <c r="A17" i="39" s="1"/>
  <c r="I100" i="72"/>
  <c r="I92" i="72"/>
  <c r="I99" i="72"/>
  <c r="I91" i="72"/>
  <c r="I94" i="72"/>
  <c r="I97" i="72"/>
  <c r="I98" i="72"/>
  <c r="I90" i="72"/>
  <c r="I93" i="72"/>
  <c r="Q23" i="36" l="1"/>
  <c r="G21" i="48"/>
  <c r="E20" i="64"/>
  <c r="F20" i="64" s="1"/>
  <c r="G20" i="64" s="1"/>
  <c r="G97" i="63"/>
  <c r="I101" i="72"/>
  <c r="I95" i="72"/>
  <c r="E19" i="48" s="1"/>
  <c r="A18" i="39"/>
  <c r="A19" i="39" s="1"/>
  <c r="O27" i="36" l="1"/>
  <c r="O31" i="36" s="1"/>
  <c r="G19" i="48"/>
  <c r="E24" i="64"/>
  <c r="F24" i="64" s="1"/>
  <c r="G24" i="64" s="1"/>
  <c r="I103" i="72"/>
  <c r="A20" i="39"/>
  <c r="A21" i="39" s="1"/>
  <c r="F25" i="6"/>
  <c r="O45" i="36" l="1"/>
  <c r="O47" i="36" s="1"/>
  <c r="O33" i="36"/>
  <c r="O42" i="36" s="1"/>
  <c r="A22" i="39"/>
  <c r="A23" i="39" s="1"/>
  <c r="O48" i="36" l="1"/>
  <c r="A24" i="39"/>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V18" i="36" l="1"/>
  <c r="V19" i="36"/>
  <c r="V20" i="36"/>
  <c r="V21" i="36"/>
  <c r="V22" i="36"/>
  <c r="D54" i="39" l="1"/>
  <c r="D57" i="39" s="1"/>
  <c r="D59" i="39" s="1"/>
  <c r="H37" i="39"/>
  <c r="H43" i="39" s="1"/>
  <c r="E23" i="39"/>
  <c r="G16" i="39"/>
  <c r="I16" i="39" s="1"/>
  <c r="G15" i="39"/>
  <c r="I15" i="39" s="1"/>
  <c r="G14" i="39"/>
  <c r="I14" i="39" s="1"/>
  <c r="I23" i="39" l="1"/>
  <c r="E37" i="39"/>
  <c r="E43" i="39" s="1"/>
  <c r="G23" i="39"/>
  <c r="D37" i="39"/>
  <c r="D43" i="39" s="1"/>
  <c r="E57" i="39"/>
  <c r="E54" i="39" l="1"/>
  <c r="I41" i="39" s="1"/>
  <c r="I37" i="39"/>
  <c r="G37" i="39"/>
  <c r="G43" i="39" s="1"/>
  <c r="I43" i="39" l="1"/>
  <c r="E11" i="48" s="1"/>
  <c r="E59" i="39"/>
  <c r="K23" i="36"/>
  <c r="E23" i="64" l="1"/>
  <c r="F23" i="64" s="1"/>
  <c r="G23" i="64" s="1"/>
  <c r="G26" i="36"/>
  <c r="G11" i="48"/>
  <c r="C14" i="17"/>
  <c r="C15" i="17" s="1"/>
  <c r="C16" i="17" s="1"/>
  <c r="C17" i="17" s="1"/>
  <c r="C18" i="17" s="1"/>
  <c r="C19" i="17" s="1"/>
  <c r="C20" i="17" s="1"/>
  <c r="C21" i="17" s="1"/>
  <c r="C22" i="17" s="1"/>
  <c r="C23" i="17" s="1"/>
  <c r="C24" i="17" s="1"/>
  <c r="C14" i="6"/>
  <c r="C15" i="6" s="1"/>
  <c r="C16" i="6" s="1"/>
  <c r="C17" i="6" s="1"/>
  <c r="C18" i="6" s="1"/>
  <c r="C19" i="6" s="1"/>
  <c r="C20" i="6" s="1"/>
  <c r="C21" i="6" s="1"/>
  <c r="C22" i="6" s="1"/>
  <c r="C23" i="6" s="1"/>
  <c r="C24" i="6" s="1"/>
  <c r="D5" i="48" l="1"/>
  <c r="E5" i="48" s="1"/>
  <c r="F5" i="48" s="1"/>
  <c r="G5" i="48" s="1"/>
  <c r="V39" i="36" l="1"/>
  <c r="V37" i="36"/>
  <c r="V35" i="36"/>
  <c r="V30" i="36"/>
  <c r="V29" i="36"/>
  <c r="U44" i="36" l="1"/>
  <c r="U40" i="36"/>
  <c r="U24" i="36"/>
  <c r="U31" i="36" s="1"/>
  <c r="U45" i="36" l="1"/>
  <c r="U47" i="36" s="1"/>
  <c r="U33" i="36"/>
  <c r="U42" i="36" s="1"/>
  <c r="U48" i="36" l="1"/>
  <c r="V27" i="36" l="1"/>
  <c r="V26" i="36" l="1"/>
  <c r="V28" i="36"/>
  <c r="S40" i="36" l="1"/>
  <c r="T40" i="36"/>
  <c r="R40" i="36"/>
  <c r="Q40" i="36"/>
  <c r="N40" i="36"/>
  <c r="N46" i="36" s="1"/>
  <c r="M40" i="36"/>
  <c r="M46" i="36" s="1"/>
  <c r="L40" i="36"/>
  <c r="L46" i="36" s="1"/>
  <c r="K40" i="36"/>
  <c r="K46" i="36" s="1"/>
  <c r="J40" i="36"/>
  <c r="J46" i="36" s="1"/>
  <c r="I40" i="36"/>
  <c r="I46" i="36" s="1"/>
  <c r="H40" i="36"/>
  <c r="H46" i="36" s="1"/>
  <c r="F40" i="36"/>
  <c r="F46" i="36" s="1"/>
  <c r="E40" i="36"/>
  <c r="E46" i="36" s="1"/>
  <c r="D40" i="36"/>
  <c r="D46" i="36" s="1"/>
  <c r="C40" i="36"/>
  <c r="C46" i="36" s="1"/>
  <c r="Q24" i="36"/>
  <c r="Q31" i="36" s="1"/>
  <c r="P24" i="36"/>
  <c r="P31" i="36" s="1"/>
  <c r="L24" i="36"/>
  <c r="L31" i="36" s="1"/>
  <c r="L45" i="36" s="1"/>
  <c r="K24" i="36"/>
  <c r="K31" i="36" s="1"/>
  <c r="K45" i="36" s="1"/>
  <c r="G24" i="36"/>
  <c r="G31" i="36" s="1"/>
  <c r="G45" i="36" s="1"/>
  <c r="Q12" i="36"/>
  <c r="P12" i="36"/>
  <c r="N12" i="36"/>
  <c r="M12" i="36"/>
  <c r="L12" i="36"/>
  <c r="K12" i="36"/>
  <c r="J12" i="36"/>
  <c r="I12" i="36"/>
  <c r="G12" i="36"/>
  <c r="E12" i="36"/>
  <c r="A8" i="36"/>
  <c r="A9" i="36" s="1"/>
  <c r="A10" i="36" s="1"/>
  <c r="A11" i="36" s="1"/>
  <c r="A12" i="36" s="1"/>
  <c r="A13" i="36" s="1"/>
  <c r="A14" i="36" s="1"/>
  <c r="G44" i="36" l="1"/>
  <c r="K44" i="36"/>
  <c r="K47" i="36" s="1"/>
  <c r="L44" i="36"/>
  <c r="L47" i="36" s="1"/>
  <c r="E44" i="36"/>
  <c r="I44" i="36"/>
  <c r="M44" i="36"/>
  <c r="Q45" i="36"/>
  <c r="P44" i="36"/>
  <c r="J44" i="36"/>
  <c r="N44" i="36"/>
  <c r="Q44" i="36"/>
  <c r="L33" i="36"/>
  <c r="L42" i="36" s="1"/>
  <c r="Q33" i="36"/>
  <c r="Q42" i="36" s="1"/>
  <c r="A15" i="36"/>
  <c r="A16" i="36" s="1"/>
  <c r="A17" i="36" s="1"/>
  <c r="A18" i="36" s="1"/>
  <c r="A19" i="36" s="1"/>
  <c r="A20" i="36" s="1"/>
  <c r="A21" i="36" s="1"/>
  <c r="A22" i="36" s="1"/>
  <c r="A23" i="36" s="1"/>
  <c r="A24" i="36" s="1"/>
  <c r="A25" i="36" s="1"/>
  <c r="A26" i="36" s="1"/>
  <c r="A27" i="36" s="1"/>
  <c r="A28" i="36" s="1"/>
  <c r="A29" i="36" s="1"/>
  <c r="A30" i="36" s="1"/>
  <c r="A31" i="36" s="1"/>
  <c r="A32" i="36" s="1"/>
  <c r="A33" i="36" s="1"/>
  <c r="G33" i="36"/>
  <c r="K33" i="36"/>
  <c r="K42" i="36" s="1"/>
  <c r="P33" i="36"/>
  <c r="L48" i="36" l="1"/>
  <c r="Q47" i="36"/>
  <c r="Q48" i="36" s="1"/>
  <c r="K48" i="36"/>
  <c r="A34" i="36"/>
  <c r="A35" i="36" s="1"/>
  <c r="A37" i="36" s="1"/>
  <c r="A38" i="36" s="1"/>
  <c r="A39" i="36" s="1"/>
  <c r="A40" i="36" s="1"/>
  <c r="A41" i="36" s="1"/>
  <c r="A42" i="36" s="1"/>
  <c r="L45" i="33" l="1"/>
  <c r="G57" i="33"/>
  <c r="F40" i="33" s="1"/>
  <c r="I40" i="33" s="1"/>
  <c r="I41" i="33" s="1"/>
  <c r="G36" i="33"/>
  <c r="H36" i="33"/>
  <c r="K36" i="33"/>
  <c r="F36" i="33"/>
  <c r="G40" i="33" l="1"/>
  <c r="J40" i="33" s="1"/>
  <c r="J41" i="33" s="1"/>
  <c r="H40" i="33" l="1"/>
  <c r="K40" i="33" l="1"/>
  <c r="G26" i="33" l="1"/>
  <c r="G28" i="33" s="1"/>
  <c r="H26" i="33"/>
  <c r="H28" i="33" s="1"/>
  <c r="K26" i="33"/>
  <c r="K31" i="33" s="1"/>
  <c r="F26" i="33"/>
  <c r="F28" i="33" s="1"/>
  <c r="F31" i="33" l="1"/>
  <c r="F32" i="33" s="1"/>
  <c r="F41" i="33" s="1"/>
  <c r="H31" i="33"/>
  <c r="H32" i="33" s="1"/>
  <c r="G31" i="33"/>
  <c r="G32" i="33" s="1"/>
  <c r="K28" i="33"/>
  <c r="K32" i="33" s="1"/>
  <c r="H41" i="33" l="1"/>
  <c r="H37" i="33"/>
  <c r="G37" i="33"/>
  <c r="G41" i="33"/>
  <c r="L32" i="33"/>
  <c r="F37" i="33"/>
  <c r="K37" i="33"/>
  <c r="K41" i="33"/>
  <c r="M24" i="36" l="1"/>
  <c r="M31" i="36" s="1"/>
  <c r="L41" i="33"/>
  <c r="L37" i="33"/>
  <c r="G47" i="33" l="1"/>
  <c r="G49" i="33" s="1"/>
  <c r="E10" i="48" s="1"/>
  <c r="F16" i="36" s="1"/>
  <c r="F47" i="33"/>
  <c r="F49" i="33" s="1"/>
  <c r="D10" i="48" s="1"/>
  <c r="M45" i="36"/>
  <c r="M47" i="36" s="1"/>
  <c r="E24" i="36"/>
  <c r="E31" i="36" s="1"/>
  <c r="F27" i="48"/>
  <c r="T24" i="36"/>
  <c r="T31" i="36" s="1"/>
  <c r="N24" i="36"/>
  <c r="N31" i="36" s="1"/>
  <c r="M33" i="36"/>
  <c r="M42" i="36" s="1"/>
  <c r="I24" i="36"/>
  <c r="G10" i="48" l="1"/>
  <c r="F9" i="36"/>
  <c r="L47" i="33"/>
  <c r="L49" i="33" s="1"/>
  <c r="V15" i="36"/>
  <c r="F24" i="36"/>
  <c r="F31" i="36" s="1"/>
  <c r="F45" i="36" s="1"/>
  <c r="J23" i="36"/>
  <c r="E45" i="36"/>
  <c r="E47" i="36" s="1"/>
  <c r="E33" i="36"/>
  <c r="E42" i="36" s="1"/>
  <c r="T45" i="36"/>
  <c r="I31" i="36"/>
  <c r="I45" i="36" s="1"/>
  <c r="I47" i="36" s="1"/>
  <c r="T12" i="36"/>
  <c r="N45" i="36"/>
  <c r="N47" i="36" s="1"/>
  <c r="N33" i="36"/>
  <c r="N42" i="36" s="1"/>
  <c r="M48" i="36"/>
  <c r="P40" i="36"/>
  <c r="P45" i="36" l="1"/>
  <c r="P47" i="36" s="1"/>
  <c r="P46" i="36"/>
  <c r="V9" i="36"/>
  <c r="F12" i="36"/>
  <c r="G40" i="36"/>
  <c r="V38" i="36"/>
  <c r="E48" i="36"/>
  <c r="J24" i="36"/>
  <c r="J31" i="36" s="1"/>
  <c r="V23" i="36"/>
  <c r="I33" i="36"/>
  <c r="T44" i="36"/>
  <c r="T47" i="36" s="1"/>
  <c r="T33" i="36"/>
  <c r="T42" i="36" s="1"/>
  <c r="N48" i="36"/>
  <c r="P42" i="36"/>
  <c r="V40" i="36" l="1"/>
  <c r="G46" i="36"/>
  <c r="H24" i="36"/>
  <c r="H31" i="36" s="1"/>
  <c r="H45" i="36" s="1"/>
  <c r="V16" i="36"/>
  <c r="H12" i="36"/>
  <c r="V11" i="36"/>
  <c r="F44" i="36"/>
  <c r="F47" i="36" s="1"/>
  <c r="F33" i="36"/>
  <c r="F42" i="36" s="1"/>
  <c r="F36" i="48"/>
  <c r="J45" i="36"/>
  <c r="J47" i="36" s="1"/>
  <c r="J33" i="36"/>
  <c r="J42" i="36" s="1"/>
  <c r="G42" i="36"/>
  <c r="X40" i="36"/>
  <c r="I42" i="36"/>
  <c r="T48" i="36"/>
  <c r="P48" i="36"/>
  <c r="H33" i="36" l="1"/>
  <c r="H42" i="36" s="1"/>
  <c r="H44" i="36"/>
  <c r="H47" i="36" s="1"/>
  <c r="F48" i="36"/>
  <c r="F37" i="48"/>
  <c r="J48" i="36"/>
  <c r="V46" i="36"/>
  <c r="X46" i="36" s="1"/>
  <c r="G47" i="36"/>
  <c r="G48" i="36" s="1"/>
  <c r="F34" i="48"/>
  <c r="I48" i="36"/>
  <c r="H48" i="36" l="1"/>
  <c r="H25" i="17"/>
  <c r="H27" i="17" s="1"/>
  <c r="H31" i="17" s="1"/>
  <c r="F25" i="17"/>
  <c r="F27" i="17" s="1"/>
  <c r="F31" i="17" s="1"/>
  <c r="H25" i="6"/>
  <c r="H27" i="6" s="1"/>
  <c r="H31" i="6" s="1"/>
  <c r="E7" i="48" s="1"/>
  <c r="F27" i="6"/>
  <c r="F31" i="6" s="1"/>
  <c r="D7" i="48" s="1"/>
  <c r="S12" i="36" l="1"/>
  <c r="D8" i="48"/>
  <c r="E9" i="64" s="1"/>
  <c r="C10" i="36"/>
  <c r="C12" i="36" s="1"/>
  <c r="C44" i="36" s="1"/>
  <c r="C17" i="36"/>
  <c r="C24" i="36" s="1"/>
  <c r="C31" i="36" s="1"/>
  <c r="G7" i="48"/>
  <c r="S24" i="36"/>
  <c r="S31" i="36" s="1"/>
  <c r="E8" i="48"/>
  <c r="E14" i="64" s="1"/>
  <c r="S44" i="36"/>
  <c r="R24" i="36"/>
  <c r="R12" i="36"/>
  <c r="D27" i="48" l="1"/>
  <c r="S33" i="36"/>
  <c r="S42" i="36" s="1"/>
  <c r="E11" i="64"/>
  <c r="F9" i="64"/>
  <c r="D10" i="36"/>
  <c r="D12" i="36" s="1"/>
  <c r="D44" i="36" s="1"/>
  <c r="G8" i="48"/>
  <c r="G27" i="48" s="1"/>
  <c r="E21" i="64"/>
  <c r="E29" i="64" s="1"/>
  <c r="E33" i="48" s="1"/>
  <c r="F14" i="64"/>
  <c r="E27" i="48"/>
  <c r="C45" i="36"/>
  <c r="C47" i="36" s="1"/>
  <c r="C33" i="36"/>
  <c r="C42" i="36" s="1"/>
  <c r="D17" i="36"/>
  <c r="S45" i="36"/>
  <c r="S47" i="36"/>
  <c r="S48" i="36" s="1"/>
  <c r="R31" i="36"/>
  <c r="R33" i="36" s="1"/>
  <c r="R44" i="36"/>
  <c r="V12" i="36" l="1"/>
  <c r="D36" i="48" s="1"/>
  <c r="V10" i="36"/>
  <c r="F11" i="64"/>
  <c r="F56" i="64"/>
  <c r="G9" i="64"/>
  <c r="G11" i="64" s="1"/>
  <c r="D33" i="48"/>
  <c r="D34" i="48" s="1"/>
  <c r="E31" i="64"/>
  <c r="E39" i="64" s="1"/>
  <c r="G33" i="48" s="1"/>
  <c r="F21" i="64"/>
  <c r="F29" i="64" s="1"/>
  <c r="G14" i="64"/>
  <c r="G21" i="64" s="1"/>
  <c r="G29" i="64" s="1"/>
  <c r="G48" i="64" s="1"/>
  <c r="C48" i="36"/>
  <c r="D24" i="36"/>
  <c r="V17" i="36"/>
  <c r="V44" i="36"/>
  <c r="R42" i="36"/>
  <c r="R45" i="36"/>
  <c r="G31" i="64" l="1"/>
  <c r="G42" i="64" s="1"/>
  <c r="F48" i="64"/>
  <c r="F53" i="64"/>
  <c r="F31" i="64"/>
  <c r="D37" i="48"/>
  <c r="E34" i="48"/>
  <c r="X44" i="36"/>
  <c r="D31" i="36"/>
  <c r="V24" i="36"/>
  <c r="X12" i="36"/>
  <c r="E31" i="48"/>
  <c r="R47" i="36"/>
  <c r="G39" i="64" l="1"/>
  <c r="G49" i="64" s="1"/>
  <c r="F42" i="64"/>
  <c r="F39" i="64"/>
  <c r="G34" i="48"/>
  <c r="D45" i="36"/>
  <c r="D33" i="36"/>
  <c r="V31" i="36"/>
  <c r="R48" i="36"/>
  <c r="G44" i="64" l="1"/>
  <c r="G43" i="64"/>
  <c r="G67" i="64"/>
  <c r="G68" i="64" s="1"/>
  <c r="D68" i="64" s="1"/>
  <c r="F43" i="64"/>
  <c r="F44" i="64"/>
  <c r="F54" i="64"/>
  <c r="F74" i="64" s="1"/>
  <c r="F49" i="64"/>
  <c r="D42" i="36"/>
  <c r="V42" i="36" s="1"/>
  <c r="V33" i="36"/>
  <c r="D47" i="36"/>
  <c r="V45" i="36"/>
  <c r="X45" i="36" s="1"/>
  <c r="X31" i="36"/>
  <c r="E36" i="48"/>
  <c r="E37" i="48" s="1"/>
  <c r="F58" i="64" l="1"/>
  <c r="F57" i="64"/>
  <c r="D48" i="36"/>
  <c r="V47" i="36"/>
  <c r="X42" i="36"/>
  <c r="G36" i="48"/>
  <c r="G37" i="48" s="1"/>
  <c r="F64" i="64" l="1"/>
  <c r="F59" i="64"/>
  <c r="F65" i="64" s="1"/>
  <c r="V48" i="36"/>
  <c r="X47"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Frasure</author>
  </authors>
  <commentList>
    <comment ref="E14" authorId="0" shapeId="0" xr:uid="{00000000-0006-0000-0D00-000001000000}">
      <text>
        <r>
          <rPr>
            <b/>
            <sz val="9"/>
            <color indexed="81"/>
            <rFont val="Tahoma"/>
            <family val="2"/>
          </rPr>
          <t>Brian Frasure:</t>
        </r>
        <r>
          <rPr>
            <sz val="9"/>
            <color indexed="81"/>
            <rFont val="Tahoma"/>
            <family val="2"/>
          </rPr>
          <t xml:space="preserve">
NO LONGER EMPLOYED</t>
        </r>
      </text>
    </comment>
    <comment ref="E17" authorId="0" shapeId="0" xr:uid="{00000000-0006-0000-0D00-000002000000}">
      <text>
        <r>
          <rPr>
            <b/>
            <sz val="9"/>
            <color indexed="81"/>
            <rFont val="Tahoma"/>
            <family val="2"/>
          </rPr>
          <t>Brian Frasure:</t>
        </r>
        <r>
          <rPr>
            <sz val="9"/>
            <color indexed="81"/>
            <rFont val="Tahoma"/>
            <family val="2"/>
          </rPr>
          <t xml:space="preserve">
REHIRED 2017</t>
        </r>
      </text>
    </comment>
    <comment ref="E53" authorId="0" shapeId="0" xr:uid="{00000000-0006-0000-0D00-000003000000}">
      <text>
        <r>
          <rPr>
            <b/>
            <sz val="9"/>
            <color indexed="81"/>
            <rFont val="Tahoma"/>
            <family val="2"/>
          </rPr>
          <t>Brian Frasure:</t>
        </r>
        <r>
          <rPr>
            <sz val="9"/>
            <color indexed="81"/>
            <rFont val="Tahoma"/>
            <family val="2"/>
          </rPr>
          <t xml:space="preserve">
NO LONGER EMPLOYED</t>
        </r>
      </text>
    </comment>
    <comment ref="E55" authorId="0" shapeId="0" xr:uid="{00000000-0006-0000-0D00-000004000000}">
      <text>
        <r>
          <rPr>
            <b/>
            <sz val="9"/>
            <color indexed="81"/>
            <rFont val="Tahoma"/>
            <family val="2"/>
          </rPr>
          <t>Brian Frasure:</t>
        </r>
        <r>
          <rPr>
            <sz val="9"/>
            <color indexed="81"/>
            <rFont val="Tahoma"/>
            <family val="2"/>
          </rPr>
          <t xml:space="preserve">
NO LONGER EMPLOYED</t>
        </r>
      </text>
    </comment>
    <comment ref="E68" authorId="0" shapeId="0" xr:uid="{00000000-0006-0000-0D00-000005000000}">
      <text>
        <r>
          <rPr>
            <b/>
            <sz val="9"/>
            <color indexed="81"/>
            <rFont val="Tahoma"/>
            <family val="2"/>
          </rPr>
          <t>Brian Frasure:</t>
        </r>
        <r>
          <rPr>
            <sz val="9"/>
            <color indexed="81"/>
            <rFont val="Tahoma"/>
            <family val="2"/>
          </rPr>
          <t xml:space="preserve">
HIRED SEPTEMBER 2016</t>
        </r>
      </text>
    </comment>
    <comment ref="E72" authorId="0" shapeId="0" xr:uid="{00000000-0006-0000-0D00-000006000000}">
      <text>
        <r>
          <rPr>
            <b/>
            <sz val="9"/>
            <color indexed="81"/>
            <rFont val="Tahoma"/>
            <family val="2"/>
          </rPr>
          <t>Brian Frasure:</t>
        </r>
        <r>
          <rPr>
            <sz val="9"/>
            <color indexed="81"/>
            <rFont val="Tahoma"/>
            <family val="2"/>
          </rPr>
          <t xml:space="preserve">
NO LONGER EMPLOYED</t>
        </r>
      </text>
    </comment>
    <comment ref="E73" authorId="0" shapeId="0" xr:uid="{00000000-0006-0000-0D00-000007000000}">
      <text>
        <r>
          <rPr>
            <b/>
            <sz val="9"/>
            <color indexed="81"/>
            <rFont val="Tahoma"/>
            <family val="2"/>
          </rPr>
          <t>Brian Frasure:</t>
        </r>
        <r>
          <rPr>
            <sz val="9"/>
            <color indexed="81"/>
            <rFont val="Tahoma"/>
            <family val="2"/>
          </rPr>
          <t xml:space="preserve">
NO LONGER EMPLOYED</t>
        </r>
      </text>
    </comment>
    <comment ref="E75" authorId="0" shapeId="0" xr:uid="{00000000-0006-0000-0D00-000008000000}">
      <text>
        <r>
          <rPr>
            <b/>
            <sz val="9"/>
            <color indexed="81"/>
            <rFont val="Tahoma"/>
            <family val="2"/>
          </rPr>
          <t>Brian Frasure:</t>
        </r>
        <r>
          <rPr>
            <sz val="9"/>
            <color indexed="81"/>
            <rFont val="Tahoma"/>
            <family val="2"/>
          </rPr>
          <t xml:space="preserve">
NO LONGER EMPLOYED</t>
        </r>
      </text>
    </comment>
  </commentList>
</comments>
</file>

<file path=xl/sharedStrings.xml><?xml version="1.0" encoding="utf-8"?>
<sst xmlns="http://schemas.openxmlformats.org/spreadsheetml/2006/main" count="1360" uniqueCount="674">
  <si>
    <t>Line</t>
  </si>
  <si>
    <t>Description</t>
  </si>
  <si>
    <t>Sep</t>
  </si>
  <si>
    <t>Oct</t>
  </si>
  <si>
    <t>Nov</t>
  </si>
  <si>
    <t>Dec</t>
  </si>
  <si>
    <t>Jan</t>
  </si>
  <si>
    <t>Feb</t>
  </si>
  <si>
    <t>Mar</t>
  </si>
  <si>
    <t>Apr</t>
  </si>
  <si>
    <t>May</t>
  </si>
  <si>
    <t>Jun</t>
  </si>
  <si>
    <t>Jul</t>
  </si>
  <si>
    <t>Aug</t>
  </si>
  <si>
    <t>TOTAL</t>
  </si>
  <si>
    <t>Adjustment</t>
  </si>
  <si>
    <t>Year</t>
  </si>
  <si>
    <t>Month</t>
  </si>
  <si>
    <t>(1)</t>
  </si>
  <si>
    <t>(3)</t>
  </si>
  <si>
    <t>(2)</t>
  </si>
  <si>
    <t>#</t>
  </si>
  <si>
    <t>Subtotal</t>
  </si>
  <si>
    <t>Revenue</t>
  </si>
  <si>
    <t>Expense</t>
  </si>
  <si>
    <t>(4)</t>
  </si>
  <si>
    <t>Reference Schedule:  1.02</t>
  </si>
  <si>
    <t>Reference Schedule:  1.01</t>
  </si>
  <si>
    <t>Reference Schedule:  1.08</t>
  </si>
  <si>
    <t>Depreciation</t>
  </si>
  <si>
    <t>Rate Case Expenses</t>
  </si>
  <si>
    <t>G&amp;T Capital Credits</t>
  </si>
  <si>
    <t xml:space="preserve">Revenue </t>
  </si>
  <si>
    <t>Total Cost of Electric Service</t>
  </si>
  <si>
    <t>Non-Operating Margins - Interest</t>
  </si>
  <si>
    <t>Non-Operating Margins - Other</t>
  </si>
  <si>
    <t>Test Year Amount</t>
  </si>
  <si>
    <t>Pro Forma Year Amount</t>
  </si>
  <si>
    <t>This adjustment removes the FAC revenues and expenses from the test period.</t>
  </si>
  <si>
    <t>This adjustment removes the Envionmental Surcharge revenues and expenses from the test period.</t>
  </si>
  <si>
    <t>Item</t>
  </si>
  <si>
    <t>Total Amount</t>
  </si>
  <si>
    <t>Amortization Period (Years)</t>
  </si>
  <si>
    <t>Total</t>
  </si>
  <si>
    <t>Annual Amortization Amount</t>
  </si>
  <si>
    <t>This adjustment estimates the rate case costs amortized over a 3 year period, consistent with standard Commission practice.</t>
  </si>
  <si>
    <t>Year-End Customers</t>
  </si>
  <si>
    <t>(5)</t>
  </si>
  <si>
    <t>(6)</t>
  </si>
  <si>
    <t>(7)</t>
  </si>
  <si>
    <t>(8)</t>
  </si>
  <si>
    <t>Average</t>
  </si>
  <si>
    <t>Total kWh</t>
  </si>
  <si>
    <t>Average kWh</t>
  </si>
  <si>
    <t>Year-End kWh Adjustment</t>
  </si>
  <si>
    <t>Current Base Rate Revenue</t>
  </si>
  <si>
    <t>Average Revenue per kWh</t>
  </si>
  <si>
    <t>Year End Revenue Adj</t>
  </si>
  <si>
    <t>Revenue Adjustment</t>
  </si>
  <si>
    <t>Expense Adjustment</t>
  </si>
  <si>
    <t>Year End Expense Adj</t>
  </si>
  <si>
    <t>Total Purchased Power Expense</t>
  </si>
  <si>
    <t>Less Environmental Surcharge</t>
  </si>
  <si>
    <t>Less Fuel Adjustment Clause</t>
  </si>
  <si>
    <t>Adjusted Purchased Power Expense</t>
  </si>
  <si>
    <t>Total Purchased Power kWh</t>
  </si>
  <si>
    <t>End of Period Increase over Avg</t>
  </si>
  <si>
    <t>For Expense Adjustment:</t>
  </si>
  <si>
    <t>Avg Adj Purchase Exp per kWh</t>
  </si>
  <si>
    <t>Net Rev</t>
  </si>
  <si>
    <t>Interest on LTD</t>
  </si>
  <si>
    <t>TIER</t>
  </si>
  <si>
    <t>Operating Revenues</t>
  </si>
  <si>
    <t>Operating Expenses:</t>
  </si>
  <si>
    <t>Purchased Power</t>
  </si>
  <si>
    <t>Distribution Operations</t>
  </si>
  <si>
    <t>Distribution Maintenance</t>
  </si>
  <si>
    <t>Customer Accounts</t>
  </si>
  <si>
    <t>Customer Service</t>
  </si>
  <si>
    <t>Sales Expense</t>
  </si>
  <si>
    <t>A&amp;G</t>
  </si>
  <si>
    <t>Total O&amp;M Expense</t>
  </si>
  <si>
    <t xml:space="preserve">Depreciation </t>
  </si>
  <si>
    <t>Taxes - Other</t>
  </si>
  <si>
    <t>Interest - Other</t>
  </si>
  <si>
    <t>Other Deductions</t>
  </si>
  <si>
    <t>Utility Operating Margins</t>
  </si>
  <si>
    <t>Other Capital Credits</t>
  </si>
  <si>
    <t>Net Margins</t>
  </si>
  <si>
    <t>TIER excluding GTCC</t>
  </si>
  <si>
    <t>OTIER</t>
  </si>
  <si>
    <t>Rate</t>
  </si>
  <si>
    <t>Operating Revenues:</t>
  </si>
  <si>
    <t>Services</t>
  </si>
  <si>
    <t>Total Revenues</t>
  </si>
  <si>
    <t xml:space="preserve">        Base Rates</t>
  </si>
  <si>
    <t xml:space="preserve">    Total Operating Expenses</t>
  </si>
  <si>
    <t>Total Non-Operating Margins</t>
  </si>
  <si>
    <t>Interest on Long Term Debt</t>
  </si>
  <si>
    <t>Interest Expense - Other</t>
  </si>
  <si>
    <t>Base Rates</t>
  </si>
  <si>
    <t>Other Electric Revenue</t>
  </si>
  <si>
    <t>Distribution - Operations</t>
  </si>
  <si>
    <t>Distribution - Maintenance</t>
  </si>
  <si>
    <t>Consumer Accounts</t>
  </si>
  <si>
    <t>Sales</t>
  </si>
  <si>
    <t>Administrative and General</t>
  </si>
  <si>
    <t>Consulting - Catalyst Consulting LLC</t>
  </si>
  <si>
    <t>Actual Test Yr</t>
  </si>
  <si>
    <t>Pro Forma Test Yr</t>
  </si>
  <si>
    <t>Expense Adj</t>
  </si>
  <si>
    <t>Revenue Adj</t>
  </si>
  <si>
    <t>Net Adj</t>
  </si>
  <si>
    <t>Check</t>
  </si>
  <si>
    <t>Reference Schedule:  1.05</t>
  </si>
  <si>
    <t>Reference Schedule:  1.10</t>
  </si>
  <si>
    <t>Environmental Surcharge</t>
  </si>
  <si>
    <t xml:space="preserve">Fuel Adjustment Clause </t>
  </si>
  <si>
    <t>Transportation</t>
  </si>
  <si>
    <t>Meters</t>
  </si>
  <si>
    <t>Administrative &amp; General</t>
  </si>
  <si>
    <t>580-589</t>
  </si>
  <si>
    <t>Operations</t>
  </si>
  <si>
    <t>590-598</t>
  </si>
  <si>
    <t>Maintenance</t>
  </si>
  <si>
    <t>901-905</t>
  </si>
  <si>
    <t>920-935</t>
  </si>
  <si>
    <t>Pro Forma Adj</t>
  </si>
  <si>
    <t>A</t>
  </si>
  <si>
    <t>B</t>
  </si>
  <si>
    <t>Alloc</t>
  </si>
  <si>
    <t>Labor $</t>
  </si>
  <si>
    <t>Test Yr Ending Bal</t>
  </si>
  <si>
    <t>Normalized Expense</t>
  </si>
  <si>
    <t>Test Year Expense</t>
  </si>
  <si>
    <t>Acct #</t>
  </si>
  <si>
    <t>Fully Depr Items</t>
  </si>
  <si>
    <t>Distribution Plant</t>
  </si>
  <si>
    <t>Station equipment</t>
  </si>
  <si>
    <t>Poles, towers &amp; fixtures</t>
  </si>
  <si>
    <t>Overhead conductors &amp; devices</t>
  </si>
  <si>
    <t>Underground conductor &amp; devices</t>
  </si>
  <si>
    <t>Line transformers</t>
  </si>
  <si>
    <t>Land</t>
  </si>
  <si>
    <t>General Plant</t>
  </si>
  <si>
    <t>Transporation Charged to Clearing</t>
  </si>
  <si>
    <t>Allocation of Clearing to O&amp;M</t>
  </si>
  <si>
    <t>Depr $</t>
  </si>
  <si>
    <t>Distribution &amp; General Subtotal</t>
  </si>
  <si>
    <t>Total Operating Revenue</t>
  </si>
  <si>
    <t>Total Sales of Electric Energy</t>
  </si>
  <si>
    <t>Cash Receipts from Lenders</t>
  </si>
  <si>
    <t>Pro Forma Amount</t>
  </si>
  <si>
    <t>Variance</t>
  </si>
  <si>
    <t>Summary of Pro Forma Adjustments</t>
  </si>
  <si>
    <t>Fuel Adjustment Clause</t>
  </si>
  <si>
    <t>Non-Operating Income</t>
  </si>
  <si>
    <t>Net Margin</t>
  </si>
  <si>
    <t>This adjustment adjusts the test year expenses and revenues to reflect the number of customers at the end of the test year.</t>
  </si>
  <si>
    <t>Reference Schedule</t>
  </si>
  <si>
    <t>Summary of Adjustments to Test Year Statement of Operations</t>
  </si>
  <si>
    <t>Summary of Adjustments to Test Year Balance Sheet</t>
  </si>
  <si>
    <t>Assets and Other Debits</t>
  </si>
  <si>
    <t>Total Utility Plant in Service</t>
  </si>
  <si>
    <t>Construction Work in Progress</t>
  </si>
  <si>
    <t>Accum Provision for Depr and Amort</t>
  </si>
  <si>
    <t>Net Utility Plant</t>
  </si>
  <si>
    <t>Investment in Assoc Org - Patr Capital</t>
  </si>
  <si>
    <t>Investment in Assoc Org - Other Gen Fnd</t>
  </si>
  <si>
    <t>Investment in Assoc Org - Non Gen Fnd</t>
  </si>
  <si>
    <t>Other Investment</t>
  </si>
  <si>
    <t>Total Other Prop &amp; Investments</t>
  </si>
  <si>
    <t>Cash - General Funds</t>
  </si>
  <si>
    <t>Cash - Construction Fund Trust</t>
  </si>
  <si>
    <t>Special Deposits</t>
  </si>
  <si>
    <t>Temporary Investments</t>
  </si>
  <si>
    <t>Accts Receivable - Other (Net)</t>
  </si>
  <si>
    <t>Accts Receivable - Sales Energy (Net)</t>
  </si>
  <si>
    <t>Renewable Energy Credits</t>
  </si>
  <si>
    <t>Material &amp; Supplies - Elec &amp; Other</t>
  </si>
  <si>
    <t>Prepayments</t>
  </si>
  <si>
    <t>Other Current &amp; Accr Assets</t>
  </si>
  <si>
    <t>Total Current &amp; Accr Assets</t>
  </si>
  <si>
    <t>Other Regulatory Assets</t>
  </si>
  <si>
    <t>Other Deferred Debits</t>
  </si>
  <si>
    <t>Total Assets &amp; Other Debits</t>
  </si>
  <si>
    <t>Liabilities &amp; Other Credits</t>
  </si>
  <si>
    <t>Memberships</t>
  </si>
  <si>
    <t>Patronage Capital</t>
  </si>
  <si>
    <t>Operating Margins - Current Year</t>
  </si>
  <si>
    <t>Non-Operating Margins</t>
  </si>
  <si>
    <t>Other Margins &amp; Equities</t>
  </si>
  <si>
    <t>Total Margins &amp; Equities</t>
  </si>
  <si>
    <t>Long Term Debt - FFB - RUS GUAR</t>
  </si>
  <si>
    <t>Long Term Debt - Other (Net)</t>
  </si>
  <si>
    <t>Long Term Debt - RUS -Econ Dev - Net</t>
  </si>
  <si>
    <t>Total Long Term Debt</t>
  </si>
  <si>
    <t>Accum Operating Provisions</t>
  </si>
  <si>
    <t>Notes Payable</t>
  </si>
  <si>
    <t>Accounts Payable</t>
  </si>
  <si>
    <t>Consumer Deposits</t>
  </si>
  <si>
    <t>Other Current &amp; Accr Liabilities</t>
  </si>
  <si>
    <t>Total Current &amp; Accr Liabilities</t>
  </si>
  <si>
    <t>Regulatory Liabilities</t>
  </si>
  <si>
    <t>Other Deferred Credits</t>
  </si>
  <si>
    <t>Total Liabilities &amp; Other Credits</t>
  </si>
  <si>
    <t>Pro Forma Adjs</t>
  </si>
  <si>
    <t>Statement of Operations &amp; Revenue Requirement</t>
  </si>
  <si>
    <t>Income(Loss) from Equity Investments</t>
  </si>
  <si>
    <t>29a</t>
  </si>
  <si>
    <t>Income(Loss) from Equity Invstmts</t>
  </si>
  <si>
    <t>For the 12 Months Ended December 31, 2019</t>
  </si>
  <si>
    <t>Target TIER</t>
  </si>
  <si>
    <t>Margins at Target TIER</t>
  </si>
  <si>
    <t>Revenue Requirement</t>
  </si>
  <si>
    <t>Revenue Deficiency (Excess)</t>
  </si>
  <si>
    <t>Target OTIER</t>
  </si>
  <si>
    <t>Margins at Target OTIER</t>
  </si>
  <si>
    <t>Needed Sales of Electric  Energy</t>
  </si>
  <si>
    <t>Increase</t>
  </si>
  <si>
    <t>Cap on Increase</t>
  </si>
  <si>
    <t>Capped Increase Amount</t>
  </si>
  <si>
    <t xml:space="preserve">Permissible Increase </t>
  </si>
  <si>
    <t>Life Insurance Premiums</t>
  </si>
  <si>
    <t xml:space="preserve">Test Period </t>
  </si>
  <si>
    <t>Depreciation Expense Normalization</t>
  </si>
  <si>
    <t>Actual Test Year</t>
  </si>
  <si>
    <t>Directors Expense</t>
  </si>
  <si>
    <t>Year-End Customer Normalization</t>
  </si>
  <si>
    <t>A+B</t>
  </si>
  <si>
    <t>Balance Sheet Accounts</t>
  </si>
  <si>
    <t>This adjustment normalizes depreciation expenses by replacing test year actual expenses with test year end balances, less any fully depreciated items, at approved depreciation rates.</t>
  </si>
  <si>
    <t>907-912</t>
  </si>
  <si>
    <t>Capital</t>
  </si>
  <si>
    <t>Pro Forma Adjustments</t>
  </si>
  <si>
    <t>Checks</t>
  </si>
  <si>
    <t>Sum from Rev Req page</t>
  </si>
  <si>
    <t>Sum from Adj IS page</t>
  </si>
  <si>
    <t>Var from Adj List</t>
  </si>
  <si>
    <t>Non Oper Adj</t>
  </si>
  <si>
    <t xml:space="preserve">Reference Schedule &gt;     </t>
  </si>
  <si>
    <t xml:space="preserve">Item  &gt;     </t>
  </si>
  <si>
    <t>Proposed Rates</t>
  </si>
  <si>
    <t>Reference Schedule:  1.06</t>
  </si>
  <si>
    <t>Reference Schedule:  1.07</t>
  </si>
  <si>
    <t>Wages &amp; Salaries</t>
  </si>
  <si>
    <t>C</t>
  </si>
  <si>
    <t>E</t>
  </si>
  <si>
    <t>F</t>
  </si>
  <si>
    <t>G</t>
  </si>
  <si>
    <t>This adjustment removes charitable donations, promotional advertising expenses, and dues from the revenue requirement consistent with standard Commission practices.</t>
  </si>
  <si>
    <t>Directors Expenses</t>
  </si>
  <si>
    <t>Creech</t>
  </si>
  <si>
    <t>This adjustment removes certain Director expenses consistent with recent Commission orders and standard Commission practices.</t>
  </si>
  <si>
    <t>Hours Worked</t>
  </si>
  <si>
    <t>Actual Test Year Wages</t>
  </si>
  <si>
    <t>Pro Forma Wages at 2,080 Hours</t>
  </si>
  <si>
    <t>Pro Forma Adjustment</t>
  </si>
  <si>
    <t>ID</t>
  </si>
  <si>
    <t>Actual ID</t>
  </si>
  <si>
    <t>Regular</t>
  </si>
  <si>
    <t>Overtime</t>
  </si>
  <si>
    <t>&lt; Hide &gt;</t>
  </si>
  <si>
    <t>Empl #</t>
  </si>
  <si>
    <t>Note</t>
  </si>
  <si>
    <t>Employee</t>
  </si>
  <si>
    <t>All</t>
  </si>
  <si>
    <t>Retirement Plan Contributions</t>
  </si>
  <si>
    <t>Life Insurance</t>
  </si>
  <si>
    <t>D</t>
  </si>
  <si>
    <t>Total Premium</t>
  </si>
  <si>
    <t>Ending 2019 Rate</t>
  </si>
  <si>
    <t>Ending 2019 Salary</t>
  </si>
  <si>
    <t>Lesser of $50k or Salary</t>
  </si>
  <si>
    <t>Amount to Exclude</t>
  </si>
  <si>
    <t>Allowed Total</t>
  </si>
  <si>
    <t>This adjustment removes Life insurance premiums for coverage above the lesser of an employee's annual salary or $50,000 from the test period.</t>
  </si>
  <si>
    <t>Rate Riders</t>
  </si>
  <si>
    <t xml:space="preserve">        Rate Riders</t>
  </si>
  <si>
    <t>Reference Schedule:  1.12</t>
  </si>
  <si>
    <t>Structures and improvements</t>
  </si>
  <si>
    <t>Tools, shop and garage</t>
  </si>
  <si>
    <t>Communications</t>
  </si>
  <si>
    <t>Miscellaneous</t>
  </si>
  <si>
    <t>CUMBERLAND VALLEY ELECTRIC</t>
  </si>
  <si>
    <t>Test Year w FAC Roll-In</t>
  </si>
  <si>
    <t>Revenue Change from FAC Roll-In:</t>
  </si>
  <si>
    <t>Total Utility Plant</t>
  </si>
  <si>
    <t>Long Term Debt - RUS (Net)</t>
  </si>
  <si>
    <t>Long Term Debt - Other - RUS GUAR</t>
  </si>
  <si>
    <t>Current Maturities Long-Term Debt</t>
  </si>
  <si>
    <t>Current Maturities Long-Term Debt-Econ Dev</t>
  </si>
  <si>
    <t>Estimated Contrib in Aid of Construction</t>
  </si>
  <si>
    <t>Balance Beginning of Year</t>
  </si>
  <si>
    <t>Amount Received This Year (Net)</t>
  </si>
  <si>
    <t>Total Contributions in Aid of Construction</t>
  </si>
  <si>
    <t>Reference Schedule:  1.15</t>
  </si>
  <si>
    <t>Davis</t>
  </si>
  <si>
    <t>Vanover</t>
  </si>
  <si>
    <t>Shelley</t>
  </si>
  <si>
    <t>Hampton</t>
  </si>
  <si>
    <t>Lay</t>
  </si>
  <si>
    <t>Moses</t>
  </si>
  <si>
    <t>Lewis</t>
  </si>
  <si>
    <t>Tolliver</t>
  </si>
  <si>
    <t>Ferguson</t>
  </si>
  <si>
    <t>NRECA Regional Meeting (Atlanta, GA)</t>
  </si>
  <si>
    <t>Reduction in Monthly Fees</t>
  </si>
  <si>
    <t>Health Insurance Paid by Directors</t>
  </si>
  <si>
    <t>Dental Insurance Paid by Directors</t>
  </si>
  <si>
    <t>NRECA Life Paid by Directors</t>
  </si>
  <si>
    <t>NRECA AD&amp;D Paid by Directors</t>
  </si>
  <si>
    <t>Changes in Board Fees</t>
  </si>
  <si>
    <t>Items to be removed:</t>
  </si>
  <si>
    <t>Amount</t>
  </si>
  <si>
    <t>NRECA Regional Meetings (Moses)</t>
  </si>
  <si>
    <t>Total to be removed:</t>
  </si>
  <si>
    <t>Items to be added:</t>
  </si>
  <si>
    <t>Total to be added:</t>
  </si>
  <si>
    <t xml:space="preserve">Meters       </t>
  </si>
  <si>
    <t>Meters - Solid State</t>
  </si>
  <si>
    <t>Installations on customer premises</t>
  </si>
  <si>
    <t>Structures and improvements-R.S.</t>
  </si>
  <si>
    <t>Office furn and eqt</t>
  </si>
  <si>
    <t>Laboratory</t>
  </si>
  <si>
    <t>Power operated</t>
  </si>
  <si>
    <t>Donations, Promotional Advertising, Dues &amp; Other</t>
  </si>
  <si>
    <t>Account</t>
  </si>
  <si>
    <t>DONATIONS</t>
  </si>
  <si>
    <t>DONATIONS-SCHOLARSHIPS</t>
  </si>
  <si>
    <t>DONATIONS-MEMBERSHIPS, DUES</t>
  </si>
  <si>
    <t>GENERAL ADVERTISING EXP</t>
  </si>
  <si>
    <t>MISC GENERAL EXPENSE-OTHER</t>
  </si>
  <si>
    <t>MISC GENERAL EXPENSE-KY LIVING</t>
  </si>
  <si>
    <t>MISC GEN EXP-CAPITAL CREDITS</t>
  </si>
  <si>
    <t>MISC GEN EXP-ANNUAL MEETING</t>
  </si>
  <si>
    <t>Acct:</t>
  </si>
  <si>
    <t>DATE</t>
  </si>
  <si>
    <t>CHECK</t>
  </si>
  <si>
    <t>VENDOR NAME</t>
  </si>
  <si>
    <t>DEBIT</t>
  </si>
  <si>
    <t>DESCRIPTION</t>
  </si>
  <si>
    <t>01/23/19</t>
  </si>
  <si>
    <t>HARLAN CO HIGH</t>
  </si>
  <si>
    <t>DONATION</t>
  </si>
  <si>
    <t>02/14/19</t>
  </si>
  <si>
    <t>CORBIN HIGH SCHOOL</t>
  </si>
  <si>
    <t>03/05/19</t>
  </si>
  <si>
    <t>SPECIAL OLYMPICS KENTUCKY</t>
  </si>
  <si>
    <t>SPECIAL OLYMPICS DONATION</t>
  </si>
  <si>
    <t>03/14/19</t>
  </si>
  <si>
    <t>FLEMINGSBURG FIRST</t>
  </si>
  <si>
    <t>MEMORIAL DONATION FOR J.E.S.</t>
  </si>
  <si>
    <t>03/26/19</t>
  </si>
  <si>
    <t>WHITLEY CO HIGH SCHOOL</t>
  </si>
  <si>
    <t>03/27/19</t>
  </si>
  <si>
    <t>KCEOC COMM ACTION</t>
  </si>
  <si>
    <t>04/11/19</t>
  </si>
  <si>
    <t>NRECA INTERNATIONAL</t>
  </si>
  <si>
    <t>KY STATE POLICE, POS</t>
  </si>
  <si>
    <t>04/23/19</t>
  </si>
  <si>
    <t>BLUE GRASS COUNCIL</t>
  </si>
  <si>
    <t>VISIONARY AWARD DINNER</t>
  </si>
  <si>
    <t>04/30/19</t>
  </si>
  <si>
    <t>WHITLEY CO BD OF ED</t>
  </si>
  <si>
    <t>05/31/19</t>
  </si>
  <si>
    <t>BARBOURVILLE HIGH SCHOOL</t>
  </si>
  <si>
    <t>06/13/19</t>
  </si>
  <si>
    <t>06/30/19</t>
  </si>
  <si>
    <t>SOUTH KENTUCKY REC</t>
  </si>
  <si>
    <t>SPONSOR</t>
  </si>
  <si>
    <t>07/10/19</t>
  </si>
  <si>
    <t>WHITLEY COUNTY TOURISM BD</t>
  </si>
  <si>
    <t>08/07/19</t>
  </si>
  <si>
    <t>08/31/19</t>
  </si>
  <si>
    <t>HARLAN COUNTY CHRISTIAN SCHOOL</t>
  </si>
  <si>
    <t>09/30/19</t>
  </si>
  <si>
    <t>TRI-CITY CHAMBER OF COMMERCE</t>
  </si>
  <si>
    <t>TABLE SPONSOR</t>
  </si>
  <si>
    <t>10/31/19</t>
  </si>
  <si>
    <t>CORBIN BASKETBALL</t>
  </si>
  <si>
    <t>11/20/19</t>
  </si>
  <si>
    <t>BANQUET TICKETS</t>
  </si>
  <si>
    <t>11/30/19</t>
  </si>
  <si>
    <t xml:space="preserve">BANQUET </t>
  </si>
  <si>
    <t>KNOX CO CHAMBER OF COMMERCE</t>
  </si>
  <si>
    <t>BANQUET</t>
  </si>
  <si>
    <t xml:space="preserve">     TOTAL</t>
  </si>
  <si>
    <t>07/12/19</t>
  </si>
  <si>
    <t>UNION COLLEGE</t>
  </si>
  <si>
    <t>SCHOLARSHIP</t>
  </si>
  <si>
    <t>UNIVERSITY OF KENTUCKY</t>
  </si>
  <si>
    <t>SOMERSET COMMUNITY COLLEGE</t>
  </si>
  <si>
    <t>EASTERN KENTUCKY UNIVERSITY</t>
  </si>
  <si>
    <t>UNIVERSITY OF THE CUMBERLANDS</t>
  </si>
  <si>
    <t>UNIVERSITY OF PIKEVILLE</t>
  </si>
  <si>
    <t>ALICE LLOYD COLLEGE</t>
  </si>
  <si>
    <t>12/05/19</t>
  </si>
  <si>
    <t>05/17/16</t>
  </si>
  <si>
    <t>01/14/19</t>
  </si>
  <si>
    <t xml:space="preserve">MEMBERSHIP </t>
  </si>
  <si>
    <t>01/31/19</t>
  </si>
  <si>
    <t>SOUTHERN KY CHAMBER OF COMM</t>
  </si>
  <si>
    <t xml:space="preserve">MEMBERSHIP    </t>
  </si>
  <si>
    <t>KENTUCKY COUNCIL OF COOP INC</t>
  </si>
  <si>
    <t>02/28/19</t>
  </si>
  <si>
    <t>KY ASSOC OF ELECT COOP</t>
  </si>
  <si>
    <t>MEMBERSHIP</t>
  </si>
  <si>
    <t>TRI-CITIES HERITAGE DEVELOP</t>
  </si>
  <si>
    <t>8/21/19</t>
  </si>
  <si>
    <t>LETCHER CO CHAMBER OF COMM</t>
  </si>
  <si>
    <t>11/27/19</t>
  </si>
  <si>
    <t>KRUS</t>
  </si>
  <si>
    <t>AMOUNT</t>
  </si>
  <si>
    <t>WEKX-FM</t>
  </si>
  <si>
    <t>RADIO SPOTS</t>
  </si>
  <si>
    <t>WEZJ/FM</t>
  </si>
  <si>
    <t>CHOICE RADIO CORP</t>
  </si>
  <si>
    <t>WKDP</t>
  </si>
  <si>
    <t>MOUNTAIN ADVOCATE</t>
  </si>
  <si>
    <t>KNOX CO GUIDE 2019</t>
  </si>
  <si>
    <t>JOURNAL</t>
  </si>
  <si>
    <t/>
  </si>
  <si>
    <t>431A</t>
  </si>
  <si>
    <t xml:space="preserve">NRECA/KAEC </t>
  </si>
  <si>
    <t>DUES-ALLOC MONTHLY WFJ 431A</t>
  </si>
  <si>
    <t>6/30/19</t>
  </si>
  <si>
    <t>7237A</t>
  </si>
  <si>
    <t>NRTC</t>
  </si>
  <si>
    <t>REC EDUCATION FUND ALLOCATION</t>
  </si>
  <si>
    <t>7259A</t>
  </si>
  <si>
    <t>NRUCFC</t>
  </si>
  <si>
    <t>INTEGRITY FUND CONTRIBUTION</t>
  </si>
  <si>
    <t>KAEC</t>
  </si>
  <si>
    <t>KY LIVING MAGAZINE</t>
  </si>
  <si>
    <t>03/31/19</t>
  </si>
  <si>
    <t>07/31/19</t>
  </si>
  <si>
    <t>KY LIVING MAGAZINE JUNE/JULY</t>
  </si>
  <si>
    <t>12/31/19</t>
  </si>
  <si>
    <t>7266B</t>
  </si>
  <si>
    <t>ADJ PATRONAGE CC ALLOCATION</t>
  </si>
  <si>
    <t>430A</t>
  </si>
  <si>
    <t>SEE ANNUAL MEETING SUM</t>
  </si>
  <si>
    <t>ANN MTG EXP MONTHLY WFJ 430A</t>
  </si>
  <si>
    <t>Professional Services</t>
  </si>
  <si>
    <t>To Be</t>
  </si>
  <si>
    <t>Date</t>
  </si>
  <si>
    <t>Removed</t>
  </si>
  <si>
    <t>01/03/19</t>
  </si>
  <si>
    <t>W. PATRICK HAUSER</t>
  </si>
  <si>
    <t>RETAINER FEE</t>
  </si>
  <si>
    <t>02/05/19</t>
  </si>
  <si>
    <t>W.PATRICK HAUSER</t>
  </si>
  <si>
    <t>02/27/19</t>
  </si>
  <si>
    <t>KENNETH WAYNE BRYANT</t>
  </si>
  <si>
    <t>ACCOUNTING SERVICES</t>
  </si>
  <si>
    <t>GOSS-SAMFORD</t>
  </si>
  <si>
    <t>LEGAL SERVICES</t>
  </si>
  <si>
    <t>04/03/19</t>
  </si>
  <si>
    <t>FROST BROWN TODD</t>
  </si>
  <si>
    <t>LEGAL SERVICES-CONT NEG</t>
  </si>
  <si>
    <t>05/01/19</t>
  </si>
  <si>
    <t>05/12/19</t>
  </si>
  <si>
    <t>ALAN M. ZUMSTEIN</t>
  </si>
  <si>
    <t>06/05/19</t>
  </si>
  <si>
    <t>07/02/19</t>
  </si>
  <si>
    <t>07/25/19</t>
  </si>
  <si>
    <t>INTANDEM, LLC</t>
  </si>
  <si>
    <t>CONSULTING SERVICES</t>
  </si>
  <si>
    <t>08/02/19</t>
  </si>
  <si>
    <t>APPLE LEGAL PLLC</t>
  </si>
  <si>
    <t>08/14/19</t>
  </si>
  <si>
    <t>08/28/19</t>
  </si>
  <si>
    <t>09/04/19</t>
  </si>
  <si>
    <t>09/27/19</t>
  </si>
  <si>
    <t>10/02/19</t>
  </si>
  <si>
    <t>10/10/19</t>
  </si>
  <si>
    <t>10/18/19</t>
  </si>
  <si>
    <t>KY ASSOC OF ELECT COOPS</t>
  </si>
  <si>
    <t>11/05/19</t>
  </si>
  <si>
    <t>JAMES R. ADKINS</t>
  </si>
  <si>
    <t>ROBERT PREVATTE</t>
  </si>
  <si>
    <t>2019 INTERNAL AUDIT</t>
  </si>
  <si>
    <t>12/03/19</t>
  </si>
  <si>
    <t>12/26/19</t>
  </si>
  <si>
    <t>09/12/19</t>
  </si>
  <si>
    <t>AUDIT</t>
  </si>
  <si>
    <t>This adjustment removes certain outside professional services costs from the test period, consistent with Commission practice.</t>
  </si>
  <si>
    <t>Reference Schedule:  1.13</t>
  </si>
  <si>
    <t>East Kentucky Power Cooperative</t>
  </si>
  <si>
    <t>This adjustment removes the G&amp;T Capital Credits from the test period, consistent with Commission practice.</t>
  </si>
  <si>
    <t>2019 Wage Rate</t>
  </si>
  <si>
    <t>Count</t>
  </si>
  <si>
    <t>Vac P.Out</t>
  </si>
  <si>
    <t>Other</t>
  </si>
  <si>
    <t>Hourly Employees</t>
  </si>
  <si>
    <t xml:space="preserve"> </t>
  </si>
  <si>
    <t>Part Time  &amp; Summer Employees</t>
  </si>
  <si>
    <t>Retired Employees</t>
  </si>
  <si>
    <t>NOTES:</t>
  </si>
  <si>
    <t>No longer employed</t>
  </si>
  <si>
    <t>Used Test Year Hours for Pro Forma Wages</t>
  </si>
  <si>
    <t>This adjustment normalizes wages and salaries to account for changes due to wage increases, promotions, retirements, terminations, or new hires for standard year of 2,080 hours.</t>
  </si>
  <si>
    <t>Labor Expense Summary</t>
  </si>
  <si>
    <t>907-910</t>
  </si>
  <si>
    <t>101-120</t>
  </si>
  <si>
    <t>Utility Plant</t>
  </si>
  <si>
    <t>131-174</t>
  </si>
  <si>
    <t>Current &amp; Accrued Assets</t>
  </si>
  <si>
    <t>181-190</t>
  </si>
  <si>
    <t>Deferred Debits</t>
  </si>
  <si>
    <t>231-283</t>
  </si>
  <si>
    <t>Current &amp; Accrued Liabilities</t>
  </si>
  <si>
    <t>Labor Expense Detail by Account</t>
  </si>
  <si>
    <t>No.</t>
  </si>
  <si>
    <t>Acct</t>
  </si>
  <si>
    <t>Labor Amt</t>
  </si>
  <si>
    <t>Share</t>
  </si>
  <si>
    <t>Construction Work In Progress</t>
  </si>
  <si>
    <t>Retirement Work In Prograss</t>
  </si>
  <si>
    <t>Other Accounts Receivable</t>
  </si>
  <si>
    <t>Stores</t>
  </si>
  <si>
    <t>Misc. Current / Accrued Liabilities</t>
  </si>
  <si>
    <t>Operation Supervision &amp; Engineering</t>
  </si>
  <si>
    <t>Overhead Lines</t>
  </si>
  <si>
    <t>Customer Installations</t>
  </si>
  <si>
    <t>Miscellaneous Distribution</t>
  </si>
  <si>
    <t>Maintenance Supervision &amp; Engineering</t>
  </si>
  <si>
    <t>Maintenance Overhead Lines</t>
  </si>
  <si>
    <t>Maintenance Transformers</t>
  </si>
  <si>
    <t>Maintenance Meters</t>
  </si>
  <si>
    <t>Miscellaneous Maintenance</t>
  </si>
  <si>
    <t>Meter Reading</t>
  </si>
  <si>
    <t>Consumer Records &amp; Collection</t>
  </si>
  <si>
    <t>908.00</t>
  </si>
  <si>
    <t>Consumer Assistance</t>
  </si>
  <si>
    <t>Office Supplies and Expenses</t>
  </si>
  <si>
    <t>Maintenance General Plant</t>
  </si>
  <si>
    <t>Payroll Taxes</t>
  </si>
  <si>
    <t>Social Security</t>
  </si>
  <si>
    <t>Medicare</t>
  </si>
  <si>
    <t>Federal Unemployment</t>
  </si>
  <si>
    <t>State Unemployment</t>
  </si>
  <si>
    <t>Normalized</t>
  </si>
  <si>
    <t>Up To</t>
  </si>
  <si>
    <t>At</t>
  </si>
  <si>
    <t>(6)+(8)+</t>
  </si>
  <si>
    <t>Wages</t>
  </si>
  <si>
    <t>(10)+(12)</t>
  </si>
  <si>
    <t>Employee ID</t>
  </si>
  <si>
    <t>Salary Employees</t>
  </si>
  <si>
    <t>&lt;---(6) + (8)</t>
  </si>
  <si>
    <t>&lt;-- (6) + (8)</t>
  </si>
  <si>
    <t xml:space="preserve">A - </t>
  </si>
  <si>
    <t>B -</t>
  </si>
  <si>
    <t>This adjustment normalizes test year payroll taxes for FICA, Medicare, FUTA and SUTA based on most recent effective rates.</t>
  </si>
  <si>
    <t>Allocation to Accounts</t>
  </si>
  <si>
    <t>Type of Debt Issued</t>
  </si>
  <si>
    <t>Date of Issue</t>
  </si>
  <si>
    <t>Date of Maturity</t>
  </si>
  <si>
    <t>Outstanding Amount</t>
  </si>
  <si>
    <t>Cost Rate to Maturity</t>
  </si>
  <si>
    <t>Pro Forma Interest Cost</t>
  </si>
  <si>
    <t>Test Year Interest Cost</t>
  </si>
  <si>
    <t>(9)</t>
  </si>
  <si>
    <t>RUS Loans</t>
  </si>
  <si>
    <t>1B300</t>
  </si>
  <si>
    <t>Advance Payment unapplied</t>
  </si>
  <si>
    <t>FFB Loans</t>
  </si>
  <si>
    <t>H0010</t>
  </si>
  <si>
    <t>Var.</t>
  </si>
  <si>
    <t>H0015</t>
  </si>
  <si>
    <t>H0020</t>
  </si>
  <si>
    <t>H0025</t>
  </si>
  <si>
    <t>H0030</t>
  </si>
  <si>
    <t>H0035</t>
  </si>
  <si>
    <t>H0040</t>
  </si>
  <si>
    <t>H0045</t>
  </si>
  <si>
    <t>H0050</t>
  </si>
  <si>
    <t>H0055</t>
  </si>
  <si>
    <t>H0060</t>
  </si>
  <si>
    <t>H0065</t>
  </si>
  <si>
    <t>H0070</t>
  </si>
  <si>
    <t>H0075</t>
  </si>
  <si>
    <t>H0080</t>
  </si>
  <si>
    <t>H0085</t>
  </si>
  <si>
    <t>H0090</t>
  </si>
  <si>
    <t>H0095</t>
  </si>
  <si>
    <t>H0100</t>
  </si>
  <si>
    <t>F0105</t>
  </si>
  <si>
    <t>F0110</t>
  </si>
  <si>
    <t>F0115</t>
  </si>
  <si>
    <t>CoBank Loans</t>
  </si>
  <si>
    <t>NCSC Loans</t>
  </si>
  <si>
    <t>PPP Loans</t>
  </si>
  <si>
    <t>88139074-00</t>
  </si>
  <si>
    <t>Sub-Total</t>
  </si>
  <si>
    <t>Annualized Cost Rate</t>
  </si>
  <si>
    <t>Total Adjustment</t>
  </si>
  <si>
    <t>Variable Rate Loans. Used 3rd, 4th Qtr 2019 and 1st, 2nd Qtr 2020 interest paid</t>
  </si>
  <si>
    <t>to calculated Pro Forma Interest Cost</t>
  </si>
  <si>
    <t xml:space="preserve">This adjustment normalizes the interest on Long-Term Debt.  Test year cost of debt is normalized to annualized cost rate (by multiplying the test year end debt amounts by the interest rate in effect at the end of the test year for each loan). </t>
  </si>
  <si>
    <t>Retirement Plan &amp; 401(k)</t>
  </si>
  <si>
    <t>R&amp;S Rate:</t>
  </si>
  <si>
    <t>Union 401(k):</t>
  </si>
  <si>
    <t>Retirement Cost</t>
  </si>
  <si>
    <t>Normalized Wages</t>
  </si>
  <si>
    <t>Retirement Cost Rate</t>
  </si>
  <si>
    <t>Retirement Cost Accrual</t>
  </si>
  <si>
    <t>Wage</t>
  </si>
  <si>
    <t>Current</t>
  </si>
  <si>
    <t>This adjustment normalizes test year utility contributions to NRECA Retirement &amp; Security Program and NRECA Savings Plan 401(k) based on most recent contribution rates.</t>
  </si>
  <si>
    <t>Miscellaneous Expenses</t>
  </si>
  <si>
    <t>Check 78738 VISA Prizes, Supplies &amp; Misc.</t>
  </si>
  <si>
    <t>Check 78526 Presentation of Flags</t>
  </si>
  <si>
    <t>Check 78536 Singer for National Anthem</t>
  </si>
  <si>
    <t>Check 79520 CVE Petty Cash Misc.</t>
  </si>
  <si>
    <t>Delegates</t>
  </si>
  <si>
    <t>This adjustment removes costs related to Annual Meeting prizes, consistent with Commission practice.</t>
  </si>
  <si>
    <t>Legal - Goss Samford PLLC</t>
  </si>
  <si>
    <t>Legal - W. Patrick Hauser, P.S.C.</t>
  </si>
  <si>
    <t>Advertising</t>
  </si>
  <si>
    <t>Supplies / Misc</t>
  </si>
  <si>
    <t>Donations, Advertising, Dues, &amp; Other</t>
  </si>
  <si>
    <t>Payroll Tax</t>
  </si>
  <si>
    <t>Interest</t>
  </si>
  <si>
    <t>Sch I - Residential, Schools &amp; Churches</t>
  </si>
  <si>
    <t>Sch II - Small Commercial  Small Power</t>
  </si>
  <si>
    <t>Sch VII - Inclining Block Rate</t>
  </si>
  <si>
    <t>Sch III - All 3Phase Schools &amp; Churches</t>
  </si>
  <si>
    <t>Sch IV-A - Large Power 50-2500 kW</t>
  </si>
  <si>
    <t>R</t>
  </si>
  <si>
    <t>C1</t>
  </si>
  <si>
    <t>C2</t>
  </si>
  <si>
    <t>IB</t>
  </si>
  <si>
    <t>E1</t>
  </si>
  <si>
    <t>L1</t>
  </si>
  <si>
    <t>Less Other Rate Mechanisms</t>
  </si>
  <si>
    <t>Coverage - 3x Salary</t>
  </si>
  <si>
    <t>C - Hired in 2020</t>
  </si>
  <si>
    <t>Hired in 2020</t>
  </si>
  <si>
    <t xml:space="preserve">C - </t>
  </si>
  <si>
    <t>H</t>
  </si>
  <si>
    <t>(E * 3)</t>
  </si>
  <si>
    <t>((G-F)/G)*C</t>
  </si>
  <si>
    <t xml:space="preserve">B - </t>
  </si>
  <si>
    <t>- No longer employed</t>
  </si>
  <si>
    <t>- Used Test Year Hours for Pro Forma Wages</t>
  </si>
  <si>
    <t>- Hired in 2020</t>
  </si>
  <si>
    <t>Reference Schedule:  1.03</t>
  </si>
  <si>
    <t>Reference Schedule:  1.04</t>
  </si>
  <si>
    <t>Reference Schedule:  1.09</t>
  </si>
  <si>
    <t>Reference Schedule:  1.11</t>
  </si>
  <si>
    <t>Reference Schedule:  1.14</t>
  </si>
  <si>
    <t>Hired in 2020 (not included in 2019 amounts)</t>
  </si>
  <si>
    <t>Total Expensed + Capitalized</t>
  </si>
  <si>
    <t xml:space="preserve">Expense Adjustment &gt; </t>
  </si>
  <si>
    <t>Total Difference</t>
  </si>
  <si>
    <t>Difference</t>
  </si>
  <si>
    <t>Line #</t>
  </si>
  <si>
    <t>Cushion:  Actual Deficiency less Ask:</t>
  </si>
  <si>
    <t>Removed 100%; non-recurring.</t>
  </si>
  <si>
    <t>Notes</t>
  </si>
  <si>
    <t>Removed 2/3; related to union contract negotiation that occurs every three years</t>
  </si>
  <si>
    <t>Proposed Increase $</t>
  </si>
  <si>
    <t xml:space="preserve"> &lt; test year actuals</t>
  </si>
  <si>
    <t>Updated Dec. 7, 2020</t>
  </si>
  <si>
    <t>Adjustment per PSC 1-12</t>
  </si>
  <si>
    <t>Original Est</t>
  </si>
  <si>
    <t>Revised/Actual</t>
  </si>
  <si>
    <t>Less Test Year Amount for Prior Rate Case</t>
  </si>
  <si>
    <t>Revised/Actual as filed in this docket on 11/20/20 plus items noted in PSC 2-8</t>
  </si>
  <si>
    <t>&gt;</t>
  </si>
  <si>
    <t>&lt; Revised input data noted on tabs in violet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</si>
</sst>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_(* #,##0.00000_);_(* \(#,##0.00000\);_(* &quot;-&quot;??_);_(@_)"/>
    <numFmt numFmtId="168" formatCode="0.0%"/>
    <numFmt numFmtId="169" formatCode="\(#\)"/>
    <numFmt numFmtId="170" formatCode="m/d/yy;@"/>
    <numFmt numFmtId="171" formatCode="###,###,###,###.00"/>
    <numFmt numFmtId="172" formatCode="\(#.00\)"/>
    <numFmt numFmtId="173" formatCode="0.000%"/>
  </numFmts>
  <fonts count="36">
    <font>
      <sz val="11"/>
      <color theme="1"/>
      <name val="Calibri"/>
      <family val="2"/>
      <scheme val="minor"/>
    </font>
    <font>
      <sz val="11"/>
      <color theme="1"/>
      <name val="Calibri"/>
      <family val="2"/>
      <scheme val="minor"/>
    </font>
    <font>
      <sz val="10"/>
      <name val="Arial"/>
      <family val="2"/>
    </font>
    <font>
      <sz val="12"/>
      <color theme="1"/>
      <name val="Arial"/>
      <family val="2"/>
    </font>
    <font>
      <b/>
      <sz val="10"/>
      <color theme="1"/>
      <name val="Arial"/>
      <family val="2"/>
    </font>
    <font>
      <sz val="10"/>
      <color theme="1"/>
      <name val="Arial"/>
      <family val="2"/>
    </font>
    <font>
      <b/>
      <u/>
      <sz val="10"/>
      <name val="Arial"/>
      <family val="2"/>
    </font>
    <font>
      <sz val="11"/>
      <name val="Arial"/>
      <family val="2"/>
    </font>
    <font>
      <b/>
      <sz val="10"/>
      <color rgb="FFFF0000"/>
      <name val="Arial"/>
      <family val="2"/>
    </font>
    <font>
      <b/>
      <u/>
      <sz val="10"/>
      <color theme="1"/>
      <name val="Arial"/>
      <family val="2"/>
    </font>
    <font>
      <u/>
      <sz val="10"/>
      <color theme="1"/>
      <name val="Arial"/>
      <family val="2"/>
    </font>
    <font>
      <sz val="12"/>
      <name val="P-TIMES"/>
    </font>
    <font>
      <sz val="11"/>
      <name val="P-TIMES"/>
    </font>
    <font>
      <u/>
      <sz val="11"/>
      <name val="Arial"/>
      <family val="2"/>
    </font>
    <font>
      <u/>
      <sz val="10"/>
      <name val="Arial"/>
      <family val="2"/>
    </font>
    <font>
      <b/>
      <sz val="10"/>
      <name val="Arial"/>
      <family val="2"/>
    </font>
    <font>
      <sz val="11"/>
      <name val="Times New Roman"/>
      <family val="1"/>
    </font>
    <font>
      <sz val="10"/>
      <name val="MS Sans Serif"/>
      <family val="2"/>
    </font>
    <font>
      <sz val="10"/>
      <color rgb="FF0000CC"/>
      <name val="Arial"/>
      <family val="2"/>
    </font>
    <font>
      <b/>
      <sz val="11"/>
      <color theme="1"/>
      <name val="Calibri"/>
      <family val="2"/>
      <scheme val="minor"/>
    </font>
    <font>
      <b/>
      <sz val="11"/>
      <name val="Arial"/>
      <family val="2"/>
    </font>
    <font>
      <b/>
      <i/>
      <sz val="10"/>
      <color theme="1"/>
      <name val="Arial"/>
      <family val="2"/>
    </font>
    <font>
      <sz val="11"/>
      <name val="Calibri"/>
      <family val="2"/>
      <scheme val="minor"/>
    </font>
    <font>
      <i/>
      <sz val="10"/>
      <name val="Arial"/>
      <family val="2"/>
    </font>
    <font>
      <sz val="10"/>
      <color rgb="FFFF3300"/>
      <name val="Arial"/>
      <family val="2"/>
    </font>
    <font>
      <b/>
      <sz val="11"/>
      <color theme="1"/>
      <name val="Arial"/>
      <family val="2"/>
    </font>
    <font>
      <sz val="11"/>
      <color theme="1"/>
      <name val="Arial"/>
      <family val="2"/>
    </font>
    <font>
      <b/>
      <sz val="9"/>
      <color indexed="81"/>
      <name val="Tahoma"/>
      <family val="2"/>
    </font>
    <font>
      <sz val="9"/>
      <color indexed="81"/>
      <name val="Tahoma"/>
      <family val="2"/>
    </font>
    <font>
      <b/>
      <sz val="11"/>
      <name val="Calibri"/>
      <family val="2"/>
      <scheme val="minor"/>
    </font>
    <font>
      <u/>
      <sz val="11"/>
      <color theme="1"/>
      <name val="Arial"/>
      <family val="2"/>
    </font>
    <font>
      <i/>
      <sz val="10"/>
      <color rgb="FF7030A0"/>
      <name val="Arial"/>
      <family val="2"/>
    </font>
    <font>
      <sz val="10"/>
      <color rgb="FF7030A0"/>
      <name val="Arial"/>
      <family val="2"/>
    </font>
    <font>
      <b/>
      <sz val="10"/>
      <color rgb="FF7030A0"/>
      <name val="Arial"/>
      <family val="2"/>
    </font>
    <font>
      <b/>
      <i/>
      <sz val="10"/>
      <color rgb="FF7030A0"/>
      <name val="Arial"/>
      <family val="2"/>
    </font>
    <font>
      <sz val="11"/>
      <color rgb="FF7030A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2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right/>
      <top style="thin">
        <color theme="1"/>
      </top>
      <bottom/>
      <diagonal/>
    </border>
    <border>
      <left/>
      <right/>
      <top style="thin">
        <color theme="1"/>
      </top>
      <bottom style="double">
        <color theme="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0"/>
    <xf numFmtId="0" fontId="11" fillId="0" borderId="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7"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483">
    <xf numFmtId="0" fontId="0" fillId="0" borderId="0" xfId="0"/>
    <xf numFmtId="0" fontId="2" fillId="0" borderId="0" xfId="0" applyFont="1" applyAlignment="1">
      <alignment horizontal="center"/>
    </xf>
    <xf numFmtId="0" fontId="2" fillId="0" borderId="0" xfId="0" applyFont="1" applyBorder="1"/>
    <xf numFmtId="0" fontId="2" fillId="0" borderId="0" xfId="0" applyFont="1"/>
    <xf numFmtId="0" fontId="2" fillId="0" borderId="2" xfId="0" applyFont="1" applyBorder="1"/>
    <xf numFmtId="0" fontId="2" fillId="0" borderId="3" xfId="0" applyFont="1" applyBorder="1" applyAlignment="1">
      <alignment horizontal="center"/>
    </xf>
    <xf numFmtId="0" fontId="4" fillId="0" borderId="0" xfId="3" applyFont="1" applyAlignment="1">
      <alignment horizontal="right"/>
    </xf>
    <xf numFmtId="0" fontId="5" fillId="0" borderId="0" xfId="3" applyFont="1"/>
    <xf numFmtId="0" fontId="4" fillId="0" borderId="0" xfId="3" applyFont="1" applyAlignment="1"/>
    <xf numFmtId="0" fontId="5" fillId="0" borderId="0" xfId="0" applyFont="1" applyAlignment="1">
      <alignment vertical="top" wrapText="1"/>
    </xf>
    <xf numFmtId="0" fontId="5" fillId="0" borderId="0" xfId="0" applyFont="1" applyAlignment="1">
      <alignment horizontal="center"/>
    </xf>
    <xf numFmtId="0" fontId="5" fillId="0" borderId="0" xfId="0" applyFont="1"/>
    <xf numFmtId="0" fontId="5" fillId="0" borderId="1" xfId="0" applyFont="1" applyBorder="1" applyAlignment="1">
      <alignment horizontal="center"/>
    </xf>
    <xf numFmtId="0" fontId="5" fillId="0" borderId="1" xfId="0" quotePrefix="1" applyFont="1" applyBorder="1" applyAlignment="1">
      <alignment horizontal="center"/>
    </xf>
    <xf numFmtId="164" fontId="5" fillId="0" borderId="0" xfId="1" applyNumberFormat="1" applyFont="1"/>
    <xf numFmtId="0" fontId="5" fillId="0" borderId="0" xfId="0" applyFont="1" applyAlignment="1">
      <alignment horizontal="left"/>
    </xf>
    <xf numFmtId="0" fontId="5" fillId="0" borderId="3" xfId="0" applyFont="1" applyBorder="1"/>
    <xf numFmtId="164" fontId="5" fillId="0" borderId="3" xfId="1" applyNumberFormat="1" applyFont="1" applyBorder="1"/>
    <xf numFmtId="0" fontId="5" fillId="0" borderId="0" xfId="0" applyFont="1" applyBorder="1"/>
    <xf numFmtId="164" fontId="5" fillId="0" borderId="0" xfId="1" applyNumberFormat="1" applyFont="1" applyBorder="1"/>
    <xf numFmtId="164" fontId="5" fillId="0" borderId="0" xfId="1" applyNumberFormat="1" applyFont="1" applyFill="1" applyBorder="1"/>
    <xf numFmtId="0" fontId="5" fillId="0" borderId="2" xfId="0" applyFont="1" applyBorder="1"/>
    <xf numFmtId="164" fontId="5" fillId="0" borderId="2" xfId="0" applyNumberFormat="1" applyFont="1" applyBorder="1"/>
    <xf numFmtId="164" fontId="5" fillId="0" borderId="2" xfId="1" applyNumberFormat="1" applyFont="1" applyBorder="1"/>
    <xf numFmtId="165" fontId="5" fillId="0" borderId="0" xfId="2" applyNumberFormat="1" applyFont="1"/>
    <xf numFmtId="165" fontId="5" fillId="0" borderId="0" xfId="2" applyNumberFormat="1" applyFont="1" applyFill="1"/>
    <xf numFmtId="0" fontId="5" fillId="0" borderId="0" xfId="0" applyFont="1" applyFill="1"/>
    <xf numFmtId="164" fontId="5" fillId="0" borderId="0" xfId="0" applyNumberFormat="1" applyFont="1"/>
    <xf numFmtId="43" fontId="5" fillId="0" borderId="0" xfId="2" applyFont="1"/>
    <xf numFmtId="2" fontId="5" fillId="0" borderId="0" xfId="0" applyNumberFormat="1" applyFont="1" applyAlignment="1">
      <alignment horizontal="center"/>
    </xf>
    <xf numFmtId="0" fontId="2" fillId="0" borderId="0" xfId="0" applyFont="1" applyBorder="1" applyAlignment="1">
      <alignment horizontal="center"/>
    </xf>
    <xf numFmtId="0" fontId="5" fillId="0" borderId="0" xfId="0" applyFont="1" applyAlignment="1">
      <alignment horizontal="center" wrapText="1"/>
    </xf>
    <xf numFmtId="165" fontId="5" fillId="0" borderId="3" xfId="2" applyNumberFormat="1" applyFont="1" applyBorder="1"/>
    <xf numFmtId="165" fontId="5" fillId="0" borderId="0" xfId="2" applyNumberFormat="1" applyFont="1" applyBorder="1"/>
    <xf numFmtId="0" fontId="2" fillId="0" borderId="0" xfId="0" applyFont="1" applyBorder="1" applyAlignment="1">
      <alignment horizontal="left" vertical="center"/>
    </xf>
    <xf numFmtId="0" fontId="2" fillId="0" borderId="4" xfId="0" applyFont="1" applyBorder="1" applyAlignment="1">
      <alignment horizontal="center"/>
    </xf>
    <xf numFmtId="0" fontId="5" fillId="2" borderId="0" xfId="0" applyFont="1" applyFill="1"/>
    <xf numFmtId="164" fontId="5" fillId="0" borderId="3" xfId="1" applyNumberFormat="1" applyFont="1" applyFill="1" applyBorder="1"/>
    <xf numFmtId="165" fontId="2" fillId="0" borderId="0" xfId="2" applyNumberFormat="1" applyFont="1" applyFill="1"/>
    <xf numFmtId="0" fontId="2" fillId="0" borderId="0" xfId="0" applyFont="1" applyProtection="1"/>
    <xf numFmtId="0" fontId="2" fillId="0" borderId="0" xfId="0" applyFont="1" applyAlignment="1" applyProtection="1">
      <alignment horizontal="center"/>
    </xf>
    <xf numFmtId="0" fontId="10" fillId="0" borderId="0" xfId="0" applyFont="1" applyAlignment="1">
      <alignment horizontal="left"/>
    </xf>
    <xf numFmtId="0" fontId="2" fillId="0" borderId="0" xfId="0" applyFont="1" applyFill="1"/>
    <xf numFmtId="0" fontId="2" fillId="0" borderId="0" xfId="0" applyFont="1" applyFill="1" applyBorder="1"/>
    <xf numFmtId="0" fontId="2" fillId="0" borderId="0" xfId="0" applyFont="1" applyBorder="1" applyProtection="1"/>
    <xf numFmtId="164" fontId="2" fillId="0" borderId="0" xfId="1" applyNumberFormat="1" applyFont="1" applyBorder="1" applyProtection="1"/>
    <xf numFmtId="168" fontId="2" fillId="0" borderId="0" xfId="5" applyNumberFormat="1" applyFont="1" applyBorder="1" applyProtection="1"/>
    <xf numFmtId="0" fontId="2" fillId="0" borderId="3" xfId="0" applyFont="1" applyBorder="1" applyAlignment="1" applyProtection="1">
      <alignment horizontal="center"/>
    </xf>
    <xf numFmtId="0" fontId="2" fillId="0" borderId="0" xfId="0" applyFont="1" applyFill="1" applyAlignment="1">
      <alignment horizontal="center" wrapText="1"/>
    </xf>
    <xf numFmtId="0" fontId="2" fillId="0" borderId="1" xfId="0" applyFont="1" applyFill="1" applyBorder="1" applyAlignment="1">
      <alignment horizontal="center"/>
    </xf>
    <xf numFmtId="169" fontId="2" fillId="0" borderId="1" xfId="0" quotePrefix="1" applyNumberFormat="1" applyFont="1" applyBorder="1" applyAlignment="1">
      <alignment horizontal="center"/>
    </xf>
    <xf numFmtId="0" fontId="2" fillId="0" borderId="0" xfId="0" applyFont="1" applyAlignment="1">
      <alignment vertical="top" wrapText="1"/>
    </xf>
    <xf numFmtId="0" fontId="14" fillId="0" borderId="0" xfId="0" applyFont="1" applyAlignment="1" applyProtection="1">
      <alignment horizontal="left"/>
    </xf>
    <xf numFmtId="164" fontId="2" fillId="0" borderId="0" xfId="1" applyNumberFormat="1" applyFont="1" applyBorder="1" applyAlignment="1" applyProtection="1">
      <alignment horizontal="center"/>
    </xf>
    <xf numFmtId="0" fontId="2" fillId="0" borderId="0" xfId="0" applyFont="1" applyBorder="1" applyAlignment="1" applyProtection="1">
      <alignment horizontal="center"/>
    </xf>
    <xf numFmtId="0" fontId="2" fillId="0" borderId="3" xfId="0" applyFont="1" applyBorder="1"/>
    <xf numFmtId="0" fontId="2" fillId="0" borderId="2" xfId="0" applyFont="1" applyBorder="1" applyAlignment="1" applyProtection="1">
      <alignment horizontal="center"/>
    </xf>
    <xf numFmtId="0" fontId="2" fillId="0" borderId="2" xfId="0" applyFont="1" applyBorder="1" applyProtection="1"/>
    <xf numFmtId="168" fontId="2" fillId="0" borderId="2" xfId="5" applyNumberFormat="1" applyFont="1" applyBorder="1" applyProtection="1"/>
    <xf numFmtId="0" fontId="14" fillId="0" borderId="0" xfId="0" applyFont="1" applyAlignment="1" applyProtection="1">
      <alignment horizontal="right" wrapText="1"/>
    </xf>
    <xf numFmtId="0" fontId="5" fillId="0" borderId="0" xfId="0" applyFont="1" applyBorder="1" applyAlignment="1">
      <alignment horizontal="center"/>
    </xf>
    <xf numFmtId="41" fontId="2" fillId="0" borderId="0" xfId="0" applyNumberFormat="1" applyFont="1" applyBorder="1" applyProtection="1"/>
    <xf numFmtId="0" fontId="5" fillId="0" borderId="0" xfId="0" applyFont="1" applyBorder="1" applyAlignment="1">
      <alignment horizontal="right"/>
    </xf>
    <xf numFmtId="164" fontId="2" fillId="0" borderId="7" xfId="1" applyNumberFormat="1" applyFont="1" applyBorder="1" applyAlignment="1" applyProtection="1">
      <alignment horizontal="center"/>
    </xf>
    <xf numFmtId="37" fontId="7" fillId="0" borderId="0" xfId="4" applyNumberFormat="1" applyFont="1" applyFill="1" applyProtection="1"/>
    <xf numFmtId="0" fontId="5" fillId="0" borderId="0" xfId="0" applyFont="1" applyFill="1" applyAlignment="1">
      <alignment horizontal="center"/>
    </xf>
    <xf numFmtId="0" fontId="2" fillId="0" borderId="3" xfId="0" applyFont="1" applyFill="1" applyBorder="1"/>
    <xf numFmtId="165" fontId="2" fillId="0" borderId="2" xfId="2" applyNumberFormat="1" applyFont="1" applyFill="1" applyBorder="1"/>
    <xf numFmtId="0" fontId="5" fillId="0" borderId="3" xfId="0" applyFont="1" applyFill="1" applyBorder="1"/>
    <xf numFmtId="0" fontId="5" fillId="0" borderId="0" xfId="0" applyFont="1" applyAlignment="1">
      <alignment vertical="center"/>
    </xf>
    <xf numFmtId="0" fontId="5" fillId="0" borderId="0" xfId="0" applyFont="1" applyBorder="1" applyAlignment="1">
      <alignment horizontal="center" wrapText="1"/>
    </xf>
    <xf numFmtId="169" fontId="2" fillId="0" borderId="0" xfId="0" quotePrefix="1" applyNumberFormat="1" applyFont="1" applyBorder="1" applyAlignment="1">
      <alignment horizontal="center"/>
    </xf>
    <xf numFmtId="0" fontId="4" fillId="0" borderId="0" xfId="0" applyFont="1" applyFill="1" applyAlignment="1">
      <alignment horizontal="center"/>
    </xf>
    <xf numFmtId="0" fontId="0" fillId="0" borderId="0" xfId="0" applyFill="1"/>
    <xf numFmtId="165" fontId="2" fillId="0" borderId="3" xfId="2" applyNumberFormat="1" applyFont="1" applyFill="1" applyBorder="1"/>
    <xf numFmtId="0" fontId="8" fillId="0" borderId="0" xfId="0" applyFont="1" applyFill="1" applyAlignment="1">
      <alignment horizontal="right"/>
    </xf>
    <xf numFmtId="0" fontId="5" fillId="0" borderId="2" xfId="0" applyFont="1" applyFill="1" applyBorder="1"/>
    <xf numFmtId="0" fontId="0" fillId="0" borderId="0" xfId="0" applyFill="1" applyAlignment="1">
      <alignment horizontal="center"/>
    </xf>
    <xf numFmtId="0" fontId="7" fillId="0" borderId="0" xfId="4" applyFont="1" applyFill="1" applyAlignment="1">
      <alignment horizontal="centerContinuous"/>
    </xf>
    <xf numFmtId="0" fontId="7" fillId="0" borderId="0" xfId="4" applyFont="1" applyFill="1" applyAlignment="1">
      <alignment horizontal="right"/>
    </xf>
    <xf numFmtId="0" fontId="7" fillId="0" borderId="0" xfId="4" applyFont="1" applyFill="1"/>
    <xf numFmtId="0" fontId="12" fillId="0" borderId="0" xfId="4" applyFont="1" applyFill="1"/>
    <xf numFmtId="0" fontId="7" fillId="0" borderId="0" xfId="4" applyFont="1" applyFill="1" applyAlignment="1">
      <alignment horizontal="center"/>
    </xf>
    <xf numFmtId="0" fontId="12" fillId="0" borderId="0" xfId="4" applyFont="1" applyFill="1" applyAlignment="1">
      <alignment horizontal="center"/>
    </xf>
    <xf numFmtId="2" fontId="7" fillId="0" borderId="0" xfId="4" applyNumberFormat="1" applyFont="1" applyFill="1" applyAlignment="1">
      <alignment horizontal="center"/>
    </xf>
    <xf numFmtId="0" fontId="13" fillId="0" borderId="0" xfId="4" applyFont="1" applyFill="1" applyAlignment="1">
      <alignment horizontal="centerContinuous"/>
    </xf>
    <xf numFmtId="0" fontId="7" fillId="0" borderId="1" xfId="4" applyFont="1" applyFill="1" applyBorder="1" applyAlignment="1">
      <alignment horizontal="center" wrapText="1"/>
    </xf>
    <xf numFmtId="0" fontId="12" fillId="0" borderId="1" xfId="4" applyFont="1" applyFill="1" applyBorder="1" applyAlignment="1">
      <alignment horizontal="center" wrapText="1"/>
    </xf>
    <xf numFmtId="0" fontId="13" fillId="0" borderId="0" xfId="4" applyFont="1" applyFill="1"/>
    <xf numFmtId="165" fontId="7" fillId="0" borderId="0" xfId="2" applyNumberFormat="1" applyFont="1" applyFill="1"/>
    <xf numFmtId="37" fontId="7" fillId="0" borderId="1" xfId="4" applyNumberFormat="1" applyFont="1" applyFill="1" applyBorder="1" applyProtection="1"/>
    <xf numFmtId="0" fontId="7" fillId="0" borderId="5" xfId="4" applyFont="1" applyFill="1" applyBorder="1"/>
    <xf numFmtId="37" fontId="7" fillId="0" borderId="5" xfId="4" applyNumberFormat="1" applyFont="1" applyFill="1" applyBorder="1" applyProtection="1"/>
    <xf numFmtId="37" fontId="7" fillId="0" borderId="0" xfId="4" applyNumberFormat="1" applyFont="1" applyFill="1" applyAlignment="1" applyProtection="1">
      <alignment horizontal="right"/>
    </xf>
    <xf numFmtId="0" fontId="7" fillId="0" borderId="6" xfId="4" applyFont="1" applyFill="1" applyBorder="1"/>
    <xf numFmtId="37" fontId="7" fillId="0" borderId="6" xfId="4" applyNumberFormat="1" applyFont="1" applyFill="1" applyBorder="1" applyProtection="1"/>
    <xf numFmtId="37" fontId="7" fillId="0" borderId="0" xfId="4" applyNumberFormat="1" applyFont="1" applyFill="1"/>
    <xf numFmtId="0" fontId="20" fillId="0" borderId="0" xfId="4" applyFont="1" applyFill="1" applyAlignment="1">
      <alignment horizontal="centerContinuous"/>
    </xf>
    <xf numFmtId="0" fontId="5" fillId="0" borderId="2" xfId="0" applyFont="1" applyBorder="1" applyAlignment="1">
      <alignment horizontal="center" vertical="center"/>
    </xf>
    <xf numFmtId="0" fontId="5" fillId="0" borderId="2" xfId="0" applyFont="1" applyBorder="1" applyAlignment="1">
      <alignment vertical="center"/>
    </xf>
    <xf numFmtId="165" fontId="5" fillId="0" borderId="2" xfId="2" applyNumberFormat="1" applyFont="1" applyBorder="1" applyAlignment="1">
      <alignment vertical="center"/>
    </xf>
    <xf numFmtId="168" fontId="2" fillId="0" borderId="0" xfId="5" applyNumberFormat="1" applyFont="1" applyFill="1" applyBorder="1" applyProtection="1"/>
    <xf numFmtId="168" fontId="2" fillId="0" borderId="3" xfId="5" applyNumberFormat="1" applyFont="1" applyFill="1" applyBorder="1" applyProtection="1"/>
    <xf numFmtId="0" fontId="5" fillId="0" borderId="0" xfId="0" applyFont="1" applyFill="1" applyBorder="1"/>
    <xf numFmtId="0" fontId="0" fillId="0" borderId="0" xfId="0" applyFont="1" applyFill="1"/>
    <xf numFmtId="0" fontId="15" fillId="0" borderId="1" xfId="0" applyFont="1" applyFill="1" applyBorder="1" applyAlignment="1">
      <alignment horizontal="center"/>
    </xf>
    <xf numFmtId="169" fontId="15" fillId="0" borderId="1" xfId="0" quotePrefix="1" applyNumberFormat="1" applyFont="1" applyBorder="1" applyAlignment="1">
      <alignment horizontal="center"/>
    </xf>
    <xf numFmtId="0" fontId="19" fillId="0" borderId="0" xfId="0" applyFont="1" applyFill="1"/>
    <xf numFmtId="0" fontId="4" fillId="0" borderId="0" xfId="0" applyFont="1" applyFill="1" applyAlignment="1"/>
    <xf numFmtId="165" fontId="2" fillId="0" borderId="0" xfId="2" applyNumberFormat="1" applyFont="1" applyProtection="1"/>
    <xf numFmtId="0" fontId="21" fillId="0" borderId="0" xfId="0" applyFont="1" applyFill="1" applyAlignment="1">
      <alignment horizontal="left"/>
    </xf>
    <xf numFmtId="0" fontId="21" fillId="0" borderId="0" xfId="0" applyFont="1" applyFill="1"/>
    <xf numFmtId="165" fontId="4" fillId="0" borderId="0" xfId="2" applyNumberFormat="1" applyFont="1" applyFill="1" applyAlignment="1"/>
    <xf numFmtId="165" fontId="4" fillId="0" borderId="0" xfId="2" applyNumberFormat="1" applyFont="1" applyFill="1" applyAlignment="1">
      <alignment horizontal="center"/>
    </xf>
    <xf numFmtId="165" fontId="2" fillId="0" borderId="3" xfId="2" applyNumberFormat="1" applyFont="1" applyBorder="1" applyProtection="1"/>
    <xf numFmtId="165" fontId="0" fillId="0" borderId="0" xfId="2" applyNumberFormat="1" applyFont="1" applyFill="1"/>
    <xf numFmtId="165" fontId="2" fillId="0" borderId="0" xfId="2" applyNumberFormat="1" applyFont="1" applyBorder="1" applyProtection="1"/>
    <xf numFmtId="165" fontId="2" fillId="0" borderId="2" xfId="2" applyNumberFormat="1" applyFont="1" applyBorder="1" applyProtection="1"/>
    <xf numFmtId="0" fontId="15" fillId="0" borderId="0" xfId="0" applyFont="1" applyFill="1" applyAlignment="1"/>
    <xf numFmtId="165" fontId="22" fillId="0" borderId="0" xfId="0" applyNumberFormat="1" applyFont="1" applyFill="1"/>
    <xf numFmtId="165" fontId="2" fillId="0" borderId="8" xfId="2" applyNumberFormat="1" applyFont="1" applyFill="1" applyBorder="1"/>
    <xf numFmtId="43" fontId="2" fillId="0" borderId="0" xfId="2" applyNumberFormat="1" applyFont="1" applyFill="1"/>
    <xf numFmtId="0" fontId="22" fillId="0" borderId="0" xfId="0" applyFont="1" applyFill="1"/>
    <xf numFmtId="10" fontId="2" fillId="0" borderId="0" xfId="5" applyNumberFormat="1" applyFont="1" applyFill="1"/>
    <xf numFmtId="165" fontId="2" fillId="0" borderId="0" xfId="2" applyNumberFormat="1" applyFont="1" applyFill="1" applyBorder="1"/>
    <xf numFmtId="10" fontId="2" fillId="0" borderId="0" xfId="5" applyNumberFormat="1" applyFont="1" applyFill="1" applyBorder="1"/>
    <xf numFmtId="165" fontId="2" fillId="0" borderId="3" xfId="0" applyNumberFormat="1" applyFont="1" applyFill="1" applyBorder="1"/>
    <xf numFmtId="0" fontId="23" fillId="0" borderId="0" xfId="0" applyFont="1" applyFill="1"/>
    <xf numFmtId="0" fontId="2" fillId="0" borderId="1" xfId="0" applyFont="1" applyFill="1" applyBorder="1"/>
    <xf numFmtId="10" fontId="2" fillId="0" borderId="1" xfId="0" applyNumberFormat="1" applyFont="1" applyFill="1" applyBorder="1"/>
    <xf numFmtId="165" fontId="18" fillId="0" borderId="0" xfId="2" applyNumberFormat="1" applyFont="1"/>
    <xf numFmtId="0" fontId="15" fillId="0" borderId="0" xfId="0" applyFont="1" applyFill="1" applyAlignment="1">
      <alignment horizontal="center" wrapText="1"/>
    </xf>
    <xf numFmtId="10" fontId="2" fillId="0" borderId="0" xfId="5" applyNumberFormat="1" applyFont="1" applyBorder="1" applyProtection="1"/>
    <xf numFmtId="164" fontId="2" fillId="0" borderId="3" xfId="1" applyNumberFormat="1" applyFont="1" applyBorder="1" applyAlignment="1" applyProtection="1">
      <alignment horizontal="center"/>
    </xf>
    <xf numFmtId="164" fontId="2" fillId="0" borderId="2" xfId="1" applyNumberFormat="1" applyFont="1" applyBorder="1" applyAlignment="1" applyProtection="1">
      <alignment horizontal="center"/>
    </xf>
    <xf numFmtId="0" fontId="5" fillId="0" borderId="1" xfId="0" applyFont="1" applyBorder="1" applyAlignment="1">
      <alignment horizontal="center"/>
    </xf>
    <xf numFmtId="0" fontId="15" fillId="0" borderId="0" xfId="0" applyFont="1" applyFill="1" applyAlignment="1">
      <alignment horizontal="center"/>
    </xf>
    <xf numFmtId="43" fontId="2" fillId="0" borderId="0" xfId="2" applyFont="1" applyBorder="1" applyAlignment="1" applyProtection="1">
      <alignment horizontal="center"/>
    </xf>
    <xf numFmtId="43" fontId="2" fillId="0" borderId="8" xfId="2" applyFont="1" applyBorder="1" applyAlignment="1" applyProtection="1">
      <alignment horizontal="left"/>
    </xf>
    <xf numFmtId="0" fontId="2" fillId="0" borderId="8" xfId="0" applyFont="1" applyBorder="1" applyProtection="1"/>
    <xf numFmtId="41" fontId="2" fillId="0" borderId="8" xfId="0" applyNumberFormat="1" applyFont="1" applyBorder="1" applyProtection="1"/>
    <xf numFmtId="10" fontId="2" fillId="0" borderId="8" xfId="0" applyNumberFormat="1" applyFont="1" applyFill="1" applyBorder="1" applyProtection="1"/>
    <xf numFmtId="43" fontId="2" fillId="2" borderId="0" xfId="2" applyNumberFormat="1" applyFont="1" applyFill="1"/>
    <xf numFmtId="165" fontId="2" fillId="2" borderId="0" xfId="2" applyNumberFormat="1" applyFont="1" applyFill="1"/>
    <xf numFmtId="0" fontId="22" fillId="2" borderId="0" xfId="0" applyFont="1" applyFill="1"/>
    <xf numFmtId="165" fontId="2" fillId="2" borderId="3" xfId="0" applyNumberFormat="1" applyFont="1" applyFill="1" applyBorder="1"/>
    <xf numFmtId="10" fontId="2" fillId="2" borderId="1" xfId="0" applyNumberFormat="1" applyFont="1" applyFill="1" applyBorder="1"/>
    <xf numFmtId="0" fontId="7" fillId="0" borderId="1" xfId="4" applyFont="1" applyFill="1" applyBorder="1" applyAlignment="1">
      <alignment horizontal="right" vertical="center"/>
    </xf>
    <xf numFmtId="37" fontId="5" fillId="0" borderId="0" xfId="0" applyNumberFormat="1" applyFont="1"/>
    <xf numFmtId="10" fontId="2" fillId="0" borderId="0" xfId="0" applyNumberFormat="1" applyFont="1" applyFill="1" applyBorder="1"/>
    <xf numFmtId="164" fontId="2" fillId="0" borderId="0" xfId="1" applyNumberFormat="1" applyFont="1" applyFill="1" applyBorder="1"/>
    <xf numFmtId="0" fontId="24" fillId="0" borderId="0" xfId="0" applyFont="1"/>
    <xf numFmtId="0" fontId="4" fillId="0" borderId="0" xfId="3" applyFont="1"/>
    <xf numFmtId="0" fontId="26" fillId="0" borderId="0" xfId="0" applyFont="1"/>
    <xf numFmtId="0" fontId="25" fillId="0" borderId="1" xfId="0" applyFont="1" applyBorder="1" applyAlignment="1">
      <alignment horizontal="center"/>
    </xf>
    <xf numFmtId="0" fontId="26" fillId="0" borderId="0" xfId="0" applyFont="1" applyAlignment="1">
      <alignment horizontal="left"/>
    </xf>
    <xf numFmtId="44" fontId="26" fillId="0" borderId="0" xfId="1" applyFont="1"/>
    <xf numFmtId="43" fontId="26" fillId="0" borderId="0" xfId="2" applyFont="1"/>
    <xf numFmtId="0" fontId="26" fillId="0" borderId="1" xfId="0" applyFont="1" applyBorder="1"/>
    <xf numFmtId="0" fontId="15" fillId="0" borderId="0" xfId="3" applyFont="1" applyAlignment="1">
      <alignment horizontal="right"/>
    </xf>
    <xf numFmtId="0" fontId="2" fillId="0" borderId="0" xfId="3" applyFont="1"/>
    <xf numFmtId="0" fontId="2" fillId="3" borderId="0" xfId="0" applyFont="1" applyFill="1" applyAlignment="1">
      <alignment horizontal="center"/>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3" applyFont="1" applyFill="1" applyAlignment="1">
      <alignment horizontal="center"/>
    </xf>
    <xf numFmtId="169" fontId="2" fillId="3" borderId="1" xfId="0" quotePrefix="1" applyNumberFormat="1" applyFont="1" applyFill="1" applyBorder="1" applyAlignment="1">
      <alignment horizontal="center"/>
    </xf>
    <xf numFmtId="170" fontId="2" fillId="0" borderId="0" xfId="0" applyNumberFormat="1" applyFont="1" applyAlignment="1">
      <alignment horizontal="center"/>
    </xf>
    <xf numFmtId="0" fontId="15" fillId="0" borderId="0" xfId="0" applyFont="1" applyAlignment="1">
      <alignment horizontal="center"/>
    </xf>
    <xf numFmtId="41" fontId="2" fillId="0" borderId="0" xfId="2" applyNumberFormat="1" applyFont="1"/>
    <xf numFmtId="0" fontId="2" fillId="0" borderId="0" xfId="0" applyFont="1" applyAlignment="1">
      <alignment horizontal="left"/>
    </xf>
    <xf numFmtId="2" fontId="2" fillId="0" borderId="0" xfId="0" applyNumberFormat="1" applyFont="1"/>
    <xf numFmtId="37" fontId="2" fillId="0" borderId="0" xfId="0" applyNumberFormat="1" applyFont="1"/>
    <xf numFmtId="164" fontId="2" fillId="0" borderId="0" xfId="1" applyNumberFormat="1" applyFont="1"/>
    <xf numFmtId="0" fontId="15" fillId="0" borderId="3" xfId="0" applyFont="1" applyBorder="1" applyAlignment="1">
      <alignment horizontal="center"/>
    </xf>
    <xf numFmtId="0" fontId="15" fillId="0" borderId="3" xfId="0" applyFont="1" applyBorder="1"/>
    <xf numFmtId="41" fontId="15" fillId="0" borderId="3" xfId="2" applyNumberFormat="1" applyFont="1" applyBorder="1"/>
    <xf numFmtId="38" fontId="15" fillId="0" borderId="3" xfId="2" applyNumberFormat="1" applyFont="1" applyBorder="1"/>
    <xf numFmtId="164" fontId="2" fillId="0" borderId="3" xfId="1" applyNumberFormat="1" applyFont="1" applyBorder="1"/>
    <xf numFmtId="164" fontId="26" fillId="0" borderId="0" xfId="1" applyNumberFormat="1" applyFont="1"/>
    <xf numFmtId="0" fontId="4" fillId="0" borderId="1" xfId="0" applyFont="1" applyBorder="1" applyAlignment="1">
      <alignment horizontal="center"/>
    </xf>
    <xf numFmtId="44" fontId="5" fillId="0" borderId="0" xfId="1" applyFont="1"/>
    <xf numFmtId="0" fontId="14" fillId="0" borderId="0" xfId="0" applyFont="1" applyAlignment="1">
      <alignment horizontal="center"/>
    </xf>
    <xf numFmtId="0" fontId="6" fillId="0" borderId="0" xfId="0" applyFont="1"/>
    <xf numFmtId="170" fontId="2" fillId="0" borderId="0" xfId="0" applyNumberFormat="1" applyFont="1" applyAlignment="1">
      <alignment horizontal="center" wrapText="1"/>
    </xf>
    <xf numFmtId="0" fontId="2" fillId="0" borderId="0" xfId="0" applyFont="1" applyAlignment="1">
      <alignment horizontal="right"/>
    </xf>
    <xf numFmtId="0" fontId="10"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wrapText="1"/>
    </xf>
    <xf numFmtId="0" fontId="4" fillId="0" borderId="1" xfId="0" applyFont="1" applyBorder="1" applyAlignment="1">
      <alignment horizontal="center" wrapText="1"/>
    </xf>
    <xf numFmtId="44" fontId="5" fillId="0" borderId="0" xfId="0" applyNumberFormat="1" applyFont="1"/>
    <xf numFmtId="44" fontId="5" fillId="0" borderId="0" xfId="1" applyFont="1" applyFill="1"/>
    <xf numFmtId="44" fontId="4" fillId="0" borderId="3" xfId="0" applyNumberFormat="1" applyFont="1" applyBorder="1"/>
    <xf numFmtId="0" fontId="5" fillId="0" borderId="0" xfId="0" applyFont="1" applyAlignment="1">
      <alignment horizontal="right"/>
    </xf>
    <xf numFmtId="10" fontId="2" fillId="0" borderId="0" xfId="0" applyNumberFormat="1" applyFont="1" applyFill="1" applyAlignment="1">
      <alignment horizontal="right"/>
    </xf>
    <xf numFmtId="10" fontId="2" fillId="0" borderId="3" xfId="5" applyNumberFormat="1" applyFont="1" applyFill="1" applyBorder="1" applyProtection="1"/>
    <xf numFmtId="2" fontId="2" fillId="0" borderId="0" xfId="2" applyNumberFormat="1" applyFont="1" applyBorder="1" applyAlignment="1" applyProtection="1">
      <alignment horizontal="center"/>
    </xf>
    <xf numFmtId="41" fontId="5" fillId="0" borderId="0" xfId="0" applyNumberFormat="1" applyFont="1"/>
    <xf numFmtId="0" fontId="6" fillId="0" borderId="0" xfId="0" applyFont="1" applyAlignment="1"/>
    <xf numFmtId="0" fontId="5" fillId="0" borderId="3" xfId="0" applyFont="1" applyBorder="1" applyAlignment="1">
      <alignment horizontal="center"/>
    </xf>
    <xf numFmtId="41" fontId="2" fillId="0" borderId="3" xfId="0" applyNumberFormat="1" applyFont="1" applyBorder="1" applyProtection="1"/>
    <xf numFmtId="1" fontId="2" fillId="0" borderId="0" xfId="2" applyNumberFormat="1" applyFont="1" applyBorder="1" applyAlignment="1" applyProtection="1">
      <alignment horizontal="center"/>
    </xf>
    <xf numFmtId="0" fontId="4" fillId="0" borderId="0" xfId="3"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xf>
    <xf numFmtId="43" fontId="22" fillId="0" borderId="0" xfId="2" applyFont="1" applyFill="1"/>
    <xf numFmtId="0" fontId="2" fillId="0" borderId="0" xfId="0" applyFont="1" applyFill="1" applyAlignment="1">
      <alignment horizontal="center"/>
    </xf>
    <xf numFmtId="0" fontId="29" fillId="0" borderId="0" xfId="0" applyFont="1" applyFill="1"/>
    <xf numFmtId="0" fontId="14" fillId="0" borderId="0" xfId="0" applyFont="1" applyFill="1"/>
    <xf numFmtId="43" fontId="22" fillId="0" borderId="0" xfId="0" applyNumberFormat="1" applyFont="1" applyFill="1"/>
    <xf numFmtId="0" fontId="2" fillId="0" borderId="8" xfId="0" applyFont="1" applyFill="1" applyBorder="1"/>
    <xf numFmtId="0" fontId="2" fillId="0" borderId="2" xfId="0" applyFont="1" applyFill="1" applyBorder="1"/>
    <xf numFmtId="0" fontId="22" fillId="0" borderId="0" xfId="0" applyFont="1" applyFill="1" applyAlignment="1">
      <alignment horizontal="center"/>
    </xf>
    <xf numFmtId="0" fontId="30" fillId="0" borderId="0" xfId="0" applyFont="1"/>
    <xf numFmtId="0" fontId="25" fillId="0" borderId="1" xfId="0" applyFont="1" applyFill="1" applyBorder="1" applyAlignment="1">
      <alignment horizontal="center"/>
    </xf>
    <xf numFmtId="44" fontId="26" fillId="0" borderId="3" xfId="1" applyFont="1" applyBorder="1"/>
    <xf numFmtId="0" fontId="25" fillId="0" borderId="1" xfId="0" applyFont="1" applyBorder="1"/>
    <xf numFmtId="0" fontId="26" fillId="0" borderId="0" xfId="0" applyFont="1" applyBorder="1"/>
    <xf numFmtId="44" fontId="26" fillId="0" borderId="0" xfId="2" applyNumberFormat="1" applyFont="1" applyBorder="1"/>
    <xf numFmtId="43" fontId="26" fillId="0" borderId="0" xfId="2" applyFont="1" applyBorder="1"/>
    <xf numFmtId="0" fontId="26" fillId="0" borderId="2" xfId="0" applyFont="1" applyBorder="1"/>
    <xf numFmtId="0" fontId="26" fillId="0" borderId="1" xfId="0" applyFont="1" applyBorder="1" applyAlignment="1">
      <alignment horizontal="left"/>
    </xf>
    <xf numFmtId="43" fontId="26" fillId="0" borderId="1" xfId="2" applyFont="1" applyBorder="1"/>
    <xf numFmtId="44" fontId="26" fillId="0" borderId="1" xfId="1" applyFont="1" applyBorder="1"/>
    <xf numFmtId="0" fontId="2" fillId="0" borderId="0" xfId="0" applyFont="1" applyBorder="1" applyAlignment="1" applyProtection="1">
      <alignment horizontal="left"/>
    </xf>
    <xf numFmtId="0" fontId="2" fillId="0" borderId="0" xfId="0" applyFont="1" applyAlignment="1">
      <alignment horizontal="center" vertical="center"/>
    </xf>
    <xf numFmtId="0" fontId="5" fillId="0" borderId="1" xfId="0" applyFont="1" applyBorder="1"/>
    <xf numFmtId="2" fontId="2" fillId="0" borderId="0" xfId="0" applyNumberFormat="1" applyFont="1" applyFill="1" applyAlignment="1">
      <alignment horizontal="center"/>
    </xf>
    <xf numFmtId="2" fontId="2" fillId="0" borderId="0" xfId="0" applyNumberFormat="1" applyFont="1" applyFill="1" applyBorder="1" applyAlignment="1">
      <alignment horizontal="center"/>
    </xf>
    <xf numFmtId="2" fontId="5" fillId="0" borderId="0" xfId="0" applyNumberFormat="1" applyFont="1" applyBorder="1" applyAlignment="1">
      <alignment horizontal="center"/>
    </xf>
    <xf numFmtId="0" fontId="4" fillId="0" borderId="0" xfId="0" applyFont="1"/>
    <xf numFmtId="2" fontId="4" fillId="0" borderId="0" xfId="0" applyNumberFormat="1" applyFont="1"/>
    <xf numFmtId="0" fontId="9" fillId="0" borderId="0" xfId="0" quotePrefix="1" applyNumberFormat="1" applyFont="1" applyAlignment="1">
      <alignment horizontal="left"/>
    </xf>
    <xf numFmtId="171" fontId="9" fillId="0" borderId="0" xfId="0" quotePrefix="1" applyNumberFormat="1" applyFont="1"/>
    <xf numFmtId="0" fontId="5" fillId="0" borderId="0" xfId="0" quotePrefix="1" applyNumberFormat="1" applyFont="1" applyAlignment="1">
      <alignment horizontal="left"/>
    </xf>
    <xf numFmtId="171" fontId="5" fillId="0" borderId="0" xfId="0" quotePrefix="1" applyNumberFormat="1" applyFont="1"/>
    <xf numFmtId="0" fontId="5" fillId="0" borderId="1" xfId="0" quotePrefix="1" applyNumberFormat="1" applyFont="1" applyBorder="1" applyAlignment="1">
      <alignment horizontal="left"/>
    </xf>
    <xf numFmtId="171" fontId="5" fillId="0" borderId="1" xfId="0" quotePrefix="1" applyNumberFormat="1" applyFont="1" applyBorder="1"/>
    <xf numFmtId="171" fontId="5" fillId="0" borderId="0" xfId="0" quotePrefix="1" applyNumberFormat="1" applyFont="1" applyAlignment="1">
      <alignment horizontal="left"/>
    </xf>
    <xf numFmtId="14" fontId="5" fillId="0" borderId="0" xfId="0" quotePrefix="1" applyNumberFormat="1" applyFont="1" applyAlignment="1">
      <alignment horizontal="left"/>
    </xf>
    <xf numFmtId="171" fontId="5" fillId="0" borderId="3" xfId="0" applyNumberFormat="1" applyFont="1" applyBorder="1"/>
    <xf numFmtId="171" fontId="5" fillId="0" borderId="0" xfId="0" applyNumberFormat="1" applyFont="1" applyBorder="1"/>
    <xf numFmtId="43" fontId="4" fillId="0" borderId="0" xfId="2" applyFont="1"/>
    <xf numFmtId="171" fontId="5" fillId="0" borderId="0" xfId="0" applyNumberFormat="1" applyFont="1"/>
    <xf numFmtId="172" fontId="5" fillId="0" borderId="0" xfId="0" quotePrefix="1" applyNumberFormat="1" applyFont="1"/>
    <xf numFmtId="172" fontId="5" fillId="0" borderId="3" xfId="0" applyNumberFormat="1" applyFont="1" applyBorder="1"/>
    <xf numFmtId="43" fontId="4" fillId="0" borderId="0" xfId="2" applyNumberFormat="1" applyFont="1" applyAlignment="1">
      <alignment horizontal="left"/>
    </xf>
    <xf numFmtId="0" fontId="9" fillId="0" borderId="0" xfId="0" quotePrefix="1" applyNumberFormat="1" applyFont="1" applyAlignment="1">
      <alignment horizontal="right"/>
    </xf>
    <xf numFmtId="14" fontId="2" fillId="0" borderId="0" xfId="0" quotePrefix="1" applyNumberFormat="1" applyFont="1" applyAlignment="1">
      <alignment horizontal="left"/>
    </xf>
    <xf numFmtId="0" fontId="2" fillId="0" borderId="0" xfId="0" quotePrefix="1" applyNumberFormat="1" applyFont="1" applyAlignment="1">
      <alignment horizontal="left"/>
    </xf>
    <xf numFmtId="171" fontId="2" fillId="0" borderId="0" xfId="0" quotePrefix="1" applyNumberFormat="1" applyFont="1"/>
    <xf numFmtId="0" fontId="2" fillId="0" borderId="0" xfId="0" quotePrefix="1" applyNumberFormat="1" applyFont="1" applyBorder="1" applyAlignment="1">
      <alignment horizontal="left"/>
    </xf>
    <xf numFmtId="0" fontId="2" fillId="0" borderId="3" xfId="0" applyFont="1" applyBorder="1" applyAlignment="1">
      <alignment horizontal="left"/>
    </xf>
    <xf numFmtId="171" fontId="2" fillId="0" borderId="3" xfId="0" applyNumberFormat="1" applyFont="1" applyBorder="1"/>
    <xf numFmtId="171" fontId="2" fillId="0" borderId="0" xfId="0" applyNumberFormat="1" applyFont="1" applyBorder="1"/>
    <xf numFmtId="0" fontId="2" fillId="0" borderId="0" xfId="0" quotePrefix="1" applyNumberFormat="1" applyFont="1" applyAlignment="1">
      <alignment horizontal="center"/>
    </xf>
    <xf numFmtId="171" fontId="2" fillId="6" borderId="0" xfId="0" quotePrefix="1" applyNumberFormat="1" applyFont="1" applyFill="1"/>
    <xf numFmtId="0" fontId="2" fillId="0" borderId="0" xfId="0" quotePrefix="1" applyFont="1" applyAlignment="1">
      <alignment horizontal="center"/>
    </xf>
    <xf numFmtId="171" fontId="2" fillId="0" borderId="0" xfId="0" applyNumberFormat="1" applyFont="1"/>
    <xf numFmtId="0" fontId="2" fillId="0" borderId="0" xfId="0" applyFont="1" applyBorder="1" applyAlignment="1">
      <alignment horizontal="left"/>
    </xf>
    <xf numFmtId="0" fontId="2" fillId="0" borderId="2" xfId="0" applyFont="1" applyBorder="1" applyAlignment="1">
      <alignment horizontal="center"/>
    </xf>
    <xf numFmtId="164" fontId="5" fillId="0" borderId="0" xfId="1" applyNumberFormat="1" applyFont="1" applyFill="1"/>
    <xf numFmtId="43" fontId="2" fillId="0" borderId="0" xfId="2" applyNumberFormat="1" applyFont="1"/>
    <xf numFmtId="43" fontId="2" fillId="4" borderId="0" xfId="2" applyNumberFormat="1" applyFont="1" applyFill="1"/>
    <xf numFmtId="41" fontId="2" fillId="0" borderId="0" xfId="2" applyNumberFormat="1" applyFont="1" applyFill="1"/>
    <xf numFmtId="164" fontId="2" fillId="0" borderId="0" xfId="0" applyNumberFormat="1" applyFont="1"/>
    <xf numFmtId="0" fontId="2" fillId="0" borderId="0" xfId="0" applyFont="1" applyFill="1" applyAlignment="1">
      <alignment horizontal="left"/>
    </xf>
    <xf numFmtId="43" fontId="15" fillId="0" borderId="3" xfId="2" applyNumberFormat="1" applyFont="1" applyBorder="1"/>
    <xf numFmtId="43" fontId="15" fillId="0" borderId="0" xfId="2" applyNumberFormat="1" applyFont="1"/>
    <xf numFmtId="43" fontId="15" fillId="4" borderId="0" xfId="2" applyNumberFormat="1" applyFont="1" applyFill="1"/>
    <xf numFmtId="41" fontId="15" fillId="0" borderId="0" xfId="2" applyNumberFormat="1" applyFont="1"/>
    <xf numFmtId="0" fontId="15" fillId="0" borderId="0" xfId="0" applyFont="1"/>
    <xf numFmtId="38" fontId="2" fillId="0" borderId="0" xfId="2" applyNumberFormat="1" applyFont="1"/>
    <xf numFmtId="165" fontId="15" fillId="0" borderId="3" xfId="2" applyNumberFormat="1" applyFont="1" applyBorder="1"/>
    <xf numFmtId="165" fontId="2" fillId="4" borderId="0" xfId="2" applyNumberFormat="1" applyFont="1" applyFill="1"/>
    <xf numFmtId="165" fontId="2" fillId="4" borderId="0" xfId="2" applyNumberFormat="1" applyFont="1" applyFill="1" applyAlignment="1">
      <alignment horizontal="center" wrapText="1"/>
    </xf>
    <xf numFmtId="165" fontId="2" fillId="4" borderId="0" xfId="2" applyNumberFormat="1" applyFont="1" applyFill="1" applyAlignment="1">
      <alignment horizontal="center"/>
    </xf>
    <xf numFmtId="2" fontId="2" fillId="0" borderId="0" xfId="0" applyNumberFormat="1" applyFont="1" applyFill="1"/>
    <xf numFmtId="37" fontId="2" fillId="0" borderId="0" xfId="0" applyNumberFormat="1" applyFont="1" applyFill="1"/>
    <xf numFmtId="0" fontId="2" fillId="0" borderId="0" xfId="3" applyFont="1" applyFill="1" applyAlignment="1">
      <alignment horizontal="center"/>
    </xf>
    <xf numFmtId="164" fontId="2" fillId="0" borderId="0" xfId="1" applyNumberFormat="1" applyFont="1" applyFill="1"/>
    <xf numFmtId="38" fontId="2" fillId="0" borderId="3" xfId="2" applyNumberFormat="1" applyFont="1" applyBorder="1"/>
    <xf numFmtId="0" fontId="2"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2" fillId="0" borderId="0" xfId="0" applyFont="1" applyFill="1" applyAlignment="1">
      <alignment horizontal="center" vertical="center"/>
    </xf>
    <xf numFmtId="43" fontId="15" fillId="0" borderId="0" xfId="2" applyNumberFormat="1" applyFont="1" applyAlignment="1">
      <alignment vertical="center"/>
    </xf>
    <xf numFmtId="43" fontId="2" fillId="4" borderId="0" xfId="2" applyNumberFormat="1" applyFont="1" applyFill="1" applyAlignment="1">
      <alignment vertical="center"/>
    </xf>
    <xf numFmtId="41" fontId="15" fillId="0" borderId="0" xfId="2" applyNumberFormat="1" applyFont="1" applyAlignment="1">
      <alignment vertical="center"/>
    </xf>
    <xf numFmtId="0" fontId="2" fillId="4" borderId="0" xfId="0" applyFont="1" applyFill="1" applyAlignment="1">
      <alignment horizontal="center" vertical="center" wrapText="1"/>
    </xf>
    <xf numFmtId="38" fontId="15" fillId="0" borderId="0" xfId="2" applyNumberFormat="1" applyFont="1" applyAlignment="1">
      <alignment vertical="center"/>
    </xf>
    <xf numFmtId="0" fontId="2" fillId="4" borderId="0" xfId="3" applyFont="1" applyFill="1" applyAlignment="1">
      <alignment horizontal="center" vertical="center"/>
    </xf>
    <xf numFmtId="0" fontId="2" fillId="0" borderId="2" xfId="0" applyFont="1" applyBorder="1" applyAlignment="1">
      <alignment horizontal="center" vertical="center"/>
    </xf>
    <xf numFmtId="0" fontId="15" fillId="0" borderId="2" xfId="0" applyFont="1" applyFill="1" applyBorder="1" applyAlignment="1">
      <alignment horizontal="center" vertical="center"/>
    </xf>
    <xf numFmtId="0" fontId="2" fillId="0" borderId="0" xfId="0" applyFont="1" applyFill="1" applyBorder="1" applyAlignment="1">
      <alignment horizontal="center"/>
    </xf>
    <xf numFmtId="0" fontId="6" fillId="0" borderId="0" xfId="0" applyFont="1" applyAlignment="1">
      <alignment horizontal="right"/>
    </xf>
    <xf numFmtId="0" fontId="14" fillId="0" borderId="0" xfId="0" applyFont="1" applyAlignment="1" applyProtection="1">
      <alignment horizontal="center"/>
    </xf>
    <xf numFmtId="0" fontId="14" fillId="0" borderId="0" xfId="0" applyFont="1" applyAlignment="1">
      <alignment horizontal="right" wrapText="1"/>
    </xf>
    <xf numFmtId="0" fontId="2" fillId="0" borderId="0" xfId="0" applyFont="1" applyAlignment="1">
      <alignment wrapText="1"/>
    </xf>
    <xf numFmtId="0" fontId="2" fillId="0" borderId="3" xfId="0" applyFont="1" applyBorder="1" applyProtection="1"/>
    <xf numFmtId="10" fontId="2" fillId="0" borderId="3" xfId="5" applyNumberFormat="1" applyFont="1" applyBorder="1" applyProtection="1"/>
    <xf numFmtId="164" fontId="2" fillId="0" borderId="3" xfId="0" applyNumberFormat="1" applyFont="1" applyBorder="1"/>
    <xf numFmtId="164" fontId="2" fillId="0" borderId="2" xfId="1" applyNumberFormat="1" applyFont="1" applyBorder="1" applyAlignment="1" applyProtection="1"/>
    <xf numFmtId="0" fontId="14" fillId="0" borderId="0" xfId="0" applyFont="1" applyAlignment="1">
      <alignment horizontal="left"/>
    </xf>
    <xf numFmtId="0" fontId="14" fillId="0" borderId="0" xfId="0" applyFont="1" applyAlignment="1" applyProtection="1">
      <alignment horizontal="right"/>
    </xf>
    <xf numFmtId="2" fontId="2" fillId="0" borderId="0" xfId="0" applyNumberFormat="1" applyFont="1" applyAlignment="1">
      <alignment horizontal="center"/>
    </xf>
    <xf numFmtId="164" fontId="2" fillId="0" borderId="0" xfId="1" applyNumberFormat="1" applyFont="1" applyProtection="1"/>
    <xf numFmtId="168" fontId="2" fillId="0" borderId="0" xfId="5" applyNumberFormat="1" applyFont="1"/>
    <xf numFmtId="2" fontId="2" fillId="0" borderId="0" xfId="0" quotePrefix="1" applyNumberFormat="1" applyFont="1" applyAlignment="1">
      <alignment horizontal="center"/>
    </xf>
    <xf numFmtId="2" fontId="2" fillId="0" borderId="0" xfId="0" applyNumberFormat="1" applyFont="1" applyBorder="1" applyAlignment="1">
      <alignment horizontal="center"/>
    </xf>
    <xf numFmtId="168" fontId="2" fillId="0" borderId="3" xfId="5" applyNumberFormat="1" applyFont="1" applyBorder="1"/>
    <xf numFmtId="0" fontId="2" fillId="0" borderId="11"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wrapText="1"/>
    </xf>
    <xf numFmtId="0" fontId="2" fillId="0" borderId="11" xfId="0" applyFont="1" applyBorder="1" applyAlignment="1">
      <alignment horizontal="center" wrapText="1"/>
    </xf>
    <xf numFmtId="0" fontId="2" fillId="0" borderId="3" xfId="0" applyFont="1" applyBorder="1" applyAlignment="1">
      <alignment horizontal="center" wrapText="1"/>
    </xf>
    <xf numFmtId="0" fontId="2" fillId="0" borderId="14" xfId="0" quotePrefix="1" applyFont="1" applyBorder="1" applyAlignment="1">
      <alignment horizontal="center" wrapText="1"/>
    </xf>
    <xf numFmtId="0" fontId="2" fillId="0" borderId="15" xfId="0" applyFont="1" applyFill="1" applyBorder="1" applyAlignment="1">
      <alignment horizontal="center"/>
    </xf>
    <xf numFmtId="0" fontId="2" fillId="0" borderId="16" xfId="0" applyFont="1" applyBorder="1" applyAlignment="1">
      <alignment horizontal="center" wrapText="1"/>
    </xf>
    <xf numFmtId="6" fontId="2" fillId="0" borderId="15" xfId="0" applyNumberFormat="1" applyFont="1" applyBorder="1" applyAlignment="1">
      <alignment horizontal="center"/>
    </xf>
    <xf numFmtId="10" fontId="2" fillId="0" borderId="14" xfId="0" applyNumberFormat="1" applyFont="1" applyBorder="1" applyAlignment="1">
      <alignment horizontal="center"/>
    </xf>
    <xf numFmtId="6" fontId="2" fillId="0" borderId="0" xfId="0" applyNumberFormat="1" applyFont="1" applyBorder="1" applyAlignment="1">
      <alignment horizontal="center"/>
    </xf>
    <xf numFmtId="6" fontId="2" fillId="0" borderId="14" xfId="0" applyNumberFormat="1" applyFont="1" applyBorder="1" applyAlignment="1">
      <alignment horizontal="center"/>
    </xf>
    <xf numFmtId="10" fontId="2" fillId="0" borderId="0" xfId="0" applyNumberFormat="1" applyFont="1" applyBorder="1" applyAlignment="1">
      <alignment horizontal="center"/>
    </xf>
    <xf numFmtId="10" fontId="2" fillId="0" borderId="15" xfId="0" applyNumberFormat="1" applyFont="1" applyBorder="1" applyAlignment="1">
      <alignment horizontal="center"/>
    </xf>
    <xf numFmtId="169" fontId="2" fillId="0" borderId="9" xfId="0" quotePrefix="1" applyNumberFormat="1" applyFont="1" applyBorder="1" applyAlignment="1">
      <alignment horizontal="center"/>
    </xf>
    <xf numFmtId="169" fontId="2" fillId="0" borderId="8" xfId="0" quotePrefix="1" applyNumberFormat="1" applyFont="1" applyBorder="1" applyAlignment="1">
      <alignment horizontal="center"/>
    </xf>
    <xf numFmtId="169" fontId="2" fillId="0" borderId="10" xfId="0" quotePrefix="1" applyNumberFormat="1" applyFont="1" applyBorder="1" applyAlignment="1">
      <alignment horizontal="center"/>
    </xf>
    <xf numFmtId="169" fontId="2" fillId="0" borderId="7" xfId="0" quotePrefix="1" applyNumberFormat="1" applyFont="1" applyBorder="1" applyAlignment="1">
      <alignment horizontal="center"/>
    </xf>
    <xf numFmtId="0" fontId="2" fillId="0" borderId="17" xfId="0" applyFont="1" applyBorder="1" applyAlignment="1">
      <alignment horizontal="center" wrapText="1"/>
    </xf>
    <xf numFmtId="14" fontId="2" fillId="0" borderId="0" xfId="0" applyNumberFormat="1" applyFont="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xf>
    <xf numFmtId="170" fontId="2" fillId="0" borderId="0" xfId="0" applyNumberFormat="1" applyFont="1" applyFill="1" applyAlignment="1">
      <alignment horizontal="center"/>
    </xf>
    <xf numFmtId="1" fontId="2" fillId="0" borderId="0" xfId="2" applyNumberFormat="1" applyFont="1" applyAlignment="1">
      <alignment horizontal="center"/>
    </xf>
    <xf numFmtId="49" fontId="2" fillId="0" borderId="0" xfId="0" applyNumberFormat="1" applyFont="1" applyAlignment="1">
      <alignment horizontal="center"/>
    </xf>
    <xf numFmtId="165" fontId="2" fillId="0" borderId="0" xfId="2" applyNumberFormat="1" applyFont="1"/>
    <xf numFmtId="165" fontId="2" fillId="0" borderId="0" xfId="0" applyNumberFormat="1" applyFont="1"/>
    <xf numFmtId="165" fontId="2" fillId="0" borderId="3" xfId="2" applyNumberFormat="1" applyFont="1" applyBorder="1"/>
    <xf numFmtId="0" fontId="2" fillId="0" borderId="8" xfId="0" applyFont="1" applyBorder="1" applyAlignment="1">
      <alignment horizontal="center" vertical="center"/>
    </xf>
    <xf numFmtId="0" fontId="15" fillId="0" borderId="8" xfId="0" applyFont="1" applyBorder="1" applyAlignment="1">
      <alignment horizontal="center" vertical="center"/>
    </xf>
    <xf numFmtId="38" fontId="2" fillId="0" borderId="8" xfId="2" applyNumberFormat="1" applyFont="1" applyBorder="1" applyAlignment="1">
      <alignment vertical="center"/>
    </xf>
    <xf numFmtId="38" fontId="2" fillId="0" borderId="0" xfId="2" applyNumberFormat="1" applyFont="1" applyAlignment="1">
      <alignment vertical="center"/>
    </xf>
    <xf numFmtId="0" fontId="2" fillId="0" borderId="0" xfId="0" applyFont="1" applyAlignment="1">
      <alignment horizontal="left" vertical="center"/>
    </xf>
    <xf numFmtId="165" fontId="2" fillId="0" borderId="9" xfId="2" applyNumberFormat="1" applyFont="1" applyFill="1" applyBorder="1"/>
    <xf numFmtId="165" fontId="2" fillId="0" borderId="8" xfId="2" applyNumberFormat="1" applyFont="1" applyBorder="1" applyAlignment="1">
      <alignment horizontal="right"/>
    </xf>
    <xf numFmtId="165" fontId="2" fillId="0" borderId="10" xfId="2" applyNumberFormat="1" applyFont="1" applyFill="1" applyBorder="1"/>
    <xf numFmtId="165" fontId="2" fillId="0" borderId="2" xfId="0" applyNumberFormat="1" applyFont="1" applyBorder="1" applyAlignment="1">
      <alignment horizontal="center" vertical="center"/>
    </xf>
    <xf numFmtId="0" fontId="10" fillId="0" borderId="0" xfId="0" applyFont="1" applyAlignment="1">
      <alignment horizontal="center"/>
    </xf>
    <xf numFmtId="10" fontId="5" fillId="0" borderId="0" xfId="5" applyNumberFormat="1" applyFont="1"/>
    <xf numFmtId="10" fontId="5" fillId="0" borderId="3" xfId="5" applyNumberFormat="1" applyFont="1" applyBorder="1"/>
    <xf numFmtId="0" fontId="5" fillId="0" borderId="2" xfId="0" applyFont="1" applyBorder="1" applyAlignment="1">
      <alignment horizontal="center"/>
    </xf>
    <xf numFmtId="165" fontId="5" fillId="0" borderId="2" xfId="2" applyNumberFormat="1" applyFont="1" applyBorder="1"/>
    <xf numFmtId="10" fontId="5" fillId="0" borderId="2" xfId="5" applyNumberFormat="1" applyFont="1" applyBorder="1"/>
    <xf numFmtId="17" fontId="2" fillId="0" borderId="0" xfId="0" applyNumberFormat="1" applyFont="1" applyAlignment="1">
      <alignment horizontal="center"/>
    </xf>
    <xf numFmtId="173" fontId="5" fillId="0" borderId="0" xfId="5" applyNumberFormat="1" applyFont="1"/>
    <xf numFmtId="164" fontId="5" fillId="0" borderId="1" xfId="0" applyNumberFormat="1" applyFont="1" applyBorder="1"/>
    <xf numFmtId="164" fontId="5" fillId="0" borderId="1" xfId="1" applyNumberFormat="1" applyFont="1" applyBorder="1"/>
    <xf numFmtId="173" fontId="5" fillId="0" borderId="0" xfId="5" applyNumberFormat="1" applyFont="1" applyAlignment="1">
      <alignment horizontal="right"/>
    </xf>
    <xf numFmtId="173" fontId="5" fillId="0" borderId="0" xfId="5" applyNumberFormat="1" applyFont="1" applyFill="1"/>
    <xf numFmtId="173" fontId="5" fillId="0" borderId="0" xfId="5" applyNumberFormat="1" applyFont="1" applyBorder="1"/>
    <xf numFmtId="0" fontId="5" fillId="0" borderId="2" xfId="0" applyFont="1" applyBorder="1" applyAlignment="1">
      <alignment horizontal="left"/>
    </xf>
    <xf numFmtId="10" fontId="2" fillId="0" borderId="0" xfId="0" applyNumberFormat="1" applyFont="1" applyFill="1"/>
    <xf numFmtId="10" fontId="18" fillId="0" borderId="0" xfId="0" applyNumberFormat="1" applyFont="1"/>
    <xf numFmtId="0" fontId="2" fillId="0" borderId="0" xfId="0" applyNumberFormat="1" applyFont="1" applyAlignment="1">
      <alignment horizontal="center"/>
    </xf>
    <xf numFmtId="10" fontId="2" fillId="0" borderId="0" xfId="0" applyNumberFormat="1" applyFont="1"/>
    <xf numFmtId="165" fontId="2" fillId="0" borderId="3" xfId="0" applyNumberFormat="1" applyFont="1" applyBorder="1"/>
    <xf numFmtId="0" fontId="2" fillId="0" borderId="8" xfId="0" applyFont="1" applyFill="1" applyBorder="1" applyAlignment="1">
      <alignment horizontal="center" vertical="center"/>
    </xf>
    <xf numFmtId="0" fontId="2" fillId="0" borderId="8" xfId="0" applyFont="1" applyBorder="1"/>
    <xf numFmtId="38" fontId="2" fillId="0" borderId="0" xfId="2" applyNumberFormat="1" applyFont="1" applyFill="1" applyAlignment="1">
      <alignment vertical="center"/>
    </xf>
    <xf numFmtId="38" fontId="2" fillId="0" borderId="0" xfId="0" applyNumberFormat="1" applyFont="1"/>
    <xf numFmtId="38" fontId="2" fillId="0" borderId="2" xfId="0" applyNumberFormat="1" applyFont="1" applyBorder="1" applyAlignment="1">
      <alignment horizontal="right" vertical="center"/>
    </xf>
    <xf numFmtId="165" fontId="2" fillId="0" borderId="0" xfId="2" applyNumberFormat="1" applyFont="1" applyFill="1" applyAlignment="1">
      <alignment horizontal="center"/>
    </xf>
    <xf numFmtId="165" fontId="5" fillId="0" borderId="3" xfId="0" applyNumberFormat="1" applyFont="1" applyBorder="1"/>
    <xf numFmtId="0" fontId="18" fillId="0" borderId="0" xfId="0" applyFont="1"/>
    <xf numFmtId="0" fontId="5" fillId="0" borderId="0" xfId="0" applyFont="1" applyAlignment="1">
      <alignment horizontal="center"/>
    </xf>
    <xf numFmtId="164" fontId="26" fillId="0" borderId="0" xfId="2" applyNumberFormat="1" applyFont="1" applyBorder="1"/>
    <xf numFmtId="164" fontId="26" fillId="0" borderId="2" xfId="2" applyNumberFormat="1" applyFont="1" applyBorder="1"/>
    <xf numFmtId="1" fontId="2" fillId="0" borderId="0" xfId="0" applyNumberFormat="1" applyFont="1"/>
    <xf numFmtId="3" fontId="2" fillId="0" borderId="0" xfId="0" applyNumberFormat="1" applyFont="1"/>
    <xf numFmtId="44" fontId="4" fillId="0" borderId="0" xfId="0" applyNumberFormat="1" applyFont="1" applyBorder="1"/>
    <xf numFmtId="44" fontId="4" fillId="0" borderId="0" xfId="1" applyFont="1" applyAlignment="1">
      <alignment horizontal="right"/>
    </xf>
    <xf numFmtId="0" fontId="2" fillId="0" borderId="0" xfId="0" quotePrefix="1" applyFont="1"/>
    <xf numFmtId="0" fontId="5" fillId="0" borderId="0" xfId="0" applyFont="1" applyAlignment="1">
      <alignment horizontal="center"/>
    </xf>
    <xf numFmtId="44" fontId="5" fillId="0" borderId="3" xfId="1" applyFont="1" applyBorder="1"/>
    <xf numFmtId="0" fontId="5" fillId="0" borderId="0" xfId="0" applyFont="1" applyAlignment="1">
      <alignment horizontal="center"/>
    </xf>
    <xf numFmtId="164" fontId="15" fillId="0" borderId="7" xfId="0" applyNumberFormat="1" applyFont="1" applyBorder="1"/>
    <xf numFmtId="0" fontId="2" fillId="0" borderId="3" xfId="0" applyFont="1" applyBorder="1" applyAlignment="1" applyProtection="1">
      <alignment horizontal="right"/>
    </xf>
    <xf numFmtId="43" fontId="2" fillId="0" borderId="0" xfId="2" applyFont="1" applyFill="1"/>
    <xf numFmtId="43" fontId="2" fillId="0" borderId="0" xfId="2" applyFont="1"/>
    <xf numFmtId="43" fontId="2" fillId="0" borderId="0" xfId="2" applyFont="1" applyBorder="1"/>
    <xf numFmtId="43" fontId="5" fillId="0" borderId="3" xfId="2" applyFont="1" applyBorder="1"/>
    <xf numFmtId="0" fontId="2" fillId="0" borderId="2" xfId="0" applyFont="1" applyBorder="1" applyAlignment="1">
      <alignment horizontal="left" vertical="center"/>
    </xf>
    <xf numFmtId="165" fontId="4" fillId="0" borderId="7" xfId="2" applyNumberFormat="1" applyFont="1" applyBorder="1"/>
    <xf numFmtId="0" fontId="15" fillId="0" borderId="3" xfId="0" applyFont="1" applyBorder="1" applyAlignment="1" applyProtection="1">
      <alignment horizontal="left"/>
    </xf>
    <xf numFmtId="0" fontId="2" fillId="0" borderId="2" xfId="0" applyFont="1" applyFill="1" applyBorder="1" applyAlignment="1">
      <alignment horizontal="left" vertical="center"/>
    </xf>
    <xf numFmtId="164" fontId="2" fillId="0" borderId="2" xfId="0" applyNumberFormat="1" applyFont="1" applyBorder="1" applyAlignment="1">
      <alignment vertical="center"/>
    </xf>
    <xf numFmtId="0" fontId="5" fillId="0" borderId="0" xfId="0" applyFont="1" applyAlignment="1">
      <alignment horizontal="center"/>
    </xf>
    <xf numFmtId="0" fontId="5" fillId="0" borderId="0" xfId="3" applyFont="1" applyAlignment="1">
      <alignment horizontal="center"/>
    </xf>
    <xf numFmtId="0" fontId="23" fillId="0" borderId="0" xfId="0" applyFont="1" applyFill="1" applyAlignment="1">
      <alignment horizontal="right"/>
    </xf>
    <xf numFmtId="164" fontId="15" fillId="0" borderId="3" xfId="1" applyNumberFormat="1" applyFont="1" applyBorder="1"/>
    <xf numFmtId="164" fontId="15" fillId="0" borderId="0" xfId="1" applyNumberFormat="1" applyFont="1" applyAlignment="1">
      <alignment vertical="center"/>
    </xf>
    <xf numFmtId="164" fontId="2" fillId="0" borderId="0" xfId="1" applyNumberFormat="1" applyFont="1" applyBorder="1" applyAlignment="1" applyProtection="1">
      <alignment horizontal="center"/>
    </xf>
    <xf numFmtId="0" fontId="2" fillId="0" borderId="1" xfId="0" applyFont="1" applyBorder="1" applyAlignment="1">
      <alignment horizontal="center"/>
    </xf>
    <xf numFmtId="0" fontId="2" fillId="0" borderId="0" xfId="0" applyFont="1" applyAlignment="1">
      <alignment horizontal="center" wrapText="1"/>
    </xf>
    <xf numFmtId="164" fontId="23" fillId="5" borderId="0" xfId="1" applyNumberFormat="1" applyFont="1" applyFill="1" applyAlignment="1">
      <alignment horizontal="center"/>
    </xf>
    <xf numFmtId="165" fontId="2" fillId="0" borderId="0" xfId="2" applyNumberFormat="1" applyFont="1" applyFill="1" applyProtection="1"/>
    <xf numFmtId="164" fontId="2" fillId="0" borderId="3" xfId="1" applyNumberFormat="1" applyFont="1" applyFill="1" applyBorder="1"/>
    <xf numFmtId="0" fontId="2" fillId="0" borderId="1" xfId="0" quotePrefix="1" applyFont="1" applyBorder="1" applyAlignment="1">
      <alignment horizontal="center"/>
    </xf>
    <xf numFmtId="165" fontId="2" fillId="2" borderId="0" xfId="0" applyNumberFormat="1" applyFont="1" applyFill="1"/>
    <xf numFmtId="0" fontId="2" fillId="2" borderId="0" xfId="0" applyFont="1" applyFill="1"/>
    <xf numFmtId="164" fontId="2" fillId="0" borderId="0" xfId="1" applyNumberFormat="1" applyFont="1" applyBorder="1"/>
    <xf numFmtId="165" fontId="2" fillId="0" borderId="0" xfId="2" applyNumberFormat="1" applyFont="1" applyBorder="1"/>
    <xf numFmtId="0" fontId="15" fillId="0" borderId="0" xfId="0" applyFont="1" applyBorder="1"/>
    <xf numFmtId="166" fontId="2" fillId="0" borderId="0" xfId="1" applyNumberFormat="1" applyFont="1" applyBorder="1"/>
    <xf numFmtId="167" fontId="2" fillId="0" borderId="0" xfId="2" applyNumberFormat="1" applyFont="1" applyBorder="1"/>
    <xf numFmtId="0" fontId="2" fillId="0" borderId="4" xfId="0" applyFont="1" applyBorder="1"/>
    <xf numFmtId="164" fontId="2" fillId="0" borderId="4" xfId="1" applyNumberFormat="1" applyFont="1" applyBorder="1"/>
    <xf numFmtId="164" fontId="15" fillId="0" borderId="1" xfId="1" applyNumberFormat="1" applyFont="1" applyBorder="1" applyAlignment="1">
      <alignment horizontal="right"/>
    </xf>
    <xf numFmtId="164" fontId="2" fillId="0" borderId="2" xfId="0" applyNumberFormat="1" applyFont="1" applyBorder="1"/>
    <xf numFmtId="164" fontId="2" fillId="0" borderId="2" xfId="1" applyNumberFormat="1" applyFont="1" applyBorder="1"/>
    <xf numFmtId="0" fontId="15" fillId="0" borderId="1" xfId="0" applyFont="1" applyBorder="1"/>
    <xf numFmtId="41" fontId="23" fillId="0" borderId="0" xfId="0" applyNumberFormat="1" applyFont="1" applyBorder="1" applyProtection="1"/>
    <xf numFmtId="41" fontId="2" fillId="0" borderId="0" xfId="0" applyNumberFormat="1" applyFont="1" applyFill="1" applyBorder="1" applyProtection="1"/>
    <xf numFmtId="10" fontId="2" fillId="0" borderId="0" xfId="5" applyNumberFormat="1" applyFont="1" applyFill="1" applyBorder="1" applyProtection="1"/>
    <xf numFmtId="41" fontId="2" fillId="0" borderId="0" xfId="0" applyNumberFormat="1" applyFont="1" applyBorder="1"/>
    <xf numFmtId="10" fontId="2" fillId="0" borderId="0" xfId="0" applyNumberFormat="1" applyFont="1" applyBorder="1" applyProtection="1"/>
    <xf numFmtId="0" fontId="2" fillId="0" borderId="3" xfId="0" applyFont="1" applyBorder="1" applyAlignment="1">
      <alignment horizontal="right"/>
    </xf>
    <xf numFmtId="41" fontId="2" fillId="0" borderId="3" xfId="0" applyNumberFormat="1" applyFont="1" applyBorder="1"/>
    <xf numFmtId="41" fontId="2" fillId="0" borderId="3" xfId="0" applyNumberFormat="1" applyFont="1" applyFill="1" applyBorder="1"/>
    <xf numFmtId="0" fontId="14" fillId="0" borderId="0" xfId="0" applyFont="1" applyBorder="1" applyAlignment="1">
      <alignment horizontal="left"/>
    </xf>
    <xf numFmtId="168" fontId="2" fillId="0" borderId="0" xfId="0" applyNumberFormat="1" applyFont="1" applyBorder="1" applyProtection="1"/>
    <xf numFmtId="41" fontId="2" fillId="0" borderId="0" xfId="0" applyNumberFormat="1" applyFont="1"/>
    <xf numFmtId="10" fontId="2" fillId="0" borderId="0" xfId="0" applyNumberFormat="1" applyFont="1" applyFill="1" applyBorder="1" applyProtection="1"/>
    <xf numFmtId="0" fontId="2" fillId="0" borderId="8" xfId="0" applyFont="1" applyBorder="1" applyAlignment="1">
      <alignment horizontal="center"/>
    </xf>
    <xf numFmtId="41" fontId="2" fillId="0" borderId="8" xfId="0" applyNumberFormat="1" applyFont="1" applyBorder="1"/>
    <xf numFmtId="0" fontId="2" fillId="0" borderId="0" xfId="0" applyFont="1" applyBorder="1" applyAlignment="1">
      <alignment horizontal="right"/>
    </xf>
    <xf numFmtId="164" fontId="2" fillId="0" borderId="8" xfId="1" applyNumberFormat="1" applyFont="1" applyBorder="1"/>
    <xf numFmtId="41" fontId="2" fillId="0" borderId="2" xfId="0" applyNumberFormat="1" applyFont="1" applyBorder="1"/>
    <xf numFmtId="41" fontId="15" fillId="0" borderId="2" xfId="0" applyNumberFormat="1" applyFont="1" applyBorder="1"/>
    <xf numFmtId="44" fontId="2" fillId="0" borderId="0" xfId="1" applyFont="1"/>
    <xf numFmtId="43" fontId="31" fillId="0" borderId="0" xfId="2" applyFont="1" applyBorder="1" applyAlignment="1" applyProtection="1">
      <alignment horizontal="left"/>
    </xf>
    <xf numFmtId="41" fontId="31" fillId="0" borderId="3" xfId="0" applyNumberFormat="1" applyFont="1" applyFill="1" applyBorder="1" applyProtection="1"/>
    <xf numFmtId="0" fontId="31" fillId="0" borderId="0" xfId="0" applyFont="1" applyAlignment="1">
      <alignment horizontal="right"/>
    </xf>
    <xf numFmtId="164" fontId="32" fillId="0" borderId="0" xfId="1" applyNumberFormat="1" applyFont="1" applyFill="1" applyBorder="1"/>
    <xf numFmtId="0" fontId="32" fillId="0" borderId="0" xfId="0" applyFont="1" applyAlignment="1">
      <alignment horizontal="center"/>
    </xf>
    <xf numFmtId="0" fontId="32" fillId="0" borderId="1" xfId="0" quotePrefix="1" applyFont="1" applyBorder="1" applyAlignment="1">
      <alignment horizontal="center"/>
    </xf>
    <xf numFmtId="0" fontId="32" fillId="0" borderId="0" xfId="0" applyFont="1"/>
    <xf numFmtId="164" fontId="32" fillId="0" borderId="0" xfId="1" applyNumberFormat="1" applyFont="1" applyFill="1"/>
    <xf numFmtId="164" fontId="32" fillId="0" borderId="3" xfId="1" applyNumberFormat="1" applyFont="1" applyFill="1" applyBorder="1"/>
    <xf numFmtId="164" fontId="32" fillId="0" borderId="0" xfId="1" applyNumberFormat="1" applyFont="1"/>
    <xf numFmtId="164" fontId="32" fillId="0" borderId="2" xfId="1" applyNumberFormat="1" applyFont="1" applyBorder="1"/>
    <xf numFmtId="0" fontId="31" fillId="0" borderId="0" xfId="0" applyFont="1"/>
    <xf numFmtId="0" fontId="32" fillId="4" borderId="0" xfId="0" applyFont="1" applyFill="1" applyAlignment="1">
      <alignment horizontal="center" wrapText="1"/>
    </xf>
    <xf numFmtId="0" fontId="32" fillId="4" borderId="0" xfId="3" applyFont="1" applyFill="1" applyAlignment="1">
      <alignment horizontal="center"/>
    </xf>
    <xf numFmtId="0" fontId="33" fillId="0" borderId="0" xfId="0" applyFont="1" applyFill="1" applyAlignment="1">
      <alignment horizontal="center"/>
    </xf>
    <xf numFmtId="0" fontId="34" fillId="0" borderId="0" xfId="0" applyFont="1" applyAlignment="1">
      <alignment horizontal="center"/>
    </xf>
    <xf numFmtId="37" fontId="32" fillId="7" borderId="0" xfId="0" applyNumberFormat="1" applyFont="1" applyFill="1"/>
    <xf numFmtId="2" fontId="32" fillId="0" borderId="0" xfId="0" applyNumberFormat="1" applyFont="1" applyFill="1"/>
    <xf numFmtId="37" fontId="32" fillId="0" borderId="0" xfId="0" applyNumberFormat="1" applyFont="1" applyFill="1"/>
    <xf numFmtId="0" fontId="4" fillId="0" borderId="0" xfId="0" applyFont="1" applyAlignment="1">
      <alignment horizontal="center"/>
    </xf>
    <xf numFmtId="0" fontId="20" fillId="0" borderId="0" xfId="4" applyFont="1" applyFill="1" applyAlignment="1">
      <alignment horizontal="center"/>
    </xf>
    <xf numFmtId="0" fontId="4" fillId="0" borderId="0" xfId="3"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6" fillId="0" borderId="0" xfId="0" applyFont="1" applyFill="1" applyAlignment="1">
      <alignment horizontal="center"/>
    </xf>
    <xf numFmtId="0" fontId="15" fillId="0" borderId="0" xfId="3" applyFont="1" applyAlignment="1">
      <alignment horizontal="center"/>
    </xf>
    <xf numFmtId="0" fontId="2" fillId="0" borderId="0" xfId="0" applyFont="1" applyAlignment="1">
      <alignment horizontal="center"/>
    </xf>
    <xf numFmtId="164" fontId="2" fillId="0" borderId="0" xfId="1" applyNumberFormat="1" applyFont="1" applyBorder="1" applyAlignment="1" applyProtection="1">
      <alignment horizontal="center"/>
    </xf>
    <xf numFmtId="0" fontId="2" fillId="0" borderId="0" xfId="0" applyFont="1" applyAlignment="1">
      <alignment horizontal="left" vertical="top" wrapText="1"/>
    </xf>
    <xf numFmtId="0" fontId="2" fillId="0" borderId="1" xfId="0" applyFont="1" applyBorder="1" applyAlignment="1">
      <alignment horizontal="center"/>
    </xf>
    <xf numFmtId="164" fontId="2" fillId="0" borderId="3" xfId="1" applyNumberFormat="1" applyFont="1" applyBorder="1" applyAlignment="1" applyProtection="1">
      <alignment horizontal="center"/>
    </xf>
    <xf numFmtId="164" fontId="2" fillId="0" borderId="2" xfId="1" applyNumberFormat="1" applyFont="1" applyBorder="1" applyAlignment="1" applyProtection="1">
      <alignment horizontal="center"/>
    </xf>
    <xf numFmtId="0" fontId="2" fillId="0" borderId="0" xfId="0" applyFont="1" applyAlignment="1">
      <alignment horizont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wrapText="1"/>
    </xf>
    <xf numFmtId="0" fontId="34" fillId="0" borderId="0" xfId="0" applyFont="1" applyFill="1" applyAlignment="1">
      <alignment horizontal="right"/>
    </xf>
    <xf numFmtId="43" fontId="35" fillId="0" borderId="0" xfId="2" applyFont="1" applyFill="1"/>
  </cellXfs>
  <cellStyles count="13">
    <cellStyle name="Comma" xfId="2" builtinId="3"/>
    <cellStyle name="Comma 2" xfId="6" xr:uid="{00000000-0005-0000-0000-000001000000}"/>
    <cellStyle name="Comma 3" xfId="9" xr:uid="{00000000-0005-0000-0000-000002000000}"/>
    <cellStyle name="Currency" xfId="1" builtinId="4"/>
    <cellStyle name="Currency 2" xfId="7" xr:uid="{00000000-0005-0000-0000-000004000000}"/>
    <cellStyle name="Currency 3" xfId="10" xr:uid="{00000000-0005-0000-0000-000005000000}"/>
    <cellStyle name="Normal" xfId="0" builtinId="0"/>
    <cellStyle name="Normal 2" xfId="3" xr:uid="{00000000-0005-0000-0000-000007000000}"/>
    <cellStyle name="Normal 3" xfId="4" xr:uid="{00000000-0005-0000-0000-000008000000}"/>
    <cellStyle name="Normal 4" xfId="8" xr:uid="{00000000-0005-0000-0000-000009000000}"/>
    <cellStyle name="Normal 5" xfId="11" xr:uid="{00000000-0005-0000-0000-00000A000000}"/>
    <cellStyle name="Percent" xfId="5" builtinId="5"/>
    <cellStyle name="Percent 2" xfId="12" xr:uid="{00000000-0005-0000-0000-00000C000000}"/>
  </cellStyles>
  <dxfs count="18">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
      <font>
        <color rgb="FF006100"/>
      </font>
      <fill>
        <patternFill>
          <bgColor rgb="FFC6EFCE"/>
        </patternFill>
      </fill>
    </dxf>
    <dxf>
      <font>
        <color rgb="FFC00000"/>
      </font>
      <fill>
        <patternFill>
          <bgColor theme="5" tint="0.59996337778862885"/>
        </patternFill>
      </fill>
    </dxf>
  </dxfs>
  <tableStyles count="0" defaultTableStyle="TableStyleMedium2" defaultPivotStyle="PivotStyleLight16"/>
  <colors>
    <mruColors>
      <color rgb="FFFFFFCC"/>
      <color rgb="FF0000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
  <sheetViews>
    <sheetView tabSelected="1" view="pageBreakPreview" zoomScale="75" zoomScaleNormal="100" zoomScaleSheetLayoutView="75" workbookViewId="0">
      <selection activeCell="A27" sqref="A27"/>
    </sheetView>
  </sheetViews>
  <sheetFormatPr defaultColWidth="9.109375" defaultRowHeight="14.4"/>
  <cols>
    <col min="1" max="1" width="9.109375" style="214"/>
    <col min="2" max="2" width="37.33203125" style="122" customWidth="1"/>
    <col min="3" max="3" width="12.44140625" style="122" customWidth="1"/>
    <col min="4" max="5" width="13.109375" style="122" customWidth="1"/>
    <col min="6" max="7" width="13.44140625" style="122" customWidth="1"/>
    <col min="8" max="8" width="9.109375" style="122"/>
    <col min="9" max="9" width="14.33203125" style="122" bestFit="1" customWidth="1"/>
    <col min="10" max="10" width="11.33203125" style="122" bestFit="1" customWidth="1"/>
    <col min="11" max="16384" width="9.109375" style="122"/>
  </cols>
  <sheetData>
    <row r="1" spans="1:10">
      <c r="A1" s="118" t="s">
        <v>284</v>
      </c>
      <c r="B1" s="118"/>
      <c r="C1" s="118"/>
      <c r="D1" s="118"/>
      <c r="E1" s="118"/>
      <c r="F1" s="118"/>
      <c r="G1" s="481" t="s">
        <v>666</v>
      </c>
      <c r="I1" s="482" t="s">
        <v>673</v>
      </c>
    </row>
    <row r="2" spans="1:10">
      <c r="A2" s="118" t="s">
        <v>207</v>
      </c>
      <c r="B2" s="118"/>
      <c r="C2" s="118"/>
      <c r="D2" s="118"/>
      <c r="E2" s="118"/>
      <c r="F2" s="118"/>
      <c r="G2" s="118"/>
      <c r="I2" s="207"/>
    </row>
    <row r="3" spans="1:10">
      <c r="A3" s="118" t="s">
        <v>211</v>
      </c>
      <c r="B3" s="118"/>
      <c r="C3" s="118"/>
      <c r="D3" s="118"/>
      <c r="E3" s="118"/>
      <c r="F3" s="118"/>
      <c r="G3" s="118"/>
      <c r="I3" s="207"/>
    </row>
    <row r="4" spans="1:10">
      <c r="A4" s="136"/>
      <c r="B4" s="42"/>
      <c r="C4" s="42"/>
      <c r="D4" s="42"/>
      <c r="E4" s="42"/>
      <c r="F4" s="42"/>
      <c r="G4" s="42"/>
      <c r="I4" s="207"/>
    </row>
    <row r="5" spans="1:10">
      <c r="A5" s="208"/>
      <c r="B5" s="42"/>
      <c r="C5" s="136"/>
      <c r="E5" s="136"/>
      <c r="F5" s="136"/>
      <c r="G5" s="42"/>
      <c r="I5" s="207"/>
    </row>
    <row r="6" spans="1:10" ht="41.25" customHeight="1">
      <c r="A6" s="136" t="s">
        <v>0</v>
      </c>
      <c r="B6" s="136" t="s">
        <v>1</v>
      </c>
      <c r="C6" s="131" t="s">
        <v>226</v>
      </c>
      <c r="D6" s="131" t="s">
        <v>285</v>
      </c>
      <c r="E6" s="131" t="s">
        <v>234</v>
      </c>
      <c r="F6" s="131" t="s">
        <v>109</v>
      </c>
      <c r="G6" s="131" t="s">
        <v>242</v>
      </c>
      <c r="I6" s="207"/>
    </row>
    <row r="7" spans="1:10" s="209" customFormat="1">
      <c r="A7" s="105" t="s">
        <v>21</v>
      </c>
      <c r="B7" s="106">
        <v>1</v>
      </c>
      <c r="C7" s="106">
        <f>B7+1</f>
        <v>2</v>
      </c>
      <c r="D7" s="106" t="s">
        <v>19</v>
      </c>
      <c r="E7" s="106" t="s">
        <v>25</v>
      </c>
      <c r="F7" s="106" t="s">
        <v>47</v>
      </c>
      <c r="G7" s="106" t="s">
        <v>48</v>
      </c>
      <c r="H7" s="122"/>
      <c r="I7" s="207"/>
      <c r="J7" s="122"/>
    </row>
    <row r="8" spans="1:10">
      <c r="A8" s="208">
        <v>1</v>
      </c>
      <c r="B8" s="210" t="s">
        <v>72</v>
      </c>
      <c r="C8" s="119"/>
      <c r="D8" s="119"/>
      <c r="E8" s="119"/>
      <c r="F8" s="119"/>
      <c r="G8" s="119"/>
      <c r="I8" s="207"/>
    </row>
    <row r="9" spans="1:10">
      <c r="A9" s="208">
        <f>A8+1</f>
        <v>2</v>
      </c>
      <c r="B9" s="42" t="s">
        <v>150</v>
      </c>
      <c r="C9" s="38">
        <v>41687369.509999998</v>
      </c>
      <c r="D9" s="38">
        <f>C9+D72</f>
        <v>40965064.757391997</v>
      </c>
      <c r="E9" s="38">
        <f>'Adj List'!D7+'Adj List'!D8+'Adj List'!D10</f>
        <v>-2317638.4700000007</v>
      </c>
      <c r="F9" s="38">
        <f>D9+E9</f>
        <v>38647426.287391998</v>
      </c>
      <c r="G9" s="38">
        <f>F9+D67</f>
        <v>39568621.427031994</v>
      </c>
      <c r="I9" s="207"/>
    </row>
    <row r="10" spans="1:10">
      <c r="A10" s="208">
        <f t="shared" ref="A10:A68" si="0">A9+1</f>
        <v>3</v>
      </c>
      <c r="B10" s="42" t="s">
        <v>101</v>
      </c>
      <c r="C10" s="38">
        <v>1674872.3999999985</v>
      </c>
      <c r="D10" s="38">
        <f>C10</f>
        <v>1674872.3999999985</v>
      </c>
      <c r="E10" s="38">
        <v>0</v>
      </c>
      <c r="F10" s="38">
        <f>D10+E10</f>
        <v>1674872.3999999985</v>
      </c>
      <c r="G10" s="38">
        <f>F10</f>
        <v>1674872.3999999985</v>
      </c>
    </row>
    <row r="11" spans="1:10">
      <c r="A11" s="208">
        <f t="shared" si="0"/>
        <v>4</v>
      </c>
      <c r="B11" s="66" t="s">
        <v>149</v>
      </c>
      <c r="C11" s="74">
        <f>SUM(C9:C10)</f>
        <v>43362241.909999996</v>
      </c>
      <c r="D11" s="74">
        <f>SUM(D9:D10)</f>
        <v>42639937.157391995</v>
      </c>
      <c r="E11" s="74">
        <f>SUM(E9:E10)</f>
        <v>-2317638.4700000007</v>
      </c>
      <c r="F11" s="74">
        <f>SUM(F9:F10)</f>
        <v>40322298.687391996</v>
      </c>
      <c r="G11" s="74">
        <f>SUM(G9:G10)</f>
        <v>41243493.827031992</v>
      </c>
      <c r="I11" s="211"/>
      <c r="J11" s="211"/>
    </row>
    <row r="12" spans="1:10">
      <c r="A12" s="208">
        <f t="shared" si="0"/>
        <v>5</v>
      </c>
      <c r="B12" s="42"/>
      <c r="C12" s="38"/>
      <c r="D12" s="38"/>
      <c r="E12" s="38"/>
      <c r="F12" s="38"/>
      <c r="G12" s="38"/>
      <c r="I12" s="211"/>
    </row>
    <row r="13" spans="1:10">
      <c r="A13" s="208">
        <f t="shared" si="0"/>
        <v>6</v>
      </c>
      <c r="B13" s="210" t="s">
        <v>73</v>
      </c>
      <c r="C13" s="38"/>
      <c r="D13" s="38"/>
      <c r="E13" s="38"/>
      <c r="F13" s="38"/>
      <c r="G13" s="38"/>
    </row>
    <row r="14" spans="1:10">
      <c r="A14" s="208">
        <f t="shared" si="0"/>
        <v>7</v>
      </c>
      <c r="B14" s="42" t="s">
        <v>74</v>
      </c>
      <c r="C14" s="38">
        <v>29927607</v>
      </c>
      <c r="D14" s="38">
        <f>C14</f>
        <v>29927607</v>
      </c>
      <c r="E14" s="38">
        <f>'Adj List'!E7+'Adj List'!E8+'Adj List'!E10</f>
        <v>-2365709.86</v>
      </c>
      <c r="F14" s="38">
        <f t="shared" ref="F14:F20" si="1">D14+E14</f>
        <v>27561897.140000001</v>
      </c>
      <c r="G14" s="38">
        <f>F14</f>
        <v>27561897.140000001</v>
      </c>
    </row>
    <row r="15" spans="1:10">
      <c r="A15" s="208">
        <f t="shared" si="0"/>
        <v>8</v>
      </c>
      <c r="B15" s="42" t="s">
        <v>75</v>
      </c>
      <c r="C15" s="38">
        <v>1492530.21</v>
      </c>
      <c r="D15" s="38">
        <f t="shared" ref="D15:D50" si="2">C15</f>
        <v>1492530.21</v>
      </c>
      <c r="E15" s="38">
        <v>0</v>
      </c>
      <c r="F15" s="38">
        <f t="shared" si="1"/>
        <v>1492530.21</v>
      </c>
      <c r="G15" s="38">
        <f t="shared" ref="G15:G20" si="3">F15</f>
        <v>1492530.21</v>
      </c>
    </row>
    <row r="16" spans="1:10">
      <c r="A16" s="208">
        <f t="shared" si="0"/>
        <v>9</v>
      </c>
      <c r="B16" s="42" t="s">
        <v>76</v>
      </c>
      <c r="C16" s="38">
        <v>2779225.14</v>
      </c>
      <c r="D16" s="38">
        <f t="shared" si="2"/>
        <v>2779225.14</v>
      </c>
      <c r="E16" s="38">
        <v>0</v>
      </c>
      <c r="F16" s="38">
        <f t="shared" si="1"/>
        <v>2779225.14</v>
      </c>
      <c r="G16" s="38">
        <f t="shared" si="3"/>
        <v>2779225.14</v>
      </c>
    </row>
    <row r="17" spans="1:10">
      <c r="A17" s="208">
        <f t="shared" si="0"/>
        <v>10</v>
      </c>
      <c r="B17" s="42" t="s">
        <v>77</v>
      </c>
      <c r="C17" s="38">
        <v>1678693.57</v>
      </c>
      <c r="D17" s="38">
        <f t="shared" si="2"/>
        <v>1678693.57</v>
      </c>
      <c r="E17" s="38">
        <v>0</v>
      </c>
      <c r="F17" s="38">
        <f t="shared" si="1"/>
        <v>1678693.57</v>
      </c>
      <c r="G17" s="38">
        <f t="shared" si="3"/>
        <v>1678693.57</v>
      </c>
    </row>
    <row r="18" spans="1:10">
      <c r="A18" s="208">
        <f t="shared" si="0"/>
        <v>11</v>
      </c>
      <c r="B18" s="42" t="s">
        <v>78</v>
      </c>
      <c r="C18" s="38">
        <v>52995.66</v>
      </c>
      <c r="D18" s="38">
        <f t="shared" si="2"/>
        <v>52995.66</v>
      </c>
      <c r="E18" s="38">
        <v>0</v>
      </c>
      <c r="F18" s="38">
        <f t="shared" si="1"/>
        <v>52995.66</v>
      </c>
      <c r="G18" s="38">
        <f t="shared" si="3"/>
        <v>52995.66</v>
      </c>
    </row>
    <row r="19" spans="1:10">
      <c r="A19" s="208">
        <f t="shared" si="0"/>
        <v>12</v>
      </c>
      <c r="B19" s="42" t="s">
        <v>79</v>
      </c>
      <c r="C19" s="38">
        <v>0</v>
      </c>
      <c r="D19" s="38">
        <f t="shared" si="2"/>
        <v>0</v>
      </c>
      <c r="E19" s="38">
        <v>0</v>
      </c>
      <c r="F19" s="38">
        <f t="shared" si="1"/>
        <v>0</v>
      </c>
      <c r="G19" s="38">
        <f t="shared" si="3"/>
        <v>0</v>
      </c>
    </row>
    <row r="20" spans="1:10">
      <c r="A20" s="208">
        <f t="shared" si="0"/>
        <v>13</v>
      </c>
      <c r="B20" s="42" t="s">
        <v>80</v>
      </c>
      <c r="C20" s="38">
        <v>1730238.64</v>
      </c>
      <c r="D20" s="38">
        <f t="shared" si="2"/>
        <v>1730238.64</v>
      </c>
      <c r="E20" s="38">
        <f>'Adj List'!E9+'Adj List'!E12+'Adj List'!E13+'Adj List'!E14+'Adj List'!E15+'Adj List'!E16+'Adj List'!E17+'Adj List'!E21</f>
        <v>-242110.60971277943</v>
      </c>
      <c r="F20" s="38">
        <f t="shared" si="1"/>
        <v>1488128.0302872204</v>
      </c>
      <c r="G20" s="38">
        <f t="shared" si="3"/>
        <v>1488128.0302872204</v>
      </c>
    </row>
    <row r="21" spans="1:10">
      <c r="A21" s="208">
        <f t="shared" si="0"/>
        <v>14</v>
      </c>
      <c r="B21" s="66" t="s">
        <v>81</v>
      </c>
      <c r="C21" s="74">
        <f>SUM(C14:C20)</f>
        <v>37661290.219999999</v>
      </c>
      <c r="D21" s="74">
        <f>SUM(D14:D20)</f>
        <v>37661290.219999999</v>
      </c>
      <c r="E21" s="74">
        <f>SUM(E14:E20)</f>
        <v>-2607820.4697127794</v>
      </c>
      <c r="F21" s="74">
        <f>SUM(F14:F20)</f>
        <v>35053469.75028722</v>
      </c>
      <c r="G21" s="74">
        <f>SUM(G14:G20)</f>
        <v>35053469.75028722</v>
      </c>
    </row>
    <row r="22" spans="1:10">
      <c r="A22" s="208">
        <f t="shared" si="0"/>
        <v>15</v>
      </c>
      <c r="C22" s="38"/>
      <c r="D22" s="38"/>
      <c r="E22" s="38"/>
      <c r="F22" s="38"/>
      <c r="G22" s="38"/>
    </row>
    <row r="23" spans="1:10">
      <c r="A23" s="208">
        <f t="shared" si="0"/>
        <v>16</v>
      </c>
      <c r="B23" s="42" t="s">
        <v>82</v>
      </c>
      <c r="C23" s="38">
        <v>4038210.54</v>
      </c>
      <c r="D23" s="38">
        <f t="shared" si="2"/>
        <v>4038210.54</v>
      </c>
      <c r="E23" s="38">
        <f>'Adj List'!E11</f>
        <v>150011.18</v>
      </c>
      <c r="F23" s="38">
        <f t="shared" ref="F23:F27" si="4">D23+E23</f>
        <v>4188221.72</v>
      </c>
      <c r="G23" s="38">
        <f>F23</f>
        <v>4188221.72</v>
      </c>
    </row>
    <row r="24" spans="1:10">
      <c r="A24" s="208">
        <f t="shared" si="0"/>
        <v>17</v>
      </c>
      <c r="B24" s="42" t="s">
        <v>83</v>
      </c>
      <c r="C24" s="38">
        <v>58193.279999999999</v>
      </c>
      <c r="D24" s="38">
        <f t="shared" si="2"/>
        <v>58193.279999999999</v>
      </c>
      <c r="E24" s="38">
        <f>'Adj List'!E19</f>
        <v>-4169.8518188515272</v>
      </c>
      <c r="F24" s="38">
        <f t="shared" si="4"/>
        <v>54023.428181148469</v>
      </c>
      <c r="G24" s="38">
        <f t="shared" ref="G24:G27" si="5">F24</f>
        <v>54023.428181148469</v>
      </c>
    </row>
    <row r="25" spans="1:10">
      <c r="A25" s="208">
        <f t="shared" si="0"/>
        <v>18</v>
      </c>
      <c r="B25" s="42" t="s">
        <v>70</v>
      </c>
      <c r="C25" s="38">
        <v>1216523.3899999999</v>
      </c>
      <c r="D25" s="38">
        <f t="shared" si="2"/>
        <v>1216523.3899999999</v>
      </c>
      <c r="E25" s="38">
        <f>'Adj List'!E20</f>
        <v>-88192.093333333498</v>
      </c>
      <c r="F25" s="38">
        <f t="shared" si="4"/>
        <v>1128331.2966666664</v>
      </c>
      <c r="G25" s="38">
        <f t="shared" si="5"/>
        <v>1128331.2966666664</v>
      </c>
    </row>
    <row r="26" spans="1:10">
      <c r="A26" s="208">
        <f t="shared" si="0"/>
        <v>19</v>
      </c>
      <c r="B26" s="42" t="s">
        <v>84</v>
      </c>
      <c r="C26" s="38">
        <v>26992.28</v>
      </c>
      <c r="D26" s="38">
        <f t="shared" si="2"/>
        <v>26992.28</v>
      </c>
      <c r="E26" s="38">
        <v>0</v>
      </c>
      <c r="F26" s="38">
        <f t="shared" si="4"/>
        <v>26992.28</v>
      </c>
      <c r="G26" s="38">
        <f t="shared" si="5"/>
        <v>26992.28</v>
      </c>
    </row>
    <row r="27" spans="1:10">
      <c r="A27" s="208">
        <f t="shared" si="0"/>
        <v>20</v>
      </c>
      <c r="B27" s="42" t="s">
        <v>85</v>
      </c>
      <c r="C27" s="38">
        <v>15242.23</v>
      </c>
      <c r="D27" s="38">
        <f t="shared" si="2"/>
        <v>15242.23</v>
      </c>
      <c r="E27" s="38">
        <v>0</v>
      </c>
      <c r="F27" s="38">
        <f t="shared" si="4"/>
        <v>15242.23</v>
      </c>
      <c r="G27" s="38">
        <f t="shared" si="5"/>
        <v>15242.23</v>
      </c>
    </row>
    <row r="28" spans="1:10">
      <c r="A28" s="208">
        <f t="shared" si="0"/>
        <v>21</v>
      </c>
      <c r="C28" s="38"/>
      <c r="D28" s="38"/>
      <c r="E28" s="38"/>
      <c r="F28" s="38"/>
      <c r="G28" s="38"/>
    </row>
    <row r="29" spans="1:10">
      <c r="A29" s="208">
        <f t="shared" si="0"/>
        <v>22</v>
      </c>
      <c r="B29" s="212" t="s">
        <v>33</v>
      </c>
      <c r="C29" s="120">
        <f>SUM(C21:C27)</f>
        <v>43016451.939999998</v>
      </c>
      <c r="D29" s="120">
        <f>SUM(D21:D27)</f>
        <v>43016451.939999998</v>
      </c>
      <c r="E29" s="120">
        <f>SUM(E21:E27)</f>
        <v>-2550171.2348649641</v>
      </c>
      <c r="F29" s="120">
        <f>SUM(F21:F27)</f>
        <v>40466280.705135033</v>
      </c>
      <c r="G29" s="120">
        <f>SUM(G21:G27)</f>
        <v>40466280.705135033</v>
      </c>
      <c r="I29" s="119"/>
      <c r="J29" s="119"/>
    </row>
    <row r="30" spans="1:10">
      <c r="A30" s="208">
        <f t="shared" si="0"/>
        <v>23</v>
      </c>
      <c r="C30" s="38"/>
      <c r="D30" s="38"/>
      <c r="E30" s="38"/>
      <c r="F30" s="38"/>
      <c r="G30" s="38"/>
    </row>
    <row r="31" spans="1:10" ht="15" thickBot="1">
      <c r="A31" s="208">
        <f t="shared" si="0"/>
        <v>24</v>
      </c>
      <c r="B31" s="213" t="s">
        <v>86</v>
      </c>
      <c r="C31" s="67">
        <f>C11-C29</f>
        <v>345789.96999999881</v>
      </c>
      <c r="D31" s="67">
        <f>D11-D29</f>
        <v>-376514.78260800242</v>
      </c>
      <c r="E31" s="67">
        <f>E11-E29</f>
        <v>232532.76486496348</v>
      </c>
      <c r="F31" s="67">
        <f>F11-F29</f>
        <v>-143982.01774303615</v>
      </c>
      <c r="G31" s="67">
        <f>G11-G29</f>
        <v>777213.12189695984</v>
      </c>
      <c r="I31" s="119"/>
    </row>
    <row r="32" spans="1:10" ht="15" thickTop="1">
      <c r="A32" s="208">
        <f t="shared" si="0"/>
        <v>25</v>
      </c>
      <c r="C32" s="38"/>
      <c r="D32" s="38"/>
      <c r="E32" s="38"/>
      <c r="F32" s="38"/>
      <c r="G32" s="38"/>
    </row>
    <row r="33" spans="1:7">
      <c r="A33" s="208">
        <f t="shared" si="0"/>
        <v>26</v>
      </c>
      <c r="B33" s="42" t="s">
        <v>34</v>
      </c>
      <c r="C33" s="38">
        <v>221194.1</v>
      </c>
      <c r="D33" s="38">
        <f t="shared" si="2"/>
        <v>221194.1</v>
      </c>
      <c r="E33" s="38">
        <v>0</v>
      </c>
      <c r="F33" s="38">
        <f t="shared" ref="F33:F37" si="6">D33+E33</f>
        <v>221194.1</v>
      </c>
      <c r="G33" s="38">
        <f>F33</f>
        <v>221194.1</v>
      </c>
    </row>
    <row r="34" spans="1:7">
      <c r="A34" s="208">
        <f t="shared" si="0"/>
        <v>27</v>
      </c>
      <c r="B34" s="42" t="s">
        <v>208</v>
      </c>
      <c r="C34" s="38">
        <v>0</v>
      </c>
      <c r="D34" s="38">
        <f t="shared" si="2"/>
        <v>0</v>
      </c>
      <c r="E34" s="38">
        <v>0</v>
      </c>
      <c r="F34" s="38">
        <f t="shared" si="6"/>
        <v>0</v>
      </c>
      <c r="G34" s="38">
        <f t="shared" ref="G34:G37" si="7">F34</f>
        <v>0</v>
      </c>
    </row>
    <row r="35" spans="1:7">
      <c r="A35" s="208">
        <f t="shared" si="0"/>
        <v>28</v>
      </c>
      <c r="B35" s="42" t="s">
        <v>35</v>
      </c>
      <c r="C35" s="38">
        <v>0</v>
      </c>
      <c r="D35" s="38">
        <f t="shared" si="2"/>
        <v>0</v>
      </c>
      <c r="E35" s="38">
        <v>0</v>
      </c>
      <c r="F35" s="38">
        <f t="shared" si="6"/>
        <v>0</v>
      </c>
      <c r="G35" s="38">
        <f t="shared" si="7"/>
        <v>0</v>
      </c>
    </row>
    <row r="36" spans="1:7">
      <c r="A36" s="208">
        <f t="shared" si="0"/>
        <v>29</v>
      </c>
      <c r="B36" s="42" t="s">
        <v>31</v>
      </c>
      <c r="C36" s="38">
        <v>1712191.29</v>
      </c>
      <c r="D36" s="38">
        <f t="shared" si="2"/>
        <v>1712191.29</v>
      </c>
      <c r="E36" s="38">
        <f>'Adj List'!F18</f>
        <v>-1712191.29</v>
      </c>
      <c r="F36" s="38">
        <f t="shared" si="6"/>
        <v>0</v>
      </c>
      <c r="G36" s="38">
        <f t="shared" si="7"/>
        <v>0</v>
      </c>
    </row>
    <row r="37" spans="1:7">
      <c r="A37" s="208">
        <f t="shared" si="0"/>
        <v>30</v>
      </c>
      <c r="B37" s="42" t="s">
        <v>87</v>
      </c>
      <c r="C37" s="38">
        <v>64318.16</v>
      </c>
      <c r="D37" s="38">
        <f t="shared" si="2"/>
        <v>64318.16</v>
      </c>
      <c r="E37" s="38">
        <v>0</v>
      </c>
      <c r="F37" s="38">
        <f t="shared" si="6"/>
        <v>64318.16</v>
      </c>
      <c r="G37" s="38">
        <f t="shared" si="7"/>
        <v>64318.16</v>
      </c>
    </row>
    <row r="38" spans="1:7">
      <c r="A38" s="208">
        <f t="shared" si="0"/>
        <v>31</v>
      </c>
      <c r="B38" s="42"/>
      <c r="C38" s="38"/>
      <c r="D38" s="38"/>
      <c r="E38" s="38"/>
      <c r="F38" s="38"/>
      <c r="G38" s="38"/>
    </row>
    <row r="39" spans="1:7" ht="15" thickBot="1">
      <c r="A39" s="208">
        <f t="shared" si="0"/>
        <v>32</v>
      </c>
      <c r="B39" s="213" t="s">
        <v>88</v>
      </c>
      <c r="C39" s="67">
        <f>C31+SUM(C33:C37)</f>
        <v>2343493.5199999986</v>
      </c>
      <c r="D39" s="67">
        <f>D31+SUM(D33:D37)</f>
        <v>1621188.7673919976</v>
      </c>
      <c r="E39" s="67">
        <f>E31+SUM(E33:E37)</f>
        <v>-1479658.5251350366</v>
      </c>
      <c r="F39" s="67">
        <f>F31+SUM(F33:F37)</f>
        <v>141530.24225696386</v>
      </c>
      <c r="G39" s="67">
        <f>G31+SUM(G33:G37)</f>
        <v>1062725.3818969599</v>
      </c>
    </row>
    <row r="40" spans="1:7" ht="15" thickTop="1">
      <c r="A40" s="208">
        <f t="shared" si="0"/>
        <v>33</v>
      </c>
      <c r="B40" s="42"/>
      <c r="C40" s="38"/>
      <c r="D40" s="38"/>
      <c r="E40" s="38"/>
      <c r="F40" s="38"/>
      <c r="G40" s="38"/>
    </row>
    <row r="41" spans="1:7">
      <c r="A41" s="208">
        <f t="shared" si="0"/>
        <v>34</v>
      </c>
      <c r="B41" s="42" t="s">
        <v>151</v>
      </c>
      <c r="C41" s="38">
        <v>8071.07</v>
      </c>
      <c r="D41" s="38">
        <f>C41</f>
        <v>8071.07</v>
      </c>
      <c r="E41" s="38">
        <v>0</v>
      </c>
      <c r="F41" s="38">
        <f t="shared" ref="F41:G41" si="8">D41+E41</f>
        <v>8071.07</v>
      </c>
      <c r="G41" s="38">
        <f t="shared" si="8"/>
        <v>8071.07</v>
      </c>
    </row>
    <row r="42" spans="1:7">
      <c r="A42" s="208">
        <f t="shared" si="0"/>
        <v>35</v>
      </c>
      <c r="B42" s="42" t="s">
        <v>90</v>
      </c>
      <c r="C42" s="121">
        <f>(C31+C41+C25)/C25</f>
        <v>1.2908789447936542</v>
      </c>
      <c r="D42" s="121">
        <f>(D31+D41+D25)/D25</f>
        <v>0.69713388526956122</v>
      </c>
      <c r="E42" s="142"/>
      <c r="F42" s="121">
        <f>(F31+F41+F25)/F25</f>
        <v>0.87954694853847781</v>
      </c>
      <c r="G42" s="121">
        <f>(G31+G41+G25)/G25</f>
        <v>1.6959695208462782</v>
      </c>
    </row>
    <row r="43" spans="1:7">
      <c r="A43" s="208">
        <f t="shared" si="0"/>
        <v>36</v>
      </c>
      <c r="B43" s="42" t="s">
        <v>71</v>
      </c>
      <c r="C43" s="121">
        <f>(C39+C25)/C25</f>
        <v>2.9263859119058933</v>
      </c>
      <c r="D43" s="121">
        <f>(D39+D25)/D25</f>
        <v>2.3326408523818007</v>
      </c>
      <c r="E43" s="142"/>
      <c r="F43" s="121">
        <f>(F39+F25)/F25</f>
        <v>1.1254332328413426</v>
      </c>
      <c r="G43" s="121">
        <f>(G39+G25)/G25</f>
        <v>1.9418558051491435</v>
      </c>
    </row>
    <row r="44" spans="1:7">
      <c r="A44" s="208">
        <f t="shared" si="0"/>
        <v>37</v>
      </c>
      <c r="B44" s="42" t="s">
        <v>89</v>
      </c>
      <c r="C44" s="121">
        <f>(C25+C39-C36)/C25</f>
        <v>1.5189396563924664</v>
      </c>
      <c r="D44" s="121">
        <f>(D25+D39-D36)/D25</f>
        <v>0.92519459686837391</v>
      </c>
      <c r="E44" s="142"/>
      <c r="F44" s="121">
        <f>(F25+F39-F36)/F25</f>
        <v>1.1254332328413426</v>
      </c>
      <c r="G44" s="121">
        <f>(G25+G39-G36)/G25</f>
        <v>1.9418558051491435</v>
      </c>
    </row>
    <row r="45" spans="1:7" ht="14.25" customHeight="1">
      <c r="A45" s="208">
        <f t="shared" si="0"/>
        <v>38</v>
      </c>
      <c r="B45" s="42"/>
    </row>
    <row r="46" spans="1:7" hidden="1">
      <c r="A46" s="208"/>
      <c r="B46" s="42" t="s">
        <v>212</v>
      </c>
      <c r="C46" s="121">
        <v>2</v>
      </c>
      <c r="D46" s="121">
        <f t="shared" si="2"/>
        <v>2</v>
      </c>
      <c r="E46" s="121"/>
      <c r="F46" s="121">
        <v>3</v>
      </c>
      <c r="G46" s="121">
        <v>4</v>
      </c>
    </row>
    <row r="47" spans="1:7" hidden="1">
      <c r="A47" s="208"/>
      <c r="B47" s="42" t="s">
        <v>213</v>
      </c>
      <c r="C47" s="38">
        <f>C46*C25-C25</f>
        <v>1216523.3899999999</v>
      </c>
      <c r="D47" s="38">
        <f t="shared" si="2"/>
        <v>1216523.3899999999</v>
      </c>
      <c r="E47" s="38"/>
      <c r="F47" s="38">
        <f>F46*F25-F25</f>
        <v>2256662.5933333328</v>
      </c>
      <c r="G47" s="38">
        <f>G46*G25-G25</f>
        <v>3384993.8899999992</v>
      </c>
    </row>
    <row r="48" spans="1:7" hidden="1">
      <c r="A48" s="208"/>
      <c r="B48" s="42" t="s">
        <v>214</v>
      </c>
      <c r="C48" s="38">
        <f>C29+C47</f>
        <v>44232975.329999998</v>
      </c>
      <c r="D48" s="38">
        <f t="shared" si="2"/>
        <v>44232975.329999998</v>
      </c>
      <c r="E48" s="38"/>
      <c r="F48" s="38">
        <f>F29+F47</f>
        <v>42722943.298468366</v>
      </c>
      <c r="G48" s="38">
        <f>G29+G47</f>
        <v>43851274.595135033</v>
      </c>
    </row>
    <row r="49" spans="1:7" hidden="1">
      <c r="A49" s="208"/>
      <c r="B49" s="42" t="s">
        <v>215</v>
      </c>
      <c r="C49" s="38">
        <f>C47-C39</f>
        <v>-1126970.1299999987</v>
      </c>
      <c r="D49" s="38">
        <f t="shared" si="2"/>
        <v>-1126970.1299999987</v>
      </c>
      <c r="E49" s="38"/>
      <c r="F49" s="38">
        <f>F47-F39</f>
        <v>2115132.3510763692</v>
      </c>
      <c r="G49" s="38">
        <f>G47-G39</f>
        <v>2322268.5081030391</v>
      </c>
    </row>
    <row r="50" spans="1:7" hidden="1">
      <c r="A50" s="208"/>
      <c r="B50" s="42"/>
      <c r="C50" s="38"/>
      <c r="D50" s="38">
        <f t="shared" si="2"/>
        <v>0</v>
      </c>
      <c r="E50" s="38"/>
      <c r="F50" s="38"/>
      <c r="G50" s="38"/>
    </row>
    <row r="51" spans="1:7">
      <c r="A51" s="208">
        <f>A45+1</f>
        <v>39</v>
      </c>
      <c r="B51" s="42" t="s">
        <v>216</v>
      </c>
      <c r="C51" s="121">
        <v>1.85</v>
      </c>
      <c r="D51" s="121">
        <f>C51</f>
        <v>1.85</v>
      </c>
      <c r="E51" s="142"/>
      <c r="F51" s="121">
        <f>C51</f>
        <v>1.85</v>
      </c>
      <c r="G51" s="142"/>
    </row>
    <row r="52" spans="1:7">
      <c r="A52" s="208">
        <f t="shared" si="0"/>
        <v>40</v>
      </c>
      <c r="B52" s="42" t="s">
        <v>217</v>
      </c>
      <c r="C52" s="38">
        <f>C51*C25-C25-C41+SUM(C33:C37)</f>
        <v>3023677.3615000001</v>
      </c>
      <c r="D52" s="38">
        <f>D51*D25-D25-D41+SUM(D33:D37)</f>
        <v>3023677.3615000001</v>
      </c>
      <c r="E52" s="143"/>
      <c r="F52" s="38">
        <f>F51*F25-F25-F41+SUM(F33:F37)</f>
        <v>1236522.7921666666</v>
      </c>
      <c r="G52" s="143"/>
    </row>
    <row r="53" spans="1:7">
      <c r="A53" s="208">
        <f t="shared" si="0"/>
        <v>41</v>
      </c>
      <c r="B53" s="42" t="s">
        <v>214</v>
      </c>
      <c r="C53" s="38">
        <f>C29+C52</f>
        <v>46040129.3015</v>
      </c>
      <c r="D53" s="38">
        <f>D29+D52</f>
        <v>46040129.3015</v>
      </c>
      <c r="E53" s="143"/>
      <c r="F53" s="38">
        <f>F29+F52</f>
        <v>41702803.497301698</v>
      </c>
      <c r="G53" s="143"/>
    </row>
    <row r="54" spans="1:7">
      <c r="A54" s="208">
        <f t="shared" si="0"/>
        <v>42</v>
      </c>
      <c r="B54" s="42" t="s">
        <v>215</v>
      </c>
      <c r="C54" s="38">
        <f>C52-C39</f>
        <v>680183.84150000149</v>
      </c>
      <c r="D54" s="38">
        <f>D52-D39</f>
        <v>1402488.5941080025</v>
      </c>
      <c r="E54" s="143"/>
      <c r="F54" s="38">
        <f>F52-F39</f>
        <v>1094992.5499097027</v>
      </c>
      <c r="G54" s="143"/>
    </row>
    <row r="55" spans="1:7">
      <c r="A55" s="208">
        <f t="shared" si="0"/>
        <v>43</v>
      </c>
      <c r="E55" s="38"/>
      <c r="G55" s="38"/>
    </row>
    <row r="56" spans="1:7">
      <c r="A56" s="208">
        <f t="shared" si="0"/>
        <v>44</v>
      </c>
      <c r="B56" s="42" t="s">
        <v>150</v>
      </c>
      <c r="C56" s="38">
        <f>C9</f>
        <v>41687369.509999998</v>
      </c>
      <c r="D56" s="38">
        <f>D9</f>
        <v>40965064.757391997</v>
      </c>
      <c r="E56" s="142"/>
      <c r="F56" s="38">
        <f>F9</f>
        <v>38647426.287391998</v>
      </c>
      <c r="G56" s="142"/>
    </row>
    <row r="57" spans="1:7">
      <c r="A57" s="208">
        <f t="shared" si="0"/>
        <v>45</v>
      </c>
      <c r="B57" s="42" t="s">
        <v>218</v>
      </c>
      <c r="C57" s="38">
        <f>C56+C54</f>
        <v>42367553.351499997</v>
      </c>
      <c r="D57" s="38">
        <f>D56+D54</f>
        <v>42367553.351499997</v>
      </c>
      <c r="E57" s="142"/>
      <c r="F57" s="38">
        <f>F56+F54</f>
        <v>39742418.837301701</v>
      </c>
      <c r="G57" s="142"/>
    </row>
    <row r="58" spans="1:7">
      <c r="A58" s="208">
        <f t="shared" si="0"/>
        <v>46</v>
      </c>
      <c r="B58" s="43" t="s">
        <v>219</v>
      </c>
      <c r="C58" s="124">
        <f>C54</f>
        <v>680183.84150000149</v>
      </c>
      <c r="D58" s="124">
        <f>D54</f>
        <v>1402488.5941080025</v>
      </c>
      <c r="E58" s="142"/>
      <c r="F58" s="124">
        <f>F54</f>
        <v>1094992.5499097027</v>
      </c>
      <c r="G58" s="142"/>
    </row>
    <row r="59" spans="1:7">
      <c r="A59" s="208">
        <f t="shared" si="0"/>
        <v>47</v>
      </c>
      <c r="B59" s="43" t="s">
        <v>219</v>
      </c>
      <c r="C59" s="125">
        <f>C58/C56</f>
        <v>1.6316305142180739E-2</v>
      </c>
      <c r="D59" s="125">
        <f>D58/D56</f>
        <v>3.4236210839992107E-2</v>
      </c>
      <c r="E59" s="144"/>
      <c r="F59" s="125">
        <f>F58/F56</f>
        <v>2.8332871166298689E-2</v>
      </c>
      <c r="G59" s="144"/>
    </row>
    <row r="60" spans="1:7">
      <c r="A60" s="208">
        <f t="shared" si="0"/>
        <v>48</v>
      </c>
      <c r="E60" s="121"/>
      <c r="G60" s="121"/>
    </row>
    <row r="61" spans="1:7">
      <c r="A61" s="208">
        <f t="shared" si="0"/>
        <v>49</v>
      </c>
      <c r="B61" s="42" t="s">
        <v>220</v>
      </c>
      <c r="C61" s="123">
        <f>0.75%*3</f>
        <v>2.2499999999999999E-2</v>
      </c>
      <c r="D61" s="123">
        <f>C61</f>
        <v>2.2499999999999999E-2</v>
      </c>
      <c r="E61" s="143"/>
      <c r="F61" s="123">
        <f>C61</f>
        <v>2.2499999999999999E-2</v>
      </c>
      <c r="G61" s="143"/>
    </row>
    <row r="62" spans="1:7">
      <c r="A62" s="208">
        <f t="shared" si="0"/>
        <v>50</v>
      </c>
      <c r="B62" s="42" t="s">
        <v>221</v>
      </c>
      <c r="C62" s="38">
        <f>C61*C9</f>
        <v>937965.81397499994</v>
      </c>
      <c r="D62" s="38">
        <f>D61*D9</f>
        <v>921713.95704131993</v>
      </c>
      <c r="E62" s="143"/>
      <c r="F62" s="38">
        <f>F61*D9</f>
        <v>921713.95704131993</v>
      </c>
      <c r="G62" s="143"/>
    </row>
    <row r="63" spans="1:7">
      <c r="A63" s="208">
        <f t="shared" si="0"/>
        <v>51</v>
      </c>
    </row>
    <row r="64" spans="1:7">
      <c r="A64" s="208">
        <f t="shared" si="0"/>
        <v>52</v>
      </c>
      <c r="B64" s="66" t="s">
        <v>222</v>
      </c>
      <c r="C64" s="126"/>
      <c r="D64" s="126">
        <f>MIN(D58,D62)</f>
        <v>921713.95704131993</v>
      </c>
      <c r="E64" s="145"/>
      <c r="F64" s="126">
        <f>MIN(F58,F62)</f>
        <v>921713.95704131993</v>
      </c>
      <c r="G64" s="145"/>
    </row>
    <row r="65" spans="1:7">
      <c r="A65" s="208">
        <f t="shared" si="0"/>
        <v>53</v>
      </c>
      <c r="B65" s="128" t="s">
        <v>222</v>
      </c>
      <c r="C65" s="129"/>
      <c r="D65" s="129">
        <f>MIN(D59,D61)</f>
        <v>2.2499999999999999E-2</v>
      </c>
      <c r="E65" s="146"/>
      <c r="F65" s="129">
        <f>MIN(F59,F61)</f>
        <v>2.2499999999999999E-2</v>
      </c>
      <c r="G65" s="146"/>
    </row>
    <row r="66" spans="1:7">
      <c r="A66" s="208">
        <f t="shared" si="0"/>
        <v>54</v>
      </c>
      <c r="B66" s="127"/>
    </row>
    <row r="67" spans="1:7">
      <c r="A67" s="208">
        <f t="shared" si="0"/>
        <v>55</v>
      </c>
      <c r="B67" s="42" t="s">
        <v>664</v>
      </c>
      <c r="D67" s="150">
        <v>921195.13963999972</v>
      </c>
      <c r="G67" s="150">
        <f>G39-F39</f>
        <v>921195.13963999599</v>
      </c>
    </row>
    <row r="68" spans="1:7">
      <c r="A68" s="208">
        <f t="shared" si="0"/>
        <v>56</v>
      </c>
      <c r="B68" s="42" t="s">
        <v>664</v>
      </c>
      <c r="D68" s="193">
        <f>G68</f>
        <v>2.2487335125566221E-2</v>
      </c>
      <c r="G68" s="149">
        <f>G67/D9</f>
        <v>2.2487335125566221E-2</v>
      </c>
    </row>
    <row r="70" spans="1:7">
      <c r="F70" s="119"/>
      <c r="G70" s="119"/>
    </row>
    <row r="72" spans="1:7">
      <c r="C72" s="402" t="s">
        <v>286</v>
      </c>
      <c r="D72" s="408">
        <v>-722304.75260800135</v>
      </c>
    </row>
    <row r="74" spans="1:7">
      <c r="E74" s="402" t="s">
        <v>660</v>
      </c>
      <c r="F74" s="150">
        <f>F54-D67</f>
        <v>173797.41026970302</v>
      </c>
    </row>
  </sheetData>
  <printOptions horizontalCentered="1"/>
  <pageMargins left="0.7" right="0.7" top="0.75" bottom="0.75" header="0.3" footer="0.3"/>
  <pageSetup scale="72" orientation="portrait" r:id="rId1"/>
  <headerFooter>
    <oddFooter>&amp;R&amp;"Times New Roman,Regular"&amp;12Exhibit JW-2
Page &amp;P of &amp;N</oddFooter>
  </headerFooter>
  <ignoredErrors>
    <ignoredError sqref="D7:G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6"/>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8.5546875" style="11" customWidth="1"/>
    <col min="4" max="4" width="10.6640625" style="11" customWidth="1"/>
    <col min="5" max="5" width="17.33203125" style="11" customWidth="1"/>
    <col min="6" max="6" width="17" style="11" customWidth="1"/>
    <col min="7" max="7" width="12.44140625" style="11" customWidth="1"/>
    <col min="8" max="8" width="33.6640625" style="11" customWidth="1"/>
    <col min="9" max="9" width="12.109375" style="11" customWidth="1"/>
    <col min="10" max="10" width="12" style="11" customWidth="1"/>
    <col min="11" max="17" width="9.109375" style="11"/>
    <col min="18" max="18" width="16.6640625" style="11" bestFit="1" customWidth="1"/>
    <col min="19" max="16384" width="9.109375" style="11"/>
  </cols>
  <sheetData>
    <row r="1" spans="1:10">
      <c r="I1" s="6" t="s">
        <v>243</v>
      </c>
    </row>
    <row r="2" spans="1:10" ht="20.25" customHeight="1">
      <c r="J2" s="6"/>
    </row>
    <row r="3" spans="1:10">
      <c r="A3" s="465" t="str">
        <f>RevReq!A1</f>
        <v>CUMBERLAND VALLEY ELECTRIC</v>
      </c>
      <c r="B3" s="465"/>
      <c r="C3" s="465"/>
      <c r="D3" s="465"/>
      <c r="E3" s="465"/>
      <c r="F3" s="465"/>
      <c r="G3" s="465"/>
      <c r="H3" s="465"/>
      <c r="I3" s="465"/>
      <c r="J3" s="8"/>
    </row>
    <row r="4" spans="1:10">
      <c r="A4" s="465" t="str">
        <f>RevReq!A3</f>
        <v>For the 12 Months Ended December 31, 2019</v>
      </c>
      <c r="B4" s="465"/>
      <c r="C4" s="465"/>
      <c r="D4" s="465"/>
      <c r="E4" s="465"/>
      <c r="F4" s="465"/>
      <c r="G4" s="465"/>
      <c r="H4" s="465"/>
      <c r="I4" s="465"/>
      <c r="J4" s="8"/>
    </row>
    <row r="6" spans="1:10" s="7" customFormat="1" ht="15" customHeight="1">
      <c r="A6" s="466" t="s">
        <v>326</v>
      </c>
      <c r="B6" s="466"/>
      <c r="C6" s="466"/>
      <c r="D6" s="466"/>
      <c r="E6" s="466"/>
      <c r="F6" s="466"/>
      <c r="G6" s="466"/>
      <c r="H6" s="466"/>
      <c r="I6" s="466"/>
      <c r="J6" s="197"/>
    </row>
    <row r="8" spans="1:10">
      <c r="A8" s="10" t="s">
        <v>0</v>
      </c>
      <c r="D8" s="10" t="s">
        <v>40</v>
      </c>
      <c r="G8" s="10" t="s">
        <v>327</v>
      </c>
      <c r="H8" s="10" t="s">
        <v>24</v>
      </c>
    </row>
    <row r="9" spans="1:10">
      <c r="A9" s="135" t="s">
        <v>21</v>
      </c>
      <c r="D9" s="13" t="s">
        <v>18</v>
      </c>
      <c r="E9" s="228"/>
      <c r="F9" s="228"/>
      <c r="G9" s="13" t="s">
        <v>20</v>
      </c>
      <c r="H9" s="13" t="s">
        <v>25</v>
      </c>
    </row>
    <row r="10" spans="1:10">
      <c r="A10" s="10"/>
    </row>
    <row r="11" spans="1:10">
      <c r="A11" s="10"/>
      <c r="D11" s="2"/>
    </row>
    <row r="12" spans="1:10">
      <c r="A12" s="10">
        <v>1</v>
      </c>
      <c r="D12" s="2" t="s">
        <v>328</v>
      </c>
      <c r="G12" s="229">
        <v>426.1</v>
      </c>
      <c r="H12" s="14">
        <f>G53</f>
        <v>4192</v>
      </c>
    </row>
    <row r="13" spans="1:10">
      <c r="A13" s="10">
        <f t="shared" ref="A13:A24" si="0">A12+1</f>
        <v>2</v>
      </c>
      <c r="D13" s="2" t="s">
        <v>329</v>
      </c>
      <c r="G13" s="229">
        <v>426.11</v>
      </c>
      <c r="H13" s="14">
        <f>G75</f>
        <v>9000</v>
      </c>
    </row>
    <row r="14" spans="1:10">
      <c r="A14" s="10">
        <f t="shared" si="0"/>
        <v>3</v>
      </c>
      <c r="D14" s="2" t="s">
        <v>330</v>
      </c>
      <c r="G14" s="229">
        <v>426.12</v>
      </c>
      <c r="H14" s="14">
        <f>G88</f>
        <v>2050.33</v>
      </c>
    </row>
    <row r="15" spans="1:10">
      <c r="A15" s="10">
        <f t="shared" si="0"/>
        <v>4</v>
      </c>
      <c r="D15" s="2" t="s">
        <v>331</v>
      </c>
      <c r="G15" s="229">
        <v>930.11</v>
      </c>
      <c r="H15" s="14">
        <f>G99</f>
        <v>1273</v>
      </c>
    </row>
    <row r="16" spans="1:10">
      <c r="A16" s="10">
        <f t="shared" si="0"/>
        <v>5</v>
      </c>
      <c r="D16" s="2" t="s">
        <v>332</v>
      </c>
      <c r="E16" s="18"/>
      <c r="F16" s="18"/>
      <c r="G16" s="230">
        <v>930.2</v>
      </c>
      <c r="H16" s="19">
        <f>G107</f>
        <v>83620.890000000014</v>
      </c>
    </row>
    <row r="17" spans="1:10">
      <c r="A17" s="10">
        <f t="shared" si="0"/>
        <v>6</v>
      </c>
      <c r="D17" s="2" t="s">
        <v>333</v>
      </c>
      <c r="E17" s="18"/>
      <c r="F17" s="18"/>
      <c r="G17" s="230">
        <v>930.21</v>
      </c>
      <c r="H17" s="19">
        <f>G123</f>
        <v>109257.51999999999</v>
      </c>
    </row>
    <row r="18" spans="1:10">
      <c r="A18" s="10">
        <f t="shared" si="0"/>
        <v>7</v>
      </c>
      <c r="D18" s="2" t="s">
        <v>334</v>
      </c>
      <c r="E18" s="18"/>
      <c r="F18" s="18"/>
      <c r="G18" s="230">
        <v>930.3</v>
      </c>
      <c r="H18" s="19">
        <f>G130</f>
        <v>-0.75</v>
      </c>
    </row>
    <row r="19" spans="1:10">
      <c r="A19" s="10">
        <f t="shared" si="0"/>
        <v>8</v>
      </c>
      <c r="D19" s="18" t="s">
        <v>335</v>
      </c>
      <c r="E19" s="18"/>
      <c r="F19" s="18"/>
      <c r="G19" s="231">
        <v>930.4</v>
      </c>
      <c r="H19" s="19">
        <f>G136</f>
        <v>23130.83</v>
      </c>
    </row>
    <row r="20" spans="1:10">
      <c r="A20" s="10">
        <f t="shared" si="0"/>
        <v>9</v>
      </c>
      <c r="D20" s="55" t="s">
        <v>36</v>
      </c>
      <c r="E20" s="16"/>
      <c r="F20" s="16"/>
      <c r="G20" s="55"/>
      <c r="H20" s="37">
        <f>SUM(H12:H19)</f>
        <v>232523.82</v>
      </c>
    </row>
    <row r="21" spans="1:10">
      <c r="A21" s="10">
        <f t="shared" si="0"/>
        <v>10</v>
      </c>
      <c r="D21" s="2"/>
      <c r="G21" s="2"/>
    </row>
    <row r="22" spans="1:10">
      <c r="A22" s="10">
        <f t="shared" si="0"/>
        <v>11</v>
      </c>
      <c r="D22" s="3" t="s">
        <v>37</v>
      </c>
      <c r="H22" s="14">
        <v>0</v>
      </c>
    </row>
    <row r="23" spans="1:10">
      <c r="A23" s="10">
        <f t="shared" si="0"/>
        <v>12</v>
      </c>
      <c r="D23" s="3"/>
    </row>
    <row r="24" spans="1:10" ht="13.8" thickBot="1">
      <c r="A24" s="10">
        <f t="shared" si="0"/>
        <v>13</v>
      </c>
      <c r="D24" s="4" t="s">
        <v>15</v>
      </c>
      <c r="E24" s="21"/>
      <c r="F24" s="21"/>
      <c r="G24" s="21"/>
      <c r="H24" s="23">
        <f>ROUND(H22-H20,2)</f>
        <v>-232523.82</v>
      </c>
    </row>
    <row r="25" spans="1:10" ht="13.8" thickTop="1">
      <c r="G25" s="10"/>
    </row>
    <row r="27" spans="1:10" ht="30" customHeight="1">
      <c r="C27" s="467" t="s">
        <v>250</v>
      </c>
      <c r="D27" s="467"/>
      <c r="E27" s="467"/>
      <c r="F27" s="467"/>
      <c r="G27" s="467"/>
      <c r="H27" s="467"/>
      <c r="I27" s="467"/>
      <c r="J27" s="9"/>
    </row>
    <row r="29" spans="1:10">
      <c r="A29" s="10">
        <f>A24+1</f>
        <v>14</v>
      </c>
      <c r="C29" s="232" t="s">
        <v>336</v>
      </c>
      <c r="D29" s="233">
        <v>426.1</v>
      </c>
      <c r="E29" s="36"/>
      <c r="F29" s="36"/>
      <c r="G29" s="36"/>
      <c r="H29" s="36"/>
      <c r="I29" s="36"/>
    </row>
    <row r="30" spans="1:10">
      <c r="A30" s="10">
        <f t="shared" ref="A30:A53" si="1">A29+1</f>
        <v>15</v>
      </c>
      <c r="D30" s="233"/>
    </row>
    <row r="31" spans="1:10">
      <c r="A31" s="10">
        <f t="shared" si="1"/>
        <v>16</v>
      </c>
      <c r="C31" s="234" t="s">
        <v>337</v>
      </c>
      <c r="D31" s="234" t="s">
        <v>338</v>
      </c>
      <c r="E31" s="234" t="s">
        <v>339</v>
      </c>
      <c r="F31" s="234"/>
      <c r="G31" s="235" t="s">
        <v>340</v>
      </c>
      <c r="H31" s="234" t="s">
        <v>341</v>
      </c>
      <c r="I31" s="234"/>
    </row>
    <row r="32" spans="1:10">
      <c r="A32" s="10">
        <f t="shared" si="1"/>
        <v>17</v>
      </c>
      <c r="C32" s="236" t="s">
        <v>342</v>
      </c>
      <c r="D32" s="236">
        <v>77667</v>
      </c>
      <c r="E32" s="236" t="s">
        <v>343</v>
      </c>
      <c r="F32" s="236"/>
      <c r="G32" s="237">
        <v>100</v>
      </c>
      <c r="H32" s="236" t="s">
        <v>344</v>
      </c>
      <c r="I32" s="236"/>
    </row>
    <row r="33" spans="1:9">
      <c r="A33" s="10">
        <f t="shared" si="1"/>
        <v>18</v>
      </c>
      <c r="C33" s="236" t="s">
        <v>345</v>
      </c>
      <c r="D33" s="236">
        <v>77856</v>
      </c>
      <c r="E33" s="236" t="s">
        <v>346</v>
      </c>
      <c r="F33" s="236"/>
      <c r="G33" s="237">
        <v>100</v>
      </c>
      <c r="H33" s="236" t="s">
        <v>344</v>
      </c>
      <c r="I33" s="236"/>
    </row>
    <row r="34" spans="1:9">
      <c r="A34" s="10">
        <f t="shared" si="1"/>
        <v>19</v>
      </c>
      <c r="C34" s="236" t="s">
        <v>347</v>
      </c>
      <c r="D34" s="236">
        <v>78005</v>
      </c>
      <c r="E34" s="236" t="s">
        <v>348</v>
      </c>
      <c r="F34" s="236"/>
      <c r="G34" s="237">
        <v>145</v>
      </c>
      <c r="H34" s="236" t="s">
        <v>349</v>
      </c>
      <c r="I34" s="236"/>
    </row>
    <row r="35" spans="1:9">
      <c r="A35" s="10">
        <f t="shared" si="1"/>
        <v>20</v>
      </c>
      <c r="C35" s="236" t="s">
        <v>350</v>
      </c>
      <c r="D35" s="236">
        <v>78058</v>
      </c>
      <c r="E35" s="236" t="s">
        <v>351</v>
      </c>
      <c r="F35" s="236"/>
      <c r="G35" s="237">
        <v>25</v>
      </c>
      <c r="H35" s="236" t="s">
        <v>352</v>
      </c>
      <c r="I35" s="236"/>
    </row>
    <row r="36" spans="1:9">
      <c r="A36" s="10">
        <f t="shared" si="1"/>
        <v>21</v>
      </c>
      <c r="C36" s="236" t="s">
        <v>353</v>
      </c>
      <c r="D36" s="236">
        <v>78100</v>
      </c>
      <c r="E36" s="236" t="s">
        <v>354</v>
      </c>
      <c r="F36" s="236"/>
      <c r="G36" s="237">
        <v>150</v>
      </c>
      <c r="H36" s="236" t="s">
        <v>344</v>
      </c>
      <c r="I36" s="236"/>
    </row>
    <row r="37" spans="1:9">
      <c r="A37" s="10">
        <f t="shared" si="1"/>
        <v>22</v>
      </c>
      <c r="C37" s="236" t="s">
        <v>355</v>
      </c>
      <c r="D37" s="236">
        <v>78105</v>
      </c>
      <c r="E37" s="236" t="s">
        <v>356</v>
      </c>
      <c r="F37" s="236"/>
      <c r="G37" s="237">
        <v>200</v>
      </c>
      <c r="H37" s="236" t="s">
        <v>344</v>
      </c>
      <c r="I37" s="236"/>
    </row>
    <row r="38" spans="1:9">
      <c r="A38" s="10">
        <f t="shared" si="1"/>
        <v>23</v>
      </c>
      <c r="C38" s="236" t="s">
        <v>357</v>
      </c>
      <c r="D38" s="15">
        <v>78232</v>
      </c>
      <c r="E38" s="236" t="s">
        <v>358</v>
      </c>
      <c r="F38" s="236"/>
      <c r="G38" s="237">
        <v>500</v>
      </c>
      <c r="H38" s="236" t="s">
        <v>344</v>
      </c>
      <c r="I38" s="236"/>
    </row>
    <row r="39" spans="1:9">
      <c r="A39" s="10">
        <f t="shared" si="1"/>
        <v>24</v>
      </c>
      <c r="C39" s="236" t="s">
        <v>357</v>
      </c>
      <c r="D39" s="236">
        <v>78258</v>
      </c>
      <c r="E39" s="236" t="s">
        <v>359</v>
      </c>
      <c r="F39" s="236"/>
      <c r="G39" s="237">
        <v>240</v>
      </c>
      <c r="H39" s="236" t="s">
        <v>344</v>
      </c>
      <c r="I39" s="236"/>
    </row>
    <row r="40" spans="1:9">
      <c r="A40" s="10">
        <f t="shared" si="1"/>
        <v>25</v>
      </c>
      <c r="C40" s="236" t="s">
        <v>360</v>
      </c>
      <c r="D40" s="236">
        <v>78296</v>
      </c>
      <c r="E40" s="236" t="s">
        <v>361</v>
      </c>
      <c r="F40" s="236"/>
      <c r="G40" s="237">
        <v>250</v>
      </c>
      <c r="H40" s="236" t="s">
        <v>362</v>
      </c>
      <c r="I40" s="236"/>
    </row>
    <row r="41" spans="1:9">
      <c r="A41" s="10">
        <f t="shared" si="1"/>
        <v>26</v>
      </c>
      <c r="C41" s="236" t="s">
        <v>363</v>
      </c>
      <c r="D41" s="236">
        <v>78391</v>
      </c>
      <c r="E41" s="236" t="s">
        <v>364</v>
      </c>
      <c r="F41" s="236"/>
      <c r="G41" s="237">
        <v>100</v>
      </c>
      <c r="H41" s="236" t="s">
        <v>344</v>
      </c>
      <c r="I41" s="236"/>
    </row>
    <row r="42" spans="1:9">
      <c r="A42" s="10">
        <f t="shared" si="1"/>
        <v>27</v>
      </c>
      <c r="C42" s="236" t="s">
        <v>365</v>
      </c>
      <c r="D42" s="236">
        <v>78705</v>
      </c>
      <c r="E42" s="236" t="s">
        <v>366</v>
      </c>
      <c r="F42" s="236"/>
      <c r="G42" s="237">
        <v>100</v>
      </c>
      <c r="H42" s="236" t="s">
        <v>344</v>
      </c>
      <c r="I42" s="236"/>
    </row>
    <row r="43" spans="1:9">
      <c r="A43" s="10">
        <f t="shared" si="1"/>
        <v>28</v>
      </c>
      <c r="C43" s="236" t="s">
        <v>367</v>
      </c>
      <c r="D43" s="236">
        <v>78712</v>
      </c>
      <c r="E43" s="236" t="s">
        <v>346</v>
      </c>
      <c r="F43" s="236"/>
      <c r="G43" s="237">
        <v>100</v>
      </c>
      <c r="H43" s="236" t="s">
        <v>344</v>
      </c>
      <c r="I43" s="236"/>
    </row>
    <row r="44" spans="1:9">
      <c r="A44" s="10">
        <f t="shared" si="1"/>
        <v>29</v>
      </c>
      <c r="C44" s="236" t="s">
        <v>368</v>
      </c>
      <c r="D44" s="236">
        <v>79177</v>
      </c>
      <c r="E44" s="236" t="s">
        <v>369</v>
      </c>
      <c r="F44" s="236"/>
      <c r="G44" s="237">
        <v>1000</v>
      </c>
      <c r="H44" s="236" t="s">
        <v>370</v>
      </c>
      <c r="I44" s="236"/>
    </row>
    <row r="45" spans="1:9">
      <c r="A45" s="10">
        <f t="shared" si="1"/>
        <v>30</v>
      </c>
      <c r="C45" s="236" t="s">
        <v>371</v>
      </c>
      <c r="D45" s="236">
        <v>79235</v>
      </c>
      <c r="E45" s="236" t="s">
        <v>372</v>
      </c>
      <c r="F45" s="236"/>
      <c r="G45" s="237">
        <v>100</v>
      </c>
      <c r="H45" s="236" t="s">
        <v>344</v>
      </c>
      <c r="I45" s="236"/>
    </row>
    <row r="46" spans="1:9">
      <c r="A46" s="10">
        <f t="shared" si="1"/>
        <v>31</v>
      </c>
      <c r="C46" s="236" t="s">
        <v>373</v>
      </c>
      <c r="D46" s="236">
        <v>79466</v>
      </c>
      <c r="E46" s="236" t="s">
        <v>346</v>
      </c>
      <c r="F46" s="236"/>
      <c r="G46" s="237">
        <v>100</v>
      </c>
      <c r="H46" s="236" t="s">
        <v>344</v>
      </c>
      <c r="I46" s="236"/>
    </row>
    <row r="47" spans="1:9">
      <c r="A47" s="10">
        <f t="shared" si="1"/>
        <v>32</v>
      </c>
      <c r="C47" s="236" t="s">
        <v>374</v>
      </c>
      <c r="D47" s="236">
        <v>79641</v>
      </c>
      <c r="E47" s="236" t="s">
        <v>375</v>
      </c>
      <c r="F47" s="236"/>
      <c r="G47" s="237">
        <v>132</v>
      </c>
      <c r="H47" s="236" t="s">
        <v>344</v>
      </c>
      <c r="I47" s="236"/>
    </row>
    <row r="48" spans="1:9">
      <c r="A48" s="10">
        <f t="shared" si="1"/>
        <v>33</v>
      </c>
      <c r="C48" s="236" t="s">
        <v>376</v>
      </c>
      <c r="D48" s="236">
        <v>79851</v>
      </c>
      <c r="E48" s="236" t="s">
        <v>377</v>
      </c>
      <c r="F48" s="236"/>
      <c r="G48" s="237">
        <v>250</v>
      </c>
      <c r="H48" s="236" t="s">
        <v>378</v>
      </c>
      <c r="I48" s="236"/>
    </row>
    <row r="49" spans="1:9">
      <c r="A49" s="10">
        <f t="shared" si="1"/>
        <v>34</v>
      </c>
      <c r="C49" s="236" t="s">
        <v>379</v>
      </c>
      <c r="D49" s="236">
        <v>80096</v>
      </c>
      <c r="E49" s="236" t="s">
        <v>380</v>
      </c>
      <c r="F49" s="236"/>
      <c r="G49" s="237">
        <v>100</v>
      </c>
      <c r="H49" s="236" t="s">
        <v>344</v>
      </c>
      <c r="I49" s="236"/>
    </row>
    <row r="50" spans="1:9">
      <c r="A50" s="10">
        <f t="shared" si="1"/>
        <v>35</v>
      </c>
      <c r="C50" s="236" t="s">
        <v>381</v>
      </c>
      <c r="D50" s="236">
        <v>80194</v>
      </c>
      <c r="E50" s="236" t="s">
        <v>377</v>
      </c>
      <c r="F50" s="236"/>
      <c r="G50" s="237">
        <v>100</v>
      </c>
      <c r="H50" s="236" t="s">
        <v>382</v>
      </c>
      <c r="I50" s="236"/>
    </row>
    <row r="51" spans="1:9">
      <c r="A51" s="10">
        <f t="shared" si="1"/>
        <v>36</v>
      </c>
      <c r="C51" s="236" t="s">
        <v>383</v>
      </c>
      <c r="D51" s="236">
        <v>80322</v>
      </c>
      <c r="E51" s="236" t="s">
        <v>377</v>
      </c>
      <c r="F51" s="236"/>
      <c r="G51" s="237">
        <v>100</v>
      </c>
      <c r="H51" s="236" t="s">
        <v>384</v>
      </c>
      <c r="I51" s="236"/>
    </row>
    <row r="52" spans="1:9">
      <c r="A52" s="10">
        <f t="shared" si="1"/>
        <v>37</v>
      </c>
      <c r="C52" s="238" t="s">
        <v>383</v>
      </c>
      <c r="D52" s="238">
        <v>80328</v>
      </c>
      <c r="E52" s="238" t="s">
        <v>385</v>
      </c>
      <c r="F52" s="238"/>
      <c r="G52" s="239">
        <v>300</v>
      </c>
      <c r="H52" s="238" t="s">
        <v>386</v>
      </c>
      <c r="I52" s="240"/>
    </row>
    <row r="53" spans="1:9">
      <c r="A53" s="10">
        <f t="shared" si="1"/>
        <v>38</v>
      </c>
      <c r="C53" s="236"/>
      <c r="D53" s="236"/>
      <c r="E53" s="236" t="s">
        <v>387</v>
      </c>
      <c r="F53" s="236"/>
      <c r="G53" s="237">
        <f>SUM(G32:G52)</f>
        <v>4192</v>
      </c>
      <c r="H53" s="236"/>
      <c r="I53" s="240"/>
    </row>
    <row r="54" spans="1:9">
      <c r="A54" s="10"/>
      <c r="C54" s="236"/>
      <c r="D54" s="236"/>
      <c r="E54" s="236"/>
      <c r="F54" s="236"/>
      <c r="G54" s="237"/>
      <c r="H54" s="236"/>
      <c r="I54" s="240"/>
    </row>
    <row r="55" spans="1:9">
      <c r="A55" s="10">
        <f>A53+1</f>
        <v>39</v>
      </c>
      <c r="C55" s="232" t="s">
        <v>336</v>
      </c>
      <c r="D55" s="233">
        <v>426.11</v>
      </c>
      <c r="E55" s="36"/>
      <c r="F55" s="36"/>
      <c r="G55" s="36"/>
      <c r="H55" s="36"/>
      <c r="I55" s="36"/>
    </row>
    <row r="56" spans="1:9">
      <c r="A56" s="10">
        <f t="shared" ref="A56:A75" si="2">A55+1</f>
        <v>40</v>
      </c>
      <c r="C56" s="236"/>
      <c r="D56" s="236"/>
      <c r="E56" s="236"/>
      <c r="F56" s="236"/>
      <c r="G56" s="237"/>
      <c r="H56" s="236"/>
      <c r="I56" s="240"/>
    </row>
    <row r="57" spans="1:9">
      <c r="A57" s="10">
        <f t="shared" si="2"/>
        <v>41</v>
      </c>
      <c r="C57" s="236" t="s">
        <v>388</v>
      </c>
      <c r="D57" s="236">
        <v>79241</v>
      </c>
      <c r="E57" s="236" t="s">
        <v>389</v>
      </c>
      <c r="F57" s="236"/>
      <c r="G57" s="237">
        <v>500</v>
      </c>
      <c r="H57" s="236" t="s">
        <v>390</v>
      </c>
      <c r="I57" s="236"/>
    </row>
    <row r="58" spans="1:9">
      <c r="A58" s="10">
        <f t="shared" si="2"/>
        <v>42</v>
      </c>
      <c r="C58" s="236" t="s">
        <v>388</v>
      </c>
      <c r="D58" s="236">
        <v>79242</v>
      </c>
      <c r="E58" s="236" t="s">
        <v>391</v>
      </c>
      <c r="F58" s="236"/>
      <c r="G58" s="237">
        <v>500</v>
      </c>
      <c r="H58" s="236" t="s">
        <v>390</v>
      </c>
      <c r="I58" s="236"/>
    </row>
    <row r="59" spans="1:9">
      <c r="A59" s="10">
        <f t="shared" si="2"/>
        <v>43</v>
      </c>
      <c r="C59" s="236" t="s">
        <v>388</v>
      </c>
      <c r="D59" s="236">
        <v>77243</v>
      </c>
      <c r="E59" s="236" t="s">
        <v>392</v>
      </c>
      <c r="F59" s="236"/>
      <c r="G59" s="237">
        <v>500</v>
      </c>
      <c r="H59" s="236" t="s">
        <v>390</v>
      </c>
      <c r="I59" s="236"/>
    </row>
    <row r="60" spans="1:9">
      <c r="A60" s="10">
        <f t="shared" si="2"/>
        <v>44</v>
      </c>
      <c r="C60" s="236" t="s">
        <v>388</v>
      </c>
      <c r="D60" s="236">
        <v>79248</v>
      </c>
      <c r="E60" s="236" t="s">
        <v>393</v>
      </c>
      <c r="F60" s="236"/>
      <c r="G60" s="237">
        <v>500</v>
      </c>
      <c r="H60" s="236" t="s">
        <v>390</v>
      </c>
      <c r="I60" s="236"/>
    </row>
    <row r="61" spans="1:9">
      <c r="A61" s="10">
        <f t="shared" si="2"/>
        <v>45</v>
      </c>
      <c r="C61" s="236" t="s">
        <v>388</v>
      </c>
      <c r="D61" s="236">
        <v>79253</v>
      </c>
      <c r="E61" s="236" t="s">
        <v>394</v>
      </c>
      <c r="F61" s="236"/>
      <c r="G61" s="237">
        <v>500</v>
      </c>
      <c r="H61" s="236" t="s">
        <v>390</v>
      </c>
      <c r="I61" s="236"/>
    </row>
    <row r="62" spans="1:9">
      <c r="A62" s="10">
        <f t="shared" si="2"/>
        <v>46</v>
      </c>
      <c r="C62" s="236" t="s">
        <v>388</v>
      </c>
      <c r="D62" s="236">
        <v>79252</v>
      </c>
      <c r="E62" s="236" t="s">
        <v>394</v>
      </c>
      <c r="F62" s="236"/>
      <c r="G62" s="237">
        <v>500</v>
      </c>
      <c r="H62" s="236" t="s">
        <v>390</v>
      </c>
      <c r="I62" s="236"/>
    </row>
    <row r="63" spans="1:9">
      <c r="A63" s="10">
        <f t="shared" si="2"/>
        <v>47</v>
      </c>
      <c r="C63" s="236" t="s">
        <v>388</v>
      </c>
      <c r="D63" s="236">
        <v>79251</v>
      </c>
      <c r="E63" s="236" t="s">
        <v>394</v>
      </c>
      <c r="F63" s="236"/>
      <c r="G63" s="237">
        <v>500</v>
      </c>
      <c r="H63" s="236" t="s">
        <v>390</v>
      </c>
      <c r="I63" s="236"/>
    </row>
    <row r="64" spans="1:9">
      <c r="A64" s="10">
        <f t="shared" si="2"/>
        <v>48</v>
      </c>
      <c r="C64" s="236" t="s">
        <v>388</v>
      </c>
      <c r="D64" s="236">
        <v>79264</v>
      </c>
      <c r="E64" s="236" t="s">
        <v>395</v>
      </c>
      <c r="F64" s="236"/>
      <c r="G64" s="237">
        <v>500</v>
      </c>
      <c r="H64" s="236" t="s">
        <v>390</v>
      </c>
      <c r="I64" s="236"/>
    </row>
    <row r="65" spans="1:9">
      <c r="A65" s="10">
        <f t="shared" si="2"/>
        <v>49</v>
      </c>
      <c r="C65" s="236" t="s">
        <v>388</v>
      </c>
      <c r="D65" s="236">
        <v>79270</v>
      </c>
      <c r="E65" s="236" t="s">
        <v>396</v>
      </c>
      <c r="F65" s="236"/>
      <c r="G65" s="237">
        <v>500</v>
      </c>
      <c r="H65" s="236" t="s">
        <v>390</v>
      </c>
      <c r="I65" s="236"/>
    </row>
    <row r="66" spans="1:9">
      <c r="A66" s="10">
        <f t="shared" si="2"/>
        <v>50</v>
      </c>
      <c r="C66" s="236" t="s">
        <v>397</v>
      </c>
      <c r="D66" s="236">
        <v>80364</v>
      </c>
      <c r="E66" s="236" t="s">
        <v>389</v>
      </c>
      <c r="F66" s="236"/>
      <c r="G66" s="237">
        <v>500</v>
      </c>
      <c r="H66" s="236" t="s">
        <v>390</v>
      </c>
      <c r="I66" s="236"/>
    </row>
    <row r="67" spans="1:9">
      <c r="A67" s="10">
        <f t="shared" si="2"/>
        <v>51</v>
      </c>
      <c r="C67" s="236" t="s">
        <v>397</v>
      </c>
      <c r="D67" s="236">
        <v>80365</v>
      </c>
      <c r="E67" s="236" t="s">
        <v>391</v>
      </c>
      <c r="F67" s="236"/>
      <c r="G67" s="237">
        <v>500</v>
      </c>
      <c r="H67" s="236" t="s">
        <v>390</v>
      </c>
      <c r="I67" s="236"/>
    </row>
    <row r="68" spans="1:9">
      <c r="A68" s="10">
        <f t="shared" si="2"/>
        <v>52</v>
      </c>
      <c r="C68" s="236" t="s">
        <v>397</v>
      </c>
      <c r="D68" s="236">
        <v>80367</v>
      </c>
      <c r="E68" s="236" t="s">
        <v>392</v>
      </c>
      <c r="F68" s="236"/>
      <c r="G68" s="237">
        <v>500</v>
      </c>
      <c r="H68" s="236" t="s">
        <v>390</v>
      </c>
      <c r="I68" s="236"/>
    </row>
    <row r="69" spans="1:9">
      <c r="A69" s="10">
        <f t="shared" si="2"/>
        <v>53</v>
      </c>
      <c r="C69" s="236" t="s">
        <v>397</v>
      </c>
      <c r="D69" s="236">
        <v>80368</v>
      </c>
      <c r="E69" s="236" t="s">
        <v>393</v>
      </c>
      <c r="F69" s="236"/>
      <c r="G69" s="237">
        <v>500</v>
      </c>
      <c r="H69" s="236" t="s">
        <v>390</v>
      </c>
      <c r="I69" s="236"/>
    </row>
    <row r="70" spans="1:9">
      <c r="A70" s="10">
        <f t="shared" si="2"/>
        <v>54</v>
      </c>
      <c r="C70" s="236" t="s">
        <v>397</v>
      </c>
      <c r="D70" s="236">
        <v>80371</v>
      </c>
      <c r="E70" s="236" t="s">
        <v>394</v>
      </c>
      <c r="F70" s="236"/>
      <c r="G70" s="237">
        <v>500</v>
      </c>
      <c r="H70" s="236" t="s">
        <v>390</v>
      </c>
      <c r="I70" s="236"/>
    </row>
    <row r="71" spans="1:9">
      <c r="A71" s="10">
        <f t="shared" si="2"/>
        <v>55</v>
      </c>
      <c r="C71" s="236" t="s">
        <v>397</v>
      </c>
      <c r="D71" s="236">
        <v>80370</v>
      </c>
      <c r="E71" s="236" t="s">
        <v>394</v>
      </c>
      <c r="F71" s="236"/>
      <c r="G71" s="237">
        <v>500</v>
      </c>
      <c r="H71" s="236" t="s">
        <v>390</v>
      </c>
      <c r="I71" s="236"/>
    </row>
    <row r="72" spans="1:9">
      <c r="A72" s="10">
        <f t="shared" si="2"/>
        <v>56</v>
      </c>
      <c r="C72" s="236" t="s">
        <v>397</v>
      </c>
      <c r="D72" s="236">
        <v>80369</v>
      </c>
      <c r="E72" s="236" t="s">
        <v>394</v>
      </c>
      <c r="F72" s="236"/>
      <c r="G72" s="237">
        <v>500</v>
      </c>
      <c r="H72" s="236" t="s">
        <v>390</v>
      </c>
      <c r="I72" s="236"/>
    </row>
    <row r="73" spans="1:9">
      <c r="A73" s="10">
        <f t="shared" si="2"/>
        <v>57</v>
      </c>
      <c r="C73" s="236" t="s">
        <v>397</v>
      </c>
      <c r="D73" s="236">
        <v>80377</v>
      </c>
      <c r="E73" s="236" t="s">
        <v>396</v>
      </c>
      <c r="F73" s="236"/>
      <c r="G73" s="237">
        <v>500</v>
      </c>
      <c r="H73" s="236" t="s">
        <v>390</v>
      </c>
      <c r="I73" s="236"/>
    </row>
    <row r="74" spans="1:9">
      <c r="A74" s="10">
        <f t="shared" si="2"/>
        <v>58</v>
      </c>
      <c r="C74" s="238" t="s">
        <v>398</v>
      </c>
      <c r="D74" s="238">
        <v>80380</v>
      </c>
      <c r="E74" s="238" t="s">
        <v>395</v>
      </c>
      <c r="F74" s="238"/>
      <c r="G74" s="239">
        <v>500</v>
      </c>
      <c r="H74" s="238" t="s">
        <v>390</v>
      </c>
      <c r="I74" s="236"/>
    </row>
    <row r="75" spans="1:9">
      <c r="A75" s="10">
        <f t="shared" si="2"/>
        <v>59</v>
      </c>
      <c r="C75" s="236"/>
      <c r="D75" s="236"/>
      <c r="E75" s="236" t="s">
        <v>387</v>
      </c>
      <c r="F75" s="236"/>
      <c r="G75" s="237">
        <f>SUM(G57:G74)</f>
        <v>9000</v>
      </c>
      <c r="H75" s="236"/>
      <c r="I75" s="236"/>
    </row>
    <row r="76" spans="1:9">
      <c r="A76" s="10"/>
      <c r="C76" s="236"/>
      <c r="D76" s="236"/>
      <c r="E76" s="236"/>
      <c r="F76" s="236"/>
      <c r="G76" s="237"/>
      <c r="H76" s="236"/>
      <c r="I76" s="236"/>
    </row>
    <row r="77" spans="1:9">
      <c r="A77" s="10">
        <f>A75+1</f>
        <v>60</v>
      </c>
      <c r="C77" s="232" t="s">
        <v>336</v>
      </c>
      <c r="D77" s="233">
        <v>426.12</v>
      </c>
      <c r="E77" s="36"/>
      <c r="F77" s="36"/>
      <c r="G77" s="36"/>
      <c r="H77" s="36"/>
      <c r="I77" s="36"/>
    </row>
    <row r="78" spans="1:9">
      <c r="A78" s="10">
        <f t="shared" ref="A78:A88" si="3">A77+1</f>
        <v>61</v>
      </c>
      <c r="C78" s="232"/>
      <c r="D78" s="233"/>
      <c r="E78" s="36"/>
      <c r="F78" s="36"/>
      <c r="G78" s="36"/>
      <c r="H78" s="36"/>
      <c r="I78" s="36"/>
    </row>
    <row r="79" spans="1:9">
      <c r="A79" s="10">
        <f t="shared" si="3"/>
        <v>62</v>
      </c>
      <c r="C79" s="236" t="s">
        <v>399</v>
      </c>
      <c r="D79" s="236">
        <v>77611</v>
      </c>
      <c r="E79" s="236" t="s">
        <v>377</v>
      </c>
      <c r="F79" s="236"/>
      <c r="G79" s="237">
        <v>100</v>
      </c>
      <c r="H79" s="236" t="s">
        <v>400</v>
      </c>
      <c r="I79" s="236"/>
    </row>
    <row r="80" spans="1:9">
      <c r="A80" s="10">
        <f t="shared" si="3"/>
        <v>63</v>
      </c>
      <c r="C80" s="236" t="s">
        <v>401</v>
      </c>
      <c r="D80" s="236">
        <v>82477</v>
      </c>
      <c r="E80" s="236" t="s">
        <v>402</v>
      </c>
      <c r="F80" s="236"/>
      <c r="G80" s="237">
        <v>500</v>
      </c>
      <c r="H80" s="236" t="s">
        <v>403</v>
      </c>
      <c r="I80" s="236"/>
    </row>
    <row r="81" spans="1:13">
      <c r="A81" s="10">
        <f t="shared" si="3"/>
        <v>64</v>
      </c>
      <c r="C81" s="236" t="s">
        <v>401</v>
      </c>
      <c r="D81" s="236">
        <v>77832</v>
      </c>
      <c r="E81" s="236" t="s">
        <v>404</v>
      </c>
      <c r="F81" s="236"/>
      <c r="G81" s="237">
        <v>250</v>
      </c>
      <c r="H81" s="236" t="s">
        <v>400</v>
      </c>
      <c r="I81" s="236"/>
    </row>
    <row r="82" spans="1:13">
      <c r="A82" s="10">
        <f t="shared" si="3"/>
        <v>65</v>
      </c>
      <c r="C82" s="236" t="s">
        <v>405</v>
      </c>
      <c r="D82" s="236">
        <v>77956</v>
      </c>
      <c r="E82" s="236" t="s">
        <v>406</v>
      </c>
      <c r="F82" s="236"/>
      <c r="G82" s="237">
        <v>300.33</v>
      </c>
      <c r="H82" s="236" t="s">
        <v>407</v>
      </c>
      <c r="I82" s="236"/>
    </row>
    <row r="83" spans="1:13">
      <c r="A83" s="10">
        <f t="shared" si="3"/>
        <v>66</v>
      </c>
      <c r="C83" s="236" t="s">
        <v>347</v>
      </c>
      <c r="D83" s="236">
        <v>77981</v>
      </c>
      <c r="E83" s="236" t="s">
        <v>385</v>
      </c>
      <c r="F83" s="236"/>
      <c r="G83" s="237">
        <v>300</v>
      </c>
      <c r="H83" s="236" t="s">
        <v>407</v>
      </c>
      <c r="I83" s="236"/>
    </row>
    <row r="84" spans="1:13">
      <c r="A84" s="10">
        <f t="shared" si="3"/>
        <v>67</v>
      </c>
      <c r="C84" s="236" t="s">
        <v>357</v>
      </c>
      <c r="D84" s="236">
        <v>78253</v>
      </c>
      <c r="E84" s="236" t="s">
        <v>408</v>
      </c>
      <c r="F84" s="236"/>
      <c r="G84" s="237">
        <v>50</v>
      </c>
      <c r="H84" s="236" t="s">
        <v>407</v>
      </c>
      <c r="I84" s="236"/>
    </row>
    <row r="85" spans="1:13">
      <c r="A85" s="10">
        <f t="shared" si="3"/>
        <v>68</v>
      </c>
      <c r="C85" s="241" t="s">
        <v>409</v>
      </c>
      <c r="D85" s="236">
        <v>79507</v>
      </c>
      <c r="E85" s="236" t="s">
        <v>410</v>
      </c>
      <c r="F85" s="236"/>
      <c r="G85" s="237">
        <v>150</v>
      </c>
      <c r="H85" s="236" t="s">
        <v>407</v>
      </c>
      <c r="I85" s="236"/>
    </row>
    <row r="86" spans="1:13">
      <c r="A86" s="10">
        <f t="shared" si="3"/>
        <v>69</v>
      </c>
      <c r="C86" s="236" t="s">
        <v>411</v>
      </c>
      <c r="D86" s="236">
        <v>80235</v>
      </c>
      <c r="E86" s="236" t="s">
        <v>406</v>
      </c>
      <c r="F86" s="236"/>
      <c r="G86" s="237">
        <v>250</v>
      </c>
      <c r="H86" s="236" t="s">
        <v>407</v>
      </c>
      <c r="I86" s="236"/>
    </row>
    <row r="87" spans="1:13">
      <c r="A87" s="10">
        <f t="shared" si="3"/>
        <v>70</v>
      </c>
      <c r="C87" s="241" t="s">
        <v>383</v>
      </c>
      <c r="D87" s="236">
        <v>80347</v>
      </c>
      <c r="E87" s="236" t="s">
        <v>412</v>
      </c>
      <c r="F87" s="236"/>
      <c r="G87" s="237">
        <v>150</v>
      </c>
      <c r="H87" s="236" t="s">
        <v>407</v>
      </c>
      <c r="I87" s="236"/>
    </row>
    <row r="88" spans="1:13">
      <c r="A88" s="10">
        <f t="shared" si="3"/>
        <v>71</v>
      </c>
      <c r="C88" s="16"/>
      <c r="D88" s="16"/>
      <c r="E88" s="16" t="s">
        <v>387</v>
      </c>
      <c r="F88" s="16"/>
      <c r="G88" s="242">
        <f>SUM(G79:G87)</f>
        <v>2050.33</v>
      </c>
      <c r="H88" s="16"/>
      <c r="I88" s="18"/>
    </row>
    <row r="89" spans="1:13">
      <c r="A89" s="10"/>
      <c r="C89" s="18"/>
      <c r="D89" s="18"/>
      <c r="E89" s="18"/>
      <c r="F89" s="18"/>
      <c r="G89" s="243"/>
      <c r="H89" s="18"/>
      <c r="I89" s="18"/>
    </row>
    <row r="90" spans="1:13">
      <c r="A90" s="10">
        <f>A88+1</f>
        <v>72</v>
      </c>
      <c r="C90" s="232" t="s">
        <v>336</v>
      </c>
      <c r="D90" s="244">
        <v>930.11</v>
      </c>
      <c r="E90" s="36"/>
      <c r="F90" s="36"/>
      <c r="G90" s="36"/>
      <c r="H90" s="36"/>
      <c r="I90" s="36"/>
    </row>
    <row r="91" spans="1:13">
      <c r="A91" s="10">
        <f t="shared" ref="A91:A99" si="4">A90+1</f>
        <v>73</v>
      </c>
      <c r="D91" s="232"/>
    </row>
    <row r="92" spans="1:13">
      <c r="A92" s="10">
        <f t="shared" si="4"/>
        <v>74</v>
      </c>
      <c r="C92" s="234" t="s">
        <v>337</v>
      </c>
      <c r="D92" s="234" t="s">
        <v>338</v>
      </c>
      <c r="E92" s="234" t="s">
        <v>339</v>
      </c>
      <c r="F92" s="234"/>
      <c r="G92" s="235" t="s">
        <v>413</v>
      </c>
      <c r="H92" s="234" t="s">
        <v>341</v>
      </c>
      <c r="I92" s="234"/>
    </row>
    <row r="93" spans="1:13">
      <c r="A93" s="10">
        <f t="shared" si="4"/>
        <v>75</v>
      </c>
      <c r="C93" s="236" t="s">
        <v>363</v>
      </c>
      <c r="D93" s="236">
        <v>78444</v>
      </c>
      <c r="E93" s="236" t="s">
        <v>414</v>
      </c>
      <c r="F93" s="236"/>
      <c r="G93" s="237">
        <v>140</v>
      </c>
      <c r="H93" s="236" t="s">
        <v>415</v>
      </c>
      <c r="I93" s="236"/>
      <c r="K93" s="245"/>
      <c r="L93" s="245"/>
      <c r="M93" s="245"/>
    </row>
    <row r="94" spans="1:13">
      <c r="A94" s="10">
        <f t="shared" si="4"/>
        <v>76</v>
      </c>
      <c r="C94" s="236" t="s">
        <v>363</v>
      </c>
      <c r="D94" s="236">
        <v>78454</v>
      </c>
      <c r="E94" s="236" t="s">
        <v>416</v>
      </c>
      <c r="F94" s="236"/>
      <c r="G94" s="237">
        <v>140</v>
      </c>
      <c r="H94" s="236" t="s">
        <v>415</v>
      </c>
      <c r="I94" s="236"/>
      <c r="K94" s="245"/>
      <c r="L94" s="245"/>
      <c r="M94" s="245"/>
    </row>
    <row r="95" spans="1:13">
      <c r="A95" s="10">
        <f t="shared" si="4"/>
        <v>77</v>
      </c>
      <c r="C95" s="236" t="s">
        <v>363</v>
      </c>
      <c r="D95" s="236">
        <v>78457</v>
      </c>
      <c r="E95" s="236" t="s">
        <v>417</v>
      </c>
      <c r="F95" s="236"/>
      <c r="G95" s="237">
        <v>160</v>
      </c>
      <c r="H95" s="236" t="s">
        <v>415</v>
      </c>
      <c r="I95" s="236"/>
      <c r="K95" s="245"/>
      <c r="L95" s="245"/>
      <c r="M95" s="245"/>
    </row>
    <row r="96" spans="1:13">
      <c r="A96" s="10">
        <f t="shared" si="4"/>
        <v>78</v>
      </c>
      <c r="C96" s="236" t="s">
        <v>363</v>
      </c>
      <c r="D96" s="236">
        <v>78440</v>
      </c>
      <c r="E96" s="236" t="s">
        <v>418</v>
      </c>
      <c r="F96" s="236"/>
      <c r="G96" s="237">
        <v>168</v>
      </c>
      <c r="H96" s="236" t="s">
        <v>415</v>
      </c>
      <c r="I96" s="236"/>
      <c r="K96" s="245"/>
      <c r="L96" s="245"/>
      <c r="M96" s="245"/>
    </row>
    <row r="97" spans="1:13">
      <c r="A97" s="10">
        <f t="shared" si="4"/>
        <v>79</v>
      </c>
      <c r="C97" s="236" t="s">
        <v>371</v>
      </c>
      <c r="D97" s="236">
        <v>79225</v>
      </c>
      <c r="E97" s="236" t="s">
        <v>417</v>
      </c>
      <c r="F97" s="236"/>
      <c r="G97" s="237">
        <v>270</v>
      </c>
      <c r="H97" s="236" t="s">
        <v>415</v>
      </c>
      <c r="I97" s="236"/>
      <c r="K97" s="245"/>
      <c r="L97" s="245"/>
      <c r="M97" s="245"/>
    </row>
    <row r="98" spans="1:13">
      <c r="A98" s="10">
        <f t="shared" si="4"/>
        <v>80</v>
      </c>
      <c r="C98" s="238" t="s">
        <v>376</v>
      </c>
      <c r="D98" s="238">
        <v>79903</v>
      </c>
      <c r="E98" s="238" t="s">
        <v>419</v>
      </c>
      <c r="F98" s="238"/>
      <c r="G98" s="239">
        <v>395</v>
      </c>
      <c r="H98" s="238" t="s">
        <v>420</v>
      </c>
      <c r="I98" s="236"/>
      <c r="K98" s="245"/>
      <c r="L98" s="245"/>
      <c r="M98" s="245"/>
    </row>
    <row r="99" spans="1:13">
      <c r="A99" s="10">
        <f t="shared" si="4"/>
        <v>81</v>
      </c>
      <c r="C99" s="236"/>
      <c r="D99" s="236"/>
      <c r="E99" s="236" t="s">
        <v>387</v>
      </c>
      <c r="F99" s="236"/>
      <c r="G99" s="237">
        <f>SUM(G93:G98)</f>
        <v>1273</v>
      </c>
      <c r="H99" s="236"/>
      <c r="I99" s="236"/>
      <c r="K99" s="245"/>
      <c r="L99" s="245"/>
      <c r="M99" s="245"/>
    </row>
    <row r="100" spans="1:13">
      <c r="A100" s="10"/>
      <c r="C100" s="236"/>
      <c r="D100" s="236"/>
      <c r="E100" s="236"/>
      <c r="F100" s="236"/>
      <c r="G100" s="237"/>
      <c r="H100" s="236"/>
      <c r="I100" s="236"/>
      <c r="K100" s="245"/>
      <c r="L100" s="245"/>
      <c r="M100" s="245"/>
    </row>
    <row r="101" spans="1:13">
      <c r="A101" s="10">
        <f>A99+1</f>
        <v>82</v>
      </c>
      <c r="C101" s="232" t="s">
        <v>336</v>
      </c>
      <c r="D101" s="244">
        <v>930.2</v>
      </c>
      <c r="E101" s="36"/>
      <c r="F101" s="36"/>
      <c r="G101" s="36"/>
      <c r="H101" s="36"/>
      <c r="I101" s="36"/>
      <c r="K101" s="245"/>
      <c r="L101" s="245"/>
      <c r="M101" s="245"/>
    </row>
    <row r="102" spans="1:13">
      <c r="A102" s="10">
        <f t="shared" ref="A102:A107" si="5">A101+1</f>
        <v>83</v>
      </c>
      <c r="C102" s="232"/>
      <c r="D102" s="244"/>
      <c r="K102" s="245"/>
      <c r="L102" s="245"/>
      <c r="M102" s="245"/>
    </row>
    <row r="103" spans="1:13">
      <c r="A103" s="10">
        <f t="shared" si="5"/>
        <v>84</v>
      </c>
      <c r="C103" s="234" t="s">
        <v>337</v>
      </c>
      <c r="D103" s="234" t="s">
        <v>421</v>
      </c>
      <c r="E103" s="234" t="s">
        <v>339</v>
      </c>
      <c r="F103" s="234"/>
      <c r="G103" s="235" t="s">
        <v>413</v>
      </c>
      <c r="H103" s="234" t="s">
        <v>341</v>
      </c>
    </row>
    <row r="104" spans="1:13">
      <c r="A104" s="10">
        <f t="shared" si="5"/>
        <v>85</v>
      </c>
      <c r="C104" s="236" t="s">
        <v>422</v>
      </c>
      <c r="D104" s="236" t="s">
        <v>423</v>
      </c>
      <c r="E104" s="236" t="s">
        <v>424</v>
      </c>
      <c r="F104" s="236"/>
      <c r="G104" s="237">
        <v>82931.460000000006</v>
      </c>
      <c r="H104" s="236" t="s">
        <v>425</v>
      </c>
      <c r="I104" s="236"/>
      <c r="K104" s="245"/>
      <c r="L104" s="245"/>
      <c r="M104" s="245"/>
    </row>
    <row r="105" spans="1:13">
      <c r="A105" s="10">
        <f t="shared" si="5"/>
        <v>86</v>
      </c>
      <c r="C105" s="236" t="s">
        <v>426</v>
      </c>
      <c r="D105" s="236" t="s">
        <v>427</v>
      </c>
      <c r="E105" s="236" t="s">
        <v>428</v>
      </c>
      <c r="F105" s="236"/>
      <c r="G105" s="237">
        <v>9.77</v>
      </c>
      <c r="H105" s="236" t="s">
        <v>429</v>
      </c>
      <c r="I105" s="236"/>
      <c r="K105" s="245"/>
      <c r="L105" s="245"/>
      <c r="M105" s="245"/>
    </row>
    <row r="106" spans="1:13">
      <c r="A106" s="10">
        <f t="shared" si="5"/>
        <v>87</v>
      </c>
      <c r="C106" s="238" t="s">
        <v>376</v>
      </c>
      <c r="D106" s="238" t="s">
        <v>430</v>
      </c>
      <c r="E106" s="238" t="s">
        <v>431</v>
      </c>
      <c r="F106" s="238"/>
      <c r="G106" s="239">
        <v>679.66</v>
      </c>
      <c r="H106" s="238" t="s">
        <v>432</v>
      </c>
      <c r="I106" s="236"/>
      <c r="K106" s="245"/>
      <c r="L106" s="245"/>
      <c r="M106" s="245"/>
    </row>
    <row r="107" spans="1:13">
      <c r="A107" s="10">
        <f t="shared" si="5"/>
        <v>88</v>
      </c>
      <c r="C107" s="236"/>
      <c r="D107" s="236"/>
      <c r="E107" s="236" t="s">
        <v>387</v>
      </c>
      <c r="F107" s="236"/>
      <c r="G107" s="237">
        <f>SUM(G104:G106)</f>
        <v>83620.890000000014</v>
      </c>
      <c r="H107" s="236"/>
      <c r="I107" s="236"/>
      <c r="K107" s="245"/>
      <c r="L107" s="245"/>
      <c r="M107" s="245"/>
    </row>
    <row r="108" spans="1:13">
      <c r="A108" s="10"/>
      <c r="C108" s="236"/>
      <c r="D108" s="236"/>
      <c r="E108" s="236"/>
      <c r="F108" s="236"/>
      <c r="G108" s="237"/>
      <c r="H108" s="236"/>
      <c r="I108" s="236"/>
      <c r="K108" s="245"/>
      <c r="L108" s="245"/>
      <c r="M108" s="245"/>
    </row>
    <row r="109" spans="1:13">
      <c r="A109" s="10">
        <f>A107+1</f>
        <v>89</v>
      </c>
      <c r="C109" s="232" t="s">
        <v>336</v>
      </c>
      <c r="D109" s="244">
        <v>930.21</v>
      </c>
      <c r="E109" s="36"/>
      <c r="F109" s="36"/>
      <c r="G109" s="36"/>
      <c r="H109" s="36"/>
      <c r="I109" s="36"/>
      <c r="K109" s="245"/>
      <c r="L109" s="245"/>
      <c r="M109" s="245"/>
    </row>
    <row r="110" spans="1:13">
      <c r="A110" s="10">
        <f t="shared" ref="A110:A123" si="6">A109+1</f>
        <v>90</v>
      </c>
      <c r="C110" s="232"/>
      <c r="D110" s="244"/>
      <c r="K110" s="245"/>
      <c r="L110" s="245"/>
      <c r="M110" s="245"/>
    </row>
    <row r="111" spans="1:13">
      <c r="A111" s="10">
        <f t="shared" si="6"/>
        <v>91</v>
      </c>
      <c r="C111" s="234" t="s">
        <v>337</v>
      </c>
      <c r="D111" s="234" t="s">
        <v>338</v>
      </c>
      <c r="E111" s="234" t="s">
        <v>339</v>
      </c>
      <c r="F111" s="234"/>
      <c r="G111" s="235" t="s">
        <v>413</v>
      </c>
      <c r="H111" s="234" t="s">
        <v>341</v>
      </c>
      <c r="I111" s="236"/>
      <c r="K111" s="245"/>
      <c r="L111" s="245"/>
      <c r="M111" s="245"/>
    </row>
    <row r="112" spans="1:13">
      <c r="A112" s="10">
        <f t="shared" si="6"/>
        <v>92</v>
      </c>
      <c r="C112" s="236" t="s">
        <v>401</v>
      </c>
      <c r="D112" s="236">
        <v>77758</v>
      </c>
      <c r="E112" s="236" t="s">
        <v>433</v>
      </c>
      <c r="F112" s="236"/>
      <c r="G112" s="237">
        <v>8901.44</v>
      </c>
      <c r="H112" s="236" t="s">
        <v>434</v>
      </c>
      <c r="I112" s="236"/>
      <c r="K112" s="245"/>
      <c r="L112" s="245"/>
      <c r="M112" s="245"/>
    </row>
    <row r="113" spans="1:13">
      <c r="A113" s="10">
        <f t="shared" si="6"/>
        <v>93</v>
      </c>
      <c r="C113" s="236" t="s">
        <v>405</v>
      </c>
      <c r="D113" s="236">
        <v>77956</v>
      </c>
      <c r="E113" s="236" t="s">
        <v>433</v>
      </c>
      <c r="F113" s="236"/>
      <c r="G113" s="237">
        <v>8939.08</v>
      </c>
      <c r="H113" s="236" t="s">
        <v>434</v>
      </c>
      <c r="I113" s="236"/>
      <c r="K113" s="245"/>
      <c r="L113" s="245"/>
      <c r="M113" s="245"/>
    </row>
    <row r="114" spans="1:13">
      <c r="A114" s="10">
        <f t="shared" si="6"/>
        <v>94</v>
      </c>
      <c r="C114" s="236" t="s">
        <v>435</v>
      </c>
      <c r="D114" s="236">
        <v>78157</v>
      </c>
      <c r="E114" s="236" t="s">
        <v>433</v>
      </c>
      <c r="F114" s="236"/>
      <c r="G114" s="237">
        <v>8882.6299999999992</v>
      </c>
      <c r="H114" s="236" t="s">
        <v>434</v>
      </c>
      <c r="I114" s="236"/>
      <c r="K114" s="245"/>
      <c r="L114" s="245"/>
      <c r="M114" s="245"/>
    </row>
    <row r="115" spans="1:13">
      <c r="A115" s="10">
        <f t="shared" si="6"/>
        <v>95</v>
      </c>
      <c r="C115" s="236" t="s">
        <v>363</v>
      </c>
      <c r="D115" s="236">
        <v>78375</v>
      </c>
      <c r="E115" s="236" t="s">
        <v>433</v>
      </c>
      <c r="F115" s="236"/>
      <c r="G115" s="237">
        <v>8943.5499999999993</v>
      </c>
      <c r="H115" s="236" t="s">
        <v>434</v>
      </c>
      <c r="I115" s="236"/>
      <c r="K115" s="245"/>
      <c r="L115" s="245"/>
      <c r="M115" s="245"/>
    </row>
    <row r="116" spans="1:13">
      <c r="A116" s="10">
        <f t="shared" si="6"/>
        <v>96</v>
      </c>
      <c r="C116" s="236" t="s">
        <v>365</v>
      </c>
      <c r="D116" s="236">
        <v>78623</v>
      </c>
      <c r="E116" s="236" t="s">
        <v>433</v>
      </c>
      <c r="F116" s="236"/>
      <c r="G116" s="237">
        <v>8889.75</v>
      </c>
      <c r="H116" s="236" t="s">
        <v>434</v>
      </c>
      <c r="I116" s="236"/>
      <c r="K116" s="245"/>
      <c r="L116" s="245"/>
      <c r="M116" s="245"/>
    </row>
    <row r="117" spans="1:13">
      <c r="A117" s="10">
        <f t="shared" si="6"/>
        <v>97</v>
      </c>
      <c r="C117" s="236" t="s">
        <v>436</v>
      </c>
      <c r="D117" s="236">
        <v>79430</v>
      </c>
      <c r="E117" s="236" t="s">
        <v>433</v>
      </c>
      <c r="F117" s="236"/>
      <c r="G117" s="237">
        <v>20276.37</v>
      </c>
      <c r="H117" s="236" t="s">
        <v>437</v>
      </c>
      <c r="I117" s="236"/>
      <c r="K117" s="245"/>
      <c r="L117" s="245"/>
      <c r="M117" s="245"/>
    </row>
    <row r="118" spans="1:13">
      <c r="A118" s="10">
        <f t="shared" si="6"/>
        <v>98</v>
      </c>
      <c r="C118" s="236" t="s">
        <v>374</v>
      </c>
      <c r="D118" s="236">
        <v>79606</v>
      </c>
      <c r="E118" s="236" t="s">
        <v>433</v>
      </c>
      <c r="F118" s="236"/>
      <c r="G118" s="237">
        <v>8932.07</v>
      </c>
      <c r="H118" s="236" t="s">
        <v>434</v>
      </c>
      <c r="I118" s="236"/>
      <c r="K118" s="245"/>
      <c r="L118" s="245"/>
      <c r="M118" s="245"/>
    </row>
    <row r="119" spans="1:13">
      <c r="A119" s="10">
        <f t="shared" si="6"/>
        <v>99</v>
      </c>
      <c r="C119" s="236" t="s">
        <v>376</v>
      </c>
      <c r="D119" s="236">
        <v>79837</v>
      </c>
      <c r="E119" s="236" t="s">
        <v>433</v>
      </c>
      <c r="F119" s="236"/>
      <c r="G119" s="237">
        <v>8843.24</v>
      </c>
      <c r="H119" s="236" t="s">
        <v>434</v>
      </c>
      <c r="I119" s="236"/>
      <c r="K119" s="245"/>
      <c r="L119" s="245"/>
      <c r="M119" s="245"/>
    </row>
    <row r="120" spans="1:13">
      <c r="A120" s="10">
        <f t="shared" si="6"/>
        <v>100</v>
      </c>
      <c r="C120" s="236" t="s">
        <v>379</v>
      </c>
      <c r="D120" s="236">
        <v>80190</v>
      </c>
      <c r="E120" s="236" t="s">
        <v>433</v>
      </c>
      <c r="F120" s="236"/>
      <c r="G120" s="237">
        <v>8867.27</v>
      </c>
      <c r="H120" s="236" t="s">
        <v>434</v>
      </c>
      <c r="I120" s="236"/>
      <c r="K120" s="245"/>
      <c r="L120" s="245"/>
      <c r="M120" s="245"/>
    </row>
    <row r="121" spans="1:13">
      <c r="A121" s="10">
        <f t="shared" si="6"/>
        <v>101</v>
      </c>
      <c r="C121" s="236" t="s">
        <v>383</v>
      </c>
      <c r="D121" s="236">
        <v>80304</v>
      </c>
      <c r="E121" s="236" t="s">
        <v>433</v>
      </c>
      <c r="F121" s="236"/>
      <c r="G121" s="237">
        <v>8859.44</v>
      </c>
      <c r="H121" s="236" t="s">
        <v>434</v>
      </c>
      <c r="I121" s="236"/>
      <c r="K121" s="245"/>
      <c r="L121" s="245"/>
      <c r="M121" s="245"/>
    </row>
    <row r="122" spans="1:13">
      <c r="A122" s="10">
        <f t="shared" si="6"/>
        <v>102</v>
      </c>
      <c r="C122" s="238" t="s">
        <v>438</v>
      </c>
      <c r="D122" s="238">
        <v>80516</v>
      </c>
      <c r="E122" s="238" t="s">
        <v>433</v>
      </c>
      <c r="F122" s="238"/>
      <c r="G122" s="239">
        <v>8922.68</v>
      </c>
      <c r="H122" s="238" t="s">
        <v>434</v>
      </c>
      <c r="I122" s="236"/>
      <c r="K122" s="245"/>
      <c r="L122" s="245"/>
      <c r="M122" s="245"/>
    </row>
    <row r="123" spans="1:13">
      <c r="A123" s="10">
        <f t="shared" si="6"/>
        <v>103</v>
      </c>
      <c r="C123" s="236"/>
      <c r="D123" s="236"/>
      <c r="E123" s="236"/>
      <c r="F123" s="236"/>
      <c r="G123" s="237">
        <f>SUM(G112:G122)</f>
        <v>109257.51999999999</v>
      </c>
      <c r="H123" s="236"/>
      <c r="I123" s="236"/>
      <c r="K123" s="245"/>
      <c r="L123" s="245"/>
      <c r="M123" s="245"/>
    </row>
    <row r="124" spans="1:13">
      <c r="A124" s="10"/>
      <c r="C124" s="236"/>
      <c r="D124" s="236"/>
      <c r="E124" s="236"/>
      <c r="F124" s="236"/>
      <c r="G124" s="237"/>
      <c r="H124" s="236"/>
      <c r="I124" s="236"/>
      <c r="K124" s="245"/>
      <c r="L124" s="245"/>
      <c r="M124" s="245"/>
    </row>
    <row r="125" spans="1:13">
      <c r="A125" s="10">
        <f>A123+1</f>
        <v>104</v>
      </c>
      <c r="C125" s="232" t="s">
        <v>336</v>
      </c>
      <c r="D125" s="244">
        <v>930.3</v>
      </c>
      <c r="E125" s="36"/>
      <c r="F125" s="36"/>
      <c r="G125" s="36"/>
      <c r="H125" s="36"/>
      <c r="I125" s="36"/>
      <c r="K125" s="245"/>
      <c r="L125" s="245"/>
      <c r="M125" s="245"/>
    </row>
    <row r="126" spans="1:13">
      <c r="A126" s="10">
        <f>A125+1</f>
        <v>105</v>
      </c>
      <c r="C126" s="236"/>
      <c r="D126" s="236"/>
      <c r="E126" s="236"/>
      <c r="F126" s="236"/>
      <c r="G126" s="237"/>
      <c r="H126" s="236"/>
      <c r="I126" s="236"/>
      <c r="K126" s="245"/>
      <c r="L126" s="245"/>
      <c r="M126" s="245"/>
    </row>
    <row r="127" spans="1:13">
      <c r="A127" s="10">
        <f>A126+1</f>
        <v>106</v>
      </c>
      <c r="C127" s="234" t="s">
        <v>337</v>
      </c>
      <c r="D127" s="234" t="s">
        <v>421</v>
      </c>
      <c r="E127" s="234" t="s">
        <v>339</v>
      </c>
      <c r="F127" s="234"/>
      <c r="G127" s="235" t="s">
        <v>413</v>
      </c>
      <c r="H127" s="234" t="s">
        <v>341</v>
      </c>
      <c r="I127" s="236"/>
      <c r="K127" s="245"/>
      <c r="L127" s="245"/>
      <c r="M127" s="245"/>
    </row>
    <row r="128" spans="1:13">
      <c r="A128" s="10">
        <f>A127+1</f>
        <v>107</v>
      </c>
      <c r="C128" s="236"/>
      <c r="D128" s="236"/>
      <c r="E128" s="236"/>
      <c r="F128" s="236"/>
      <c r="G128" s="237"/>
      <c r="H128" s="236"/>
      <c r="I128" s="236"/>
      <c r="K128" s="245"/>
      <c r="L128" s="245"/>
      <c r="M128" s="245"/>
    </row>
    <row r="129" spans="1:13">
      <c r="A129" s="10">
        <f>A128+1</f>
        <v>108</v>
      </c>
      <c r="C129" s="236" t="s">
        <v>379</v>
      </c>
      <c r="D129" s="236" t="s">
        <v>439</v>
      </c>
      <c r="E129" s="236"/>
      <c r="F129" s="236"/>
      <c r="G129" s="246">
        <v>-0.75</v>
      </c>
      <c r="H129" s="236" t="s">
        <v>440</v>
      </c>
      <c r="I129" s="236"/>
      <c r="K129" s="245"/>
      <c r="L129" s="245"/>
      <c r="M129" s="245"/>
    </row>
    <row r="130" spans="1:13">
      <c r="A130" s="10">
        <f>A129+1</f>
        <v>109</v>
      </c>
      <c r="C130" s="16"/>
      <c r="D130" s="16"/>
      <c r="E130" s="16" t="s">
        <v>14</v>
      </c>
      <c r="F130" s="16"/>
      <c r="G130" s="247">
        <f>SUM(G129)</f>
        <v>-0.75</v>
      </c>
      <c r="H130" s="16"/>
      <c r="I130" s="18"/>
      <c r="K130" s="245"/>
      <c r="L130" s="245"/>
      <c r="M130" s="245"/>
    </row>
    <row r="131" spans="1:13">
      <c r="K131" s="245"/>
      <c r="L131" s="245"/>
      <c r="M131" s="245"/>
    </row>
    <row r="132" spans="1:13">
      <c r="A132" s="10">
        <f>A130+1</f>
        <v>110</v>
      </c>
      <c r="C132" s="232" t="s">
        <v>336</v>
      </c>
      <c r="D132" s="248">
        <v>930.4</v>
      </c>
      <c r="E132" s="26"/>
      <c r="F132" s="36"/>
      <c r="G132" s="36"/>
      <c r="H132" s="36"/>
      <c r="I132" s="36"/>
      <c r="K132" s="245"/>
      <c r="L132" s="245"/>
      <c r="M132" s="245"/>
    </row>
    <row r="133" spans="1:13">
      <c r="A133" s="10">
        <f>A132+1</f>
        <v>111</v>
      </c>
      <c r="C133" s="232"/>
      <c r="K133" s="245"/>
      <c r="L133" s="245"/>
      <c r="M133" s="245"/>
    </row>
    <row r="134" spans="1:13">
      <c r="A134" s="10">
        <f>A133+1</f>
        <v>112</v>
      </c>
      <c r="C134" s="234" t="s">
        <v>337</v>
      </c>
      <c r="D134" s="234" t="s">
        <v>421</v>
      </c>
      <c r="E134" s="234" t="s">
        <v>339</v>
      </c>
      <c r="F134" s="234"/>
      <c r="G134" s="235" t="s">
        <v>413</v>
      </c>
      <c r="H134" s="234" t="s">
        <v>341</v>
      </c>
      <c r="I134" s="249"/>
      <c r="K134" s="245"/>
      <c r="L134" s="245"/>
      <c r="M134" s="245"/>
    </row>
    <row r="135" spans="1:13">
      <c r="A135" s="10">
        <f>A134+1</f>
        <v>113</v>
      </c>
      <c r="C135" s="250" t="s">
        <v>422</v>
      </c>
      <c r="D135" s="251" t="s">
        <v>441</v>
      </c>
      <c r="E135" s="251" t="s">
        <v>442</v>
      </c>
      <c r="F135" s="251"/>
      <c r="G135" s="252">
        <v>23130.83</v>
      </c>
      <c r="H135" s="251" t="s">
        <v>443</v>
      </c>
      <c r="I135" s="253"/>
      <c r="K135" s="245"/>
      <c r="L135" s="245"/>
      <c r="M135" s="245"/>
    </row>
    <row r="136" spans="1:13">
      <c r="A136" s="10">
        <f>A135+1</f>
        <v>114</v>
      </c>
      <c r="C136" s="254"/>
      <c r="D136" s="55"/>
      <c r="E136" s="254" t="s">
        <v>14</v>
      </c>
      <c r="F136" s="254"/>
      <c r="G136" s="255">
        <f>SUM(G135:G135)</f>
        <v>23130.83</v>
      </c>
      <c r="H136" s="254"/>
      <c r="I136" s="256"/>
    </row>
  </sheetData>
  <mergeCells count="4">
    <mergeCell ref="A3:I3"/>
    <mergeCell ref="A4:I4"/>
    <mergeCell ref="A6:I6"/>
    <mergeCell ref="C27:I27"/>
  </mergeCells>
  <printOptions horizontalCentered="1"/>
  <pageMargins left="1" right="0.75" top="0.75" bottom="0.5" header="0.5" footer="0.5"/>
  <pageSetup scale="66" fitToHeight="4" orientation="portrait" r:id="rId1"/>
  <headerFooter alignWithMargins="0">
    <oddFooter>&amp;RExhibit JW-2
Page &amp;P of &amp;N</oddFooter>
  </headerFooter>
  <rowBreaks count="1" manualBreakCount="1">
    <brk id="75" max="16383" man="1"/>
  </rowBreaks>
  <ignoredErrors>
    <ignoredError sqref="D9:H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2"/>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38.88671875" style="11" bestFit="1" customWidth="1"/>
    <col min="4" max="4" width="10.6640625" style="11" customWidth="1"/>
    <col min="5" max="5" width="10.88671875" style="11" customWidth="1"/>
    <col min="6" max="6" width="5.88671875" style="11" customWidth="1"/>
    <col min="7" max="7" width="15.33203125" style="11" customWidth="1"/>
    <col min="8" max="8" width="15.6640625" style="11" customWidth="1"/>
    <col min="9" max="16384" width="9.109375" style="11"/>
  </cols>
  <sheetData>
    <row r="1" spans="1:8">
      <c r="E1" s="6" t="s">
        <v>244</v>
      </c>
    </row>
    <row r="2" spans="1:8" ht="20.25" customHeight="1">
      <c r="H2" s="6"/>
    </row>
    <row r="3" spans="1:8">
      <c r="A3" s="465" t="str">
        <f>RevReq!A1</f>
        <v>CUMBERLAND VALLEY ELECTRIC</v>
      </c>
      <c r="B3" s="465"/>
      <c r="C3" s="465"/>
      <c r="D3" s="465"/>
      <c r="E3" s="465"/>
      <c r="F3" s="8"/>
      <c r="G3" s="8"/>
      <c r="H3" s="8"/>
    </row>
    <row r="4" spans="1:8">
      <c r="A4" s="465" t="str">
        <f>RevReq!A3</f>
        <v>For the 12 Months Ended December 31, 2019</v>
      </c>
      <c r="B4" s="465"/>
      <c r="C4" s="465"/>
      <c r="D4" s="465"/>
      <c r="E4" s="465"/>
      <c r="F4" s="8"/>
      <c r="G4" s="8"/>
      <c r="H4" s="8"/>
    </row>
    <row r="6" spans="1:8" s="7" customFormat="1" ht="15" customHeight="1">
      <c r="A6" s="466" t="s">
        <v>612</v>
      </c>
      <c r="B6" s="466"/>
      <c r="C6" s="466"/>
      <c r="D6" s="466"/>
      <c r="E6" s="466"/>
      <c r="F6" s="466"/>
      <c r="G6" s="197"/>
      <c r="H6" s="197"/>
    </row>
    <row r="8" spans="1:8">
      <c r="A8" s="10" t="s">
        <v>0</v>
      </c>
      <c r="C8" s="10" t="s">
        <v>40</v>
      </c>
      <c r="D8" s="10"/>
      <c r="E8" s="10" t="s">
        <v>314</v>
      </c>
      <c r="F8" s="10"/>
    </row>
    <row r="9" spans="1:8">
      <c r="A9" s="135" t="s">
        <v>21</v>
      </c>
      <c r="C9" s="13" t="s">
        <v>18</v>
      </c>
      <c r="D9" s="13"/>
      <c r="E9" s="13" t="s">
        <v>20</v>
      </c>
      <c r="F9" s="10"/>
    </row>
    <row r="10" spans="1:8">
      <c r="A10" s="10"/>
      <c r="F10" s="10"/>
    </row>
    <row r="11" spans="1:8">
      <c r="A11" s="10"/>
      <c r="C11" s="2"/>
      <c r="D11" s="2"/>
      <c r="F11" s="10"/>
    </row>
    <row r="12" spans="1:8">
      <c r="A12" s="10">
        <v>1</v>
      </c>
      <c r="C12" s="2" t="s">
        <v>613</v>
      </c>
      <c r="D12" s="2"/>
      <c r="E12" s="375">
        <v>1063</v>
      </c>
      <c r="F12" s="10"/>
    </row>
    <row r="13" spans="1:8">
      <c r="A13" s="10">
        <f>A12+1</f>
        <v>2</v>
      </c>
      <c r="C13" s="2" t="s">
        <v>614</v>
      </c>
      <c r="D13" s="2"/>
      <c r="E13" s="375">
        <v>250</v>
      </c>
      <c r="F13" s="10"/>
    </row>
    <row r="14" spans="1:8">
      <c r="A14" s="10">
        <f>A13+1</f>
        <v>3</v>
      </c>
      <c r="C14" s="2" t="s">
        <v>615</v>
      </c>
      <c r="D14" s="2"/>
      <c r="E14" s="375">
        <v>75</v>
      </c>
      <c r="F14" s="10"/>
    </row>
    <row r="15" spans="1:8">
      <c r="A15" s="10">
        <f>A14+1</f>
        <v>4</v>
      </c>
      <c r="C15" s="2" t="s">
        <v>616</v>
      </c>
      <c r="D15" s="2"/>
      <c r="E15" s="375">
        <v>25.95</v>
      </c>
      <c r="F15" s="10"/>
    </row>
    <row r="16" spans="1:8">
      <c r="A16" s="10">
        <f>A15+1</f>
        <v>5</v>
      </c>
      <c r="C16" s="11" t="s">
        <v>617</v>
      </c>
      <c r="D16" s="2"/>
      <c r="E16" s="375">
        <v>750</v>
      </c>
      <c r="F16" s="10"/>
    </row>
    <row r="17" spans="1:8">
      <c r="A17" s="10">
        <f>A16+1</f>
        <v>6</v>
      </c>
      <c r="C17" s="5" t="s">
        <v>14</v>
      </c>
      <c r="D17" s="5"/>
      <c r="E17" s="376">
        <f>SUM(E12:E16)</f>
        <v>2163.9499999999998</v>
      </c>
      <c r="F17" s="10"/>
    </row>
    <row r="18" spans="1:8">
      <c r="A18" s="10">
        <f t="shared" ref="A18:A19" si="0">A17+1</f>
        <v>7</v>
      </c>
      <c r="C18" s="18"/>
      <c r="D18" s="18"/>
      <c r="E18" s="2"/>
      <c r="F18" s="10"/>
    </row>
    <row r="19" spans="1:8" ht="13.8" thickBot="1">
      <c r="A19" s="10">
        <f t="shared" si="0"/>
        <v>8</v>
      </c>
      <c r="C19" s="4" t="s">
        <v>15</v>
      </c>
      <c r="D19" s="4"/>
      <c r="E19" s="355">
        <f>-E17</f>
        <v>-2163.9499999999998</v>
      </c>
      <c r="F19" s="10"/>
    </row>
    <row r="20" spans="1:8" ht="13.8" thickTop="1">
      <c r="F20" s="10"/>
    </row>
    <row r="22" spans="1:8" ht="30" customHeight="1">
      <c r="C22" s="467" t="s">
        <v>618</v>
      </c>
      <c r="D22" s="467"/>
      <c r="E22" s="467"/>
      <c r="F22" s="9"/>
      <c r="G22" s="9"/>
      <c r="H22" s="9"/>
    </row>
  </sheetData>
  <mergeCells count="4">
    <mergeCell ref="A3:E3"/>
    <mergeCell ref="A4:E4"/>
    <mergeCell ref="A6:F6"/>
    <mergeCell ref="C22:E22"/>
  </mergeCells>
  <printOptions horizontalCentered="1"/>
  <pageMargins left="1" right="0.75" top="0.75" bottom="0.5" header="0.5" footer="0.5"/>
  <pageSetup orientation="portrait" r:id="rId1"/>
  <headerFooter alignWithMargins="0">
    <oddFooter>&amp;RExhibit JW-2
Page &amp;P of &amp;N</oddFooter>
  </headerFooter>
  <ignoredErrors>
    <ignoredError sqref="C9:E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4"/>
  <sheetViews>
    <sheetView view="pageBreakPreview" zoomScale="75" zoomScaleNormal="75" zoomScaleSheetLayoutView="75" workbookViewId="0">
      <selection activeCell="C43" sqref="C43"/>
    </sheetView>
  </sheetViews>
  <sheetFormatPr defaultColWidth="9.109375" defaultRowHeight="13.8"/>
  <cols>
    <col min="1" max="1" width="5.33203125" style="153" customWidth="1"/>
    <col min="2" max="2" width="42.44140625" style="153" customWidth="1"/>
    <col min="3" max="3" width="13.88671875" style="153" bestFit="1" customWidth="1"/>
    <col min="4" max="4" width="12" style="153" bestFit="1" customWidth="1"/>
    <col min="5" max="5" width="13.5546875" style="153" bestFit="1" customWidth="1"/>
    <col min="6" max="8" width="12.6640625" style="153" bestFit="1" customWidth="1"/>
    <col min="9" max="9" width="12.44140625" style="153" customWidth="1"/>
    <col min="10" max="10" width="12.33203125" style="153" bestFit="1" customWidth="1"/>
    <col min="11" max="11" width="13.88671875" style="153" bestFit="1" customWidth="1"/>
    <col min="12" max="12" width="12.6640625" style="153" customWidth="1"/>
    <col min="13" max="13" width="13.109375" style="153" bestFit="1" customWidth="1"/>
    <col min="14" max="16384" width="9.109375" style="153"/>
  </cols>
  <sheetData>
    <row r="1" spans="1:16" s="11" customFormat="1" ht="13.2">
      <c r="L1" s="6" t="s">
        <v>28</v>
      </c>
    </row>
    <row r="2" spans="1:16" s="11" customFormat="1" ht="13.2">
      <c r="L2" s="6"/>
    </row>
    <row r="3" spans="1:16" s="11" customFormat="1" ht="13.2">
      <c r="L3" s="6"/>
    </row>
    <row r="4" spans="1:16" s="11" customFormat="1" ht="13.2">
      <c r="A4" s="465" t="str">
        <f>RevReq!A1</f>
        <v>CUMBERLAND VALLEY ELECTRIC</v>
      </c>
      <c r="B4" s="465"/>
      <c r="C4" s="465"/>
      <c r="D4" s="465"/>
      <c r="E4" s="465"/>
      <c r="F4" s="465"/>
      <c r="G4" s="465"/>
      <c r="H4" s="465"/>
      <c r="I4" s="465"/>
      <c r="J4" s="465"/>
      <c r="K4" s="465"/>
      <c r="L4" s="465"/>
    </row>
    <row r="5" spans="1:16" s="11" customFormat="1" ht="13.2">
      <c r="A5" s="465" t="str">
        <f>RevReq!A3</f>
        <v>For the 12 Months Ended December 31, 2019</v>
      </c>
      <c r="B5" s="465"/>
      <c r="C5" s="465"/>
      <c r="D5" s="465"/>
      <c r="E5" s="465"/>
      <c r="F5" s="465"/>
      <c r="G5" s="465"/>
      <c r="H5" s="465"/>
      <c r="I5" s="465"/>
      <c r="J5" s="465"/>
      <c r="K5" s="465"/>
      <c r="L5" s="465"/>
      <c r="M5" s="8"/>
    </row>
    <row r="6" spans="1:16" s="11" customFormat="1" ht="13.2">
      <c r="A6" s="8"/>
      <c r="B6" s="8"/>
      <c r="C6" s="8"/>
      <c r="D6" s="8"/>
      <c r="E6" s="8"/>
      <c r="F6" s="8"/>
      <c r="G6" s="8"/>
      <c r="H6" s="8"/>
      <c r="I6" s="8"/>
      <c r="J6" s="8"/>
      <c r="K6" s="8"/>
      <c r="L6" s="8"/>
      <c r="M6" s="8"/>
    </row>
    <row r="7" spans="1:16" s="11" customFormat="1" ht="13.2">
      <c r="A7" s="466" t="s">
        <v>251</v>
      </c>
      <c r="B7" s="466"/>
      <c r="C7" s="466"/>
      <c r="D7" s="466"/>
      <c r="E7" s="466"/>
      <c r="F7" s="466"/>
      <c r="G7" s="466"/>
      <c r="H7" s="466"/>
      <c r="I7" s="466"/>
      <c r="J7" s="466"/>
      <c r="K7" s="466"/>
      <c r="L7" s="466"/>
    </row>
    <row r="8" spans="1:16" s="11" customFormat="1" ht="13.2"/>
    <row r="9" spans="1:16">
      <c r="A9" s="215" t="s">
        <v>21</v>
      </c>
      <c r="B9" s="154" t="s">
        <v>40</v>
      </c>
      <c r="C9" s="154" t="s">
        <v>297</v>
      </c>
      <c r="D9" s="154" t="s">
        <v>298</v>
      </c>
      <c r="E9" s="154" t="s">
        <v>299</v>
      </c>
      <c r="F9" s="154" t="s">
        <v>300</v>
      </c>
      <c r="G9" s="154" t="s">
        <v>301</v>
      </c>
      <c r="H9" s="154" t="s">
        <v>252</v>
      </c>
      <c r="I9" s="154" t="s">
        <v>302</v>
      </c>
      <c r="J9" s="154" t="s">
        <v>303</v>
      </c>
      <c r="K9" s="154" t="s">
        <v>304</v>
      </c>
      <c r="L9" s="216" t="s">
        <v>305</v>
      </c>
    </row>
    <row r="10" spans="1:16">
      <c r="A10" s="155">
        <v>1</v>
      </c>
      <c r="B10" s="155" t="s">
        <v>306</v>
      </c>
      <c r="C10" s="156"/>
      <c r="D10" s="156"/>
      <c r="E10" s="156"/>
      <c r="F10" s="156"/>
      <c r="G10" s="156"/>
      <c r="H10" s="156"/>
      <c r="I10" s="156">
        <v>-1555.89</v>
      </c>
      <c r="J10" s="156"/>
      <c r="K10" s="156"/>
      <c r="L10" s="156"/>
      <c r="N10" s="156"/>
      <c r="O10" s="156"/>
    </row>
    <row r="11" spans="1:16">
      <c r="A11" s="155">
        <v>2</v>
      </c>
      <c r="B11" s="155" t="s">
        <v>307</v>
      </c>
      <c r="C11" s="156">
        <f>-75*9</f>
        <v>-675</v>
      </c>
      <c r="D11" s="156">
        <f>-75*9</f>
        <v>-675</v>
      </c>
      <c r="E11" s="156">
        <f>-1000*9</f>
        <v>-9000</v>
      </c>
      <c r="F11" s="156">
        <f>-500*9</f>
        <v>-4500</v>
      </c>
      <c r="G11" s="156"/>
      <c r="H11" s="156">
        <f>-75*9</f>
        <v>-675</v>
      </c>
      <c r="I11" s="156"/>
      <c r="J11" s="156"/>
      <c r="K11" s="156">
        <f>-45*9</f>
        <v>-405</v>
      </c>
      <c r="L11" s="156">
        <f>-45*9</f>
        <v>-405</v>
      </c>
      <c r="N11" s="156"/>
      <c r="O11" s="156"/>
    </row>
    <row r="12" spans="1:16">
      <c r="A12" s="155">
        <v>3</v>
      </c>
      <c r="B12" s="155" t="s">
        <v>308</v>
      </c>
      <c r="C12" s="156"/>
      <c r="D12" s="156"/>
      <c r="E12" s="156"/>
      <c r="F12" s="156"/>
      <c r="G12" s="156">
        <f>-242.62*9</f>
        <v>-2183.58</v>
      </c>
      <c r="H12" s="156"/>
      <c r="I12" s="156">
        <f>-178.88*9</f>
        <v>-1609.92</v>
      </c>
      <c r="J12" s="156"/>
      <c r="K12" s="156">
        <f>-51.55*9</f>
        <v>-463.95</v>
      </c>
      <c r="L12" s="156">
        <f>-25.77*9</f>
        <v>-231.93</v>
      </c>
      <c r="N12" s="156"/>
      <c r="O12" s="156"/>
    </row>
    <row r="13" spans="1:16">
      <c r="A13" s="155">
        <v>4</v>
      </c>
      <c r="B13" s="155" t="s">
        <v>309</v>
      </c>
      <c r="C13" s="156">
        <f>-17.69*9</f>
        <v>-159.21</v>
      </c>
      <c r="D13" s="156"/>
      <c r="E13" s="156">
        <f>-117.92*9</f>
        <v>-1061.28</v>
      </c>
      <c r="F13" s="156">
        <f>-17.69*9</f>
        <v>-159.21</v>
      </c>
      <c r="G13" s="156">
        <f>-17.69*9</f>
        <v>-159.21</v>
      </c>
      <c r="H13" s="156">
        <f>-117.92*9</f>
        <v>-1061.28</v>
      </c>
      <c r="I13" s="156">
        <f>-17.69*9</f>
        <v>-159.21</v>
      </c>
      <c r="J13" s="156">
        <f>-17.69*9</f>
        <v>-159.21</v>
      </c>
      <c r="K13" s="156">
        <f>-17.69*9</f>
        <v>-159.21</v>
      </c>
      <c r="L13" s="156">
        <f>-17.69*9</f>
        <v>-159.21</v>
      </c>
      <c r="N13" s="156"/>
      <c r="O13" s="156"/>
    </row>
    <row r="14" spans="1:16">
      <c r="A14" s="155">
        <v>5</v>
      </c>
      <c r="B14" s="155" t="s">
        <v>310</v>
      </c>
      <c r="C14" s="156"/>
      <c r="D14" s="156"/>
      <c r="E14" s="156">
        <f>(-21.99*8)+(-3.3)</f>
        <v>-179.22</v>
      </c>
      <c r="F14" s="156">
        <f>-3.01*9</f>
        <v>-27.089999999999996</v>
      </c>
      <c r="G14" s="156">
        <f>-5.79*9</f>
        <v>-52.11</v>
      </c>
      <c r="H14" s="156"/>
      <c r="I14" s="156">
        <f>-5.79*9</f>
        <v>-52.11</v>
      </c>
      <c r="J14" s="156">
        <f>-5.79*9</f>
        <v>-52.11</v>
      </c>
      <c r="K14" s="156"/>
      <c r="L14" s="156"/>
      <c r="N14" s="156"/>
      <c r="O14" s="156"/>
    </row>
    <row r="15" spans="1:16">
      <c r="A15" s="155">
        <v>8</v>
      </c>
      <c r="B15" s="155" t="s">
        <v>311</v>
      </c>
      <c r="C15" s="156"/>
      <c r="D15" s="156"/>
      <c r="E15" s="156">
        <f>(-2.73*8)+(-0.41)</f>
        <v>-22.25</v>
      </c>
      <c r="F15" s="156">
        <f>-0.41*9</f>
        <v>-3.69</v>
      </c>
      <c r="G15" s="156">
        <f>-0.63*9</f>
        <v>-5.67</v>
      </c>
      <c r="H15" s="156"/>
      <c r="I15" s="156">
        <f>-0.63*9</f>
        <v>-5.67</v>
      </c>
      <c r="J15" s="156">
        <f>-0.63*9</f>
        <v>-5.67</v>
      </c>
      <c r="K15" s="156"/>
      <c r="L15" s="156"/>
      <c r="N15" s="156"/>
      <c r="O15" s="156"/>
    </row>
    <row r="16" spans="1:16">
      <c r="A16" s="155">
        <v>9</v>
      </c>
      <c r="B16" s="155" t="s">
        <v>312</v>
      </c>
      <c r="C16" s="156"/>
      <c r="D16" s="156"/>
      <c r="E16" s="156">
        <f>9*500</f>
        <v>4500</v>
      </c>
      <c r="F16" s="156">
        <f>9*500</f>
        <v>4500</v>
      </c>
      <c r="G16" s="156">
        <f>9*500</f>
        <v>4500</v>
      </c>
      <c r="H16" s="156"/>
      <c r="I16" s="156">
        <f>9*500</f>
        <v>4500</v>
      </c>
      <c r="J16" s="156">
        <f>9*500</f>
        <v>4500</v>
      </c>
      <c r="K16" s="156"/>
      <c r="L16" s="156"/>
      <c r="N16" s="156"/>
      <c r="O16" s="156"/>
      <c r="P16" s="153" t="s">
        <v>496</v>
      </c>
    </row>
    <row r="17" spans="1:16">
      <c r="A17" s="155">
        <v>10</v>
      </c>
      <c r="C17" s="217">
        <f>SUM(C10:C16)</f>
        <v>-834.21</v>
      </c>
      <c r="D17" s="217">
        <f t="shared" ref="D17:L17" si="0">SUM(D10:D16)</f>
        <v>-675</v>
      </c>
      <c r="E17" s="217">
        <f t="shared" si="0"/>
        <v>-5762.75</v>
      </c>
      <c r="F17" s="217">
        <f t="shared" si="0"/>
        <v>-189.98999999999978</v>
      </c>
      <c r="G17" s="217">
        <f t="shared" si="0"/>
        <v>2099.4299999999998</v>
      </c>
      <c r="H17" s="217">
        <f t="shared" si="0"/>
        <v>-1736.28</v>
      </c>
      <c r="I17" s="217">
        <f t="shared" si="0"/>
        <v>1117.1999999999994</v>
      </c>
      <c r="J17" s="217">
        <f t="shared" si="0"/>
        <v>4283.01</v>
      </c>
      <c r="K17" s="217">
        <f t="shared" si="0"/>
        <v>-1028.1600000000001</v>
      </c>
      <c r="L17" s="217">
        <f t="shared" si="0"/>
        <v>-796.1400000000001</v>
      </c>
      <c r="N17" s="156"/>
      <c r="O17" s="156"/>
    </row>
    <row r="18" spans="1:16">
      <c r="A18" s="155">
        <v>11</v>
      </c>
      <c r="C18" s="157"/>
      <c r="D18" s="157"/>
      <c r="E18" s="157"/>
      <c r="F18" s="157"/>
      <c r="G18" s="157"/>
      <c r="H18" s="157"/>
      <c r="I18" s="157"/>
      <c r="J18" s="157"/>
      <c r="K18" s="157"/>
      <c r="L18" s="157"/>
      <c r="N18" s="156"/>
      <c r="O18" s="156"/>
    </row>
    <row r="19" spans="1:16">
      <c r="A19" s="155">
        <v>12</v>
      </c>
      <c r="B19" s="157"/>
      <c r="C19" s="157"/>
      <c r="D19" s="157"/>
      <c r="E19" s="157"/>
      <c r="F19" s="157"/>
      <c r="G19" s="157"/>
      <c r="H19" s="157"/>
      <c r="I19" s="157"/>
      <c r="J19" s="157"/>
      <c r="K19" s="157"/>
      <c r="L19" s="157"/>
      <c r="N19" s="156"/>
      <c r="O19" s="156"/>
    </row>
    <row r="20" spans="1:16">
      <c r="A20" s="155">
        <v>13</v>
      </c>
      <c r="C20" s="157"/>
      <c r="D20" s="157"/>
      <c r="E20" s="157"/>
      <c r="F20" s="157"/>
      <c r="G20" s="157"/>
      <c r="H20" s="157"/>
      <c r="I20" s="157"/>
      <c r="J20" s="157"/>
      <c r="K20" s="157"/>
      <c r="L20" s="157"/>
      <c r="N20" s="156"/>
      <c r="O20" s="156"/>
    </row>
    <row r="21" spans="1:16">
      <c r="A21" s="155">
        <v>14</v>
      </c>
      <c r="B21" s="218" t="s">
        <v>313</v>
      </c>
      <c r="C21" s="154" t="s">
        <v>314</v>
      </c>
      <c r="D21" s="157"/>
      <c r="E21" s="157"/>
      <c r="F21" s="157"/>
      <c r="G21" s="157"/>
      <c r="H21" s="157"/>
      <c r="I21" s="157"/>
      <c r="J21" s="157"/>
      <c r="K21" s="157"/>
      <c r="L21" s="157"/>
      <c r="M21" s="156"/>
      <c r="N21" s="156"/>
      <c r="O21" s="156"/>
    </row>
    <row r="22" spans="1:16">
      <c r="A22" s="155">
        <v>15</v>
      </c>
      <c r="B22" s="153" t="s">
        <v>315</v>
      </c>
      <c r="C22" s="157">
        <f>I10</f>
        <v>-1555.89</v>
      </c>
      <c r="D22" s="157"/>
      <c r="E22" s="157"/>
      <c r="J22" s="157"/>
      <c r="K22" s="157"/>
      <c r="L22" s="157"/>
      <c r="M22" s="156"/>
      <c r="N22" s="156"/>
      <c r="O22" s="156"/>
    </row>
    <row r="23" spans="1:16">
      <c r="A23" s="155">
        <v>17</v>
      </c>
      <c r="B23" s="155" t="s">
        <v>307</v>
      </c>
      <c r="C23" s="157">
        <f>SUM(C11:L11)</f>
        <v>-16335</v>
      </c>
      <c r="D23" s="157"/>
      <c r="E23" s="157"/>
      <c r="I23" s="153" t="s">
        <v>36</v>
      </c>
      <c r="K23" s="178">
        <v>142980.91</v>
      </c>
      <c r="L23" s="157"/>
    </row>
    <row r="24" spans="1:16">
      <c r="A24" s="155">
        <v>18</v>
      </c>
      <c r="B24" s="155" t="s">
        <v>308</v>
      </c>
      <c r="C24" s="157">
        <f>SUM(C12:L12)</f>
        <v>-4489.38</v>
      </c>
      <c r="D24" s="157"/>
      <c r="E24" s="157"/>
      <c r="K24" s="178"/>
      <c r="L24" s="157"/>
    </row>
    <row r="25" spans="1:16">
      <c r="A25" s="155">
        <v>19</v>
      </c>
      <c r="B25" s="155" t="s">
        <v>309</v>
      </c>
      <c r="C25" s="157">
        <f>SUM(C13:L13)</f>
        <v>-3237.03</v>
      </c>
      <c r="D25" s="157"/>
      <c r="E25" s="157"/>
      <c r="I25" s="219" t="s">
        <v>152</v>
      </c>
      <c r="K25" s="379">
        <f>+K23+C29+C34</f>
        <v>139458.02000000002</v>
      </c>
      <c r="L25" s="157"/>
    </row>
    <row r="26" spans="1:16">
      <c r="A26" s="155">
        <v>20</v>
      </c>
      <c r="B26" s="155" t="s">
        <v>310</v>
      </c>
      <c r="C26" s="157">
        <f>SUM(C14:L14)</f>
        <v>-362.64000000000004</v>
      </c>
      <c r="D26" s="157"/>
      <c r="E26" s="157"/>
      <c r="I26" s="219"/>
      <c r="K26" s="379"/>
      <c r="L26" s="157"/>
    </row>
    <row r="27" spans="1:16" ht="14.4" thickBot="1">
      <c r="A27" s="155">
        <v>21</v>
      </c>
      <c r="B27" s="155" t="s">
        <v>311</v>
      </c>
      <c r="C27" s="221">
        <f>SUM(C15:L15)</f>
        <v>-42.95</v>
      </c>
      <c r="D27" s="157"/>
      <c r="E27" s="157"/>
      <c r="I27" s="222" t="s">
        <v>15</v>
      </c>
      <c r="J27" s="222"/>
      <c r="K27" s="380">
        <f>K25-K23</f>
        <v>-3522.8899999999849</v>
      </c>
      <c r="L27" s="157"/>
    </row>
    <row r="28" spans="1:16" ht="14.4" thickTop="1">
      <c r="A28" s="155">
        <v>22</v>
      </c>
      <c r="B28" s="223"/>
      <c r="C28" s="224"/>
      <c r="D28" s="157"/>
      <c r="E28" s="157"/>
      <c r="I28" s="219"/>
      <c r="J28" s="219"/>
      <c r="K28" s="220"/>
      <c r="L28" s="157"/>
    </row>
    <row r="29" spans="1:16" ht="14.25" customHeight="1">
      <c r="A29" s="155">
        <v>23</v>
      </c>
      <c r="B29" s="219" t="s">
        <v>316</v>
      </c>
      <c r="C29" s="156">
        <f>SUM(C22:C27)</f>
        <v>-26022.89</v>
      </c>
      <c r="D29" s="203"/>
      <c r="E29" s="203"/>
      <c r="F29" s="203"/>
      <c r="G29" s="203"/>
      <c r="H29" s="203"/>
      <c r="I29" s="203"/>
      <c r="J29" s="203"/>
      <c r="K29" s="203"/>
      <c r="L29" s="203"/>
      <c r="M29" s="203"/>
      <c r="N29" s="203"/>
      <c r="O29" s="203"/>
      <c r="P29" s="203"/>
    </row>
    <row r="30" spans="1:16" ht="14.25" customHeight="1">
      <c r="A30" s="155">
        <v>24</v>
      </c>
      <c r="B30" s="219"/>
      <c r="C30" s="156"/>
      <c r="D30" s="203"/>
      <c r="E30" s="203"/>
      <c r="F30" s="203"/>
      <c r="G30" s="203"/>
      <c r="H30" s="203"/>
      <c r="I30" s="203"/>
      <c r="J30" s="203"/>
      <c r="K30" s="203"/>
      <c r="L30" s="203"/>
      <c r="M30" s="203"/>
      <c r="N30" s="203"/>
      <c r="O30" s="203"/>
      <c r="P30" s="203"/>
    </row>
    <row r="31" spans="1:16" ht="14.25" customHeight="1">
      <c r="A31" s="155">
        <v>25</v>
      </c>
      <c r="B31" s="218" t="s">
        <v>317</v>
      </c>
      <c r="C31" s="154" t="s">
        <v>314</v>
      </c>
      <c r="D31" s="203"/>
      <c r="E31" s="203"/>
      <c r="F31" s="203"/>
      <c r="G31" s="203"/>
      <c r="H31" s="203"/>
      <c r="I31" s="203"/>
      <c r="J31" s="203"/>
      <c r="K31" s="203"/>
      <c r="L31" s="203"/>
      <c r="M31" s="203"/>
      <c r="N31" s="203"/>
      <c r="O31" s="203"/>
      <c r="P31" s="203"/>
    </row>
    <row r="32" spans="1:16" ht="14.25" customHeight="1">
      <c r="A32" s="155">
        <v>26</v>
      </c>
      <c r="B32" s="155" t="s">
        <v>312</v>
      </c>
      <c r="C32" s="156">
        <f>SUM(C16:L16)</f>
        <v>22500</v>
      </c>
      <c r="D32" s="203"/>
      <c r="E32" s="203"/>
      <c r="F32" s="203"/>
      <c r="G32" s="203"/>
      <c r="H32" s="203"/>
      <c r="I32" s="203"/>
      <c r="J32" s="203"/>
      <c r="K32" s="203"/>
      <c r="L32" s="203"/>
      <c r="M32" s="203"/>
      <c r="N32" s="203"/>
      <c r="O32" s="203"/>
      <c r="P32" s="203"/>
    </row>
    <row r="33" spans="1:16" ht="14.25" customHeight="1">
      <c r="A33" s="155">
        <v>27</v>
      </c>
      <c r="B33" s="158"/>
      <c r="C33" s="225"/>
      <c r="D33" s="203"/>
      <c r="E33" s="203"/>
      <c r="F33" s="203"/>
      <c r="G33" s="203"/>
      <c r="H33" s="203"/>
      <c r="I33" s="203"/>
      <c r="J33" s="203"/>
      <c r="K33" s="203"/>
      <c r="L33" s="203"/>
      <c r="M33" s="203"/>
      <c r="N33" s="203"/>
      <c r="O33" s="203"/>
      <c r="P33" s="203"/>
    </row>
    <row r="34" spans="1:16" ht="14.25" customHeight="1">
      <c r="A34" s="155">
        <v>28</v>
      </c>
      <c r="B34" s="219" t="s">
        <v>318</v>
      </c>
      <c r="C34" s="156">
        <f>SUM(C32)</f>
        <v>22500</v>
      </c>
      <c r="D34" s="203"/>
      <c r="E34" s="203"/>
      <c r="F34" s="203"/>
      <c r="G34" s="203"/>
      <c r="H34" s="203"/>
      <c r="I34" s="203"/>
      <c r="J34" s="203"/>
      <c r="K34" s="203"/>
      <c r="L34" s="203"/>
      <c r="M34" s="203"/>
      <c r="N34" s="203"/>
      <c r="O34" s="203"/>
      <c r="P34" s="203"/>
    </row>
    <row r="35" spans="1:16">
      <c r="C35" s="157"/>
      <c r="D35" s="157"/>
      <c r="E35" s="157"/>
      <c r="F35" s="157"/>
      <c r="G35" s="157"/>
      <c r="H35" s="157"/>
      <c r="I35" s="157"/>
      <c r="J35" s="157"/>
      <c r="K35" s="157"/>
      <c r="L35" s="157"/>
    </row>
    <row r="36" spans="1:16">
      <c r="D36" s="157"/>
      <c r="E36" s="157"/>
      <c r="F36" s="157"/>
      <c r="G36" s="157"/>
      <c r="H36" s="157"/>
      <c r="I36" s="157"/>
      <c r="J36" s="157"/>
      <c r="K36" s="157"/>
      <c r="L36" s="157"/>
    </row>
    <row r="37" spans="1:16" ht="14.25" customHeight="1">
      <c r="B37" s="467" t="s">
        <v>253</v>
      </c>
      <c r="C37" s="467"/>
      <c r="D37" s="467"/>
      <c r="E37" s="467"/>
      <c r="F37" s="467"/>
      <c r="G37" s="467"/>
      <c r="H37" s="467"/>
      <c r="I37" s="467"/>
      <c r="J37" s="467"/>
      <c r="K37" s="467"/>
      <c r="L37" s="467"/>
      <c r="M37" s="467"/>
    </row>
    <row r="38" spans="1:16">
      <c r="D38" s="157"/>
      <c r="E38" s="157"/>
      <c r="F38" s="157"/>
      <c r="G38" s="157"/>
      <c r="H38" s="157"/>
      <c r="I38" s="157"/>
      <c r="J38" s="157"/>
      <c r="K38" s="157"/>
      <c r="L38" s="157"/>
    </row>
    <row r="39" spans="1:16">
      <c r="D39" s="157"/>
      <c r="E39" s="157"/>
      <c r="F39" s="157"/>
      <c r="G39" s="157"/>
      <c r="H39" s="157"/>
      <c r="I39" s="157"/>
      <c r="J39" s="157"/>
      <c r="K39" s="157"/>
      <c r="L39" s="157"/>
    </row>
    <row r="40" spans="1:16">
      <c r="D40" s="157"/>
      <c r="E40" s="157"/>
      <c r="F40" s="157"/>
      <c r="G40" s="157"/>
      <c r="H40" s="157"/>
      <c r="I40" s="157"/>
      <c r="J40" s="157"/>
      <c r="K40" s="157"/>
      <c r="L40" s="157"/>
    </row>
    <row r="41" spans="1:16">
      <c r="C41" s="157"/>
      <c r="D41" s="157"/>
      <c r="E41" s="157"/>
      <c r="F41" s="157"/>
      <c r="G41" s="157"/>
      <c r="H41" s="157"/>
      <c r="I41" s="157"/>
      <c r="J41" s="157"/>
      <c r="K41" s="157"/>
      <c r="L41" s="157"/>
    </row>
    <row r="42" spans="1:16">
      <c r="C42" s="157"/>
    </row>
    <row r="43" spans="1:16">
      <c r="C43" s="157"/>
    </row>
    <row r="44" spans="1:16">
      <c r="C44" s="157"/>
    </row>
  </sheetData>
  <mergeCells count="4">
    <mergeCell ref="A4:L4"/>
    <mergeCell ref="A5:L5"/>
    <mergeCell ref="A7:L7"/>
    <mergeCell ref="B37:M37"/>
  </mergeCells>
  <printOptions horizontalCentered="1"/>
  <pageMargins left="0.7" right="0.7" top="0.75" bottom="0.75" header="0.3" footer="0.3"/>
  <pageSetup scale="69" orientation="landscape" r:id="rId1"/>
  <headerFooter>
    <oddFooter>&amp;RExhibit JW-2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5"/>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9.5546875" style="11" customWidth="1"/>
    <col min="4" max="4" width="7.5546875" style="10" customWidth="1"/>
    <col min="5" max="5" width="6.33203125" style="10" customWidth="1"/>
    <col min="6" max="6" width="5.88671875" style="11" customWidth="1"/>
    <col min="7" max="7" width="12.88671875" style="11" customWidth="1"/>
    <col min="8" max="8" width="11.6640625" style="11" customWidth="1"/>
    <col min="9" max="9" width="13.6640625" style="11" customWidth="1"/>
    <col min="10" max="10" width="12.88671875" style="11" bestFit="1" customWidth="1"/>
    <col min="11" max="13" width="9.109375" style="11"/>
    <col min="14" max="14" width="10.88671875" style="11" bestFit="1" customWidth="1"/>
    <col min="15" max="16384" width="9.109375" style="11"/>
  </cols>
  <sheetData>
    <row r="1" spans="1:22">
      <c r="I1" s="6" t="s">
        <v>651</v>
      </c>
    </row>
    <row r="2" spans="1:22" ht="20.25" customHeight="1"/>
    <row r="3" spans="1:22">
      <c r="A3" s="465" t="str">
        <f>RevReq!A1</f>
        <v>CUMBERLAND VALLEY ELECTRIC</v>
      </c>
      <c r="B3" s="465"/>
      <c r="C3" s="465"/>
      <c r="D3" s="465"/>
      <c r="E3" s="465"/>
      <c r="F3" s="465"/>
      <c r="G3" s="465"/>
      <c r="H3" s="465"/>
      <c r="I3" s="465"/>
    </row>
    <row r="4" spans="1:22">
      <c r="A4" s="465" t="str">
        <f>RevReq!A3</f>
        <v>For the 12 Months Ended December 31, 2019</v>
      </c>
      <c r="B4" s="465"/>
      <c r="C4" s="465"/>
      <c r="D4" s="465"/>
      <c r="E4" s="465"/>
      <c r="F4" s="465"/>
      <c r="G4" s="465"/>
      <c r="H4" s="465"/>
      <c r="I4" s="465"/>
    </row>
    <row r="6" spans="1:22" s="7" customFormat="1" ht="15" customHeight="1">
      <c r="A6" s="466" t="s">
        <v>602</v>
      </c>
      <c r="B6" s="466"/>
      <c r="C6" s="466"/>
      <c r="D6" s="466"/>
      <c r="E6" s="466"/>
      <c r="F6" s="466"/>
      <c r="G6" s="466"/>
      <c r="H6" s="466"/>
      <c r="I6" s="466"/>
    </row>
    <row r="8" spans="1:22">
      <c r="H8" s="192" t="s">
        <v>603</v>
      </c>
      <c r="I8" s="365">
        <f>31.56%+1.31%</f>
        <v>0.32869999999999999</v>
      </c>
    </row>
    <row r="9" spans="1:22">
      <c r="H9" s="192" t="s">
        <v>604</v>
      </c>
      <c r="I9" s="365">
        <v>0.1</v>
      </c>
    </row>
    <row r="10" spans="1:22">
      <c r="H10" s="192"/>
      <c r="I10" s="366"/>
    </row>
    <row r="11" spans="1:22" s="3" customFormat="1" ht="20.25" customHeight="1">
      <c r="A11" s="204"/>
      <c r="C11" s="473" t="s">
        <v>265</v>
      </c>
      <c r="D11" s="473"/>
      <c r="E11" s="473"/>
      <c r="F11" s="204"/>
      <c r="G11" s="473" t="s">
        <v>605</v>
      </c>
      <c r="H11" s="473"/>
      <c r="I11" s="473"/>
    </row>
    <row r="12" spans="1:22" s="3" customFormat="1" ht="39" customHeight="1">
      <c r="A12" s="208" t="s">
        <v>0</v>
      </c>
      <c r="B12" s="42"/>
      <c r="C12" s="208" t="s">
        <v>492</v>
      </c>
      <c r="D12" s="208" t="s">
        <v>258</v>
      </c>
      <c r="E12" s="208" t="s">
        <v>264</v>
      </c>
      <c r="F12" s="204"/>
      <c r="G12" s="205" t="s">
        <v>606</v>
      </c>
      <c r="H12" s="205" t="s">
        <v>607</v>
      </c>
      <c r="I12" s="205" t="s">
        <v>608</v>
      </c>
    </row>
    <row r="13" spans="1:22" s="3" customFormat="1">
      <c r="A13" s="49" t="s">
        <v>21</v>
      </c>
      <c r="B13" s="42"/>
      <c r="C13" s="50">
        <v>1</v>
      </c>
      <c r="D13" s="50">
        <f>C13+1</f>
        <v>2</v>
      </c>
      <c r="E13" s="50">
        <f>D13+1</f>
        <v>3</v>
      </c>
      <c r="F13" s="204"/>
      <c r="G13" s="50" t="s">
        <v>25</v>
      </c>
      <c r="H13" s="50" t="s">
        <v>47</v>
      </c>
      <c r="I13" s="50" t="s">
        <v>48</v>
      </c>
    </row>
    <row r="14" spans="1:22" s="3" customFormat="1">
      <c r="A14" s="208"/>
      <c r="B14" s="42"/>
      <c r="C14" s="208"/>
      <c r="D14" s="208"/>
      <c r="E14" s="208"/>
      <c r="F14" s="204"/>
    </row>
    <row r="15" spans="1:22" s="3" customFormat="1" ht="20.100000000000001" hidden="1" customHeight="1">
      <c r="A15" s="204"/>
      <c r="C15" s="204"/>
      <c r="D15" s="204"/>
      <c r="E15" s="204"/>
      <c r="F15" s="204"/>
      <c r="G15" s="332"/>
      <c r="H15" s="205"/>
      <c r="I15" s="205" t="s">
        <v>609</v>
      </c>
      <c r="J15" s="205" t="s">
        <v>609</v>
      </c>
      <c r="K15" s="205"/>
      <c r="T15" s="309"/>
      <c r="V15" s="309"/>
    </row>
    <row r="16" spans="1:22" s="3" customFormat="1" ht="20.100000000000001" hidden="1" customHeight="1">
      <c r="A16" s="204"/>
      <c r="C16" s="204"/>
      <c r="D16" s="333"/>
      <c r="E16" s="333"/>
      <c r="F16" s="333"/>
      <c r="G16" s="334"/>
      <c r="H16" s="205"/>
      <c r="I16" s="205" t="s">
        <v>91</v>
      </c>
      <c r="J16" s="205" t="s">
        <v>91</v>
      </c>
      <c r="K16" s="205"/>
      <c r="L16" s="204"/>
      <c r="M16" s="204"/>
      <c r="N16" s="204"/>
      <c r="O16" s="204"/>
      <c r="P16" s="204"/>
      <c r="T16" s="309"/>
      <c r="V16" s="309"/>
    </row>
    <row r="17" spans="1:21" s="204" customFormat="1" ht="13.8" hidden="1" thickBot="1">
      <c r="C17" s="204" t="s">
        <v>492</v>
      </c>
      <c r="D17" s="204" t="s">
        <v>549</v>
      </c>
      <c r="G17" s="335" t="s">
        <v>43</v>
      </c>
      <c r="H17" s="336"/>
      <c r="I17" s="166" t="s">
        <v>610</v>
      </c>
      <c r="J17" s="367">
        <v>2018</v>
      </c>
      <c r="K17" s="166"/>
      <c r="L17" s="183"/>
      <c r="M17" s="183"/>
      <c r="N17" s="333"/>
      <c r="O17" s="333"/>
      <c r="P17" s="333"/>
      <c r="S17" s="337"/>
      <c r="U17" s="338"/>
    </row>
    <row r="18" spans="1:21" s="3" customFormat="1">
      <c r="A18" s="204">
        <v>1</v>
      </c>
      <c r="C18" s="182" t="s">
        <v>550</v>
      </c>
      <c r="D18" s="204"/>
      <c r="E18" s="167"/>
      <c r="F18" s="167"/>
    </row>
    <row r="19" spans="1:21" s="3" customFormat="1">
      <c r="A19" s="204">
        <f>A18+1</f>
        <v>2</v>
      </c>
      <c r="C19" s="204">
        <f>'1.10 Wages'!C12</f>
        <v>1</v>
      </c>
      <c r="D19" s="204">
        <f>'1.10 Wages'!D12</f>
        <v>1201</v>
      </c>
      <c r="E19" s="204"/>
      <c r="F19" s="204"/>
      <c r="G19" s="171">
        <f>'1.10 Wages'!T12</f>
        <v>118726.39999999999</v>
      </c>
      <c r="H19" s="368">
        <f>$I$8</f>
        <v>0.32869999999999999</v>
      </c>
      <c r="I19" s="339">
        <f>G19*H19</f>
        <v>39025.367679999996</v>
      </c>
    </row>
    <row r="20" spans="1:21" s="3" customFormat="1">
      <c r="A20" s="204">
        <f t="shared" ref="A20:A83" si="0">A19+1</f>
        <v>3</v>
      </c>
      <c r="C20" s="204">
        <f>'1.10 Wages'!C13</f>
        <v>1</v>
      </c>
      <c r="D20" s="204">
        <f>'1.10 Wages'!D13</f>
        <v>1211</v>
      </c>
      <c r="E20" s="204"/>
      <c r="F20" s="204"/>
      <c r="G20" s="171">
        <f>'1.10 Wages'!T13</f>
        <v>75004.800000000003</v>
      </c>
      <c r="H20" s="368">
        <f t="shared" ref="H20:H28" si="1">$I$8</f>
        <v>0.32869999999999999</v>
      </c>
      <c r="I20" s="339">
        <f t="shared" ref="I20:I72" si="2">G20*H20</f>
        <v>24654.07776</v>
      </c>
    </row>
    <row r="21" spans="1:21" s="3" customFormat="1">
      <c r="A21" s="204">
        <f t="shared" si="0"/>
        <v>4</v>
      </c>
      <c r="C21" s="204">
        <f>'1.10 Wages'!C14</f>
        <v>1</v>
      </c>
      <c r="D21" s="204">
        <f>'1.10 Wages'!D14</f>
        <v>1218</v>
      </c>
      <c r="E21" s="204"/>
      <c r="F21" s="204"/>
      <c r="G21" s="339">
        <f>'1.10 Wages'!T14</f>
        <v>116521.60000000001</v>
      </c>
      <c r="H21" s="368">
        <f t="shared" si="1"/>
        <v>0.32869999999999999</v>
      </c>
      <c r="I21" s="339">
        <f t="shared" si="2"/>
        <v>38300.649920000003</v>
      </c>
    </row>
    <row r="22" spans="1:21" s="3" customFormat="1">
      <c r="A22" s="204">
        <f t="shared" si="0"/>
        <v>5</v>
      </c>
      <c r="C22" s="204">
        <f>'1.10 Wages'!C15</f>
        <v>1</v>
      </c>
      <c r="D22" s="204">
        <f>'1.10 Wages'!D15</f>
        <v>1224</v>
      </c>
      <c r="E22" s="204"/>
      <c r="F22" s="204"/>
      <c r="G22" s="171">
        <f>'1.10 Wages'!T15</f>
        <v>74588.800000000003</v>
      </c>
      <c r="H22" s="368">
        <f t="shared" si="1"/>
        <v>0.32869999999999999</v>
      </c>
      <c r="I22" s="339">
        <f t="shared" si="2"/>
        <v>24517.33856</v>
      </c>
    </row>
    <row r="23" spans="1:21" s="3" customFormat="1">
      <c r="A23" s="204">
        <f t="shared" si="0"/>
        <v>6</v>
      </c>
      <c r="C23" s="204">
        <f>'1.10 Wages'!C16</f>
        <v>1</v>
      </c>
      <c r="D23" s="204">
        <f>'1.10 Wages'!D16</f>
        <v>1226</v>
      </c>
      <c r="E23" s="204"/>
      <c r="F23" s="204"/>
      <c r="G23" s="171">
        <f>'1.10 Wages'!T16</f>
        <v>188344</v>
      </c>
      <c r="H23" s="368">
        <f t="shared" si="1"/>
        <v>0.32869999999999999</v>
      </c>
      <c r="I23" s="339">
        <f t="shared" si="2"/>
        <v>61908.6728</v>
      </c>
    </row>
    <row r="24" spans="1:21" s="3" customFormat="1">
      <c r="A24" s="204">
        <f t="shared" si="0"/>
        <v>7</v>
      </c>
      <c r="C24" s="204">
        <f>'1.10 Wages'!C17</f>
        <v>1</v>
      </c>
      <c r="D24" s="204">
        <f>'1.10 Wages'!D17</f>
        <v>1227</v>
      </c>
      <c r="E24" s="204"/>
      <c r="F24" s="204"/>
      <c r="G24" s="171">
        <f>'1.10 Wages'!T17</f>
        <v>109241.60000000001</v>
      </c>
      <c r="H24" s="368">
        <f t="shared" si="1"/>
        <v>0.32869999999999999</v>
      </c>
      <c r="I24" s="339">
        <f t="shared" si="2"/>
        <v>35907.713920000002</v>
      </c>
    </row>
    <row r="25" spans="1:21" s="3" customFormat="1">
      <c r="A25" s="204">
        <f t="shared" si="0"/>
        <v>8</v>
      </c>
      <c r="C25" s="204">
        <f>'1.10 Wages'!C18</f>
        <v>1</v>
      </c>
      <c r="D25" s="204">
        <f>'1.10 Wages'!D18</f>
        <v>1228</v>
      </c>
      <c r="E25" s="204"/>
      <c r="F25" s="204"/>
      <c r="G25" s="171">
        <f>'1.10 Wages'!T18</f>
        <v>88441.600000000006</v>
      </c>
      <c r="H25" s="368">
        <f t="shared" si="1"/>
        <v>0.32869999999999999</v>
      </c>
      <c r="I25" s="339">
        <f t="shared" si="2"/>
        <v>29070.753920000003</v>
      </c>
    </row>
    <row r="26" spans="1:21" s="3" customFormat="1">
      <c r="A26" s="204">
        <f t="shared" si="0"/>
        <v>9</v>
      </c>
      <c r="C26" s="204">
        <f>'1.10 Wages'!C19</f>
        <v>1</v>
      </c>
      <c r="D26" s="204">
        <f>'1.10 Wages'!D19</f>
        <v>1239</v>
      </c>
      <c r="E26" s="204"/>
      <c r="F26" s="204"/>
      <c r="G26" s="171">
        <f>'1.10 Wages'!T19</f>
        <v>80350.400000000009</v>
      </c>
      <c r="H26" s="368">
        <f t="shared" si="1"/>
        <v>0.32869999999999999</v>
      </c>
      <c r="I26" s="339">
        <f t="shared" si="2"/>
        <v>26411.176480000002</v>
      </c>
    </row>
    <row r="27" spans="1:21" s="3" customFormat="1">
      <c r="A27" s="204">
        <f t="shared" si="0"/>
        <v>10</v>
      </c>
      <c r="C27" s="204">
        <f>'1.10 Wages'!C20</f>
        <v>1</v>
      </c>
      <c r="D27" s="204">
        <f>'1.10 Wages'!D20</f>
        <v>1245</v>
      </c>
      <c r="E27" s="208"/>
      <c r="F27" s="208"/>
      <c r="G27" s="171">
        <f>'1.10 Wages'!T20</f>
        <v>126068.8</v>
      </c>
      <c r="H27" s="368">
        <f t="shared" si="1"/>
        <v>0.32869999999999999</v>
      </c>
      <c r="I27" s="339">
        <f t="shared" si="2"/>
        <v>41438.814559999999</v>
      </c>
    </row>
    <row r="28" spans="1:21" s="3" customFormat="1">
      <c r="A28" s="204">
        <f t="shared" si="0"/>
        <v>11</v>
      </c>
      <c r="C28" s="204">
        <f>'1.10 Wages'!C21</f>
        <v>1</v>
      </c>
      <c r="D28" s="204">
        <f>'1.10 Wages'!D21</f>
        <v>1247</v>
      </c>
      <c r="E28" s="208"/>
      <c r="F28" s="208"/>
      <c r="G28" s="171">
        <f>'1.10 Wages'!T21</f>
        <v>109241.60000000001</v>
      </c>
      <c r="H28" s="368">
        <f t="shared" si="1"/>
        <v>0.32869999999999999</v>
      </c>
      <c r="I28" s="339">
        <f t="shared" si="2"/>
        <v>35907.713920000002</v>
      </c>
    </row>
    <row r="29" spans="1:21" s="3" customFormat="1">
      <c r="A29" s="204">
        <f t="shared" si="0"/>
        <v>12</v>
      </c>
      <c r="C29" s="5">
        <f>SUM(C19:C28)</f>
        <v>10</v>
      </c>
      <c r="D29" s="5" t="s">
        <v>22</v>
      </c>
      <c r="E29" s="5"/>
      <c r="F29" s="208"/>
      <c r="G29" s="283">
        <f>'1.10 Wages'!T22</f>
        <v>1086529.6000000001</v>
      </c>
      <c r="H29" s="55"/>
      <c r="I29" s="341">
        <f>SUM(I19:I28)</f>
        <v>357142.2795200001</v>
      </c>
    </row>
    <row r="30" spans="1:21" s="3" customFormat="1">
      <c r="A30" s="204">
        <f t="shared" si="0"/>
        <v>13</v>
      </c>
      <c r="C30" s="204"/>
      <c r="D30" s="204"/>
      <c r="E30" s="204"/>
      <c r="F30" s="204"/>
      <c r="G30" s="170"/>
      <c r="I30" s="339"/>
    </row>
    <row r="31" spans="1:21" s="3" customFormat="1">
      <c r="A31" s="204">
        <f t="shared" si="0"/>
        <v>14</v>
      </c>
      <c r="C31" s="182" t="s">
        <v>495</v>
      </c>
      <c r="D31" s="204"/>
      <c r="E31" s="167"/>
      <c r="F31" s="167"/>
      <c r="G31" s="273"/>
      <c r="I31" s="339"/>
    </row>
    <row r="32" spans="1:21" s="3" customFormat="1">
      <c r="A32" s="204">
        <f t="shared" si="0"/>
        <v>15</v>
      </c>
      <c r="C32" s="204">
        <v>1</v>
      </c>
      <c r="D32" s="204">
        <f>'1.10 Wages'!D25</f>
        <v>1202</v>
      </c>
      <c r="E32" s="204"/>
      <c r="F32" s="204"/>
      <c r="G32" s="171">
        <f>'1.10 Wages'!T25</f>
        <v>67267.200000000012</v>
      </c>
      <c r="H32" s="368">
        <f>$I$9</f>
        <v>0.1</v>
      </c>
      <c r="I32" s="339">
        <f t="shared" si="2"/>
        <v>6726.7200000000012</v>
      </c>
    </row>
    <row r="33" spans="1:9" s="3" customFormat="1">
      <c r="A33" s="204">
        <f t="shared" si="0"/>
        <v>16</v>
      </c>
      <c r="C33" s="204">
        <v>1</v>
      </c>
      <c r="D33" s="204">
        <f>'1.10 Wages'!D26</f>
        <v>1203</v>
      </c>
      <c r="E33" s="204"/>
      <c r="F33" s="204"/>
      <c r="G33" s="171">
        <f>'1.10 Wages'!T26</f>
        <v>49566.399999999994</v>
      </c>
      <c r="H33" s="368">
        <f t="shared" ref="H33" si="3">$I$9</f>
        <v>0.1</v>
      </c>
      <c r="I33" s="339">
        <f t="shared" si="2"/>
        <v>4956.6399999999994</v>
      </c>
    </row>
    <row r="34" spans="1:9" s="3" customFormat="1">
      <c r="A34" s="204">
        <f t="shared" si="0"/>
        <v>17</v>
      </c>
      <c r="C34" s="204">
        <v>1</v>
      </c>
      <c r="D34" s="204">
        <f>'1.10 Wages'!D27</f>
        <v>1204</v>
      </c>
      <c r="E34" s="204"/>
      <c r="F34" s="204"/>
      <c r="G34" s="171">
        <f>'1.10 Wages'!T27</f>
        <v>67267.200000000012</v>
      </c>
      <c r="H34" s="368">
        <f>$I$9</f>
        <v>0.1</v>
      </c>
      <c r="I34" s="339">
        <f t="shared" si="2"/>
        <v>6726.7200000000012</v>
      </c>
    </row>
    <row r="35" spans="1:9" s="3" customFormat="1">
      <c r="A35" s="204">
        <f t="shared" si="0"/>
        <v>18</v>
      </c>
      <c r="C35" s="204">
        <v>1</v>
      </c>
      <c r="D35" s="204">
        <f>'1.10 Wages'!D28</f>
        <v>1205</v>
      </c>
      <c r="E35" s="204"/>
      <c r="F35" s="204"/>
      <c r="G35" s="171">
        <f>'1.10 Wages'!T28</f>
        <v>67267.200000000012</v>
      </c>
      <c r="H35" s="368">
        <f>$I$9</f>
        <v>0.1</v>
      </c>
      <c r="I35" s="339">
        <f t="shared" si="2"/>
        <v>6726.7200000000012</v>
      </c>
    </row>
    <row r="36" spans="1:9" s="3" customFormat="1">
      <c r="A36" s="204">
        <f t="shared" si="0"/>
        <v>19</v>
      </c>
      <c r="C36" s="204">
        <v>1</v>
      </c>
      <c r="D36" s="204">
        <f>'1.10 Wages'!D29</f>
        <v>1206</v>
      </c>
      <c r="E36" s="204"/>
      <c r="F36" s="204"/>
      <c r="G36" s="171">
        <f>'1.10 Wages'!T29</f>
        <v>46009.599999999999</v>
      </c>
      <c r="H36" s="368">
        <f>$I$9</f>
        <v>0.1</v>
      </c>
      <c r="I36" s="339">
        <f t="shared" si="2"/>
        <v>4600.96</v>
      </c>
    </row>
    <row r="37" spans="1:9" s="3" customFormat="1">
      <c r="A37" s="204">
        <f t="shared" si="0"/>
        <v>20</v>
      </c>
      <c r="C37" s="204">
        <v>1</v>
      </c>
      <c r="D37" s="204">
        <f>'1.10 Wages'!D30</f>
        <v>1207</v>
      </c>
      <c r="E37" s="204"/>
      <c r="F37" s="204"/>
      <c r="G37" s="171">
        <f>'1.10 Wages'!T30</f>
        <v>66768</v>
      </c>
      <c r="H37" s="368">
        <f>$I$9</f>
        <v>0.1</v>
      </c>
      <c r="I37" s="339">
        <f t="shared" si="2"/>
        <v>6676.8</v>
      </c>
    </row>
    <row r="38" spans="1:9" s="3" customFormat="1">
      <c r="A38" s="204">
        <f t="shared" si="0"/>
        <v>21</v>
      </c>
      <c r="C38" s="204">
        <v>1</v>
      </c>
      <c r="D38" s="204">
        <f>'1.10 Wages'!D31</f>
        <v>1208</v>
      </c>
      <c r="E38" s="204"/>
      <c r="F38" s="204"/>
      <c r="G38" s="171">
        <f>'1.10 Wages'!T31</f>
        <v>49566.399999999994</v>
      </c>
      <c r="H38" s="368">
        <f>$I$9</f>
        <v>0.1</v>
      </c>
      <c r="I38" s="339">
        <f t="shared" si="2"/>
        <v>4956.6399999999994</v>
      </c>
    </row>
    <row r="39" spans="1:9" s="3" customFormat="1">
      <c r="A39" s="204">
        <f t="shared" si="0"/>
        <v>22</v>
      </c>
      <c r="C39" s="204">
        <v>1</v>
      </c>
      <c r="D39" s="204">
        <f>'1.10 Wages'!D32</f>
        <v>1209</v>
      </c>
      <c r="E39" s="204"/>
      <c r="F39" s="204"/>
      <c r="G39" s="171">
        <f>'1.10 Wages'!T32</f>
        <v>49566.399999999994</v>
      </c>
      <c r="H39" s="368">
        <f t="shared" ref="H39:H69" si="4">$I$9</f>
        <v>0.1</v>
      </c>
      <c r="I39" s="339">
        <f t="shared" si="2"/>
        <v>4956.6399999999994</v>
      </c>
    </row>
    <row r="40" spans="1:9" s="3" customFormat="1">
      <c r="A40" s="204">
        <f t="shared" si="0"/>
        <v>23</v>
      </c>
      <c r="C40" s="204">
        <v>1</v>
      </c>
      <c r="D40" s="204">
        <f>'1.10 Wages'!D33</f>
        <v>1210</v>
      </c>
      <c r="E40" s="204"/>
      <c r="F40" s="204"/>
      <c r="G40" s="171">
        <f>'1.10 Wages'!T33</f>
        <v>49566.399999999994</v>
      </c>
      <c r="H40" s="368">
        <f t="shared" si="4"/>
        <v>0.1</v>
      </c>
      <c r="I40" s="339">
        <f t="shared" si="2"/>
        <v>4956.6399999999994</v>
      </c>
    </row>
    <row r="41" spans="1:9" s="3" customFormat="1">
      <c r="A41" s="204">
        <f t="shared" si="0"/>
        <v>24</v>
      </c>
      <c r="C41" s="204">
        <v>1</v>
      </c>
      <c r="D41" s="204">
        <f>'1.10 Wages'!D34</f>
        <v>1212</v>
      </c>
      <c r="E41" s="204"/>
      <c r="F41" s="204"/>
      <c r="G41" s="171">
        <f>'1.10 Wages'!T34</f>
        <v>67267.200000000012</v>
      </c>
      <c r="H41" s="368">
        <f t="shared" si="4"/>
        <v>0.1</v>
      </c>
      <c r="I41" s="339">
        <f t="shared" si="2"/>
        <v>6726.7200000000012</v>
      </c>
    </row>
    <row r="42" spans="1:9" s="3" customFormat="1">
      <c r="A42" s="204">
        <f t="shared" si="0"/>
        <v>25</v>
      </c>
      <c r="C42" s="204">
        <v>1</v>
      </c>
      <c r="D42" s="204">
        <f>'1.10 Wages'!D35</f>
        <v>1213</v>
      </c>
      <c r="E42" s="204"/>
      <c r="F42" s="204"/>
      <c r="G42" s="171">
        <f>'1.10 Wages'!T35</f>
        <v>67267.200000000012</v>
      </c>
      <c r="H42" s="368">
        <f t="shared" si="4"/>
        <v>0.1</v>
      </c>
      <c r="I42" s="339">
        <f t="shared" si="2"/>
        <v>6726.7200000000012</v>
      </c>
    </row>
    <row r="43" spans="1:9" s="3" customFormat="1">
      <c r="A43" s="204">
        <f t="shared" si="0"/>
        <v>26</v>
      </c>
      <c r="C43" s="204">
        <v>1</v>
      </c>
      <c r="D43" s="204">
        <f>'1.10 Wages'!D36</f>
        <v>1214</v>
      </c>
      <c r="E43" s="204"/>
      <c r="F43" s="204"/>
      <c r="G43" s="171">
        <f>'1.10 Wages'!T36</f>
        <v>67267.200000000012</v>
      </c>
      <c r="H43" s="368">
        <f t="shared" si="4"/>
        <v>0.1</v>
      </c>
      <c r="I43" s="339">
        <f t="shared" si="2"/>
        <v>6726.7200000000012</v>
      </c>
    </row>
    <row r="44" spans="1:9" s="3" customFormat="1">
      <c r="A44" s="204">
        <f t="shared" si="0"/>
        <v>27</v>
      </c>
      <c r="C44" s="204">
        <v>1</v>
      </c>
      <c r="D44" s="204">
        <f>'1.10 Wages'!D37</f>
        <v>1215</v>
      </c>
      <c r="E44" s="204"/>
      <c r="F44" s="204"/>
      <c r="G44" s="171">
        <f>'1.10 Wages'!T37</f>
        <v>67267.200000000012</v>
      </c>
      <c r="H44" s="368">
        <f t="shared" si="4"/>
        <v>0.1</v>
      </c>
      <c r="I44" s="339">
        <f t="shared" si="2"/>
        <v>6726.7200000000012</v>
      </c>
    </row>
    <row r="45" spans="1:9" s="3" customFormat="1">
      <c r="A45" s="204">
        <f t="shared" si="0"/>
        <v>28</v>
      </c>
      <c r="C45" s="204">
        <v>1</v>
      </c>
      <c r="D45" s="204">
        <f>'1.10 Wages'!D38</f>
        <v>1216</v>
      </c>
      <c r="E45" s="204"/>
      <c r="F45" s="204"/>
      <c r="G45" s="171">
        <f>'1.10 Wages'!T38</f>
        <v>67267.200000000012</v>
      </c>
      <c r="H45" s="368">
        <f t="shared" si="4"/>
        <v>0.1</v>
      </c>
      <c r="I45" s="339">
        <f t="shared" si="2"/>
        <v>6726.7200000000012</v>
      </c>
    </row>
    <row r="46" spans="1:9" s="3" customFormat="1">
      <c r="A46" s="204">
        <f t="shared" si="0"/>
        <v>29</v>
      </c>
      <c r="C46" s="204">
        <v>1</v>
      </c>
      <c r="D46" s="204">
        <f>'1.10 Wages'!D39</f>
        <v>1217</v>
      </c>
      <c r="E46" s="204"/>
      <c r="F46" s="204"/>
      <c r="G46" s="171">
        <f>'1.10 Wages'!T39</f>
        <v>49566.399999999994</v>
      </c>
      <c r="H46" s="368">
        <f t="shared" si="4"/>
        <v>0.1</v>
      </c>
      <c r="I46" s="339">
        <f t="shared" si="2"/>
        <v>4956.6399999999994</v>
      </c>
    </row>
    <row r="47" spans="1:9" s="3" customFormat="1">
      <c r="A47" s="204">
        <f t="shared" si="0"/>
        <v>30</v>
      </c>
      <c r="C47" s="204">
        <v>1</v>
      </c>
      <c r="D47" s="204">
        <f>'1.10 Wages'!D40</f>
        <v>1219</v>
      </c>
      <c r="E47" s="204"/>
      <c r="F47" s="204"/>
      <c r="G47" s="171">
        <f>'1.10 Wages'!T40</f>
        <v>67267.200000000012</v>
      </c>
      <c r="H47" s="368">
        <f t="shared" si="4"/>
        <v>0.1</v>
      </c>
      <c r="I47" s="339">
        <f t="shared" si="2"/>
        <v>6726.7200000000012</v>
      </c>
    </row>
    <row r="48" spans="1:9" s="3" customFormat="1">
      <c r="A48" s="204">
        <f t="shared" si="0"/>
        <v>31</v>
      </c>
      <c r="C48" s="204">
        <v>1</v>
      </c>
      <c r="D48" s="204">
        <f>'1.10 Wages'!D41</f>
        <v>1220</v>
      </c>
      <c r="E48" s="204"/>
      <c r="F48" s="204"/>
      <c r="G48" s="171">
        <f>'1.10 Wages'!T41</f>
        <v>66768</v>
      </c>
      <c r="H48" s="368">
        <f t="shared" si="4"/>
        <v>0.1</v>
      </c>
      <c r="I48" s="339">
        <f t="shared" si="2"/>
        <v>6676.8</v>
      </c>
    </row>
    <row r="49" spans="1:9" s="3" customFormat="1">
      <c r="A49" s="204">
        <f t="shared" si="0"/>
        <v>32</v>
      </c>
      <c r="C49" s="204">
        <v>1</v>
      </c>
      <c r="D49" s="204">
        <f>'1.10 Wages'!D42</f>
        <v>1221</v>
      </c>
      <c r="E49" s="204"/>
      <c r="F49" s="204"/>
      <c r="G49" s="171">
        <f>'1.10 Wages'!T42</f>
        <v>49566.399999999994</v>
      </c>
      <c r="H49" s="368">
        <f t="shared" si="4"/>
        <v>0.1</v>
      </c>
      <c r="I49" s="339">
        <f t="shared" si="2"/>
        <v>4956.6399999999994</v>
      </c>
    </row>
    <row r="50" spans="1:9" s="3" customFormat="1">
      <c r="A50" s="204">
        <f t="shared" si="0"/>
        <v>33</v>
      </c>
      <c r="C50" s="204">
        <v>1</v>
      </c>
      <c r="D50" s="204">
        <f>'1.10 Wages'!D43</f>
        <v>1222</v>
      </c>
      <c r="E50" s="204"/>
      <c r="F50" s="204"/>
      <c r="G50" s="171">
        <f>'1.10 Wages'!T43</f>
        <v>49566.399999999994</v>
      </c>
      <c r="H50" s="368">
        <f>$I$9</f>
        <v>0.1</v>
      </c>
      <c r="I50" s="339">
        <f t="shared" si="2"/>
        <v>4956.6399999999994</v>
      </c>
    </row>
    <row r="51" spans="1:9" s="3" customFormat="1">
      <c r="A51" s="204">
        <f t="shared" si="0"/>
        <v>34</v>
      </c>
      <c r="C51" s="204">
        <v>1</v>
      </c>
      <c r="D51" s="204">
        <f>'1.10 Wages'!D44</f>
        <v>1223</v>
      </c>
      <c r="E51" s="204"/>
      <c r="F51" s="204"/>
      <c r="G51" s="171">
        <f>'1.10 Wages'!T44</f>
        <v>68390.400000000009</v>
      </c>
      <c r="H51" s="368">
        <f t="shared" si="4"/>
        <v>0.1</v>
      </c>
      <c r="I51" s="339">
        <f t="shared" si="2"/>
        <v>6839.0400000000009</v>
      </c>
    </row>
    <row r="52" spans="1:9" s="3" customFormat="1">
      <c r="A52" s="204">
        <f t="shared" si="0"/>
        <v>35</v>
      </c>
      <c r="C52" s="204">
        <v>1</v>
      </c>
      <c r="D52" s="204">
        <f>'1.10 Wages'!D45</f>
        <v>1225</v>
      </c>
      <c r="E52" s="208"/>
      <c r="F52" s="208"/>
      <c r="G52" s="171">
        <f>'1.10 Wages'!T45</f>
        <v>51251.200000000004</v>
      </c>
      <c r="H52" s="368">
        <f t="shared" si="4"/>
        <v>0.1</v>
      </c>
      <c r="I52" s="339">
        <f t="shared" si="2"/>
        <v>5125.1200000000008</v>
      </c>
    </row>
    <row r="53" spans="1:9" s="3" customFormat="1">
      <c r="A53" s="204">
        <f t="shared" si="0"/>
        <v>36</v>
      </c>
      <c r="C53" s="204">
        <v>1</v>
      </c>
      <c r="D53" s="204">
        <f>'1.10 Wages'!D46</f>
        <v>1229</v>
      </c>
      <c r="E53" s="208"/>
      <c r="F53" s="208"/>
      <c r="G53" s="171">
        <f>'1.10 Wages'!T46</f>
        <v>67267.200000000012</v>
      </c>
      <c r="H53" s="368">
        <f t="shared" si="4"/>
        <v>0.1</v>
      </c>
      <c r="I53" s="339">
        <f t="shared" si="2"/>
        <v>6726.7200000000012</v>
      </c>
    </row>
    <row r="54" spans="1:9" s="3" customFormat="1">
      <c r="A54" s="204">
        <f t="shared" si="0"/>
        <v>37</v>
      </c>
      <c r="C54" s="204">
        <v>1</v>
      </c>
      <c r="D54" s="204">
        <f>'1.10 Wages'!D51</f>
        <v>1230</v>
      </c>
      <c r="E54" s="208"/>
      <c r="F54" s="208"/>
      <c r="G54" s="171">
        <f>'1.10 Wages'!T51</f>
        <v>62961.599999999999</v>
      </c>
      <c r="H54" s="368">
        <f t="shared" si="4"/>
        <v>0.1</v>
      </c>
      <c r="I54" s="339">
        <f t="shared" si="2"/>
        <v>6296.16</v>
      </c>
    </row>
    <row r="55" spans="1:9" s="3" customFormat="1">
      <c r="A55" s="204">
        <f t="shared" si="0"/>
        <v>38</v>
      </c>
      <c r="C55" s="204">
        <v>1</v>
      </c>
      <c r="D55" s="204">
        <f>'1.10 Wages'!D52</f>
        <v>1231</v>
      </c>
      <c r="E55" s="208"/>
      <c r="F55" s="208"/>
      <c r="G55" s="171">
        <f>'1.10 Wages'!T52</f>
        <v>0</v>
      </c>
      <c r="H55" s="368">
        <f t="shared" si="4"/>
        <v>0.1</v>
      </c>
      <c r="I55" s="339">
        <f t="shared" si="2"/>
        <v>0</v>
      </c>
    </row>
    <row r="56" spans="1:9" s="3" customFormat="1">
      <c r="A56" s="204">
        <f t="shared" si="0"/>
        <v>39</v>
      </c>
      <c r="C56" s="204">
        <v>1</v>
      </c>
      <c r="D56" s="204">
        <f>'1.10 Wages'!D53</f>
        <v>1232</v>
      </c>
      <c r="E56" s="208"/>
      <c r="F56" s="208"/>
      <c r="G56" s="339">
        <f>'1.10 Wages'!T53</f>
        <v>68390.400000000009</v>
      </c>
      <c r="H56" s="368">
        <f t="shared" si="4"/>
        <v>0.1</v>
      </c>
      <c r="I56" s="339">
        <f t="shared" si="2"/>
        <v>6839.0400000000009</v>
      </c>
    </row>
    <row r="57" spans="1:9" s="3" customFormat="1">
      <c r="A57" s="204">
        <f t="shared" si="0"/>
        <v>40</v>
      </c>
      <c r="C57" s="204">
        <v>1</v>
      </c>
      <c r="D57" s="204">
        <f>'1.10 Wages'!D54</f>
        <v>1233</v>
      </c>
      <c r="E57" s="208"/>
      <c r="F57" s="208"/>
      <c r="G57" s="171">
        <f>'1.10 Wages'!T54</f>
        <v>67267.200000000012</v>
      </c>
      <c r="H57" s="368">
        <f t="shared" si="4"/>
        <v>0.1</v>
      </c>
      <c r="I57" s="339">
        <f t="shared" si="2"/>
        <v>6726.7200000000012</v>
      </c>
    </row>
    <row r="58" spans="1:9" s="3" customFormat="1">
      <c r="A58" s="204">
        <f t="shared" si="0"/>
        <v>41</v>
      </c>
      <c r="C58" s="204">
        <v>1</v>
      </c>
      <c r="D58" s="204">
        <f>'1.10 Wages'!D55</f>
        <v>1235</v>
      </c>
      <c r="E58" s="208"/>
      <c r="F58" s="208"/>
      <c r="G58" s="339">
        <f>'1.10 Wages'!T55</f>
        <v>62961.599999999999</v>
      </c>
      <c r="H58" s="368">
        <f t="shared" si="4"/>
        <v>0.1</v>
      </c>
      <c r="I58" s="339">
        <f t="shared" si="2"/>
        <v>6296.16</v>
      </c>
    </row>
    <row r="59" spans="1:9" s="3" customFormat="1">
      <c r="A59" s="204">
        <f t="shared" si="0"/>
        <v>42</v>
      </c>
      <c r="C59" s="204">
        <v>1</v>
      </c>
      <c r="D59" s="204">
        <f>'1.10 Wages'!D56</f>
        <v>1236</v>
      </c>
      <c r="E59" s="208"/>
      <c r="F59" s="208"/>
      <c r="G59" s="171">
        <f>'1.10 Wages'!T56</f>
        <v>49566.399999999994</v>
      </c>
      <c r="H59" s="368">
        <f t="shared" si="4"/>
        <v>0.1</v>
      </c>
      <c r="I59" s="339">
        <f t="shared" si="2"/>
        <v>4956.6399999999994</v>
      </c>
    </row>
    <row r="60" spans="1:9" s="3" customFormat="1">
      <c r="A60" s="204">
        <f t="shared" si="0"/>
        <v>43</v>
      </c>
      <c r="C60" s="204">
        <v>1</v>
      </c>
      <c r="D60" s="204">
        <f>'1.10 Wages'!D57</f>
        <v>1237</v>
      </c>
      <c r="E60" s="208"/>
      <c r="F60" s="208"/>
      <c r="G60" s="171">
        <f>'1.10 Wages'!T57</f>
        <v>49566.399999999994</v>
      </c>
      <c r="H60" s="368">
        <f t="shared" si="4"/>
        <v>0.1</v>
      </c>
      <c r="I60" s="339">
        <f t="shared" si="2"/>
        <v>4956.6399999999994</v>
      </c>
    </row>
    <row r="61" spans="1:9" s="3" customFormat="1">
      <c r="A61" s="204">
        <f t="shared" si="0"/>
        <v>44</v>
      </c>
      <c r="C61" s="204">
        <v>1</v>
      </c>
      <c r="D61" s="204">
        <f>'1.10 Wages'!D58</f>
        <v>1238</v>
      </c>
      <c r="E61" s="208"/>
      <c r="F61" s="208"/>
      <c r="G61" s="171">
        <f>'1.10 Wages'!T58</f>
        <v>68390.400000000009</v>
      </c>
      <c r="H61" s="368">
        <f t="shared" si="4"/>
        <v>0.1</v>
      </c>
      <c r="I61" s="339">
        <f t="shared" si="2"/>
        <v>6839.0400000000009</v>
      </c>
    </row>
    <row r="62" spans="1:9" s="3" customFormat="1">
      <c r="A62" s="204">
        <f t="shared" si="0"/>
        <v>45</v>
      </c>
      <c r="C62" s="204">
        <v>1</v>
      </c>
      <c r="D62" s="204">
        <f>'1.10 Wages'!D59</f>
        <v>1241</v>
      </c>
      <c r="E62" s="208"/>
      <c r="F62" s="208"/>
      <c r="G62" s="171">
        <f>'1.10 Wages'!T59</f>
        <v>67267.200000000012</v>
      </c>
      <c r="H62" s="368">
        <f t="shared" si="4"/>
        <v>0.1</v>
      </c>
      <c r="I62" s="339">
        <f t="shared" si="2"/>
        <v>6726.7200000000012</v>
      </c>
    </row>
    <row r="63" spans="1:9" s="3" customFormat="1">
      <c r="A63" s="204">
        <f t="shared" si="0"/>
        <v>46</v>
      </c>
      <c r="C63" s="204">
        <v>1</v>
      </c>
      <c r="D63" s="204">
        <f>'1.10 Wages'!D60</f>
        <v>1242</v>
      </c>
      <c r="E63" s="208"/>
      <c r="F63" s="208"/>
      <c r="G63" s="171">
        <f>'1.10 Wages'!T60</f>
        <v>49566.399999999994</v>
      </c>
      <c r="H63" s="368">
        <f t="shared" si="4"/>
        <v>0.1</v>
      </c>
      <c r="I63" s="339">
        <f t="shared" si="2"/>
        <v>4956.6399999999994</v>
      </c>
    </row>
    <row r="64" spans="1:9" s="3" customFormat="1">
      <c r="A64" s="204">
        <f t="shared" si="0"/>
        <v>47</v>
      </c>
      <c r="C64" s="204">
        <v>1</v>
      </c>
      <c r="D64" s="204">
        <f>'1.10 Wages'!D61</f>
        <v>1244</v>
      </c>
      <c r="E64" s="208"/>
      <c r="F64" s="208"/>
      <c r="G64" s="171">
        <f>'1.10 Wages'!T61</f>
        <v>67267.200000000012</v>
      </c>
      <c r="H64" s="368">
        <f t="shared" si="4"/>
        <v>0.1</v>
      </c>
      <c r="I64" s="339">
        <f t="shared" si="2"/>
        <v>6726.7200000000012</v>
      </c>
    </row>
    <row r="65" spans="1:9" s="3" customFormat="1">
      <c r="A65" s="204">
        <f t="shared" si="0"/>
        <v>48</v>
      </c>
      <c r="C65" s="204">
        <v>1</v>
      </c>
      <c r="D65" s="204">
        <f>'1.10 Wages'!D62</f>
        <v>1246</v>
      </c>
      <c r="E65" s="208"/>
      <c r="F65" s="208"/>
      <c r="G65" s="171">
        <f>'1.10 Wages'!T62</f>
        <v>66768</v>
      </c>
      <c r="H65" s="368">
        <f t="shared" si="4"/>
        <v>0.1</v>
      </c>
      <c r="I65" s="339">
        <f t="shared" si="2"/>
        <v>6676.8</v>
      </c>
    </row>
    <row r="66" spans="1:9" s="3" customFormat="1">
      <c r="A66" s="204">
        <f t="shared" si="0"/>
        <v>49</v>
      </c>
      <c r="C66" s="204">
        <v>1</v>
      </c>
      <c r="D66" s="204">
        <f>'1.10 Wages'!D63</f>
        <v>1248</v>
      </c>
      <c r="E66" s="208"/>
      <c r="F66" s="208"/>
      <c r="G66" s="171">
        <f>'1.10 Wages'!T63</f>
        <v>67267.200000000012</v>
      </c>
      <c r="H66" s="368">
        <f t="shared" si="4"/>
        <v>0.1</v>
      </c>
      <c r="I66" s="339">
        <f t="shared" si="2"/>
        <v>6726.7200000000012</v>
      </c>
    </row>
    <row r="67" spans="1:9" s="3" customFormat="1">
      <c r="A67" s="204">
        <f t="shared" si="0"/>
        <v>50</v>
      </c>
      <c r="C67" s="204">
        <v>1</v>
      </c>
      <c r="D67" s="204">
        <f>'1.10 Wages'!D64</f>
        <v>1249</v>
      </c>
      <c r="E67" s="208"/>
      <c r="F67" s="208"/>
      <c r="G67" s="171">
        <f>'1.10 Wages'!T64</f>
        <v>68390.400000000009</v>
      </c>
      <c r="H67" s="368">
        <f t="shared" si="4"/>
        <v>0.1</v>
      </c>
      <c r="I67" s="339">
        <f t="shared" si="2"/>
        <v>6839.0400000000009</v>
      </c>
    </row>
    <row r="68" spans="1:9" s="3" customFormat="1">
      <c r="A68" s="204">
        <f t="shared" si="0"/>
        <v>51</v>
      </c>
      <c r="C68" s="204">
        <v>1</v>
      </c>
      <c r="D68" s="204">
        <f>'1.10 Wages'!D65</f>
        <v>1250</v>
      </c>
      <c r="E68" s="208"/>
      <c r="F68" s="208"/>
      <c r="G68" s="171">
        <f>'1.10 Wages'!T65</f>
        <v>67267.200000000012</v>
      </c>
      <c r="H68" s="368">
        <f t="shared" si="4"/>
        <v>0.1</v>
      </c>
      <c r="I68" s="339">
        <f t="shared" si="2"/>
        <v>6726.7200000000012</v>
      </c>
    </row>
    <row r="69" spans="1:9" s="3" customFormat="1">
      <c r="A69" s="204">
        <f t="shared" si="0"/>
        <v>52</v>
      </c>
      <c r="C69" s="204">
        <v>1</v>
      </c>
      <c r="D69" s="204">
        <v>1251</v>
      </c>
      <c r="E69" s="208" t="s">
        <v>128</v>
      </c>
      <c r="F69" s="208"/>
      <c r="G69" s="171">
        <f>'1.10 Wages'!T79</f>
        <v>0</v>
      </c>
      <c r="H69" s="368">
        <f t="shared" si="4"/>
        <v>0.1</v>
      </c>
      <c r="I69" s="339">
        <f t="shared" si="2"/>
        <v>0</v>
      </c>
    </row>
    <row r="70" spans="1:9" s="3" customFormat="1">
      <c r="A70" s="204">
        <f t="shared" si="0"/>
        <v>53</v>
      </c>
      <c r="C70" s="204">
        <v>1</v>
      </c>
      <c r="D70" s="204">
        <v>1252</v>
      </c>
      <c r="E70" s="208" t="s">
        <v>128</v>
      </c>
      <c r="F70" s="208"/>
      <c r="G70" s="171">
        <v>0</v>
      </c>
      <c r="H70" s="368">
        <v>0.1</v>
      </c>
      <c r="I70" s="339">
        <f t="shared" si="2"/>
        <v>0</v>
      </c>
    </row>
    <row r="71" spans="1:9" s="3" customFormat="1">
      <c r="A71" s="204">
        <f t="shared" si="0"/>
        <v>54</v>
      </c>
      <c r="C71" s="204">
        <v>1</v>
      </c>
      <c r="D71" s="204">
        <v>1254</v>
      </c>
      <c r="E71" s="208" t="s">
        <v>246</v>
      </c>
      <c r="F71" s="208"/>
      <c r="G71" s="171">
        <f>'1.10 Wages'!T67</f>
        <v>67267.200000000012</v>
      </c>
      <c r="H71" s="368">
        <v>0.1</v>
      </c>
      <c r="I71" s="339">
        <f t="shared" si="2"/>
        <v>6726.7200000000012</v>
      </c>
    </row>
    <row r="72" spans="1:9" s="3" customFormat="1">
      <c r="A72" s="204">
        <f t="shared" si="0"/>
        <v>55</v>
      </c>
      <c r="C72" s="204">
        <v>1</v>
      </c>
      <c r="D72" s="204">
        <v>1255</v>
      </c>
      <c r="E72" s="208" t="s">
        <v>246</v>
      </c>
      <c r="F72" s="208"/>
      <c r="G72" s="171">
        <f>'1.10 Wages'!T68</f>
        <v>67267.200000000012</v>
      </c>
      <c r="H72" s="368">
        <v>0.1</v>
      </c>
      <c r="I72" s="339">
        <f t="shared" si="2"/>
        <v>6726.7200000000012</v>
      </c>
    </row>
    <row r="73" spans="1:9" s="3" customFormat="1" hidden="1">
      <c r="A73" s="204">
        <f t="shared" si="0"/>
        <v>56</v>
      </c>
      <c r="C73" s="204">
        <v>1</v>
      </c>
      <c r="D73" s="204">
        <f>'1.10 Wages'!D72</f>
        <v>1234</v>
      </c>
      <c r="E73" s="208" t="s">
        <v>129</v>
      </c>
      <c r="F73" s="208"/>
      <c r="G73" s="171">
        <f>'1.10 Wages'!X72</f>
        <v>27415.119999999999</v>
      </c>
      <c r="H73" s="368">
        <v>0</v>
      </c>
      <c r="I73" s="339">
        <f t="shared" ref="I73:I74" si="5">G73*H73</f>
        <v>0</v>
      </c>
    </row>
    <row r="74" spans="1:9" s="3" customFormat="1" hidden="1">
      <c r="A74" s="204">
        <f t="shared" si="0"/>
        <v>57</v>
      </c>
      <c r="C74" s="204">
        <v>1</v>
      </c>
      <c r="D74" s="204">
        <f>'1.10 Wages'!D74</f>
        <v>1243</v>
      </c>
      <c r="E74" s="204" t="s">
        <v>129</v>
      </c>
      <c r="F74" s="208"/>
      <c r="G74" s="171">
        <f>'1.10 Wages'!X74</f>
        <v>27478.239999999998</v>
      </c>
      <c r="H74" s="368">
        <v>0</v>
      </c>
      <c r="I74" s="339">
        <f t="shared" si="5"/>
        <v>0</v>
      </c>
    </row>
    <row r="75" spans="1:9" s="3" customFormat="1">
      <c r="A75" s="204">
        <f t="shared" si="0"/>
        <v>58</v>
      </c>
      <c r="C75" s="5">
        <f>SUM(C32:C74)</f>
        <v>43</v>
      </c>
      <c r="D75" s="5" t="s">
        <v>22</v>
      </c>
      <c r="E75" s="173"/>
      <c r="F75" s="208"/>
      <c r="G75" s="283">
        <f>'1.10 Wages'!T69</f>
        <v>2336255.9999999995</v>
      </c>
      <c r="H75" s="55"/>
      <c r="I75" s="369">
        <f>SUM(I32:I73)</f>
        <v>233625.60000000009</v>
      </c>
    </row>
    <row r="76" spans="1:9" s="3" customFormat="1">
      <c r="A76" s="204">
        <f t="shared" si="0"/>
        <v>59</v>
      </c>
      <c r="C76" s="204"/>
      <c r="D76" s="204"/>
      <c r="E76" s="204"/>
      <c r="F76" s="208"/>
      <c r="G76" s="170"/>
    </row>
    <row r="77" spans="1:9" s="3" customFormat="1">
      <c r="A77" s="204">
        <f t="shared" si="0"/>
        <v>60</v>
      </c>
      <c r="C77" s="342">
        <f>+C29+C75</f>
        <v>53</v>
      </c>
      <c r="D77" s="342" t="s">
        <v>14</v>
      </c>
      <c r="E77" s="343"/>
      <c r="F77" s="370"/>
      <c r="G77" s="344">
        <f>G29+G75</f>
        <v>3422785.5999999996</v>
      </c>
      <c r="H77" s="371"/>
      <c r="I77" s="344">
        <f>I29+I75</f>
        <v>590767.87952000019</v>
      </c>
    </row>
    <row r="78" spans="1:9" s="3" customFormat="1">
      <c r="A78" s="204">
        <f t="shared" si="0"/>
        <v>61</v>
      </c>
      <c r="C78" s="227"/>
      <c r="D78" s="227"/>
      <c r="E78" s="285"/>
      <c r="F78" s="287"/>
      <c r="G78" s="345"/>
      <c r="I78" s="345"/>
    </row>
    <row r="79" spans="1:9" s="3" customFormat="1">
      <c r="A79" s="204">
        <f t="shared" si="0"/>
        <v>62</v>
      </c>
      <c r="C79" s="346" t="s">
        <v>36</v>
      </c>
      <c r="E79" s="285"/>
      <c r="F79" s="287"/>
      <c r="G79" s="345"/>
      <c r="I79" s="372">
        <f>326894.56+234991.9</f>
        <v>561886.46</v>
      </c>
    </row>
    <row r="80" spans="1:9" s="3" customFormat="1">
      <c r="A80" s="204">
        <f t="shared" si="0"/>
        <v>63</v>
      </c>
      <c r="C80" s="227"/>
      <c r="D80" s="227"/>
      <c r="E80" s="285"/>
      <c r="F80" s="287"/>
      <c r="G80" s="345"/>
      <c r="I80" s="345"/>
    </row>
    <row r="81" spans="1:9" s="3" customFormat="1">
      <c r="A81" s="204">
        <f t="shared" si="0"/>
        <v>64</v>
      </c>
      <c r="C81" s="346" t="s">
        <v>152</v>
      </c>
      <c r="D81" s="227"/>
      <c r="E81" s="227"/>
      <c r="F81" s="287"/>
      <c r="G81" s="284"/>
      <c r="I81" s="373">
        <f>I77</f>
        <v>590767.87952000019</v>
      </c>
    </row>
    <row r="82" spans="1:9" s="3" customFormat="1">
      <c r="A82" s="204">
        <f t="shared" si="0"/>
        <v>65</v>
      </c>
      <c r="C82" s="227"/>
      <c r="D82" s="227"/>
      <c r="E82" s="227"/>
      <c r="F82" s="287"/>
      <c r="G82" s="284"/>
    </row>
    <row r="83" spans="1:9" s="3" customFormat="1" ht="13.8" thickBot="1">
      <c r="A83" s="204">
        <f t="shared" si="0"/>
        <v>66</v>
      </c>
      <c r="C83" s="395" t="s">
        <v>658</v>
      </c>
      <c r="D83" s="295"/>
      <c r="E83" s="294"/>
      <c r="F83" s="294"/>
      <c r="G83" s="294"/>
      <c r="H83" s="294"/>
      <c r="I83" s="374">
        <f>I81-I79</f>
        <v>28881.419520000229</v>
      </c>
    </row>
    <row r="84" spans="1:9" s="3" customFormat="1" ht="13.8" thickTop="1">
      <c r="A84" s="204"/>
      <c r="C84" s="296"/>
      <c r="D84" s="296"/>
      <c r="E84" s="296"/>
      <c r="F84" s="208"/>
    </row>
    <row r="85" spans="1:9" s="3" customFormat="1">
      <c r="A85" s="204"/>
      <c r="C85" s="204"/>
      <c r="D85" s="202" t="s">
        <v>499</v>
      </c>
      <c r="E85" s="184" t="s">
        <v>553</v>
      </c>
      <c r="F85" s="3" t="s">
        <v>500</v>
      </c>
      <c r="H85" s="169" t="s">
        <v>639</v>
      </c>
    </row>
    <row r="86" spans="1:9" s="3" customFormat="1" ht="23.25" customHeight="1">
      <c r="A86" s="204"/>
      <c r="C86" s="204"/>
      <c r="D86" s="204"/>
      <c r="E86" s="204"/>
      <c r="F86" s="204"/>
    </row>
    <row r="87" spans="1:9" s="3" customFormat="1" ht="39" customHeight="1">
      <c r="A87" s="204"/>
      <c r="C87" s="472" t="s">
        <v>611</v>
      </c>
      <c r="D87" s="472"/>
      <c r="E87" s="472"/>
      <c r="F87" s="472"/>
      <c r="G87" s="472"/>
      <c r="H87" s="472"/>
      <c r="I87" s="472"/>
    </row>
    <row r="88" spans="1:9" s="3" customFormat="1" ht="33.75" customHeight="1">
      <c r="A88" s="204"/>
      <c r="C88" s="204"/>
      <c r="D88" s="204"/>
      <c r="E88" s="204"/>
      <c r="F88" s="204"/>
    </row>
    <row r="89" spans="1:9">
      <c r="A89" s="10">
        <f>A83+1</f>
        <v>67</v>
      </c>
      <c r="C89" s="232" t="s">
        <v>556</v>
      </c>
      <c r="G89" s="192"/>
      <c r="H89" s="185" t="s">
        <v>130</v>
      </c>
      <c r="I89" s="185" t="s">
        <v>15</v>
      </c>
    </row>
    <row r="90" spans="1:9">
      <c r="A90" s="10">
        <f>A89+1</f>
        <v>68</v>
      </c>
    </row>
    <row r="91" spans="1:9">
      <c r="A91" s="10">
        <f t="shared" ref="A91:A104" si="6">A90+1</f>
        <v>69</v>
      </c>
      <c r="C91" s="11" t="s">
        <v>121</v>
      </c>
      <c r="D91" s="15" t="s">
        <v>122</v>
      </c>
      <c r="G91" s="24"/>
      <c r="H91" s="352">
        <v>8.1391001633733071E-2</v>
      </c>
      <c r="I91" s="24">
        <f>H91*I$83</f>
        <v>2350.6876633368688</v>
      </c>
    </row>
    <row r="92" spans="1:9">
      <c r="A92" s="10">
        <f t="shared" si="6"/>
        <v>70</v>
      </c>
      <c r="C92" s="11" t="s">
        <v>123</v>
      </c>
      <c r="D92" s="15" t="s">
        <v>124</v>
      </c>
      <c r="G92" s="24"/>
      <c r="H92" s="352">
        <v>0.21590586261047123</v>
      </c>
      <c r="I92" s="24">
        <f t="shared" ref="I92:I95" si="7">H92*I$83</f>
        <v>6235.6677948805518</v>
      </c>
    </row>
    <row r="93" spans="1:9">
      <c r="A93" s="10">
        <f t="shared" si="6"/>
        <v>71</v>
      </c>
      <c r="C93" s="11" t="s">
        <v>125</v>
      </c>
      <c r="D93" s="15" t="s">
        <v>104</v>
      </c>
      <c r="G93" s="24"/>
      <c r="H93" s="352">
        <v>0.15368658092178045</v>
      </c>
      <c r="I93" s="24">
        <f t="shared" si="7"/>
        <v>4438.6866181964042</v>
      </c>
    </row>
    <row r="94" spans="1:9">
      <c r="A94" s="10">
        <f t="shared" si="6"/>
        <v>72</v>
      </c>
      <c r="C94" s="11" t="s">
        <v>504</v>
      </c>
      <c r="D94" s="15" t="s">
        <v>78</v>
      </c>
      <c r="G94" s="24"/>
      <c r="H94" s="352">
        <v>1.8889617123394657E-2</v>
      </c>
      <c r="I94" s="24">
        <f t="shared" si="7"/>
        <v>545.55895671294104</v>
      </c>
    </row>
    <row r="95" spans="1:9">
      <c r="A95" s="10">
        <f t="shared" si="6"/>
        <v>73</v>
      </c>
      <c r="C95" s="11" t="s">
        <v>126</v>
      </c>
      <c r="D95" s="15" t="s">
        <v>120</v>
      </c>
      <c r="G95" s="24"/>
      <c r="H95" s="352">
        <v>0.165977703374033</v>
      </c>
      <c r="I95" s="24">
        <f t="shared" si="7"/>
        <v>4793.6716821116042</v>
      </c>
    </row>
    <row r="96" spans="1:9">
      <c r="A96" s="10">
        <f t="shared" si="6"/>
        <v>74</v>
      </c>
      <c r="C96" s="397" t="s">
        <v>656</v>
      </c>
      <c r="D96" s="16"/>
      <c r="E96" s="198"/>
      <c r="F96" s="16"/>
      <c r="G96" s="32"/>
      <c r="H96" s="353">
        <f>SUM(H91:H95)</f>
        <v>0.63585076566341248</v>
      </c>
      <c r="I96" s="396">
        <f>SUM(I91:I95)</f>
        <v>18364.27271523837</v>
      </c>
    </row>
    <row r="97" spans="1:9">
      <c r="A97" s="10">
        <f t="shared" si="6"/>
        <v>75</v>
      </c>
      <c r="G97" s="24"/>
      <c r="H97" s="352"/>
      <c r="I97" s="24"/>
    </row>
    <row r="98" spans="1:9">
      <c r="A98" s="10">
        <f t="shared" si="6"/>
        <v>76</v>
      </c>
      <c r="C98" s="11" t="s">
        <v>505</v>
      </c>
      <c r="D98" s="15" t="s">
        <v>506</v>
      </c>
      <c r="G98" s="24"/>
      <c r="H98" s="352">
        <v>0.26961309615902967</v>
      </c>
      <c r="I98" s="24">
        <f t="shared" ref="I98:I101" si="8">H98*I$83</f>
        <v>7786.8089382550979</v>
      </c>
    </row>
    <row r="99" spans="1:9">
      <c r="A99" s="10">
        <f t="shared" si="6"/>
        <v>77</v>
      </c>
      <c r="C99" s="11" t="s">
        <v>507</v>
      </c>
      <c r="D99" s="15" t="s">
        <v>508</v>
      </c>
      <c r="G99" s="24"/>
      <c r="H99" s="352">
        <v>3.1768195079521944E-2</v>
      </c>
      <c r="I99" s="24">
        <f t="shared" si="8"/>
        <v>917.51056948488031</v>
      </c>
    </row>
    <row r="100" spans="1:9">
      <c r="A100" s="10">
        <f t="shared" si="6"/>
        <v>78</v>
      </c>
      <c r="C100" s="11" t="s">
        <v>509</v>
      </c>
      <c r="D100" s="15" t="s">
        <v>510</v>
      </c>
      <c r="G100" s="24"/>
      <c r="H100" s="352">
        <v>2.5106556340275421E-2</v>
      </c>
      <c r="I100" s="24">
        <f t="shared" si="8"/>
        <v>725.112986366016</v>
      </c>
    </row>
    <row r="101" spans="1:9">
      <c r="A101" s="10">
        <f t="shared" si="6"/>
        <v>79</v>
      </c>
      <c r="C101" s="11" t="s">
        <v>511</v>
      </c>
      <c r="D101" s="15" t="s">
        <v>512</v>
      </c>
      <c r="G101" s="24"/>
      <c r="H101" s="352">
        <v>3.7661386757760471E-2</v>
      </c>
      <c r="I101" s="24">
        <f t="shared" si="8"/>
        <v>1087.7143106558615</v>
      </c>
    </row>
    <row r="102" spans="1:9">
      <c r="A102" s="10">
        <f t="shared" si="6"/>
        <v>80</v>
      </c>
      <c r="D102" s="16" t="s">
        <v>22</v>
      </c>
      <c r="E102" s="198"/>
      <c r="F102" s="16"/>
      <c r="G102" s="32"/>
      <c r="H102" s="353">
        <f>SUM(H98:H101)</f>
        <v>0.36414923433658752</v>
      </c>
      <c r="I102" s="32">
        <f>SUM(I98:I101)</f>
        <v>10517.146804761855</v>
      </c>
    </row>
    <row r="103" spans="1:9">
      <c r="A103" s="10">
        <f t="shared" si="6"/>
        <v>81</v>
      </c>
      <c r="G103" s="24"/>
      <c r="H103" s="352"/>
      <c r="I103" s="24"/>
    </row>
    <row r="104" spans="1:9" ht="13.8" thickBot="1">
      <c r="A104" s="10">
        <f t="shared" si="6"/>
        <v>82</v>
      </c>
      <c r="D104" s="354" t="s">
        <v>43</v>
      </c>
      <c r="E104" s="354"/>
      <c r="F104" s="21"/>
      <c r="G104" s="355"/>
      <c r="H104" s="356">
        <v>0.99999999999999978</v>
      </c>
      <c r="I104" s="355">
        <f>I96+I102</f>
        <v>28881.419520000225</v>
      </c>
    </row>
    <row r="105" spans="1:9" ht="13.8" thickTop="1"/>
  </sheetData>
  <mergeCells count="6">
    <mergeCell ref="C87:I87"/>
    <mergeCell ref="A3:I3"/>
    <mergeCell ref="A4:I4"/>
    <mergeCell ref="A6:I6"/>
    <mergeCell ref="C11:E11"/>
    <mergeCell ref="G11:I11"/>
  </mergeCells>
  <printOptions horizontalCentered="1"/>
  <pageMargins left="1" right="0.75" top="0.75" bottom="0.5" header="0.5" footer="0.5"/>
  <pageSetup scale="85" fitToHeight="2" orientation="portrait" r:id="rId1"/>
  <headerFooter alignWithMargins="0">
    <oddFooter>&amp;RExhibit JW-2
Page &amp;P of &amp;N</oddFooter>
  </headerFooter>
  <rowBreaks count="1" manualBreakCount="1">
    <brk id="59" max="8" man="1"/>
  </rowBreaks>
  <ignoredErrors>
    <ignoredError sqref="G13:I13" numberStoredAsText="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AB137"/>
  <sheetViews>
    <sheetView view="pageBreakPreview" topLeftCell="A34" zoomScale="75" zoomScaleNormal="100" zoomScaleSheetLayoutView="75" workbookViewId="0">
      <selection activeCell="C43" sqref="C43"/>
    </sheetView>
  </sheetViews>
  <sheetFormatPr defaultColWidth="9.109375" defaultRowHeight="13.2"/>
  <cols>
    <col min="1" max="1" width="5.88671875" style="204" customWidth="1"/>
    <col min="2" max="2" width="1.33203125" style="3" customWidth="1"/>
    <col min="3" max="3" width="6.44140625" style="204" customWidth="1"/>
    <col min="4" max="4" width="8.88671875" style="204" customWidth="1"/>
    <col min="5" max="5" width="11.109375" style="3" hidden="1" customWidth="1"/>
    <col min="6" max="6" width="4.5546875" style="204" customWidth="1"/>
    <col min="7" max="7" width="1.44140625" style="204" customWidth="1"/>
    <col min="8" max="8" width="11.109375" style="3" bestFit="1" customWidth="1"/>
    <col min="9" max="9" width="17.6640625" style="3" customWidth="1"/>
    <col min="10" max="10" width="10" style="3" hidden="1" customWidth="1"/>
    <col min="11" max="11" width="1.33203125" style="3" customWidth="1"/>
    <col min="12" max="12" width="11.109375" style="3" bestFit="1" customWidth="1"/>
    <col min="13" max="13" width="8.88671875" style="3" customWidth="1"/>
    <col min="14" max="14" width="9.6640625" style="3" hidden="1" customWidth="1"/>
    <col min="15" max="15" width="8.33203125" style="3" customWidth="1"/>
    <col min="16" max="16" width="11.5546875" style="3" customWidth="1"/>
    <col min="17" max="17" width="1.109375" style="3" customWidth="1"/>
    <col min="18" max="18" width="9.33203125" style="3" bestFit="1" customWidth="1"/>
    <col min="19" max="19" width="0.88671875" style="3" customWidth="1"/>
    <col min="20" max="20" width="11" style="3" customWidth="1"/>
    <col min="21" max="21" width="9" style="3" customWidth="1"/>
    <col min="22" max="22" width="9.44140625" style="3" hidden="1" customWidth="1"/>
    <col min="23" max="23" width="7" style="3" bestFit="1" customWidth="1"/>
    <col min="24" max="24" width="11.33203125" style="3" customWidth="1"/>
    <col min="25" max="25" width="1" style="3" customWidth="1"/>
    <col min="26" max="26" width="11.5546875" style="3" customWidth="1"/>
    <col min="27" max="16384" width="9.109375" style="3"/>
  </cols>
  <sheetData>
    <row r="1" spans="1:28">
      <c r="Z1" s="159" t="s">
        <v>115</v>
      </c>
    </row>
    <row r="2" spans="1:28" ht="9.75" customHeight="1">
      <c r="L2" s="159"/>
    </row>
    <row r="3" spans="1:28">
      <c r="A3" s="469" t="str">
        <f>RevReq!A1</f>
        <v>CUMBERLAND VALLEY ELECTRIC</v>
      </c>
      <c r="B3" s="469"/>
      <c r="C3" s="469"/>
      <c r="D3" s="469"/>
      <c r="E3" s="469"/>
      <c r="F3" s="469"/>
      <c r="G3" s="469"/>
      <c r="H3" s="469"/>
      <c r="I3" s="469"/>
      <c r="J3" s="469"/>
      <c r="K3" s="469"/>
      <c r="L3" s="469"/>
      <c r="M3" s="469"/>
      <c r="N3" s="469"/>
      <c r="O3" s="469"/>
      <c r="P3" s="469"/>
      <c r="Q3" s="469"/>
      <c r="R3" s="469"/>
      <c r="S3" s="469"/>
      <c r="T3" s="469"/>
      <c r="U3" s="469"/>
      <c r="V3" s="469"/>
      <c r="W3" s="469"/>
      <c r="X3" s="469"/>
      <c r="Y3" s="469"/>
      <c r="Z3" s="469"/>
    </row>
    <row r="4" spans="1:28">
      <c r="A4" s="469" t="str">
        <f>RevReq!A3</f>
        <v>For the 12 Months Ended December 31, 2019</v>
      </c>
      <c r="B4" s="469"/>
      <c r="C4" s="469"/>
      <c r="D4" s="469"/>
      <c r="E4" s="469"/>
      <c r="F4" s="469"/>
      <c r="G4" s="469"/>
      <c r="H4" s="469"/>
      <c r="I4" s="469"/>
      <c r="J4" s="469"/>
      <c r="K4" s="469"/>
      <c r="L4" s="469"/>
      <c r="M4" s="469"/>
      <c r="N4" s="469"/>
      <c r="O4" s="469"/>
      <c r="P4" s="469"/>
      <c r="Q4" s="469"/>
      <c r="R4" s="469"/>
      <c r="S4" s="469"/>
      <c r="T4" s="469"/>
      <c r="U4" s="469"/>
      <c r="V4" s="469"/>
      <c r="W4" s="469"/>
      <c r="X4" s="469"/>
      <c r="Y4" s="469"/>
      <c r="Z4" s="469"/>
    </row>
    <row r="6" spans="1:28" s="160" customFormat="1" ht="15" customHeight="1">
      <c r="A6" s="466" t="s">
        <v>245</v>
      </c>
      <c r="B6" s="466"/>
      <c r="C6" s="466"/>
      <c r="D6" s="466"/>
      <c r="E6" s="466"/>
      <c r="F6" s="466"/>
      <c r="G6" s="466"/>
      <c r="H6" s="466"/>
      <c r="I6" s="466"/>
      <c r="J6" s="466"/>
      <c r="K6" s="466"/>
      <c r="L6" s="466"/>
      <c r="M6" s="466"/>
      <c r="N6" s="466"/>
      <c r="O6" s="466"/>
      <c r="P6" s="466"/>
      <c r="Q6" s="466"/>
      <c r="R6" s="466"/>
      <c r="S6" s="466"/>
      <c r="T6" s="466"/>
      <c r="U6" s="466"/>
      <c r="V6" s="466"/>
      <c r="W6" s="466"/>
      <c r="X6" s="466"/>
      <c r="Y6" s="466"/>
      <c r="Z6" s="466"/>
    </row>
    <row r="7" spans="1:28" ht="7.5" customHeight="1">
      <c r="Y7" s="160"/>
    </row>
    <row r="8" spans="1:28" ht="20.25" customHeight="1">
      <c r="C8" s="473" t="s">
        <v>265</v>
      </c>
      <c r="D8" s="473"/>
      <c r="E8" s="473"/>
      <c r="F8" s="473"/>
      <c r="H8" s="473" t="s">
        <v>254</v>
      </c>
      <c r="I8" s="473"/>
      <c r="J8" s="473"/>
      <c r="L8" s="473" t="s">
        <v>255</v>
      </c>
      <c r="M8" s="473"/>
      <c r="N8" s="473"/>
      <c r="O8" s="473"/>
      <c r="P8" s="473"/>
      <c r="Q8" s="30"/>
      <c r="R8" s="476" t="s">
        <v>491</v>
      </c>
      <c r="T8" s="473" t="s">
        <v>256</v>
      </c>
      <c r="U8" s="473"/>
      <c r="V8" s="473"/>
      <c r="W8" s="473"/>
      <c r="X8" s="473"/>
      <c r="Y8" s="160"/>
      <c r="Z8" s="476" t="s">
        <v>257</v>
      </c>
    </row>
    <row r="9" spans="1:28" ht="16.5" customHeight="1">
      <c r="A9" s="208" t="s">
        <v>0</v>
      </c>
      <c r="B9" s="42"/>
      <c r="C9" s="208" t="s">
        <v>492</v>
      </c>
      <c r="D9" s="208" t="s">
        <v>258</v>
      </c>
      <c r="E9" s="161" t="s">
        <v>259</v>
      </c>
      <c r="F9" s="208" t="s">
        <v>264</v>
      </c>
      <c r="H9" s="48" t="s">
        <v>260</v>
      </c>
      <c r="I9" s="48" t="s">
        <v>261</v>
      </c>
      <c r="J9" s="48" t="s">
        <v>493</v>
      </c>
      <c r="K9" s="162"/>
      <c r="L9" s="48" t="s">
        <v>260</v>
      </c>
      <c r="M9" s="205" t="s">
        <v>261</v>
      </c>
      <c r="N9" s="48" t="s">
        <v>493</v>
      </c>
      <c r="O9" s="205" t="s">
        <v>494</v>
      </c>
      <c r="P9" s="205" t="s">
        <v>43</v>
      </c>
      <c r="Q9" s="163"/>
      <c r="R9" s="476"/>
      <c r="S9" s="163"/>
      <c r="T9" s="205" t="s">
        <v>260</v>
      </c>
      <c r="U9" s="205" t="s">
        <v>261</v>
      </c>
      <c r="V9" s="48" t="s">
        <v>493</v>
      </c>
      <c r="W9" s="205" t="s">
        <v>494</v>
      </c>
      <c r="X9" s="205" t="s">
        <v>43</v>
      </c>
      <c r="Y9" s="164"/>
      <c r="Z9" s="476"/>
    </row>
    <row r="10" spans="1:28">
      <c r="A10" s="49" t="s">
        <v>21</v>
      </c>
      <c r="B10" s="42"/>
      <c r="C10" s="50">
        <v>1</v>
      </c>
      <c r="D10" s="50">
        <f>C10+1</f>
        <v>2</v>
      </c>
      <c r="E10" s="165" t="s">
        <v>262</v>
      </c>
      <c r="F10" s="50">
        <f>D10+1</f>
        <v>3</v>
      </c>
      <c r="H10" s="50">
        <f>F10+1</f>
        <v>4</v>
      </c>
      <c r="I10" s="50">
        <f>H10+1</f>
        <v>5</v>
      </c>
      <c r="J10" s="50">
        <f>I10+1</f>
        <v>6</v>
      </c>
      <c r="K10" s="162"/>
      <c r="L10" s="50">
        <f>J10+1</f>
        <v>7</v>
      </c>
      <c r="M10" s="50">
        <f>L10+1</f>
        <v>8</v>
      </c>
      <c r="N10" s="50">
        <f>M10+1</f>
        <v>9</v>
      </c>
      <c r="O10" s="50">
        <f>N10+1</f>
        <v>10</v>
      </c>
      <c r="P10" s="50">
        <f>O10+1</f>
        <v>11</v>
      </c>
      <c r="Q10" s="163"/>
      <c r="R10" s="50">
        <f>P10+1</f>
        <v>12</v>
      </c>
      <c r="S10" s="163"/>
      <c r="T10" s="50">
        <f>R10+1</f>
        <v>13</v>
      </c>
      <c r="U10" s="50">
        <f>T10+1</f>
        <v>14</v>
      </c>
      <c r="V10" s="50">
        <f>U10+1</f>
        <v>15</v>
      </c>
      <c r="W10" s="50">
        <f>V10+1</f>
        <v>16</v>
      </c>
      <c r="X10" s="50">
        <f>W10+1</f>
        <v>17</v>
      </c>
      <c r="Y10" s="164"/>
      <c r="Z10" s="50">
        <f>X10+1</f>
        <v>18</v>
      </c>
    </row>
    <row r="11" spans="1:28">
      <c r="A11" s="208"/>
      <c r="B11" s="42"/>
      <c r="C11" s="208"/>
      <c r="D11" s="208"/>
      <c r="E11" s="42"/>
      <c r="F11" s="208"/>
      <c r="H11" s="42"/>
      <c r="I11" s="42"/>
      <c r="J11" s="42"/>
      <c r="K11" s="162"/>
      <c r="L11" s="42"/>
      <c r="Q11" s="163"/>
      <c r="S11" s="163"/>
      <c r="Y11" s="164"/>
    </row>
    <row r="12" spans="1:28">
      <c r="A12" s="204">
        <v>1</v>
      </c>
      <c r="C12" s="204">
        <v>1</v>
      </c>
      <c r="D12" s="204">
        <v>1201</v>
      </c>
      <c r="E12" s="169">
        <v>14</v>
      </c>
      <c r="H12" s="264">
        <v>2088</v>
      </c>
      <c r="I12" s="264">
        <v>0</v>
      </c>
      <c r="J12" s="264">
        <v>0</v>
      </c>
      <c r="K12" s="265"/>
      <c r="L12" s="168">
        <f>116518.63-O12</f>
        <v>116268.63</v>
      </c>
      <c r="M12" s="168">
        <v>0</v>
      </c>
      <c r="N12" s="168">
        <v>0</v>
      </c>
      <c r="O12" s="266">
        <v>250</v>
      </c>
      <c r="P12" s="168">
        <f>SUM(L12:O12)</f>
        <v>116518.63</v>
      </c>
      <c r="Q12" s="163"/>
      <c r="R12" s="170">
        <v>57.08</v>
      </c>
      <c r="S12" s="163"/>
      <c r="T12" s="171">
        <f>2080*R12</f>
        <v>118726.39999999999</v>
      </c>
      <c r="U12" s="171">
        <v>0</v>
      </c>
      <c r="V12" s="171">
        <v>0</v>
      </c>
      <c r="W12" s="171">
        <v>250</v>
      </c>
      <c r="X12" s="171">
        <f t="shared" ref="X12:X20" si="0">SUM(T12:W12)</f>
        <v>118976.4</v>
      </c>
      <c r="Y12" s="164"/>
      <c r="Z12" s="172">
        <f>X12-P12</f>
        <v>2457.7699999999895</v>
      </c>
      <c r="AB12" s="267"/>
    </row>
    <row r="13" spans="1:28">
      <c r="A13" s="204">
        <f>A12+1</f>
        <v>2</v>
      </c>
      <c r="C13" s="204">
        <v>1</v>
      </c>
      <c r="D13" s="204">
        <v>1211</v>
      </c>
      <c r="E13" s="169">
        <v>16</v>
      </c>
      <c r="H13" s="264">
        <v>2088</v>
      </c>
      <c r="I13" s="264">
        <v>0</v>
      </c>
      <c r="J13" s="264">
        <v>0</v>
      </c>
      <c r="K13" s="265"/>
      <c r="L13" s="168">
        <f>70532.5-O13</f>
        <v>70282.5</v>
      </c>
      <c r="M13" s="168">
        <v>0</v>
      </c>
      <c r="N13" s="168">
        <v>0</v>
      </c>
      <c r="O13" s="266">
        <v>250</v>
      </c>
      <c r="P13" s="168">
        <f t="shared" ref="P13:P21" si="1">SUM(L13:O13)</f>
        <v>70532.5</v>
      </c>
      <c r="Q13" s="163"/>
      <c r="R13" s="170">
        <v>36.06</v>
      </c>
      <c r="S13" s="163"/>
      <c r="T13" s="171">
        <f t="shared" ref="T13:T20" si="2">2080*R13</f>
        <v>75004.800000000003</v>
      </c>
      <c r="U13" s="171">
        <v>0</v>
      </c>
      <c r="V13" s="171">
        <v>0</v>
      </c>
      <c r="W13" s="171">
        <v>250</v>
      </c>
      <c r="X13" s="171">
        <f t="shared" si="0"/>
        <v>75254.8</v>
      </c>
      <c r="Y13" s="164"/>
      <c r="Z13" s="172">
        <f t="shared" ref="Z13:Z21" si="3">X13-P13</f>
        <v>4722.3000000000029</v>
      </c>
      <c r="AB13" s="267"/>
    </row>
    <row r="14" spans="1:28">
      <c r="A14" s="204">
        <f t="shared" ref="A14:A46" si="4">A13+1</f>
        <v>3</v>
      </c>
      <c r="C14" s="204">
        <v>1</v>
      </c>
      <c r="D14" s="204">
        <v>1218</v>
      </c>
      <c r="E14" s="169">
        <v>130</v>
      </c>
      <c r="H14" s="264">
        <v>2107.5</v>
      </c>
      <c r="I14" s="264">
        <v>0</v>
      </c>
      <c r="J14" s="264">
        <v>0</v>
      </c>
      <c r="K14" s="265"/>
      <c r="L14" s="168">
        <f>116410.28-O14</f>
        <v>116160.28</v>
      </c>
      <c r="M14" s="168">
        <v>0</v>
      </c>
      <c r="N14" s="168">
        <v>0</v>
      </c>
      <c r="O14" s="266">
        <v>250</v>
      </c>
      <c r="P14" s="168">
        <f t="shared" si="1"/>
        <v>116410.28</v>
      </c>
      <c r="Q14" s="163"/>
      <c r="R14" s="170">
        <v>56.02</v>
      </c>
      <c r="S14" s="163"/>
      <c r="T14" s="171">
        <f t="shared" si="2"/>
        <v>116521.60000000001</v>
      </c>
      <c r="U14" s="171">
        <v>0</v>
      </c>
      <c r="V14" s="171">
        <v>0</v>
      </c>
      <c r="W14" s="171">
        <v>250</v>
      </c>
      <c r="X14" s="171">
        <f t="shared" si="0"/>
        <v>116771.6</v>
      </c>
      <c r="Y14" s="164"/>
      <c r="Z14" s="172">
        <f t="shared" si="3"/>
        <v>361.32000000000698</v>
      </c>
      <c r="AB14" s="267"/>
    </row>
    <row r="15" spans="1:28">
      <c r="A15" s="204">
        <f t="shared" si="4"/>
        <v>4</v>
      </c>
      <c r="C15" s="204">
        <v>1</v>
      </c>
      <c r="D15" s="204">
        <v>1224</v>
      </c>
      <c r="E15" s="169">
        <v>136</v>
      </c>
      <c r="H15" s="264">
        <v>2088</v>
      </c>
      <c r="I15" s="264">
        <v>0</v>
      </c>
      <c r="J15" s="264">
        <v>0</v>
      </c>
      <c r="K15" s="265"/>
      <c r="L15" s="168">
        <f>73303.85-O15</f>
        <v>73053.850000000006</v>
      </c>
      <c r="M15" s="168">
        <v>0</v>
      </c>
      <c r="N15" s="168">
        <v>0</v>
      </c>
      <c r="O15" s="168">
        <v>250</v>
      </c>
      <c r="P15" s="168">
        <f t="shared" si="1"/>
        <v>73303.850000000006</v>
      </c>
      <c r="Q15" s="163"/>
      <c r="R15" s="170">
        <v>35.86</v>
      </c>
      <c r="S15" s="163"/>
      <c r="T15" s="171">
        <f t="shared" si="2"/>
        <v>74588.800000000003</v>
      </c>
      <c r="U15" s="171">
        <v>0</v>
      </c>
      <c r="V15" s="171">
        <v>0</v>
      </c>
      <c r="W15" s="171">
        <v>250</v>
      </c>
      <c r="X15" s="171">
        <f t="shared" si="0"/>
        <v>74838.8</v>
      </c>
      <c r="Y15" s="164"/>
      <c r="Z15" s="172">
        <f t="shared" si="3"/>
        <v>1534.9499999999971</v>
      </c>
      <c r="AB15" s="267"/>
    </row>
    <row r="16" spans="1:28">
      <c r="A16" s="204">
        <f t="shared" si="4"/>
        <v>5</v>
      </c>
      <c r="C16" s="204">
        <v>1</v>
      </c>
      <c r="D16" s="204">
        <v>1226</v>
      </c>
      <c r="E16" s="169">
        <v>149</v>
      </c>
      <c r="H16" s="264">
        <v>2088</v>
      </c>
      <c r="I16" s="264">
        <v>0</v>
      </c>
      <c r="J16" s="264">
        <v>0</v>
      </c>
      <c r="K16" s="265"/>
      <c r="L16" s="168">
        <v>185719.41</v>
      </c>
      <c r="M16" s="168">
        <v>0</v>
      </c>
      <c r="N16" s="168">
        <v>0</v>
      </c>
      <c r="O16" s="168">
        <v>0</v>
      </c>
      <c r="P16" s="168">
        <f t="shared" si="1"/>
        <v>185719.41</v>
      </c>
      <c r="Q16" s="163"/>
      <c r="R16" s="170">
        <v>90.55</v>
      </c>
      <c r="S16" s="163"/>
      <c r="T16" s="171">
        <f t="shared" si="2"/>
        <v>188344</v>
      </c>
      <c r="U16" s="171">
        <v>0</v>
      </c>
      <c r="V16" s="171">
        <v>0</v>
      </c>
      <c r="W16" s="171">
        <v>0</v>
      </c>
      <c r="X16" s="171">
        <f t="shared" si="0"/>
        <v>188344</v>
      </c>
      <c r="Y16" s="164"/>
      <c r="Z16" s="172">
        <f t="shared" si="3"/>
        <v>2624.5899999999965</v>
      </c>
      <c r="AB16" s="267"/>
    </row>
    <row r="17" spans="1:28">
      <c r="A17" s="204">
        <f t="shared" si="4"/>
        <v>6</v>
      </c>
      <c r="C17" s="204">
        <v>1</v>
      </c>
      <c r="D17" s="204">
        <v>1227</v>
      </c>
      <c r="E17" s="169">
        <v>157</v>
      </c>
      <c r="H17" s="264">
        <v>2088</v>
      </c>
      <c r="I17" s="264">
        <v>0</v>
      </c>
      <c r="J17" s="264">
        <v>0</v>
      </c>
      <c r="K17" s="265"/>
      <c r="L17" s="168">
        <f>107974.75-O17</f>
        <v>107724.75</v>
      </c>
      <c r="M17" s="168">
        <v>0</v>
      </c>
      <c r="N17" s="168">
        <v>0</v>
      </c>
      <c r="O17" s="168">
        <v>250</v>
      </c>
      <c r="P17" s="168">
        <f t="shared" si="1"/>
        <v>107974.75</v>
      </c>
      <c r="Q17" s="163"/>
      <c r="R17" s="170">
        <v>52.52</v>
      </c>
      <c r="S17" s="163"/>
      <c r="T17" s="171">
        <f t="shared" si="2"/>
        <v>109241.60000000001</v>
      </c>
      <c r="U17" s="171">
        <v>0</v>
      </c>
      <c r="V17" s="171">
        <v>0</v>
      </c>
      <c r="W17" s="171">
        <v>250</v>
      </c>
      <c r="X17" s="171">
        <f t="shared" si="0"/>
        <v>109491.6</v>
      </c>
      <c r="Y17" s="164"/>
      <c r="Z17" s="172">
        <f t="shared" si="3"/>
        <v>1516.8500000000058</v>
      </c>
      <c r="AB17" s="267"/>
    </row>
    <row r="18" spans="1:28">
      <c r="A18" s="204">
        <f t="shared" si="4"/>
        <v>7</v>
      </c>
      <c r="C18" s="204">
        <v>1</v>
      </c>
      <c r="D18" s="204">
        <v>1228</v>
      </c>
      <c r="E18" s="169">
        <v>159</v>
      </c>
      <c r="H18" s="264">
        <v>2088</v>
      </c>
      <c r="I18" s="264">
        <v>0</v>
      </c>
      <c r="J18" s="264">
        <v>0</v>
      </c>
      <c r="K18" s="265"/>
      <c r="L18" s="168">
        <f>87455.75-O18</f>
        <v>87205.75</v>
      </c>
      <c r="M18" s="168">
        <v>0</v>
      </c>
      <c r="N18" s="168">
        <v>0</v>
      </c>
      <c r="O18" s="168">
        <v>250</v>
      </c>
      <c r="P18" s="168">
        <f t="shared" si="1"/>
        <v>87455.75</v>
      </c>
      <c r="Q18" s="163"/>
      <c r="R18" s="170">
        <v>42.52</v>
      </c>
      <c r="S18" s="163"/>
      <c r="T18" s="171">
        <f t="shared" si="2"/>
        <v>88441.600000000006</v>
      </c>
      <c r="U18" s="171">
        <v>0</v>
      </c>
      <c r="V18" s="171">
        <v>0</v>
      </c>
      <c r="W18" s="171">
        <v>250</v>
      </c>
      <c r="X18" s="171">
        <f t="shared" si="0"/>
        <v>88691.6</v>
      </c>
      <c r="Y18" s="164"/>
      <c r="Z18" s="172">
        <f t="shared" si="3"/>
        <v>1235.8500000000058</v>
      </c>
      <c r="AB18" s="267"/>
    </row>
    <row r="19" spans="1:28">
      <c r="A19" s="204">
        <f t="shared" si="4"/>
        <v>8</v>
      </c>
      <c r="C19" s="204">
        <v>1</v>
      </c>
      <c r="D19" s="204">
        <v>1239</v>
      </c>
      <c r="E19" s="169">
        <v>163</v>
      </c>
      <c r="H19" s="264">
        <v>2088</v>
      </c>
      <c r="I19" s="264">
        <v>0</v>
      </c>
      <c r="J19" s="264">
        <v>0</v>
      </c>
      <c r="K19" s="265"/>
      <c r="L19" s="168">
        <f>78932.5-O19</f>
        <v>78682.5</v>
      </c>
      <c r="M19" s="168">
        <v>0</v>
      </c>
      <c r="N19" s="168">
        <v>0</v>
      </c>
      <c r="O19" s="168">
        <v>250</v>
      </c>
      <c r="P19" s="168">
        <f t="shared" si="1"/>
        <v>78932.5</v>
      </c>
      <c r="Q19" s="163"/>
      <c r="R19" s="170">
        <v>38.630000000000003</v>
      </c>
      <c r="S19" s="163"/>
      <c r="T19" s="171">
        <f>2080*R19</f>
        <v>80350.400000000009</v>
      </c>
      <c r="U19" s="171">
        <v>0</v>
      </c>
      <c r="V19" s="171">
        <v>0</v>
      </c>
      <c r="W19" s="171">
        <v>250</v>
      </c>
      <c r="X19" s="171">
        <f>SUM(T19:W19)</f>
        <v>80600.400000000009</v>
      </c>
      <c r="Y19" s="164"/>
      <c r="Z19" s="172">
        <f t="shared" si="3"/>
        <v>1667.9000000000087</v>
      </c>
      <c r="AB19" s="267"/>
    </row>
    <row r="20" spans="1:28">
      <c r="A20" s="204">
        <f t="shared" si="4"/>
        <v>9</v>
      </c>
      <c r="C20" s="204">
        <v>1</v>
      </c>
      <c r="D20" s="204">
        <v>1245</v>
      </c>
      <c r="E20" s="268">
        <v>171</v>
      </c>
      <c r="F20" s="208"/>
      <c r="G20" s="208"/>
      <c r="H20" s="264">
        <v>2088</v>
      </c>
      <c r="I20" s="264">
        <v>0</v>
      </c>
      <c r="J20" s="264">
        <v>0</v>
      </c>
      <c r="K20" s="265"/>
      <c r="L20" s="168">
        <f>123721-O20</f>
        <v>123471</v>
      </c>
      <c r="M20" s="168">
        <v>0</v>
      </c>
      <c r="N20" s="168">
        <v>0</v>
      </c>
      <c r="O20" s="168">
        <v>250</v>
      </c>
      <c r="P20" s="168">
        <f t="shared" si="1"/>
        <v>123721</v>
      </c>
      <c r="Q20" s="163"/>
      <c r="R20" s="170">
        <v>60.61</v>
      </c>
      <c r="S20" s="163"/>
      <c r="T20" s="171">
        <f t="shared" si="2"/>
        <v>126068.8</v>
      </c>
      <c r="U20" s="171">
        <v>0</v>
      </c>
      <c r="V20" s="171">
        <v>0</v>
      </c>
      <c r="W20" s="171">
        <v>250</v>
      </c>
      <c r="X20" s="171">
        <f t="shared" si="0"/>
        <v>126318.8</v>
      </c>
      <c r="Y20" s="164"/>
      <c r="Z20" s="172">
        <f t="shared" si="3"/>
        <v>2597.8000000000029</v>
      </c>
      <c r="AB20" s="267"/>
    </row>
    <row r="21" spans="1:28">
      <c r="A21" s="204">
        <f t="shared" si="4"/>
        <v>10</v>
      </c>
      <c r="C21" s="204">
        <v>1</v>
      </c>
      <c r="D21" s="204">
        <v>1247</v>
      </c>
      <c r="E21" s="268">
        <v>172</v>
      </c>
      <c r="F21" s="208"/>
      <c r="G21" s="208"/>
      <c r="H21" s="264">
        <v>2078</v>
      </c>
      <c r="I21" s="264">
        <v>0</v>
      </c>
      <c r="J21" s="264">
        <v>0</v>
      </c>
      <c r="K21" s="265"/>
      <c r="L21" s="168">
        <f>107974.75-O21</f>
        <v>107724.75</v>
      </c>
      <c r="M21" s="168">
        <v>0</v>
      </c>
      <c r="N21" s="168">
        <v>0</v>
      </c>
      <c r="O21" s="168">
        <v>250</v>
      </c>
      <c r="P21" s="168">
        <f t="shared" si="1"/>
        <v>107974.75</v>
      </c>
      <c r="Q21" s="163"/>
      <c r="R21" s="170">
        <v>52.52</v>
      </c>
      <c r="S21" s="163"/>
      <c r="T21" s="171">
        <f>2080*R21</f>
        <v>109241.60000000001</v>
      </c>
      <c r="U21" s="171">
        <v>0</v>
      </c>
      <c r="V21" s="171">
        <v>0</v>
      </c>
      <c r="W21" s="171">
        <v>250</v>
      </c>
      <c r="X21" s="171">
        <f>SUM(T21:W21)</f>
        <v>109491.6</v>
      </c>
      <c r="Y21" s="164"/>
      <c r="Z21" s="172">
        <f t="shared" si="3"/>
        <v>1516.8500000000058</v>
      </c>
      <c r="AB21" s="267"/>
    </row>
    <row r="22" spans="1:28">
      <c r="A22" s="204">
        <f t="shared" si="4"/>
        <v>11</v>
      </c>
      <c r="C22" s="5">
        <f>SUM(C12:C21)</f>
        <v>10</v>
      </c>
      <c r="D22" s="173" t="s">
        <v>22</v>
      </c>
      <c r="E22" s="174" t="s">
        <v>22</v>
      </c>
      <c r="F22" s="173"/>
      <c r="G22" s="208"/>
      <c r="H22" s="269">
        <f>SUM(H12:H21)</f>
        <v>20889.5</v>
      </c>
      <c r="I22" s="269">
        <f>SUM(I12:I21)</f>
        <v>0</v>
      </c>
      <c r="J22" s="269">
        <f>SUM(J12:J21)</f>
        <v>0</v>
      </c>
      <c r="K22" s="265"/>
      <c r="L22" s="175">
        <f>SUM(L12:L21)</f>
        <v>1066293.42</v>
      </c>
      <c r="M22" s="175">
        <f>SUM(M12:M21)</f>
        <v>0</v>
      </c>
      <c r="N22" s="175">
        <f>SUM(N12:N21)</f>
        <v>0</v>
      </c>
      <c r="O22" s="175">
        <f>SUM(O12:O21)</f>
        <v>2250</v>
      </c>
      <c r="P22" s="175">
        <f>SUM(P12:P21)</f>
        <v>1068543.42</v>
      </c>
      <c r="Q22" s="163"/>
      <c r="R22" s="174"/>
      <c r="S22" s="163"/>
      <c r="T22" s="176">
        <f>SUM(T12:T21)</f>
        <v>1086529.6000000001</v>
      </c>
      <c r="U22" s="176">
        <f>SUM(U12:U21)</f>
        <v>0</v>
      </c>
      <c r="V22" s="176">
        <f>SUM(V12:V21)</f>
        <v>0</v>
      </c>
      <c r="W22" s="176">
        <f>SUM(W12:W21)</f>
        <v>2250</v>
      </c>
      <c r="X22" s="176">
        <f>SUM(X12:X21)</f>
        <v>1088779.6000000001</v>
      </c>
      <c r="Y22" s="164"/>
      <c r="Z22" s="177">
        <f>X22-P22</f>
        <v>20236.180000000168</v>
      </c>
      <c r="AB22" s="267"/>
    </row>
    <row r="23" spans="1:28">
      <c r="A23" s="204">
        <f t="shared" si="4"/>
        <v>12</v>
      </c>
      <c r="H23" s="264"/>
      <c r="I23" s="264"/>
      <c r="J23" s="264"/>
      <c r="K23" s="265"/>
      <c r="L23" s="168"/>
      <c r="M23" s="168"/>
      <c r="N23" s="168"/>
      <c r="O23" s="168"/>
      <c r="P23" s="168"/>
      <c r="Q23" s="163"/>
      <c r="R23" s="170"/>
      <c r="S23" s="163"/>
      <c r="T23" s="170"/>
      <c r="U23" s="170"/>
      <c r="V23" s="170"/>
      <c r="W23" s="170"/>
      <c r="X23" s="170"/>
      <c r="Y23" s="164"/>
      <c r="AB23" s="267"/>
    </row>
    <row r="24" spans="1:28">
      <c r="A24" s="204">
        <f t="shared" si="4"/>
        <v>13</v>
      </c>
      <c r="C24" s="182" t="s">
        <v>495</v>
      </c>
      <c r="F24" s="167"/>
      <c r="G24" s="167"/>
      <c r="H24" s="270"/>
      <c r="I24" s="270"/>
      <c r="J24" s="270"/>
      <c r="K24" s="271"/>
      <c r="L24" s="272"/>
      <c r="M24" s="272"/>
      <c r="N24" s="272"/>
      <c r="O24" s="272"/>
      <c r="P24" s="272"/>
      <c r="Q24" s="163"/>
      <c r="R24" s="273"/>
      <c r="S24" s="163"/>
      <c r="T24" s="273"/>
      <c r="U24" s="273"/>
      <c r="V24" s="273"/>
      <c r="W24" s="273"/>
      <c r="X24" s="273"/>
      <c r="Y24" s="164"/>
      <c r="AB24" s="267"/>
    </row>
    <row r="25" spans="1:28">
      <c r="A25" s="204">
        <f t="shared" si="4"/>
        <v>14</v>
      </c>
      <c r="C25" s="204">
        <v>1</v>
      </c>
      <c r="D25" s="204">
        <v>1202</v>
      </c>
      <c r="E25" s="169">
        <v>5</v>
      </c>
      <c r="H25" s="264">
        <f>2520.5-I25</f>
        <v>2056</v>
      </c>
      <c r="I25" s="264">
        <v>464.5</v>
      </c>
      <c r="J25" s="264"/>
      <c r="K25" s="265"/>
      <c r="L25" s="168">
        <f>87822.32-M25-O25</f>
        <v>65391.360000000015</v>
      </c>
      <c r="M25" s="168">
        <v>22180.959999999999</v>
      </c>
      <c r="N25" s="168"/>
      <c r="O25" s="168">
        <v>250</v>
      </c>
      <c r="P25" s="168">
        <f>SUM(L25:O25)</f>
        <v>87822.32</v>
      </c>
      <c r="Q25" s="163"/>
      <c r="R25" s="170">
        <v>32.340000000000003</v>
      </c>
      <c r="S25" s="163"/>
      <c r="T25" s="171">
        <f t="shared" ref="T25:T65" si="5">2080*R25</f>
        <v>67267.200000000012</v>
      </c>
      <c r="U25" s="171">
        <f>(+I25*R25)*1.5*0.5</f>
        <v>11266.447500000002</v>
      </c>
      <c r="V25" s="171" t="str">
        <f t="shared" ref="V25:V65" si="6">IF(N25=0," ",+J25*R25)</f>
        <v xml:space="preserve"> </v>
      </c>
      <c r="W25" s="171">
        <f t="shared" ref="W25:W65" si="7">IF(O25=0," ",+O25)</f>
        <v>250</v>
      </c>
      <c r="X25" s="171">
        <f t="shared" ref="X25:X65" si="8">SUM(T25:W25)</f>
        <v>78783.647500000021</v>
      </c>
      <c r="Y25" s="164"/>
      <c r="Z25" s="172">
        <f>X25-P25</f>
        <v>-9038.672499999986</v>
      </c>
      <c r="AB25" s="267"/>
    </row>
    <row r="26" spans="1:28">
      <c r="A26" s="204">
        <f t="shared" si="4"/>
        <v>15</v>
      </c>
      <c r="C26" s="204">
        <v>1</v>
      </c>
      <c r="D26" s="204">
        <v>1203</v>
      </c>
      <c r="E26" s="169">
        <v>8</v>
      </c>
      <c r="H26" s="264">
        <f>2186-I26</f>
        <v>2088</v>
      </c>
      <c r="I26" s="264">
        <v>98</v>
      </c>
      <c r="J26" s="264"/>
      <c r="K26" s="265"/>
      <c r="L26" s="168">
        <f>52646.59-M26-O26</f>
        <v>48949.679999999993</v>
      </c>
      <c r="M26" s="168">
        <v>3446.91</v>
      </c>
      <c r="N26" s="168"/>
      <c r="O26" s="168">
        <v>250</v>
      </c>
      <c r="P26" s="168">
        <f t="shared" ref="P26:P65" si="9">SUM(L26:O26)</f>
        <v>52646.59</v>
      </c>
      <c r="Q26" s="163"/>
      <c r="R26" s="170">
        <v>23.83</v>
      </c>
      <c r="S26" s="163"/>
      <c r="T26" s="171">
        <f t="shared" si="5"/>
        <v>49566.399999999994</v>
      </c>
      <c r="U26" s="171">
        <f t="shared" ref="U26:U65" si="10">(+I26*R26)*1.5</f>
        <v>3503.0099999999993</v>
      </c>
      <c r="V26" s="171" t="str">
        <f t="shared" si="6"/>
        <v xml:space="preserve"> </v>
      </c>
      <c r="W26" s="171">
        <f t="shared" si="7"/>
        <v>250</v>
      </c>
      <c r="X26" s="171">
        <f t="shared" si="8"/>
        <v>53319.409999999996</v>
      </c>
      <c r="Y26" s="164"/>
      <c r="Z26" s="172">
        <f>X26-P26</f>
        <v>672.81999999999971</v>
      </c>
      <c r="AB26" s="267"/>
    </row>
    <row r="27" spans="1:28">
      <c r="A27" s="204">
        <f t="shared" si="4"/>
        <v>16</v>
      </c>
      <c r="C27" s="204">
        <v>1</v>
      </c>
      <c r="D27" s="204">
        <v>1204</v>
      </c>
      <c r="E27" s="169">
        <v>10</v>
      </c>
      <c r="H27" s="264">
        <f>2760.5-I27</f>
        <v>2088</v>
      </c>
      <c r="I27" s="264">
        <v>672.5</v>
      </c>
      <c r="J27" s="264"/>
      <c r="K27" s="265"/>
      <c r="L27" s="168">
        <f>98677.7-M27-O27</f>
        <v>66426.239999999991</v>
      </c>
      <c r="M27" s="168">
        <v>32001.46</v>
      </c>
      <c r="N27" s="168"/>
      <c r="O27" s="168">
        <v>250</v>
      </c>
      <c r="P27" s="168">
        <f t="shared" si="9"/>
        <v>98677.699999999983</v>
      </c>
      <c r="Q27" s="163"/>
      <c r="R27" s="170">
        <v>32.340000000000003</v>
      </c>
      <c r="S27" s="163"/>
      <c r="T27" s="171">
        <f t="shared" si="5"/>
        <v>67267.200000000012</v>
      </c>
      <c r="U27" s="171">
        <f t="shared" si="10"/>
        <v>32622.975000000002</v>
      </c>
      <c r="V27" s="171" t="str">
        <f t="shared" si="6"/>
        <v xml:space="preserve"> </v>
      </c>
      <c r="W27" s="171">
        <f t="shared" si="7"/>
        <v>250</v>
      </c>
      <c r="X27" s="171">
        <f t="shared" si="8"/>
        <v>100140.17500000002</v>
      </c>
      <c r="Y27" s="164"/>
      <c r="Z27" s="172">
        <f>X27-P27</f>
        <v>1462.4750000000349</v>
      </c>
      <c r="AB27" s="267"/>
    </row>
    <row r="28" spans="1:28">
      <c r="A28" s="204">
        <f t="shared" si="4"/>
        <v>17</v>
      </c>
      <c r="C28" s="204">
        <v>1</v>
      </c>
      <c r="D28" s="204">
        <v>1205</v>
      </c>
      <c r="E28" s="169">
        <v>11</v>
      </c>
      <c r="H28" s="264">
        <f>3612-I28</f>
        <v>2088</v>
      </c>
      <c r="I28" s="264">
        <v>1524</v>
      </c>
      <c r="J28" s="264"/>
      <c r="K28" s="265"/>
      <c r="L28" s="168">
        <f>139327.49-M28-O28</f>
        <v>66426.239999999991</v>
      </c>
      <c r="M28" s="168">
        <v>72651.25</v>
      </c>
      <c r="N28" s="168"/>
      <c r="O28" s="168">
        <v>250</v>
      </c>
      <c r="P28" s="168">
        <f>SUM(L28:O28)</f>
        <v>139327.49</v>
      </c>
      <c r="Q28" s="163"/>
      <c r="R28" s="170">
        <v>32.340000000000003</v>
      </c>
      <c r="S28" s="163"/>
      <c r="T28" s="171">
        <f t="shared" si="5"/>
        <v>67267.200000000012</v>
      </c>
      <c r="U28" s="171">
        <f t="shared" si="10"/>
        <v>73929.240000000005</v>
      </c>
      <c r="V28" s="171" t="str">
        <f t="shared" si="6"/>
        <v xml:space="preserve"> </v>
      </c>
      <c r="W28" s="171">
        <f t="shared" si="7"/>
        <v>250</v>
      </c>
      <c r="X28" s="171">
        <f t="shared" si="8"/>
        <v>141446.44</v>
      </c>
      <c r="Y28" s="164"/>
      <c r="Z28" s="172">
        <f t="shared" ref="Z28:Z68" si="11">X28-P28</f>
        <v>2118.9500000000116</v>
      </c>
      <c r="AB28" s="267"/>
    </row>
    <row r="29" spans="1:28">
      <c r="A29" s="204">
        <f t="shared" si="4"/>
        <v>18</v>
      </c>
      <c r="C29" s="204">
        <v>1</v>
      </c>
      <c r="D29" s="204">
        <v>1206</v>
      </c>
      <c r="E29" s="169">
        <v>13</v>
      </c>
      <c r="H29" s="264">
        <f>2124.5-I29</f>
        <v>2088</v>
      </c>
      <c r="I29" s="264">
        <v>36.5</v>
      </c>
      <c r="J29" s="264"/>
      <c r="K29" s="265"/>
      <c r="L29" s="168">
        <f>46872.06-M29-O29</f>
        <v>45434.879999999997</v>
      </c>
      <c r="M29" s="168">
        <v>1187.18</v>
      </c>
      <c r="N29" s="168"/>
      <c r="O29" s="168">
        <v>250</v>
      </c>
      <c r="P29" s="168">
        <f t="shared" si="9"/>
        <v>46872.06</v>
      </c>
      <c r="Q29" s="163"/>
      <c r="R29" s="170">
        <v>22.12</v>
      </c>
      <c r="S29" s="163"/>
      <c r="T29" s="171">
        <f t="shared" si="5"/>
        <v>46009.599999999999</v>
      </c>
      <c r="U29" s="171">
        <f t="shared" si="10"/>
        <v>1211.07</v>
      </c>
      <c r="V29" s="171" t="str">
        <f t="shared" si="6"/>
        <v xml:space="preserve"> </v>
      </c>
      <c r="W29" s="171">
        <f t="shared" si="7"/>
        <v>250</v>
      </c>
      <c r="X29" s="171">
        <f t="shared" si="8"/>
        <v>47470.67</v>
      </c>
      <c r="Y29" s="164"/>
      <c r="Z29" s="172">
        <f t="shared" si="11"/>
        <v>598.61000000000058</v>
      </c>
      <c r="AB29" s="267"/>
    </row>
    <row r="30" spans="1:28">
      <c r="A30" s="204">
        <f t="shared" si="4"/>
        <v>19</v>
      </c>
      <c r="C30" s="204">
        <v>1</v>
      </c>
      <c r="D30" s="204">
        <v>1207</v>
      </c>
      <c r="E30" s="169">
        <v>15</v>
      </c>
      <c r="H30" s="264">
        <f>2176-I30</f>
        <v>2088</v>
      </c>
      <c r="I30" s="264">
        <v>88</v>
      </c>
      <c r="J30" s="264"/>
      <c r="K30" s="265"/>
      <c r="L30" s="168">
        <f>70358.39-M30-O30</f>
        <v>65939.039999999994</v>
      </c>
      <c r="M30" s="168">
        <v>4169.3500000000004</v>
      </c>
      <c r="N30" s="168"/>
      <c r="O30" s="168">
        <v>250</v>
      </c>
      <c r="P30" s="168">
        <f t="shared" si="9"/>
        <v>70358.39</v>
      </c>
      <c r="Q30" s="163"/>
      <c r="R30" s="170">
        <v>32.1</v>
      </c>
      <c r="S30" s="163"/>
      <c r="T30" s="171">
        <f t="shared" si="5"/>
        <v>66768</v>
      </c>
      <c r="U30" s="171">
        <f t="shared" si="10"/>
        <v>4237.2000000000007</v>
      </c>
      <c r="V30" s="171" t="str">
        <f t="shared" si="6"/>
        <v xml:space="preserve"> </v>
      </c>
      <c r="W30" s="171">
        <f t="shared" si="7"/>
        <v>250</v>
      </c>
      <c r="X30" s="171">
        <f t="shared" si="8"/>
        <v>71255.199999999997</v>
      </c>
      <c r="Y30" s="164"/>
      <c r="Z30" s="172">
        <f t="shared" si="11"/>
        <v>896.80999999999767</v>
      </c>
      <c r="AB30" s="267"/>
    </row>
    <row r="31" spans="1:28">
      <c r="A31" s="204">
        <f t="shared" si="4"/>
        <v>20</v>
      </c>
      <c r="C31" s="204">
        <v>1</v>
      </c>
      <c r="D31" s="204">
        <v>1208</v>
      </c>
      <c r="E31" s="169">
        <v>22</v>
      </c>
      <c r="H31" s="264">
        <f>2157.75-I31</f>
        <v>2088</v>
      </c>
      <c r="I31" s="264">
        <v>69.75</v>
      </c>
      <c r="J31" s="264"/>
      <c r="K31" s="265"/>
      <c r="L31" s="168">
        <f>51654.23-M31-O31</f>
        <v>48949.75</v>
      </c>
      <c r="M31" s="168">
        <v>2454.48</v>
      </c>
      <c r="N31" s="168"/>
      <c r="O31" s="168">
        <v>250</v>
      </c>
      <c r="P31" s="168">
        <f t="shared" si="9"/>
        <v>51654.23</v>
      </c>
      <c r="Q31" s="163"/>
      <c r="R31" s="170">
        <v>23.83</v>
      </c>
      <c r="S31" s="163"/>
      <c r="T31" s="171">
        <f t="shared" si="5"/>
        <v>49566.399999999994</v>
      </c>
      <c r="U31" s="171">
        <f t="shared" si="10"/>
        <v>2493.2137499999999</v>
      </c>
      <c r="V31" s="171" t="str">
        <f t="shared" si="6"/>
        <v xml:space="preserve"> </v>
      </c>
      <c r="W31" s="171">
        <f t="shared" si="7"/>
        <v>250</v>
      </c>
      <c r="X31" s="171">
        <f t="shared" si="8"/>
        <v>52309.613749999997</v>
      </c>
      <c r="Y31" s="164"/>
      <c r="Z31" s="172">
        <f t="shared" si="11"/>
        <v>655.3837499999936</v>
      </c>
      <c r="AB31" s="267"/>
    </row>
    <row r="32" spans="1:28">
      <c r="A32" s="204">
        <f t="shared" si="4"/>
        <v>21</v>
      </c>
      <c r="C32" s="204">
        <v>1</v>
      </c>
      <c r="D32" s="204">
        <v>1209</v>
      </c>
      <c r="E32" s="268">
        <v>24</v>
      </c>
      <c r="H32" s="264">
        <f>2086.5-I32</f>
        <v>2086</v>
      </c>
      <c r="I32" s="264">
        <v>0.5</v>
      </c>
      <c r="J32" s="264"/>
      <c r="K32" s="265"/>
      <c r="L32" s="168">
        <f>49171.06-M32-O32</f>
        <v>48903.189999999995</v>
      </c>
      <c r="M32" s="168">
        <v>17.87</v>
      </c>
      <c r="N32" s="168"/>
      <c r="O32" s="168">
        <v>250</v>
      </c>
      <c r="P32" s="168">
        <f t="shared" si="9"/>
        <v>49171.06</v>
      </c>
      <c r="Q32" s="163"/>
      <c r="R32" s="170">
        <v>23.83</v>
      </c>
      <c r="S32" s="163"/>
      <c r="T32" s="171">
        <f t="shared" si="5"/>
        <v>49566.399999999994</v>
      </c>
      <c r="U32" s="171">
        <f>(+I32*R32)*1.5</f>
        <v>17.872499999999999</v>
      </c>
      <c r="V32" s="171" t="str">
        <f>IF(N32=0," ",+J32*R32)</f>
        <v xml:space="preserve"> </v>
      </c>
      <c r="W32" s="171">
        <f t="shared" si="7"/>
        <v>250</v>
      </c>
      <c r="X32" s="171">
        <f t="shared" si="8"/>
        <v>49834.272499999992</v>
      </c>
      <c r="Y32" s="164"/>
      <c r="Z32" s="172">
        <f t="shared" si="11"/>
        <v>663.21249999999418</v>
      </c>
      <c r="AB32" s="267"/>
    </row>
    <row r="33" spans="1:28">
      <c r="A33" s="204">
        <f t="shared" si="4"/>
        <v>22</v>
      </c>
      <c r="C33" s="204">
        <v>1</v>
      </c>
      <c r="D33" s="204">
        <v>1210</v>
      </c>
      <c r="E33" s="169">
        <v>25</v>
      </c>
      <c r="H33" s="264">
        <f>2097.75-I33</f>
        <v>2088</v>
      </c>
      <c r="I33" s="264">
        <v>9.75</v>
      </c>
      <c r="J33" s="264"/>
      <c r="K33" s="265"/>
      <c r="L33" s="168">
        <f>49542.12-M33-O33</f>
        <v>48949.69</v>
      </c>
      <c r="M33" s="168">
        <v>342.43</v>
      </c>
      <c r="N33" s="168"/>
      <c r="O33" s="168">
        <v>250</v>
      </c>
      <c r="P33" s="168">
        <f t="shared" si="9"/>
        <v>49542.12</v>
      </c>
      <c r="Q33" s="163"/>
      <c r="R33" s="170">
        <v>23.83</v>
      </c>
      <c r="S33" s="163"/>
      <c r="T33" s="171">
        <f t="shared" si="5"/>
        <v>49566.399999999994</v>
      </c>
      <c r="U33" s="171">
        <f t="shared" si="10"/>
        <v>348.51374999999996</v>
      </c>
      <c r="V33" s="171" t="str">
        <f>IF(N33=0," ",+J33*R33)</f>
        <v xml:space="preserve"> </v>
      </c>
      <c r="W33" s="171">
        <f t="shared" si="7"/>
        <v>250</v>
      </c>
      <c r="X33" s="171">
        <f t="shared" si="8"/>
        <v>50164.913749999992</v>
      </c>
      <c r="Y33" s="164"/>
      <c r="Z33" s="172">
        <f t="shared" si="11"/>
        <v>622.79374999998981</v>
      </c>
      <c r="AB33" s="267"/>
    </row>
    <row r="34" spans="1:28">
      <c r="A34" s="204">
        <f t="shared" si="4"/>
        <v>23</v>
      </c>
      <c r="C34" s="204">
        <v>1</v>
      </c>
      <c r="D34" s="204">
        <v>1212</v>
      </c>
      <c r="E34" s="169">
        <v>31</v>
      </c>
      <c r="H34" s="264">
        <f>2321.5-I34</f>
        <v>2084</v>
      </c>
      <c r="I34" s="264">
        <v>237.5</v>
      </c>
      <c r="J34" s="264"/>
      <c r="K34" s="265"/>
      <c r="L34" s="168">
        <f>77898.82-M34-O34</f>
        <v>66300.08</v>
      </c>
      <c r="M34" s="168">
        <v>11348.74</v>
      </c>
      <c r="N34" s="168"/>
      <c r="O34" s="168">
        <v>250</v>
      </c>
      <c r="P34" s="168">
        <f t="shared" si="9"/>
        <v>77898.820000000007</v>
      </c>
      <c r="Q34" s="163"/>
      <c r="R34" s="170">
        <v>32.340000000000003</v>
      </c>
      <c r="S34" s="163"/>
      <c r="T34" s="171">
        <f t="shared" si="5"/>
        <v>67267.200000000012</v>
      </c>
      <c r="U34" s="171">
        <f t="shared" si="10"/>
        <v>11521.125000000002</v>
      </c>
      <c r="V34" s="171" t="str">
        <f t="shared" si="6"/>
        <v xml:space="preserve"> </v>
      </c>
      <c r="W34" s="171">
        <f t="shared" si="7"/>
        <v>250</v>
      </c>
      <c r="X34" s="171">
        <f t="shared" si="8"/>
        <v>79038.325000000012</v>
      </c>
      <c r="Y34" s="164"/>
      <c r="Z34" s="172">
        <f t="shared" si="11"/>
        <v>1139.5050000000047</v>
      </c>
      <c r="AB34" s="267"/>
    </row>
    <row r="35" spans="1:28">
      <c r="A35" s="204">
        <f t="shared" si="4"/>
        <v>24</v>
      </c>
      <c r="C35" s="204">
        <v>1</v>
      </c>
      <c r="D35" s="204">
        <v>1213</v>
      </c>
      <c r="E35" s="169">
        <v>38</v>
      </c>
      <c r="H35" s="264">
        <f>2594.5-I35</f>
        <v>2056</v>
      </c>
      <c r="I35" s="264">
        <v>538.5</v>
      </c>
      <c r="J35" s="264"/>
      <c r="K35" s="265"/>
      <c r="L35" s="168">
        <f>91349.26-M35-O35</f>
        <v>65391.359999999986</v>
      </c>
      <c r="M35" s="168">
        <v>25707.9</v>
      </c>
      <c r="N35" s="168"/>
      <c r="O35" s="168">
        <v>250</v>
      </c>
      <c r="P35" s="168">
        <f t="shared" si="9"/>
        <v>91349.25999999998</v>
      </c>
      <c r="Q35" s="163"/>
      <c r="R35" s="170">
        <v>32.340000000000003</v>
      </c>
      <c r="S35" s="163"/>
      <c r="T35" s="171">
        <f t="shared" si="5"/>
        <v>67267.200000000012</v>
      </c>
      <c r="U35" s="171">
        <f t="shared" si="10"/>
        <v>26122.635000000002</v>
      </c>
      <c r="V35" s="171" t="str">
        <f t="shared" si="6"/>
        <v xml:space="preserve"> </v>
      </c>
      <c r="W35" s="171">
        <f t="shared" si="7"/>
        <v>250</v>
      </c>
      <c r="X35" s="171">
        <f t="shared" si="8"/>
        <v>93639.835000000021</v>
      </c>
      <c r="Y35" s="164"/>
      <c r="Z35" s="172">
        <f t="shared" si="11"/>
        <v>2290.5750000000407</v>
      </c>
      <c r="AB35" s="267"/>
    </row>
    <row r="36" spans="1:28">
      <c r="A36" s="204">
        <f t="shared" si="4"/>
        <v>25</v>
      </c>
      <c r="C36" s="204">
        <v>1</v>
      </c>
      <c r="D36" s="204">
        <v>1214</v>
      </c>
      <c r="E36" s="169">
        <v>40</v>
      </c>
      <c r="H36" s="264">
        <f>2553-I36</f>
        <v>2088</v>
      </c>
      <c r="I36" s="264">
        <v>465</v>
      </c>
      <c r="J36" s="264"/>
      <c r="K36" s="265"/>
      <c r="L36" s="168">
        <f>88846.51-M36-O36</f>
        <v>66426.25</v>
      </c>
      <c r="M36" s="168">
        <v>22170.26</v>
      </c>
      <c r="N36" s="168"/>
      <c r="O36" s="168">
        <v>250</v>
      </c>
      <c r="P36" s="168">
        <f t="shared" si="9"/>
        <v>88846.51</v>
      </c>
      <c r="Q36" s="163"/>
      <c r="R36" s="170">
        <v>32.340000000000003</v>
      </c>
      <c r="S36" s="163"/>
      <c r="T36" s="171">
        <f t="shared" si="5"/>
        <v>67267.200000000012</v>
      </c>
      <c r="U36" s="171">
        <f t="shared" si="10"/>
        <v>22557.15</v>
      </c>
      <c r="V36" s="171" t="str">
        <f>IF(N36=0," ",+J36*R36)</f>
        <v xml:space="preserve"> </v>
      </c>
      <c r="W36" s="171">
        <f>IF(O36=0," ",+O36)</f>
        <v>250</v>
      </c>
      <c r="X36" s="171">
        <f>SUM(T36:W36)</f>
        <v>90074.35</v>
      </c>
      <c r="Y36" s="164"/>
      <c r="Z36" s="172">
        <f t="shared" si="11"/>
        <v>1227.8400000000111</v>
      </c>
      <c r="AB36" s="267"/>
    </row>
    <row r="37" spans="1:28">
      <c r="A37" s="204">
        <f t="shared" si="4"/>
        <v>26</v>
      </c>
      <c r="C37" s="204">
        <v>1</v>
      </c>
      <c r="D37" s="204">
        <v>1215</v>
      </c>
      <c r="E37" s="169">
        <v>41</v>
      </c>
      <c r="H37" s="264">
        <f>3171-I37</f>
        <v>2088</v>
      </c>
      <c r="I37" s="264">
        <v>1083</v>
      </c>
      <c r="J37" s="264"/>
      <c r="K37" s="265"/>
      <c r="L37" s="168">
        <f>118272.88-M37-O37</f>
        <v>66426.240000000005</v>
      </c>
      <c r="M37" s="168">
        <v>51596.639999999999</v>
      </c>
      <c r="N37" s="168"/>
      <c r="O37" s="168">
        <v>250</v>
      </c>
      <c r="P37" s="168">
        <f t="shared" si="9"/>
        <v>118272.88</v>
      </c>
      <c r="Q37" s="163"/>
      <c r="R37" s="170">
        <v>32.340000000000003</v>
      </c>
      <c r="S37" s="163"/>
      <c r="T37" s="171">
        <f t="shared" si="5"/>
        <v>67267.200000000012</v>
      </c>
      <c r="U37" s="171">
        <f t="shared" si="10"/>
        <v>52536.33</v>
      </c>
      <c r="V37" s="171" t="str">
        <f t="shared" si="6"/>
        <v xml:space="preserve"> </v>
      </c>
      <c r="W37" s="171">
        <f t="shared" si="7"/>
        <v>250</v>
      </c>
      <c r="X37" s="171">
        <f t="shared" si="8"/>
        <v>120053.53000000001</v>
      </c>
      <c r="Y37" s="164"/>
      <c r="Z37" s="172">
        <f t="shared" si="11"/>
        <v>1780.6500000000087</v>
      </c>
      <c r="AB37" s="267"/>
    </row>
    <row r="38" spans="1:28">
      <c r="A38" s="204">
        <f t="shared" si="4"/>
        <v>27</v>
      </c>
      <c r="C38" s="204">
        <v>1</v>
      </c>
      <c r="D38" s="204">
        <v>1216</v>
      </c>
      <c r="E38" s="169">
        <v>43</v>
      </c>
      <c r="H38" s="264">
        <f>2255-I38</f>
        <v>1992</v>
      </c>
      <c r="I38" s="264">
        <v>263</v>
      </c>
      <c r="J38" s="264"/>
      <c r="K38" s="265"/>
      <c r="L38" s="168">
        <f>76073.78-M38-O38</f>
        <v>63321.599999999999</v>
      </c>
      <c r="M38" s="168">
        <v>12502.18</v>
      </c>
      <c r="N38" s="168"/>
      <c r="O38" s="168">
        <v>250</v>
      </c>
      <c r="P38" s="168">
        <f t="shared" si="9"/>
        <v>76073.78</v>
      </c>
      <c r="Q38" s="163"/>
      <c r="R38" s="170">
        <v>32.340000000000003</v>
      </c>
      <c r="S38" s="163"/>
      <c r="T38" s="171">
        <f t="shared" si="5"/>
        <v>67267.200000000012</v>
      </c>
      <c r="U38" s="171">
        <f t="shared" si="10"/>
        <v>12758.130000000001</v>
      </c>
      <c r="V38" s="171" t="str">
        <f t="shared" si="6"/>
        <v xml:space="preserve"> </v>
      </c>
      <c r="W38" s="171">
        <f t="shared" si="7"/>
        <v>250</v>
      </c>
      <c r="X38" s="171">
        <f t="shared" si="8"/>
        <v>80275.330000000016</v>
      </c>
      <c r="Y38" s="164"/>
      <c r="Z38" s="172">
        <f t="shared" si="11"/>
        <v>4201.5500000000175</v>
      </c>
      <c r="AB38" s="267"/>
    </row>
    <row r="39" spans="1:28">
      <c r="A39" s="204">
        <f t="shared" si="4"/>
        <v>28</v>
      </c>
      <c r="C39" s="204">
        <v>1</v>
      </c>
      <c r="D39" s="204">
        <v>1217</v>
      </c>
      <c r="E39" s="169">
        <v>50</v>
      </c>
      <c r="H39" s="264">
        <f>2097.5-I39</f>
        <v>2088</v>
      </c>
      <c r="I39" s="264">
        <v>9.5</v>
      </c>
      <c r="J39" s="264"/>
      <c r="K39" s="265"/>
      <c r="L39" s="168">
        <f>49533.3-M39-O39</f>
        <v>48949.8</v>
      </c>
      <c r="M39" s="168">
        <v>333.5</v>
      </c>
      <c r="N39" s="168"/>
      <c r="O39" s="168">
        <v>250</v>
      </c>
      <c r="P39" s="168">
        <f t="shared" si="9"/>
        <v>49533.3</v>
      </c>
      <c r="Q39" s="163"/>
      <c r="R39" s="170">
        <v>23.83</v>
      </c>
      <c r="S39" s="163"/>
      <c r="T39" s="171">
        <f t="shared" si="5"/>
        <v>49566.399999999994</v>
      </c>
      <c r="U39" s="171">
        <f t="shared" si="10"/>
        <v>339.57749999999999</v>
      </c>
      <c r="V39" s="171" t="str">
        <f t="shared" si="6"/>
        <v xml:space="preserve"> </v>
      </c>
      <c r="W39" s="171">
        <f t="shared" si="7"/>
        <v>250</v>
      </c>
      <c r="X39" s="171">
        <f t="shared" si="8"/>
        <v>50155.977499999994</v>
      </c>
      <c r="Y39" s="164"/>
      <c r="Z39" s="172">
        <f t="shared" si="11"/>
        <v>622.67749999999069</v>
      </c>
      <c r="AB39" s="267"/>
    </row>
    <row r="40" spans="1:28">
      <c r="A40" s="204">
        <f t="shared" si="4"/>
        <v>29</v>
      </c>
      <c r="C40" s="204">
        <v>1</v>
      </c>
      <c r="D40" s="204">
        <v>1219</v>
      </c>
      <c r="E40" s="169">
        <v>138</v>
      </c>
      <c r="H40" s="264">
        <f>2855.5-I40</f>
        <v>2088</v>
      </c>
      <c r="I40" s="264">
        <v>767.5</v>
      </c>
      <c r="J40" s="264"/>
      <c r="K40" s="265" t="s">
        <v>496</v>
      </c>
      <c r="L40" s="168">
        <f>103286.77-M40-O40</f>
        <v>66426.240000000005</v>
      </c>
      <c r="M40" s="168">
        <v>36610.53</v>
      </c>
      <c r="N40" s="168"/>
      <c r="O40" s="168">
        <v>250</v>
      </c>
      <c r="P40" s="168">
        <f t="shared" si="9"/>
        <v>103286.77</v>
      </c>
      <c r="Q40" s="163"/>
      <c r="R40" s="170">
        <v>32.340000000000003</v>
      </c>
      <c r="S40" s="163"/>
      <c r="T40" s="171">
        <f t="shared" si="5"/>
        <v>67267.200000000012</v>
      </c>
      <c r="U40" s="171">
        <f t="shared" si="10"/>
        <v>37231.425000000003</v>
      </c>
      <c r="V40" s="171" t="str">
        <f t="shared" si="6"/>
        <v xml:space="preserve"> </v>
      </c>
      <c r="W40" s="171">
        <f t="shared" si="7"/>
        <v>250</v>
      </c>
      <c r="X40" s="171">
        <f t="shared" si="8"/>
        <v>104748.62500000001</v>
      </c>
      <c r="Y40" s="164"/>
      <c r="Z40" s="172">
        <f t="shared" si="11"/>
        <v>1461.8550000000105</v>
      </c>
      <c r="AB40" s="267"/>
    </row>
    <row r="41" spans="1:28">
      <c r="A41" s="204">
        <f t="shared" si="4"/>
        <v>30</v>
      </c>
      <c r="C41" s="204">
        <v>1</v>
      </c>
      <c r="D41" s="204">
        <v>1220</v>
      </c>
      <c r="E41" s="169">
        <v>139</v>
      </c>
      <c r="H41" s="264">
        <f>2475.5-I41</f>
        <v>2056</v>
      </c>
      <c r="I41" s="264">
        <v>419.5</v>
      </c>
      <c r="J41" s="264"/>
      <c r="K41" s="265"/>
      <c r="L41" s="168">
        <f>85083.5-M41-O41</f>
        <v>64911.839999999997</v>
      </c>
      <c r="M41" s="168">
        <v>19921.66</v>
      </c>
      <c r="N41" s="168"/>
      <c r="O41" s="168">
        <v>250</v>
      </c>
      <c r="P41" s="168">
        <f t="shared" si="9"/>
        <v>85083.5</v>
      </c>
      <c r="Q41" s="163"/>
      <c r="R41" s="170">
        <v>32.1</v>
      </c>
      <c r="S41" s="163"/>
      <c r="T41" s="171">
        <f t="shared" si="5"/>
        <v>66768</v>
      </c>
      <c r="U41" s="171">
        <f t="shared" si="10"/>
        <v>20198.925000000003</v>
      </c>
      <c r="V41" s="171" t="str">
        <f t="shared" si="6"/>
        <v xml:space="preserve"> </v>
      </c>
      <c r="W41" s="171">
        <f t="shared" si="7"/>
        <v>250</v>
      </c>
      <c r="X41" s="171">
        <f t="shared" si="8"/>
        <v>87216.925000000003</v>
      </c>
      <c r="Y41" s="164"/>
      <c r="Z41" s="172">
        <f t="shared" si="11"/>
        <v>2133.4250000000029</v>
      </c>
      <c r="AB41" s="267"/>
    </row>
    <row r="42" spans="1:28">
      <c r="A42" s="204">
        <f t="shared" si="4"/>
        <v>31</v>
      </c>
      <c r="C42" s="204">
        <v>1</v>
      </c>
      <c r="D42" s="204">
        <v>1221</v>
      </c>
      <c r="E42" s="169">
        <v>144</v>
      </c>
      <c r="H42" s="264">
        <f>2218.5-I42</f>
        <v>2088</v>
      </c>
      <c r="I42" s="264">
        <v>130.5</v>
      </c>
      <c r="J42" s="264"/>
      <c r="K42" s="265"/>
      <c r="L42" s="168">
        <f>53794.39-M42-O42</f>
        <v>48949.69</v>
      </c>
      <c r="M42" s="168">
        <v>4594.7</v>
      </c>
      <c r="N42" s="168"/>
      <c r="O42" s="168">
        <v>250</v>
      </c>
      <c r="P42" s="168">
        <f t="shared" si="9"/>
        <v>53794.39</v>
      </c>
      <c r="Q42" s="163"/>
      <c r="R42" s="170">
        <v>23.83</v>
      </c>
      <c r="S42" s="163"/>
      <c r="T42" s="171">
        <f t="shared" si="5"/>
        <v>49566.399999999994</v>
      </c>
      <c r="U42" s="171">
        <f t="shared" si="10"/>
        <v>4664.7224999999999</v>
      </c>
      <c r="V42" s="171" t="str">
        <f t="shared" si="6"/>
        <v xml:space="preserve"> </v>
      </c>
      <c r="W42" s="171">
        <f t="shared" si="7"/>
        <v>250</v>
      </c>
      <c r="X42" s="171">
        <f t="shared" si="8"/>
        <v>54481.122499999998</v>
      </c>
      <c r="Y42" s="164"/>
      <c r="Z42" s="172">
        <f t="shared" si="11"/>
        <v>686.73249999999825</v>
      </c>
      <c r="AB42" s="267"/>
    </row>
    <row r="43" spans="1:28">
      <c r="A43" s="204">
        <f t="shared" si="4"/>
        <v>32</v>
      </c>
      <c r="C43" s="204">
        <v>1</v>
      </c>
      <c r="D43" s="204">
        <v>1222</v>
      </c>
      <c r="E43" s="169">
        <v>164</v>
      </c>
      <c r="H43" s="264">
        <f>2115.75-I43</f>
        <v>2086</v>
      </c>
      <c r="I43" s="264">
        <v>29.75</v>
      </c>
      <c r="J43" s="264"/>
      <c r="K43" s="265"/>
      <c r="L43" s="168">
        <f>50194.65-M43-O43</f>
        <v>48902.090000000004</v>
      </c>
      <c r="M43" s="168">
        <v>1042.56</v>
      </c>
      <c r="N43" s="168"/>
      <c r="O43" s="168">
        <v>250</v>
      </c>
      <c r="P43" s="168">
        <f t="shared" si="9"/>
        <v>50194.65</v>
      </c>
      <c r="Q43" s="163"/>
      <c r="R43" s="170">
        <v>23.83</v>
      </c>
      <c r="S43" s="163"/>
      <c r="T43" s="171">
        <f t="shared" si="5"/>
        <v>49566.399999999994</v>
      </c>
      <c r="U43" s="171">
        <f t="shared" si="10"/>
        <v>1063.4137499999999</v>
      </c>
      <c r="V43" s="171" t="str">
        <f t="shared" si="6"/>
        <v xml:space="preserve"> </v>
      </c>
      <c r="W43" s="171">
        <f t="shared" si="7"/>
        <v>250</v>
      </c>
      <c r="X43" s="171">
        <f t="shared" si="8"/>
        <v>50879.813749999994</v>
      </c>
      <c r="Y43" s="164"/>
      <c r="Z43" s="172">
        <f t="shared" si="11"/>
        <v>685.16374999999243</v>
      </c>
      <c r="AB43" s="267"/>
    </row>
    <row r="44" spans="1:28">
      <c r="A44" s="204">
        <f t="shared" si="4"/>
        <v>33</v>
      </c>
      <c r="C44" s="204">
        <v>1</v>
      </c>
      <c r="D44" s="204">
        <v>1223</v>
      </c>
      <c r="E44" s="169">
        <v>166</v>
      </c>
      <c r="H44" s="264">
        <f>2395-I44</f>
        <v>2056</v>
      </c>
      <c r="I44" s="264">
        <v>339</v>
      </c>
      <c r="J44" s="264"/>
      <c r="K44" s="265"/>
      <c r="L44" s="168">
        <f>83175.16-M44-O44</f>
        <v>66487.680000000008</v>
      </c>
      <c r="M44" s="168">
        <v>16437.48</v>
      </c>
      <c r="N44" s="168"/>
      <c r="O44" s="168">
        <v>250</v>
      </c>
      <c r="P44" s="168">
        <f t="shared" si="9"/>
        <v>83175.16</v>
      </c>
      <c r="Q44" s="163"/>
      <c r="R44" s="170">
        <v>32.880000000000003</v>
      </c>
      <c r="S44" s="163"/>
      <c r="T44" s="171">
        <f t="shared" si="5"/>
        <v>68390.400000000009</v>
      </c>
      <c r="U44" s="171">
        <f t="shared" si="10"/>
        <v>16719.480000000003</v>
      </c>
      <c r="V44" s="171" t="str">
        <f t="shared" si="6"/>
        <v xml:space="preserve"> </v>
      </c>
      <c r="W44" s="171">
        <f t="shared" si="7"/>
        <v>250</v>
      </c>
      <c r="X44" s="171">
        <f t="shared" si="8"/>
        <v>85359.88</v>
      </c>
      <c r="Y44" s="164"/>
      <c r="Z44" s="172">
        <f t="shared" si="11"/>
        <v>2184.7200000000012</v>
      </c>
      <c r="AB44" s="267"/>
    </row>
    <row r="45" spans="1:28">
      <c r="A45" s="204">
        <f t="shared" si="4"/>
        <v>34</v>
      </c>
      <c r="C45" s="204">
        <v>1</v>
      </c>
      <c r="D45" s="204">
        <v>1225</v>
      </c>
      <c r="E45" s="268">
        <v>169</v>
      </c>
      <c r="F45" s="208"/>
      <c r="G45" s="208"/>
      <c r="H45" s="264">
        <f>2479.5-I45</f>
        <v>2088</v>
      </c>
      <c r="I45" s="264">
        <v>391.5</v>
      </c>
      <c r="J45" s="264"/>
      <c r="K45" s="265"/>
      <c r="L45" s="168">
        <f>65103.46-M45-O45</f>
        <v>50613.119999999995</v>
      </c>
      <c r="M45" s="168">
        <v>14240.34</v>
      </c>
      <c r="N45" s="168"/>
      <c r="O45" s="168">
        <v>250</v>
      </c>
      <c r="P45" s="168">
        <f t="shared" si="9"/>
        <v>65103.459999999992</v>
      </c>
      <c r="Q45" s="163"/>
      <c r="R45" s="170">
        <v>24.64</v>
      </c>
      <c r="S45" s="163"/>
      <c r="T45" s="171">
        <f t="shared" si="5"/>
        <v>51251.200000000004</v>
      </c>
      <c r="U45" s="171">
        <f t="shared" si="10"/>
        <v>14469.84</v>
      </c>
      <c r="V45" s="171" t="str">
        <f t="shared" si="6"/>
        <v xml:space="preserve"> </v>
      </c>
      <c r="W45" s="171">
        <f t="shared" si="7"/>
        <v>250</v>
      </c>
      <c r="X45" s="171">
        <f t="shared" si="8"/>
        <v>65971.040000000008</v>
      </c>
      <c r="Y45" s="164"/>
      <c r="Z45" s="172">
        <f t="shared" si="11"/>
        <v>867.5800000000163</v>
      </c>
      <c r="AB45" s="267"/>
    </row>
    <row r="46" spans="1:28">
      <c r="A46" s="204">
        <f t="shared" si="4"/>
        <v>35</v>
      </c>
      <c r="C46" s="204">
        <v>1</v>
      </c>
      <c r="D46" s="204">
        <v>1229</v>
      </c>
      <c r="E46" s="268">
        <v>174</v>
      </c>
      <c r="F46" s="208"/>
      <c r="G46" s="208"/>
      <c r="H46" s="264">
        <f>2499-I46</f>
        <v>2068</v>
      </c>
      <c r="I46" s="264">
        <v>431</v>
      </c>
      <c r="J46" s="264"/>
      <c r="K46" s="265"/>
      <c r="L46" s="168">
        <f>86619.5-M46-O46</f>
        <v>65771.540000000008</v>
      </c>
      <c r="M46" s="168">
        <v>20597.96</v>
      </c>
      <c r="N46" s="168"/>
      <c r="O46" s="168">
        <v>250</v>
      </c>
      <c r="P46" s="168">
        <f t="shared" si="9"/>
        <v>86619.5</v>
      </c>
      <c r="Q46" s="163"/>
      <c r="R46" s="170">
        <v>32.340000000000003</v>
      </c>
      <c r="S46" s="163"/>
      <c r="T46" s="171">
        <f t="shared" si="5"/>
        <v>67267.200000000012</v>
      </c>
      <c r="U46" s="171">
        <f t="shared" si="10"/>
        <v>20907.810000000001</v>
      </c>
      <c r="V46" s="171" t="str">
        <f t="shared" si="6"/>
        <v xml:space="preserve"> </v>
      </c>
      <c r="W46" s="171">
        <f t="shared" si="7"/>
        <v>250</v>
      </c>
      <c r="X46" s="171">
        <f t="shared" si="8"/>
        <v>88425.010000000009</v>
      </c>
      <c r="Y46" s="164"/>
      <c r="Z46" s="172">
        <f t="shared" si="11"/>
        <v>1805.5100000000093</v>
      </c>
      <c r="AB46" s="267"/>
    </row>
    <row r="47" spans="1:28">
      <c r="E47" s="268"/>
      <c r="F47" s="208"/>
      <c r="G47" s="208"/>
      <c r="H47" s="264"/>
      <c r="I47" s="264"/>
      <c r="J47" s="264"/>
      <c r="K47" s="265"/>
      <c r="L47" s="168"/>
      <c r="M47" s="168"/>
      <c r="N47" s="168"/>
      <c r="O47" s="168"/>
      <c r="P47" s="168"/>
      <c r="Q47" s="163"/>
      <c r="R47" s="170"/>
      <c r="S47" s="163"/>
      <c r="T47" s="171"/>
      <c r="U47" s="171"/>
      <c r="V47" s="171"/>
      <c r="W47" s="171"/>
      <c r="X47" s="171"/>
      <c r="Y47" s="164"/>
      <c r="Z47" s="172"/>
      <c r="AB47" s="267"/>
    </row>
    <row r="48" spans="1:28" ht="20.25" customHeight="1">
      <c r="C48" s="473" t="s">
        <v>265</v>
      </c>
      <c r="D48" s="473"/>
      <c r="E48" s="473"/>
      <c r="F48" s="473"/>
      <c r="H48" s="473" t="s">
        <v>254</v>
      </c>
      <c r="I48" s="473"/>
      <c r="J48" s="473"/>
      <c r="K48" s="265"/>
      <c r="L48" s="473" t="s">
        <v>255</v>
      </c>
      <c r="M48" s="473"/>
      <c r="N48" s="473"/>
      <c r="O48" s="473"/>
      <c r="P48" s="473"/>
      <c r="Q48" s="163"/>
      <c r="R48" s="476" t="s">
        <v>491</v>
      </c>
      <c r="S48" s="163"/>
      <c r="T48" s="473" t="s">
        <v>256</v>
      </c>
      <c r="U48" s="473"/>
      <c r="V48" s="473"/>
      <c r="W48" s="473"/>
      <c r="X48" s="473"/>
      <c r="Y48" s="164"/>
      <c r="Z48" s="476" t="s">
        <v>257</v>
      </c>
      <c r="AB48" s="267"/>
    </row>
    <row r="49" spans="1:28" ht="16.5" customHeight="1">
      <c r="A49" s="208" t="s">
        <v>0</v>
      </c>
      <c r="B49" s="42"/>
      <c r="C49" s="208" t="s">
        <v>492</v>
      </c>
      <c r="D49" s="208" t="s">
        <v>258</v>
      </c>
      <c r="E49" s="161" t="s">
        <v>259</v>
      </c>
      <c r="F49" s="208" t="s">
        <v>264</v>
      </c>
      <c r="H49" s="48" t="s">
        <v>260</v>
      </c>
      <c r="I49" s="48" t="s">
        <v>261</v>
      </c>
      <c r="J49" s="48" t="s">
        <v>493</v>
      </c>
      <c r="K49" s="162"/>
      <c r="L49" s="48" t="s">
        <v>260</v>
      </c>
      <c r="M49" s="205" t="s">
        <v>261</v>
      </c>
      <c r="N49" s="48" t="s">
        <v>493</v>
      </c>
      <c r="O49" s="205" t="s">
        <v>494</v>
      </c>
      <c r="P49" s="205" t="s">
        <v>43</v>
      </c>
      <c r="Q49" s="163"/>
      <c r="R49" s="476"/>
      <c r="S49" s="163"/>
      <c r="T49" s="205" t="s">
        <v>260</v>
      </c>
      <c r="U49" s="205" t="s">
        <v>261</v>
      </c>
      <c r="V49" s="48" t="s">
        <v>493</v>
      </c>
      <c r="W49" s="205" t="s">
        <v>494</v>
      </c>
      <c r="X49" s="205" t="s">
        <v>43</v>
      </c>
      <c r="Y49" s="164"/>
      <c r="Z49" s="476"/>
      <c r="AB49" s="267"/>
    </row>
    <row r="50" spans="1:28">
      <c r="A50" s="49" t="s">
        <v>21</v>
      </c>
      <c r="B50" s="42"/>
      <c r="C50" s="50">
        <v>1</v>
      </c>
      <c r="D50" s="50">
        <f>C50+1</f>
        <v>2</v>
      </c>
      <c r="E50" s="165" t="s">
        <v>262</v>
      </c>
      <c r="F50" s="50">
        <f>D50+1</f>
        <v>3</v>
      </c>
      <c r="H50" s="50">
        <f>F50+1</f>
        <v>4</v>
      </c>
      <c r="I50" s="50">
        <f>H50+1</f>
        <v>5</v>
      </c>
      <c r="J50" s="50">
        <f>I50+1</f>
        <v>6</v>
      </c>
      <c r="K50" s="162"/>
      <c r="L50" s="50">
        <f>J50+1</f>
        <v>7</v>
      </c>
      <c r="M50" s="50">
        <f>L50+1</f>
        <v>8</v>
      </c>
      <c r="N50" s="50">
        <f>M50+1</f>
        <v>9</v>
      </c>
      <c r="O50" s="50">
        <f>N50+1</f>
        <v>10</v>
      </c>
      <c r="P50" s="50">
        <f>O50+1</f>
        <v>11</v>
      </c>
      <c r="Q50" s="163"/>
      <c r="R50" s="50">
        <f>P50+1</f>
        <v>12</v>
      </c>
      <c r="S50" s="163"/>
      <c r="T50" s="50">
        <f>R50+1</f>
        <v>13</v>
      </c>
      <c r="U50" s="50">
        <f>T50+1</f>
        <v>14</v>
      </c>
      <c r="V50" s="50">
        <f>U50+1</f>
        <v>15</v>
      </c>
      <c r="W50" s="50">
        <f>V50+1</f>
        <v>16</v>
      </c>
      <c r="X50" s="50">
        <f>W50+1</f>
        <v>17</v>
      </c>
      <c r="Y50" s="164"/>
      <c r="Z50" s="50">
        <f>X50+1</f>
        <v>18</v>
      </c>
      <c r="AB50" s="267"/>
    </row>
    <row r="51" spans="1:28">
      <c r="A51" s="204">
        <f>A46+1</f>
        <v>36</v>
      </c>
      <c r="C51" s="204">
        <v>1</v>
      </c>
      <c r="D51" s="204">
        <v>1230</v>
      </c>
      <c r="E51" s="268"/>
      <c r="F51" s="208"/>
      <c r="G51" s="208"/>
      <c r="H51" s="264">
        <f>2212.5-I51</f>
        <v>2066</v>
      </c>
      <c r="I51" s="264">
        <v>146.5</v>
      </c>
      <c r="J51" s="264"/>
      <c r="K51" s="265"/>
      <c r="L51" s="168">
        <f>68342.23-M51-O51</f>
        <v>61500.34</v>
      </c>
      <c r="M51" s="168">
        <v>6591.89</v>
      </c>
      <c r="N51" s="168"/>
      <c r="O51" s="168">
        <v>250</v>
      </c>
      <c r="P51" s="168">
        <f t="shared" si="9"/>
        <v>68342.23</v>
      </c>
      <c r="Q51" s="163"/>
      <c r="R51" s="170">
        <v>30.27</v>
      </c>
      <c r="S51" s="163"/>
      <c r="T51" s="171">
        <f t="shared" si="5"/>
        <v>62961.599999999999</v>
      </c>
      <c r="U51" s="171">
        <f t="shared" si="10"/>
        <v>6651.8325000000004</v>
      </c>
      <c r="V51" s="171" t="str">
        <f t="shared" si="6"/>
        <v xml:space="preserve"> </v>
      </c>
      <c r="W51" s="171">
        <v>250</v>
      </c>
      <c r="X51" s="171">
        <f t="shared" si="8"/>
        <v>69863.432499999995</v>
      </c>
      <c r="Y51" s="164"/>
      <c r="Z51" s="172">
        <f t="shared" si="11"/>
        <v>1521.2024999999994</v>
      </c>
      <c r="AB51" s="267"/>
    </row>
    <row r="52" spans="1:28">
      <c r="A52" s="204">
        <f>A51+1</f>
        <v>37</v>
      </c>
      <c r="C52" s="204">
        <v>1</v>
      </c>
      <c r="D52" s="448">
        <v>1231</v>
      </c>
      <c r="E52" s="268"/>
      <c r="F52" s="458" t="s">
        <v>128</v>
      </c>
      <c r="G52" s="208"/>
      <c r="H52" s="264">
        <f>2094.5-I52</f>
        <v>2088</v>
      </c>
      <c r="I52" s="264">
        <v>6.5</v>
      </c>
      <c r="J52" s="264"/>
      <c r="K52" s="265"/>
      <c r="L52" s="168">
        <f>49428.58-M52-O52</f>
        <v>48949.72</v>
      </c>
      <c r="M52" s="168">
        <v>228.86</v>
      </c>
      <c r="N52" s="168"/>
      <c r="O52" s="168">
        <v>250</v>
      </c>
      <c r="P52" s="168">
        <f t="shared" si="9"/>
        <v>49428.58</v>
      </c>
      <c r="Q52" s="163"/>
      <c r="R52" s="461">
        <v>0</v>
      </c>
      <c r="S52" s="456"/>
      <c r="T52" s="462">
        <f t="shared" si="5"/>
        <v>0</v>
      </c>
      <c r="U52" s="462">
        <f t="shared" si="10"/>
        <v>0</v>
      </c>
      <c r="V52" s="460" t="str">
        <f t="shared" si="6"/>
        <v xml:space="preserve"> </v>
      </c>
      <c r="W52" s="462">
        <v>0</v>
      </c>
      <c r="X52" s="462">
        <f t="shared" si="8"/>
        <v>0</v>
      </c>
      <c r="Y52" s="457"/>
      <c r="Z52" s="453">
        <f t="shared" si="11"/>
        <v>-49428.58</v>
      </c>
      <c r="AB52" s="267"/>
    </row>
    <row r="53" spans="1:28">
      <c r="A53" s="204">
        <f t="shared" ref="A53:A84" si="12">A52+1</f>
        <v>38</v>
      </c>
      <c r="C53" s="204">
        <v>1</v>
      </c>
      <c r="D53" s="204">
        <v>1232</v>
      </c>
      <c r="E53" s="268"/>
      <c r="F53" s="208"/>
      <c r="G53" s="208"/>
      <c r="H53" s="264">
        <f>2761.5-I53</f>
        <v>2056</v>
      </c>
      <c r="I53" s="264">
        <v>705.5</v>
      </c>
      <c r="J53" s="264"/>
      <c r="K53" s="265"/>
      <c r="L53" s="168">
        <f>101014.54-M53-O53</f>
        <v>66487.679999999993</v>
      </c>
      <c r="M53" s="168">
        <v>34276.86</v>
      </c>
      <c r="N53" s="168"/>
      <c r="O53" s="168">
        <v>250</v>
      </c>
      <c r="P53" s="168">
        <f t="shared" si="9"/>
        <v>101014.54</v>
      </c>
      <c r="Q53" s="163"/>
      <c r="R53" s="170">
        <v>32.880000000000003</v>
      </c>
      <c r="S53" s="163"/>
      <c r="T53" s="171">
        <f t="shared" si="5"/>
        <v>68390.400000000009</v>
      </c>
      <c r="U53" s="171">
        <f t="shared" si="10"/>
        <v>34795.26</v>
      </c>
      <c r="V53" s="171" t="str">
        <f t="shared" si="6"/>
        <v xml:space="preserve"> </v>
      </c>
      <c r="W53" s="171">
        <v>250</v>
      </c>
      <c r="X53" s="171">
        <f t="shared" si="8"/>
        <v>103435.66</v>
      </c>
      <c r="Y53" s="164"/>
      <c r="Z53" s="172">
        <f t="shared" si="11"/>
        <v>2421.1200000000099</v>
      </c>
      <c r="AB53" s="267"/>
    </row>
    <row r="54" spans="1:28">
      <c r="A54" s="204">
        <f t="shared" si="12"/>
        <v>39</v>
      </c>
      <c r="C54" s="204">
        <v>1</v>
      </c>
      <c r="D54" s="204">
        <v>1233</v>
      </c>
      <c r="E54" s="268"/>
      <c r="F54" s="208"/>
      <c r="G54" s="208"/>
      <c r="H54" s="264">
        <f>3470-1398</f>
        <v>2072</v>
      </c>
      <c r="I54" s="264">
        <v>1398</v>
      </c>
      <c r="J54" s="264"/>
      <c r="K54" s="265"/>
      <c r="L54" s="168">
        <f>132844.56-M54-O54</f>
        <v>65915.13</v>
      </c>
      <c r="M54" s="168">
        <v>66679.429999999993</v>
      </c>
      <c r="N54" s="168"/>
      <c r="O54" s="266">
        <v>250</v>
      </c>
      <c r="P54" s="168">
        <f t="shared" si="9"/>
        <v>132844.56</v>
      </c>
      <c r="Q54" s="163"/>
      <c r="R54" s="170">
        <v>32.340000000000003</v>
      </c>
      <c r="S54" s="163"/>
      <c r="T54" s="171">
        <f t="shared" si="5"/>
        <v>67267.200000000012</v>
      </c>
      <c r="U54" s="171">
        <f t="shared" si="10"/>
        <v>67816.98000000001</v>
      </c>
      <c r="V54" s="171" t="str">
        <f t="shared" si="6"/>
        <v xml:space="preserve"> </v>
      </c>
      <c r="W54" s="171">
        <v>250</v>
      </c>
      <c r="X54" s="171">
        <f t="shared" si="8"/>
        <v>135334.18000000002</v>
      </c>
      <c r="Y54" s="164"/>
      <c r="Z54" s="172">
        <f t="shared" si="11"/>
        <v>2489.6200000000244</v>
      </c>
      <c r="AB54" s="267"/>
    </row>
    <row r="55" spans="1:28">
      <c r="A55" s="204">
        <f t="shared" si="12"/>
        <v>40</v>
      </c>
      <c r="C55" s="204">
        <v>1</v>
      </c>
      <c r="D55" s="204">
        <v>1235</v>
      </c>
      <c r="E55" s="268"/>
      <c r="F55" s="208"/>
      <c r="G55" s="208"/>
      <c r="H55" s="264">
        <f>2140.5-I55</f>
        <v>2088</v>
      </c>
      <c r="I55" s="264">
        <v>52.5</v>
      </c>
      <c r="J55" s="264"/>
      <c r="K55" s="265"/>
      <c r="L55" s="168">
        <f>64749.17-M55-O55</f>
        <v>62173.68</v>
      </c>
      <c r="M55" s="168">
        <v>2325.4899999999998</v>
      </c>
      <c r="N55" s="168"/>
      <c r="O55" s="266">
        <v>250</v>
      </c>
      <c r="P55" s="168">
        <f t="shared" si="9"/>
        <v>64749.17</v>
      </c>
      <c r="Q55" s="163"/>
      <c r="R55" s="170">
        <v>30.27</v>
      </c>
      <c r="S55" s="163"/>
      <c r="T55" s="171">
        <f t="shared" si="5"/>
        <v>62961.599999999999</v>
      </c>
      <c r="U55" s="171">
        <f t="shared" si="10"/>
        <v>2383.7624999999998</v>
      </c>
      <c r="V55" s="171" t="str">
        <f t="shared" si="6"/>
        <v xml:space="preserve"> </v>
      </c>
      <c r="W55" s="171">
        <v>250</v>
      </c>
      <c r="X55" s="171">
        <f t="shared" si="8"/>
        <v>65595.362499999988</v>
      </c>
      <c r="Y55" s="164"/>
      <c r="Z55" s="172">
        <f t="shared" si="11"/>
        <v>846.1924999999901</v>
      </c>
      <c r="AB55" s="267"/>
    </row>
    <row r="56" spans="1:28">
      <c r="A56" s="204">
        <f t="shared" si="12"/>
        <v>41</v>
      </c>
      <c r="C56" s="204">
        <v>1</v>
      </c>
      <c r="D56" s="204">
        <v>1236</v>
      </c>
      <c r="E56" s="268"/>
      <c r="F56" s="208"/>
      <c r="G56" s="208"/>
      <c r="H56" s="264">
        <f>2098-I56</f>
        <v>2088</v>
      </c>
      <c r="I56" s="264">
        <v>10</v>
      </c>
      <c r="J56" s="264"/>
      <c r="K56" s="265"/>
      <c r="L56" s="168">
        <f>49550.63-M56-O56</f>
        <v>48949.7</v>
      </c>
      <c r="M56" s="168">
        <v>350.93</v>
      </c>
      <c r="N56" s="168"/>
      <c r="O56" s="168">
        <v>250</v>
      </c>
      <c r="P56" s="168">
        <f t="shared" si="9"/>
        <v>49550.63</v>
      </c>
      <c r="Q56" s="163"/>
      <c r="R56" s="170">
        <v>23.83</v>
      </c>
      <c r="S56" s="163"/>
      <c r="T56" s="171">
        <f t="shared" si="5"/>
        <v>49566.399999999994</v>
      </c>
      <c r="U56" s="171">
        <f t="shared" si="10"/>
        <v>357.45</v>
      </c>
      <c r="V56" s="171" t="str">
        <f t="shared" si="6"/>
        <v xml:space="preserve"> </v>
      </c>
      <c r="W56" s="171">
        <v>250</v>
      </c>
      <c r="X56" s="171">
        <f t="shared" si="8"/>
        <v>50173.849999999991</v>
      </c>
      <c r="Y56" s="164"/>
      <c r="Z56" s="172">
        <f t="shared" si="11"/>
        <v>623.21999999999389</v>
      </c>
      <c r="AB56" s="267"/>
    </row>
    <row r="57" spans="1:28">
      <c r="A57" s="204">
        <f t="shared" si="12"/>
        <v>42</v>
      </c>
      <c r="C57" s="204">
        <v>1</v>
      </c>
      <c r="D57" s="204">
        <v>1237</v>
      </c>
      <c r="E57" s="268"/>
      <c r="F57" s="208"/>
      <c r="G57" s="208"/>
      <c r="H57" s="264">
        <f>2106.25-I57</f>
        <v>2088</v>
      </c>
      <c r="I57" s="264">
        <v>18.25</v>
      </c>
      <c r="J57" s="264"/>
      <c r="K57" s="265"/>
      <c r="L57" s="168">
        <f>49840.32-M57-O57</f>
        <v>48949.7</v>
      </c>
      <c r="M57" s="168">
        <v>640.62</v>
      </c>
      <c r="N57" s="168"/>
      <c r="O57" s="168">
        <v>250</v>
      </c>
      <c r="P57" s="168">
        <f t="shared" si="9"/>
        <v>49840.32</v>
      </c>
      <c r="Q57" s="163"/>
      <c r="R57" s="170">
        <v>23.83</v>
      </c>
      <c r="S57" s="163"/>
      <c r="T57" s="171">
        <f t="shared" si="5"/>
        <v>49566.399999999994</v>
      </c>
      <c r="U57" s="171">
        <f t="shared" si="10"/>
        <v>652.34624999999994</v>
      </c>
      <c r="V57" s="171" t="str">
        <f t="shared" si="6"/>
        <v xml:space="preserve"> </v>
      </c>
      <c r="W57" s="171">
        <v>250</v>
      </c>
      <c r="X57" s="171">
        <f t="shared" si="8"/>
        <v>50468.746249999997</v>
      </c>
      <c r="Y57" s="164"/>
      <c r="Z57" s="172">
        <f t="shared" si="11"/>
        <v>628.4262499999968</v>
      </c>
      <c r="AB57" s="267"/>
    </row>
    <row r="58" spans="1:28">
      <c r="A58" s="204">
        <f t="shared" si="12"/>
        <v>43</v>
      </c>
      <c r="C58" s="204">
        <v>1</v>
      </c>
      <c r="D58" s="204">
        <v>1238</v>
      </c>
      <c r="E58" s="268"/>
      <c r="F58" s="208"/>
      <c r="G58" s="208"/>
      <c r="H58" s="264">
        <f>2517-I58</f>
        <v>2056</v>
      </c>
      <c r="I58" s="264">
        <v>461</v>
      </c>
      <c r="J58" s="264"/>
      <c r="K58" s="265"/>
      <c r="L58" s="168">
        <f>89162.2-M58-O58</f>
        <v>66487.679999999993</v>
      </c>
      <c r="M58" s="168">
        <v>22424.52</v>
      </c>
      <c r="N58" s="168"/>
      <c r="O58" s="168">
        <v>250</v>
      </c>
      <c r="P58" s="168">
        <f t="shared" si="9"/>
        <v>89162.2</v>
      </c>
      <c r="Q58" s="163"/>
      <c r="R58" s="170">
        <v>32.880000000000003</v>
      </c>
      <c r="S58" s="163"/>
      <c r="T58" s="171">
        <f t="shared" si="5"/>
        <v>68390.400000000009</v>
      </c>
      <c r="U58" s="171">
        <f t="shared" si="10"/>
        <v>22736.52</v>
      </c>
      <c r="V58" s="171" t="str">
        <f t="shared" si="6"/>
        <v xml:space="preserve"> </v>
      </c>
      <c r="W58" s="171">
        <v>250</v>
      </c>
      <c r="X58" s="171">
        <f t="shared" si="8"/>
        <v>91376.920000000013</v>
      </c>
      <c r="Y58" s="164"/>
      <c r="Z58" s="172">
        <f>X58-P58</f>
        <v>2214.7200000000157</v>
      </c>
      <c r="AB58" s="267"/>
    </row>
    <row r="59" spans="1:28">
      <c r="A59" s="204">
        <f t="shared" si="12"/>
        <v>44</v>
      </c>
      <c r="C59" s="204">
        <v>1</v>
      </c>
      <c r="D59" s="204">
        <v>1241</v>
      </c>
      <c r="E59" s="268"/>
      <c r="F59" s="208"/>
      <c r="G59" s="208"/>
      <c r="H59" s="264">
        <f>2116-I59</f>
        <v>2079</v>
      </c>
      <c r="I59" s="264">
        <v>37</v>
      </c>
      <c r="J59" s="264"/>
      <c r="K59" s="265"/>
      <c r="L59" s="168">
        <f>68162.49-M59-O59</f>
        <v>66143.08</v>
      </c>
      <c r="M59" s="168">
        <v>1769.41</v>
      </c>
      <c r="N59" s="168"/>
      <c r="O59" s="168">
        <v>250</v>
      </c>
      <c r="P59" s="168">
        <f t="shared" si="9"/>
        <v>68162.490000000005</v>
      </c>
      <c r="Q59" s="163"/>
      <c r="R59" s="170">
        <v>32.340000000000003</v>
      </c>
      <c r="S59" s="163"/>
      <c r="T59" s="171">
        <f t="shared" si="5"/>
        <v>67267.200000000012</v>
      </c>
      <c r="U59" s="171">
        <f t="shared" si="10"/>
        <v>1794.8700000000003</v>
      </c>
      <c r="V59" s="171" t="str">
        <f t="shared" si="6"/>
        <v xml:space="preserve"> </v>
      </c>
      <c r="W59" s="171">
        <v>250</v>
      </c>
      <c r="X59" s="171">
        <f t="shared" si="8"/>
        <v>69312.070000000007</v>
      </c>
      <c r="Y59" s="164"/>
      <c r="Z59" s="172">
        <f>X59-P59</f>
        <v>1149.5800000000017</v>
      </c>
      <c r="AB59" s="267"/>
    </row>
    <row r="60" spans="1:28">
      <c r="A60" s="204">
        <f t="shared" si="12"/>
        <v>45</v>
      </c>
      <c r="C60" s="204">
        <v>1</v>
      </c>
      <c r="D60" s="204">
        <v>1242</v>
      </c>
      <c r="E60" s="268"/>
      <c r="F60" s="208"/>
      <c r="G60" s="208"/>
      <c r="H60" s="264">
        <f>2119-I60</f>
        <v>2088</v>
      </c>
      <c r="I60" s="264">
        <v>31</v>
      </c>
      <c r="J60" s="264"/>
      <c r="K60" s="265"/>
      <c r="L60" s="168">
        <f>50290.42-M60-O60</f>
        <v>48949.72</v>
      </c>
      <c r="M60" s="168">
        <v>1090.7</v>
      </c>
      <c r="N60" s="168"/>
      <c r="O60" s="168">
        <v>250</v>
      </c>
      <c r="P60" s="168">
        <f t="shared" si="9"/>
        <v>50290.42</v>
      </c>
      <c r="Q60" s="163"/>
      <c r="R60" s="170">
        <v>23.83</v>
      </c>
      <c r="S60" s="163"/>
      <c r="T60" s="171">
        <f t="shared" si="5"/>
        <v>49566.399999999994</v>
      </c>
      <c r="U60" s="171">
        <f t="shared" si="10"/>
        <v>1108.0949999999998</v>
      </c>
      <c r="V60" s="171" t="str">
        <f t="shared" si="6"/>
        <v xml:space="preserve"> </v>
      </c>
      <c r="W60" s="171">
        <v>250</v>
      </c>
      <c r="X60" s="171">
        <f t="shared" si="8"/>
        <v>50924.494999999995</v>
      </c>
      <c r="Y60" s="164"/>
      <c r="Z60" s="172">
        <f>X60-P60</f>
        <v>634.07499999999709</v>
      </c>
      <c r="AB60" s="267"/>
    </row>
    <row r="61" spans="1:28">
      <c r="A61" s="204">
        <f t="shared" si="12"/>
        <v>46</v>
      </c>
      <c r="C61" s="204">
        <v>1</v>
      </c>
      <c r="D61" s="204">
        <v>1244</v>
      </c>
      <c r="E61" s="268"/>
      <c r="F61" s="208"/>
      <c r="G61" s="208"/>
      <c r="H61" s="264">
        <f>3587.5-I61</f>
        <v>2048</v>
      </c>
      <c r="I61" s="264">
        <v>1539.5</v>
      </c>
      <c r="J61" s="264"/>
      <c r="K61" s="265"/>
      <c r="L61" s="168">
        <f>138858.07-M61-O61</f>
        <v>65132.640000000014</v>
      </c>
      <c r="M61" s="168">
        <v>73475.429999999993</v>
      </c>
      <c r="N61" s="168"/>
      <c r="O61" s="168">
        <v>250</v>
      </c>
      <c r="P61" s="168">
        <f t="shared" si="9"/>
        <v>138858.07</v>
      </c>
      <c r="Q61" s="163"/>
      <c r="R61" s="170">
        <v>32.340000000000003</v>
      </c>
      <c r="S61" s="163"/>
      <c r="T61" s="171">
        <f t="shared" si="5"/>
        <v>67267.200000000012</v>
      </c>
      <c r="U61" s="171">
        <f t="shared" si="10"/>
        <v>74681.145000000019</v>
      </c>
      <c r="V61" s="171" t="str">
        <f t="shared" si="6"/>
        <v xml:space="preserve"> </v>
      </c>
      <c r="W61" s="171">
        <v>250</v>
      </c>
      <c r="X61" s="171">
        <f t="shared" si="8"/>
        <v>142198.34500000003</v>
      </c>
      <c r="Y61" s="164"/>
      <c r="Z61" s="172">
        <f>X61-P61</f>
        <v>3340.2750000000233</v>
      </c>
      <c r="AB61" s="267"/>
    </row>
    <row r="62" spans="1:28">
      <c r="A62" s="204">
        <f t="shared" si="12"/>
        <v>47</v>
      </c>
      <c r="C62" s="204">
        <v>1</v>
      </c>
      <c r="D62" s="204">
        <v>1246</v>
      </c>
      <c r="E62" s="268"/>
      <c r="F62" s="208"/>
      <c r="G62" s="208"/>
      <c r="H62" s="264">
        <f>2268.5-I62</f>
        <v>2090</v>
      </c>
      <c r="I62" s="264">
        <v>178.5</v>
      </c>
      <c r="J62" s="264"/>
      <c r="K62" s="265"/>
      <c r="L62" s="168">
        <f>74716.62-M62-O62</f>
        <v>66001.679999999993</v>
      </c>
      <c r="M62" s="168">
        <v>8464.94</v>
      </c>
      <c r="N62" s="168"/>
      <c r="O62" s="168">
        <v>250</v>
      </c>
      <c r="P62" s="168">
        <f t="shared" si="9"/>
        <v>74716.62</v>
      </c>
      <c r="Q62" s="163"/>
      <c r="R62" s="170">
        <v>32.1</v>
      </c>
      <c r="S62" s="163"/>
      <c r="T62" s="171">
        <f t="shared" si="5"/>
        <v>66768</v>
      </c>
      <c r="U62" s="171">
        <f t="shared" si="10"/>
        <v>8594.7750000000015</v>
      </c>
      <c r="V62" s="171" t="str">
        <f t="shared" si="6"/>
        <v xml:space="preserve"> </v>
      </c>
      <c r="W62" s="171">
        <v>250</v>
      </c>
      <c r="X62" s="171">
        <f t="shared" ref="X62:X64" si="13">SUM(T62:W62)</f>
        <v>75612.774999999994</v>
      </c>
      <c r="Y62" s="164"/>
      <c r="Z62" s="172">
        <f t="shared" ref="Z62:Z64" si="14">X62-P62</f>
        <v>896.15499999999884</v>
      </c>
      <c r="AB62" s="267"/>
    </row>
    <row r="63" spans="1:28">
      <c r="A63" s="204">
        <f t="shared" si="12"/>
        <v>48</v>
      </c>
      <c r="C63" s="204">
        <v>1</v>
      </c>
      <c r="D63" s="204">
        <v>1248</v>
      </c>
      <c r="E63" s="268"/>
      <c r="F63" s="208"/>
      <c r="G63" s="208"/>
      <c r="H63" s="264">
        <f>2171.5-I63</f>
        <v>2088</v>
      </c>
      <c r="I63" s="264">
        <v>83.5</v>
      </c>
      <c r="J63" s="264"/>
      <c r="K63" s="265"/>
      <c r="L63" s="168">
        <f>70654.56-M63-O63</f>
        <v>66426.239999999991</v>
      </c>
      <c r="M63" s="168">
        <v>3978.32</v>
      </c>
      <c r="N63" s="168"/>
      <c r="O63" s="168">
        <v>250</v>
      </c>
      <c r="P63" s="168">
        <f t="shared" si="9"/>
        <v>70654.559999999998</v>
      </c>
      <c r="Q63" s="163"/>
      <c r="R63" s="170">
        <v>32.340000000000003</v>
      </c>
      <c r="S63" s="163"/>
      <c r="T63" s="171">
        <f t="shared" si="5"/>
        <v>67267.200000000012</v>
      </c>
      <c r="U63" s="171">
        <f t="shared" si="10"/>
        <v>4050.5850000000005</v>
      </c>
      <c r="V63" s="171" t="str">
        <f t="shared" si="6"/>
        <v xml:space="preserve"> </v>
      </c>
      <c r="W63" s="171">
        <v>250</v>
      </c>
      <c r="X63" s="171">
        <f t="shared" si="13"/>
        <v>71567.785000000018</v>
      </c>
      <c r="Y63" s="164"/>
      <c r="Z63" s="172">
        <f t="shared" si="14"/>
        <v>913.22500000002037</v>
      </c>
      <c r="AB63" s="267"/>
    </row>
    <row r="64" spans="1:28">
      <c r="A64" s="204">
        <f t="shared" si="12"/>
        <v>49</v>
      </c>
      <c r="C64" s="204">
        <v>1</v>
      </c>
      <c r="D64" s="204">
        <v>1249</v>
      </c>
      <c r="E64" s="268"/>
      <c r="F64" s="208"/>
      <c r="G64" s="208"/>
      <c r="H64" s="264">
        <f>2589-I64</f>
        <v>2088</v>
      </c>
      <c r="I64" s="264">
        <v>501</v>
      </c>
      <c r="J64" s="264"/>
      <c r="K64" s="265"/>
      <c r="L64" s="168">
        <f>92049.76-M64-O64</f>
        <v>67539.839999999997</v>
      </c>
      <c r="M64" s="168">
        <v>24259.919999999998</v>
      </c>
      <c r="N64" s="168"/>
      <c r="O64" s="168">
        <v>250</v>
      </c>
      <c r="P64" s="168">
        <f t="shared" si="9"/>
        <v>92049.76</v>
      </c>
      <c r="Q64" s="163"/>
      <c r="R64" s="170">
        <v>32.880000000000003</v>
      </c>
      <c r="S64" s="163"/>
      <c r="T64" s="171">
        <f t="shared" si="5"/>
        <v>68390.400000000009</v>
      </c>
      <c r="U64" s="171">
        <f t="shared" si="10"/>
        <v>24709.32</v>
      </c>
      <c r="V64" s="171" t="str">
        <f t="shared" si="6"/>
        <v xml:space="preserve"> </v>
      </c>
      <c r="W64" s="171">
        <v>250</v>
      </c>
      <c r="X64" s="171">
        <f t="shared" si="13"/>
        <v>93349.72</v>
      </c>
      <c r="Y64" s="164"/>
      <c r="Z64" s="172">
        <f t="shared" si="14"/>
        <v>1299.9600000000064</v>
      </c>
      <c r="AB64" s="267"/>
    </row>
    <row r="65" spans="1:28">
      <c r="A65" s="204">
        <f t="shared" si="12"/>
        <v>50</v>
      </c>
      <c r="C65" s="204">
        <v>1</v>
      </c>
      <c r="D65" s="204">
        <v>1250</v>
      </c>
      <c r="E65" s="268"/>
      <c r="F65" s="208"/>
      <c r="G65" s="208"/>
      <c r="H65" s="264">
        <f>2470-I65</f>
        <v>2056</v>
      </c>
      <c r="I65" s="264">
        <v>414</v>
      </c>
      <c r="J65" s="264"/>
      <c r="K65" s="265"/>
      <c r="L65" s="168">
        <f>85435.38-M65-O65</f>
        <v>65391.37000000001</v>
      </c>
      <c r="M65" s="168">
        <v>19794.009999999998</v>
      </c>
      <c r="N65" s="168"/>
      <c r="O65" s="168">
        <v>250</v>
      </c>
      <c r="P65" s="168">
        <f t="shared" si="9"/>
        <v>85435.38</v>
      </c>
      <c r="Q65" s="163"/>
      <c r="R65" s="170">
        <v>32.340000000000003</v>
      </c>
      <c r="S65" s="163"/>
      <c r="T65" s="171">
        <f t="shared" si="5"/>
        <v>67267.200000000012</v>
      </c>
      <c r="U65" s="171">
        <f t="shared" si="10"/>
        <v>20083.140000000003</v>
      </c>
      <c r="V65" s="171" t="str">
        <f t="shared" si="6"/>
        <v xml:space="preserve"> </v>
      </c>
      <c r="W65" s="171">
        <f t="shared" si="7"/>
        <v>250</v>
      </c>
      <c r="X65" s="171">
        <f t="shared" si="8"/>
        <v>87600.340000000011</v>
      </c>
      <c r="Y65" s="164"/>
      <c r="Z65" s="172">
        <f t="shared" si="11"/>
        <v>2164.9600000000064</v>
      </c>
      <c r="AB65" s="267"/>
    </row>
    <row r="66" spans="1:28">
      <c r="A66" s="204">
        <f t="shared" si="12"/>
        <v>51</v>
      </c>
      <c r="C66" s="204">
        <v>1</v>
      </c>
      <c r="D66" s="204">
        <v>1252</v>
      </c>
      <c r="E66" s="268"/>
      <c r="F66" s="208" t="s">
        <v>128</v>
      </c>
      <c r="G66" s="208"/>
      <c r="H66" s="264">
        <v>1442</v>
      </c>
      <c r="I66" s="264">
        <v>305</v>
      </c>
      <c r="J66" s="264"/>
      <c r="K66" s="265"/>
      <c r="L66" s="168">
        <f>59960.85-M66</f>
        <v>45526.7</v>
      </c>
      <c r="M66" s="168">
        <v>14434.15</v>
      </c>
      <c r="N66" s="168"/>
      <c r="O66" s="168">
        <v>0</v>
      </c>
      <c r="P66" s="168">
        <f>SUM(L66:O66)</f>
        <v>59960.85</v>
      </c>
      <c r="Q66" s="163"/>
      <c r="R66" s="170">
        <v>0</v>
      </c>
      <c r="S66" s="163"/>
      <c r="T66" s="381">
        <f t="shared" ref="T66:T68" si="15">2080*R66</f>
        <v>0</v>
      </c>
      <c r="U66" s="381">
        <f t="shared" ref="U66:U67" si="16">(+I66*R66)*1.5</f>
        <v>0</v>
      </c>
      <c r="V66" s="381" t="str">
        <f t="shared" ref="V66:V68" si="17">IF(N66=0," ",+J66*R66)</f>
        <v xml:space="preserve"> </v>
      </c>
      <c r="W66" s="381">
        <v>0</v>
      </c>
      <c r="X66" s="381">
        <f t="shared" ref="X66:X68" si="18">SUM(T66:W66)</f>
        <v>0</v>
      </c>
      <c r="Y66" s="164"/>
      <c r="Z66" s="172">
        <f t="shared" si="11"/>
        <v>-59960.85</v>
      </c>
      <c r="AB66" s="267"/>
    </row>
    <row r="67" spans="1:28">
      <c r="A67" s="204">
        <f t="shared" si="12"/>
        <v>52</v>
      </c>
      <c r="C67" s="204">
        <v>1</v>
      </c>
      <c r="D67" s="204">
        <v>1254</v>
      </c>
      <c r="E67" s="268"/>
      <c r="F67" s="208" t="s">
        <v>246</v>
      </c>
      <c r="G67" s="208"/>
      <c r="H67" s="264">
        <v>0</v>
      </c>
      <c r="I67" s="264">
        <v>0</v>
      </c>
      <c r="J67" s="264"/>
      <c r="K67" s="265"/>
      <c r="L67" s="168">
        <v>0</v>
      </c>
      <c r="M67" s="168">
        <v>0</v>
      </c>
      <c r="N67" s="168"/>
      <c r="O67" s="168">
        <v>0</v>
      </c>
      <c r="P67" s="168">
        <f t="shared" ref="P67:P68" si="19">SUM(L67:O67)</f>
        <v>0</v>
      </c>
      <c r="Q67" s="163"/>
      <c r="R67" s="170">
        <v>32.340000000000003</v>
      </c>
      <c r="S67" s="163"/>
      <c r="T67" s="171">
        <f t="shared" si="15"/>
        <v>67267.200000000012</v>
      </c>
      <c r="U67" s="382">
        <f t="shared" si="16"/>
        <v>0</v>
      </c>
      <c r="V67" s="382" t="str">
        <f t="shared" si="17"/>
        <v xml:space="preserve"> </v>
      </c>
      <c r="W67" s="382">
        <v>0</v>
      </c>
      <c r="X67" s="171">
        <f t="shared" si="18"/>
        <v>67267.200000000012</v>
      </c>
      <c r="Y67" s="164"/>
      <c r="Z67" s="172">
        <f t="shared" si="11"/>
        <v>67267.200000000012</v>
      </c>
      <c r="AB67" s="267"/>
    </row>
    <row r="68" spans="1:28">
      <c r="A68" s="204">
        <f t="shared" si="12"/>
        <v>53</v>
      </c>
      <c r="C68" s="204">
        <v>1</v>
      </c>
      <c r="D68" s="204">
        <v>1255</v>
      </c>
      <c r="E68" s="169"/>
      <c r="F68" s="204" t="s">
        <v>246</v>
      </c>
      <c r="G68" s="208"/>
      <c r="H68" s="264">
        <v>0</v>
      </c>
      <c r="I68" s="264">
        <v>0</v>
      </c>
      <c r="J68" s="264"/>
      <c r="K68" s="265"/>
      <c r="L68" s="168">
        <v>0</v>
      </c>
      <c r="M68" s="168">
        <v>0</v>
      </c>
      <c r="N68" s="168"/>
      <c r="O68" s="168">
        <v>0</v>
      </c>
      <c r="P68" s="168">
        <f t="shared" si="19"/>
        <v>0</v>
      </c>
      <c r="Q68" s="163"/>
      <c r="R68" s="170">
        <v>32.340000000000003</v>
      </c>
      <c r="S68" s="163"/>
      <c r="T68" s="274">
        <f t="shared" si="15"/>
        <v>67267.200000000012</v>
      </c>
      <c r="U68" s="382">
        <f>(+I68*R68)*1.5</f>
        <v>0</v>
      </c>
      <c r="V68" s="382" t="str">
        <f t="shared" si="17"/>
        <v xml:space="preserve"> </v>
      </c>
      <c r="W68" s="382">
        <v>0</v>
      </c>
      <c r="X68" s="171">
        <f t="shared" si="18"/>
        <v>67267.200000000012</v>
      </c>
      <c r="Y68" s="164"/>
      <c r="Z68" s="172">
        <f t="shared" si="11"/>
        <v>67267.200000000012</v>
      </c>
      <c r="AB68" s="267"/>
    </row>
    <row r="69" spans="1:28">
      <c r="A69" s="204">
        <f t="shared" si="12"/>
        <v>54</v>
      </c>
      <c r="C69" s="5">
        <f>SUM(C25:C68)</f>
        <v>41</v>
      </c>
      <c r="D69" s="173" t="s">
        <v>22</v>
      </c>
      <c r="E69" s="174" t="s">
        <v>22</v>
      </c>
      <c r="F69" s="173"/>
      <c r="G69" s="208"/>
      <c r="H69" s="275">
        <f>SUM(H25:H46,H51:H68)</f>
        <v>78265</v>
      </c>
      <c r="I69" s="275">
        <f>SUM(I25:I46,I51:I68)</f>
        <v>13956.5</v>
      </c>
      <c r="J69" s="275">
        <f>SUM(J25:J46,J51:J68)</f>
        <v>0</v>
      </c>
      <c r="K69" s="276"/>
      <c r="L69" s="275">
        <f>SUM(L25:L46,L51:L68)</f>
        <v>2254772.5</v>
      </c>
      <c r="M69" s="275">
        <f>SUM(M25:M46,M51:M68)</f>
        <v>656341.81999999995</v>
      </c>
      <c r="N69" s="275">
        <f>SUM(N25:N46,N51:N68)</f>
        <v>0</v>
      </c>
      <c r="O69" s="275">
        <f>SUM(O25:O46,O51:O68)</f>
        <v>9250</v>
      </c>
      <c r="P69" s="275">
        <f>SUM(P25:P46,P51:P68)</f>
        <v>2920364.32</v>
      </c>
      <c r="Q69" s="277"/>
      <c r="R69" s="275"/>
      <c r="S69" s="277"/>
      <c r="T69" s="275">
        <f>SUM(T25:T46,T51:T68)</f>
        <v>2336255.9999999995</v>
      </c>
      <c r="U69" s="275">
        <f>SUM(U25:U46,U51:U68)</f>
        <v>641136.18750000012</v>
      </c>
      <c r="V69" s="275">
        <f>SUM(V25:V46,V51:V68)</f>
        <v>0</v>
      </c>
      <c r="W69" s="275">
        <f>SUM(W25:W46,W51:W68)</f>
        <v>9000</v>
      </c>
      <c r="X69" s="275">
        <f>SUM(X25:X46,X51:X68)</f>
        <v>2986392.1875</v>
      </c>
      <c r="Y69" s="278"/>
      <c r="Z69" s="275">
        <f>SUM(Z25:Z46,Z51:Z68)</f>
        <v>66027.867500000255</v>
      </c>
      <c r="AB69" s="267"/>
    </row>
    <row r="70" spans="1:28">
      <c r="A70" s="204">
        <f t="shared" si="12"/>
        <v>55</v>
      </c>
      <c r="G70" s="208"/>
      <c r="H70" s="264"/>
      <c r="I70" s="264"/>
      <c r="J70" s="264"/>
      <c r="K70" s="265"/>
      <c r="L70" s="168"/>
      <c r="M70" s="168"/>
      <c r="N70" s="168"/>
      <c r="O70" s="168"/>
      <c r="P70" s="168"/>
      <c r="Q70" s="163"/>
      <c r="R70" s="170"/>
      <c r="S70" s="163"/>
      <c r="T70" s="170"/>
      <c r="U70" s="170"/>
      <c r="V70" s="170"/>
      <c r="W70" s="170"/>
      <c r="X70" s="170"/>
      <c r="Y70" s="164"/>
      <c r="AB70" s="267"/>
    </row>
    <row r="71" spans="1:28">
      <c r="A71" s="204">
        <f t="shared" si="12"/>
        <v>56</v>
      </c>
      <c r="C71" s="182" t="s">
        <v>497</v>
      </c>
      <c r="F71" s="167"/>
      <c r="G71" s="208"/>
      <c r="H71" s="264"/>
      <c r="I71" s="264"/>
      <c r="J71" s="264"/>
      <c r="K71" s="265"/>
      <c r="L71" s="168"/>
      <c r="M71" s="168"/>
      <c r="N71" s="168"/>
      <c r="O71" s="168"/>
      <c r="P71" s="168"/>
      <c r="Q71" s="163"/>
      <c r="S71" s="163"/>
      <c r="Y71" s="164"/>
      <c r="AB71" s="267"/>
    </row>
    <row r="72" spans="1:28">
      <c r="A72" s="204">
        <f t="shared" si="12"/>
        <v>57</v>
      </c>
      <c r="C72" s="204">
        <v>1</v>
      </c>
      <c r="D72" s="208">
        <v>1234</v>
      </c>
      <c r="E72" s="268"/>
      <c r="F72" s="208" t="s">
        <v>129</v>
      </c>
      <c r="G72" s="208"/>
      <c r="H72" s="121">
        <v>1303</v>
      </c>
      <c r="I72" s="121">
        <v>0</v>
      </c>
      <c r="J72" s="121"/>
      <c r="K72" s="121"/>
      <c r="L72" s="266">
        <v>26976.52</v>
      </c>
      <c r="M72" s="266"/>
      <c r="N72" s="266"/>
      <c r="O72" s="266">
        <v>125</v>
      </c>
      <c r="P72" s="266">
        <f>SUM(L72:O72)</f>
        <v>27101.52</v>
      </c>
      <c r="Q72" s="48"/>
      <c r="R72" s="279">
        <v>21.04</v>
      </c>
      <c r="S72" s="48"/>
      <c r="T72" s="280">
        <f>1303*R72</f>
        <v>27415.119999999999</v>
      </c>
      <c r="U72" s="280">
        <f>(+I72*R72)*1.5</f>
        <v>0</v>
      </c>
      <c r="V72" s="280" t="str">
        <f>IF(N72=0," ",+J72*R72)</f>
        <v xml:space="preserve"> </v>
      </c>
      <c r="W72" s="280"/>
      <c r="X72" s="280">
        <f t="shared" ref="X72:X74" si="20">SUM(T72:W72)</f>
        <v>27415.119999999999</v>
      </c>
      <c r="Y72" s="281"/>
      <c r="Z72" s="282">
        <f t="shared" ref="Z72:Z75" si="21">X72-P72</f>
        <v>313.59999999999854</v>
      </c>
      <c r="AB72" s="267"/>
    </row>
    <row r="73" spans="1:28">
      <c r="A73" s="204">
        <f t="shared" si="12"/>
        <v>58</v>
      </c>
      <c r="C73" s="204">
        <v>1</v>
      </c>
      <c r="D73" s="208">
        <v>1240</v>
      </c>
      <c r="E73" s="268"/>
      <c r="F73" s="208" t="s">
        <v>129</v>
      </c>
      <c r="G73" s="208"/>
      <c r="H73" s="121">
        <v>465.5</v>
      </c>
      <c r="I73" s="121">
        <v>0</v>
      </c>
      <c r="J73" s="121"/>
      <c r="K73" s="121"/>
      <c r="L73" s="266">
        <v>9556.73</v>
      </c>
      <c r="M73" s="266"/>
      <c r="N73" s="266"/>
      <c r="O73" s="266">
        <v>0</v>
      </c>
      <c r="P73" s="266">
        <f>SUM(L73:O73)</f>
        <v>9556.73</v>
      </c>
      <c r="Q73" s="48"/>
      <c r="R73" s="279">
        <v>21.04</v>
      </c>
      <c r="S73" s="48"/>
      <c r="T73" s="280">
        <f>465.5*R73</f>
        <v>9794.119999999999</v>
      </c>
      <c r="U73" s="280">
        <f>(+I73*R73)*1.5</f>
        <v>0</v>
      </c>
      <c r="V73" s="280" t="str">
        <f>IF(N73=0," ",+J73*R73)</f>
        <v xml:space="preserve"> </v>
      </c>
      <c r="W73" s="280" t="str">
        <f>IF(O73=0," ",+O73)</f>
        <v xml:space="preserve"> </v>
      </c>
      <c r="X73" s="280">
        <f t="shared" si="20"/>
        <v>9794.119999999999</v>
      </c>
      <c r="Y73" s="281"/>
      <c r="Z73" s="282">
        <f t="shared" si="21"/>
        <v>237.38999999999942</v>
      </c>
      <c r="AB73" s="267"/>
    </row>
    <row r="74" spans="1:28">
      <c r="A74" s="204">
        <f t="shared" si="12"/>
        <v>59</v>
      </c>
      <c r="C74" s="204">
        <v>1</v>
      </c>
      <c r="D74" s="208">
        <v>1243</v>
      </c>
      <c r="E74" s="268"/>
      <c r="F74" s="208" t="s">
        <v>129</v>
      </c>
      <c r="G74" s="208"/>
      <c r="H74" s="121">
        <v>1306</v>
      </c>
      <c r="I74" s="121">
        <v>0</v>
      </c>
      <c r="J74" s="121"/>
      <c r="K74" s="121"/>
      <c r="L74" s="266">
        <v>27061.06</v>
      </c>
      <c r="M74" s="266"/>
      <c r="N74" s="266"/>
      <c r="O74" s="266">
        <v>125</v>
      </c>
      <c r="P74" s="266">
        <f>SUM(L74:O74)</f>
        <v>27186.06</v>
      </c>
      <c r="Q74" s="48"/>
      <c r="R74" s="279">
        <v>21.04</v>
      </c>
      <c r="S74" s="48"/>
      <c r="T74" s="280">
        <f>1306*R74</f>
        <v>27478.239999999998</v>
      </c>
      <c r="U74" s="280">
        <f>(+I74*R74)*1.5</f>
        <v>0</v>
      </c>
      <c r="V74" s="280" t="str">
        <f>IF(N74=0," ",+J74*R74)</f>
        <v xml:space="preserve"> </v>
      </c>
      <c r="W74" s="280"/>
      <c r="X74" s="280">
        <f t="shared" si="20"/>
        <v>27478.239999999998</v>
      </c>
      <c r="Y74" s="281"/>
      <c r="Z74" s="282">
        <f t="shared" si="21"/>
        <v>292.17999999999665</v>
      </c>
      <c r="AB74" s="267"/>
    </row>
    <row r="75" spans="1:28">
      <c r="A75" s="204">
        <f t="shared" si="12"/>
        <v>60</v>
      </c>
      <c r="C75" s="204">
        <v>1</v>
      </c>
      <c r="D75" s="208">
        <v>1253</v>
      </c>
      <c r="E75" s="268"/>
      <c r="F75" s="208" t="s">
        <v>128</v>
      </c>
      <c r="G75" s="208"/>
      <c r="H75" s="264">
        <v>128</v>
      </c>
      <c r="I75" s="264"/>
      <c r="J75" s="264"/>
      <c r="K75" s="265"/>
      <c r="L75" s="168">
        <v>928</v>
      </c>
      <c r="M75" s="168"/>
      <c r="N75" s="168"/>
      <c r="O75" s="168">
        <v>0</v>
      </c>
      <c r="P75" s="168">
        <f>SUM(L75:O75)</f>
        <v>928</v>
      </c>
      <c r="Q75" s="163"/>
      <c r="R75" s="170">
        <v>0</v>
      </c>
      <c r="S75" s="163"/>
      <c r="T75" s="171">
        <f>2080*R75</f>
        <v>0</v>
      </c>
      <c r="U75" s="171">
        <f>(+I75*R75)*1.5</f>
        <v>0</v>
      </c>
      <c r="V75" s="171" t="str">
        <f>IF(N75=0," ",+J75*R75)</f>
        <v xml:space="preserve"> </v>
      </c>
      <c r="W75" s="171" t="str">
        <f>IF(O75=0," ",+O75)</f>
        <v xml:space="preserve"> </v>
      </c>
      <c r="X75" s="171">
        <f>SUM(T75:W75)</f>
        <v>0</v>
      </c>
      <c r="Y75" s="164"/>
      <c r="Z75" s="172">
        <f t="shared" si="21"/>
        <v>-928</v>
      </c>
      <c r="AB75" s="267"/>
    </row>
    <row r="76" spans="1:28">
      <c r="A76" s="204">
        <f t="shared" si="12"/>
        <v>61</v>
      </c>
      <c r="C76" s="5">
        <f>SUM(C72:C75)</f>
        <v>4</v>
      </c>
      <c r="D76" s="173" t="s">
        <v>22</v>
      </c>
      <c r="E76" s="174" t="s">
        <v>22</v>
      </c>
      <c r="F76" s="173"/>
      <c r="G76" s="208"/>
      <c r="H76" s="269">
        <f t="shared" ref="H76:P76" si="22">SUM(H72:H75)</f>
        <v>3202.5</v>
      </c>
      <c r="I76" s="269">
        <f t="shared" si="22"/>
        <v>0</v>
      </c>
      <c r="J76" s="269">
        <f t="shared" si="22"/>
        <v>0</v>
      </c>
      <c r="K76" s="265"/>
      <c r="L76" s="175">
        <f t="shared" si="22"/>
        <v>64522.31</v>
      </c>
      <c r="M76" s="175">
        <f t="shared" si="22"/>
        <v>0</v>
      </c>
      <c r="N76" s="175">
        <f t="shared" si="22"/>
        <v>0</v>
      </c>
      <c r="O76" s="175">
        <f t="shared" si="22"/>
        <v>250</v>
      </c>
      <c r="P76" s="175">
        <f t="shared" si="22"/>
        <v>64772.31</v>
      </c>
      <c r="Q76" s="163"/>
      <c r="R76" s="174"/>
      <c r="S76" s="163"/>
      <c r="T76" s="176">
        <f>SUM(T72:T75)</f>
        <v>64687.479999999996</v>
      </c>
      <c r="U76" s="176">
        <f>SUM(U72:U75)</f>
        <v>0</v>
      </c>
      <c r="V76" s="176">
        <f>SUM(V72:V75)</f>
        <v>0</v>
      </c>
      <c r="W76" s="176">
        <f>SUM(W72:W75)</f>
        <v>0</v>
      </c>
      <c r="X76" s="176">
        <f>SUM(X72:X75)</f>
        <v>64687.479999999996</v>
      </c>
      <c r="Y76" s="164"/>
      <c r="Z76" s="403">
        <f>X76-P76</f>
        <v>-84.830000000001746</v>
      </c>
      <c r="AB76" s="267"/>
    </row>
    <row r="77" spans="1:28">
      <c r="A77" s="204">
        <f t="shared" si="12"/>
        <v>62</v>
      </c>
      <c r="G77" s="208"/>
      <c r="H77" s="264"/>
      <c r="I77" s="264"/>
      <c r="J77" s="264"/>
      <c r="K77" s="265"/>
      <c r="L77" s="168"/>
      <c r="M77" s="168"/>
      <c r="N77" s="168"/>
      <c r="O77" s="168"/>
      <c r="P77" s="168"/>
      <c r="Q77" s="163"/>
      <c r="S77" s="163"/>
      <c r="Y77" s="164"/>
      <c r="AB77" s="267"/>
    </row>
    <row r="78" spans="1:28">
      <c r="A78" s="204">
        <f t="shared" si="12"/>
        <v>63</v>
      </c>
      <c r="C78" s="182" t="s">
        <v>498</v>
      </c>
      <c r="F78" s="167"/>
      <c r="G78" s="208"/>
      <c r="H78" s="264"/>
      <c r="I78" s="264"/>
      <c r="J78" s="264"/>
      <c r="K78" s="265"/>
      <c r="L78" s="168"/>
      <c r="M78" s="168"/>
      <c r="N78" s="168"/>
      <c r="O78" s="168"/>
      <c r="P78" s="168"/>
      <c r="Q78" s="163"/>
      <c r="S78" s="163"/>
      <c r="Y78" s="164"/>
      <c r="AB78" s="267"/>
    </row>
    <row r="79" spans="1:28">
      <c r="A79" s="204">
        <f t="shared" si="12"/>
        <v>64</v>
      </c>
      <c r="C79" s="204">
        <v>1</v>
      </c>
      <c r="D79" s="204">
        <v>1251</v>
      </c>
      <c r="E79" s="169"/>
      <c r="F79" s="204" t="s">
        <v>128</v>
      </c>
      <c r="G79" s="208"/>
      <c r="H79" s="121">
        <f>2535.5-I79</f>
        <v>2392</v>
      </c>
      <c r="I79" s="264">
        <v>143.5</v>
      </c>
      <c r="J79" s="264"/>
      <c r="K79" s="265"/>
      <c r="L79" s="168">
        <f>82258.73-M79</f>
        <v>75467.599999999991</v>
      </c>
      <c r="M79" s="168">
        <v>6791.13</v>
      </c>
      <c r="N79" s="168"/>
      <c r="O79" s="168">
        <v>0</v>
      </c>
      <c r="P79" s="168">
        <f>SUM(L79:O79)</f>
        <v>82258.73</v>
      </c>
      <c r="Q79" s="163"/>
      <c r="R79" s="170">
        <v>0</v>
      </c>
      <c r="S79" s="163"/>
      <c r="T79" s="171">
        <f>2080*R79</f>
        <v>0</v>
      </c>
      <c r="U79" s="171"/>
      <c r="V79" s="171"/>
      <c r="W79" s="171"/>
      <c r="X79" s="171">
        <f>SUM(T79:W79)</f>
        <v>0</v>
      </c>
      <c r="Y79" s="164"/>
      <c r="Z79" s="172">
        <f t="shared" ref="Z79:Z80" si="23">X79-P79</f>
        <v>-82258.73</v>
      </c>
      <c r="AB79" s="267"/>
    </row>
    <row r="80" spans="1:28">
      <c r="A80" s="204">
        <f t="shared" si="12"/>
        <v>65</v>
      </c>
      <c r="C80" s="5">
        <f>SUM(C79:C79)</f>
        <v>1</v>
      </c>
      <c r="D80" s="173" t="s">
        <v>22</v>
      </c>
      <c r="E80" s="174" t="s">
        <v>22</v>
      </c>
      <c r="F80" s="173"/>
      <c r="G80" s="208"/>
      <c r="H80" s="269">
        <f>SUM(H79:H79)</f>
        <v>2392</v>
      </c>
      <c r="I80" s="269">
        <f>SUM(I79:I79)</f>
        <v>143.5</v>
      </c>
      <c r="J80" s="269">
        <f>SUM(J79:J79)</f>
        <v>0</v>
      </c>
      <c r="K80" s="265"/>
      <c r="L80" s="175">
        <f>SUM(L79:L79)</f>
        <v>75467.599999999991</v>
      </c>
      <c r="M80" s="175">
        <f>SUM(M79:M79)</f>
        <v>6791.13</v>
      </c>
      <c r="N80" s="175">
        <f>SUM(N79:N79)</f>
        <v>0</v>
      </c>
      <c r="O80" s="175">
        <f>SUM(O79:O79)</f>
        <v>0</v>
      </c>
      <c r="P80" s="175">
        <f>SUM(P79:P79)</f>
        <v>82258.73</v>
      </c>
      <c r="Q80" s="163"/>
      <c r="R80" s="174"/>
      <c r="S80" s="163"/>
      <c r="T80" s="176">
        <f>SUM(T79:T79)</f>
        <v>0</v>
      </c>
      <c r="U80" s="176">
        <f>SUM(U79:U79)</f>
        <v>0</v>
      </c>
      <c r="V80" s="176">
        <f>SUM(V79:V79)</f>
        <v>0</v>
      </c>
      <c r="W80" s="176">
        <f>SUM(W79:W79)</f>
        <v>0</v>
      </c>
      <c r="X80" s="283">
        <f>SUM(X79:X79)</f>
        <v>0</v>
      </c>
      <c r="Y80" s="164"/>
      <c r="Z80" s="177">
        <f t="shared" si="23"/>
        <v>-82258.73</v>
      </c>
      <c r="AB80" s="267"/>
    </row>
    <row r="81" spans="1:28">
      <c r="A81" s="204">
        <f t="shared" si="12"/>
        <v>66</v>
      </c>
      <c r="G81" s="208"/>
      <c r="H81" s="264"/>
      <c r="I81" s="264"/>
      <c r="J81" s="264"/>
      <c r="K81" s="265"/>
      <c r="L81" s="168"/>
      <c r="M81" s="168"/>
      <c r="N81" s="168"/>
      <c r="O81" s="168"/>
      <c r="P81" s="168"/>
      <c r="Q81" s="163"/>
      <c r="S81" s="163"/>
      <c r="Y81" s="164"/>
      <c r="AB81" s="267"/>
    </row>
    <row r="82" spans="1:28" s="284" customFormat="1" ht="15.75" customHeight="1">
      <c r="A82" s="204">
        <f t="shared" si="12"/>
        <v>67</v>
      </c>
      <c r="C82" s="285">
        <f>+C22+C69+C76+C80</f>
        <v>56</v>
      </c>
      <c r="D82" s="285" t="s">
        <v>14</v>
      </c>
      <c r="E82" s="286" t="s">
        <v>14</v>
      </c>
      <c r="F82" s="285"/>
      <c r="G82" s="287"/>
      <c r="H82" s="288">
        <f>+H80+H76+H69+H22</f>
        <v>104749</v>
      </c>
      <c r="I82" s="288">
        <f>+I80+I76+I69+I22</f>
        <v>14100</v>
      </c>
      <c r="J82" s="288">
        <f>+J80+J76+J69+J22</f>
        <v>0</v>
      </c>
      <c r="K82" s="289"/>
      <c r="L82" s="290">
        <f>+L80+L76+L69+L22</f>
        <v>3461055.83</v>
      </c>
      <c r="M82" s="290">
        <f>+M80+M76+M69+M22</f>
        <v>663132.94999999995</v>
      </c>
      <c r="N82" s="290">
        <f>+N80+N76+N69+N22</f>
        <v>0</v>
      </c>
      <c r="O82" s="290">
        <f>+O80+O76+O69+O22</f>
        <v>11750</v>
      </c>
      <c r="P82" s="290">
        <f>+P80+P76+P69+P22</f>
        <v>4135938.78</v>
      </c>
      <c r="Q82" s="291"/>
      <c r="R82" s="286"/>
      <c r="S82" s="163"/>
      <c r="T82" s="292">
        <f>+T80+T76+T69+T22</f>
        <v>3487473.0799999996</v>
      </c>
      <c r="U82" s="292">
        <f>+U80+U76+U69+U22</f>
        <v>641136.18750000012</v>
      </c>
      <c r="V82" s="292">
        <f>+V80+V76+V69+V22</f>
        <v>0</v>
      </c>
      <c r="W82" s="292">
        <f>+W80+W76+W69+W22</f>
        <v>11250</v>
      </c>
      <c r="X82" s="292">
        <f>+X80+X76+X69+X22</f>
        <v>4139859.2675000001</v>
      </c>
      <c r="Y82" s="293"/>
      <c r="Z82" s="404">
        <f>X82-P82</f>
        <v>3920.4875000002794</v>
      </c>
      <c r="AB82" s="267"/>
    </row>
    <row r="83" spans="1:28" s="284" customFormat="1">
      <c r="A83" s="204">
        <f t="shared" si="12"/>
        <v>68</v>
      </c>
      <c r="C83" s="227"/>
      <c r="D83" s="227"/>
      <c r="F83" s="227"/>
      <c r="G83" s="287"/>
      <c r="K83" s="289"/>
      <c r="Q83" s="291"/>
      <c r="S83" s="163"/>
      <c r="Y83" s="293"/>
      <c r="AB83" s="267"/>
    </row>
    <row r="84" spans="1:28" s="284" customFormat="1" ht="13.5" customHeight="1" thickBot="1">
      <c r="A84" s="204">
        <f t="shared" si="12"/>
        <v>69</v>
      </c>
      <c r="C84" s="398" t="s">
        <v>655</v>
      </c>
      <c r="D84" s="398"/>
      <c r="E84" s="398" t="s">
        <v>15</v>
      </c>
      <c r="F84" s="294"/>
      <c r="G84" s="294"/>
      <c r="H84" s="294"/>
      <c r="I84" s="294"/>
      <c r="J84" s="294"/>
      <c r="K84" s="294"/>
      <c r="L84" s="294"/>
      <c r="M84" s="294"/>
      <c r="N84" s="294"/>
      <c r="O84" s="294"/>
      <c r="P84" s="294"/>
      <c r="Q84" s="294"/>
      <c r="R84" s="294"/>
      <c r="S84" s="294"/>
      <c r="T84" s="294"/>
      <c r="U84" s="294"/>
      <c r="V84" s="294"/>
      <c r="W84" s="294"/>
      <c r="X84" s="294"/>
      <c r="Y84" s="294"/>
      <c r="Z84" s="399">
        <f>Z82</f>
        <v>3920.4875000002794</v>
      </c>
      <c r="AB84" s="267"/>
    </row>
    <row r="85" spans="1:28" ht="13.8" thickTop="1">
      <c r="B85" s="42"/>
      <c r="C85" s="296"/>
      <c r="D85" s="296"/>
      <c r="E85" s="43"/>
      <c r="F85" s="296"/>
      <c r="G85" s="208"/>
      <c r="H85" s="42"/>
      <c r="I85" s="42"/>
      <c r="J85" s="42"/>
      <c r="K85" s="42"/>
      <c r="L85" s="42"/>
    </row>
    <row r="86" spans="1:28">
      <c r="D86" s="202" t="s">
        <v>499</v>
      </c>
      <c r="E86" s="297" t="s">
        <v>499</v>
      </c>
      <c r="H86" s="184" t="s">
        <v>128</v>
      </c>
      <c r="I86" s="385" t="s">
        <v>646</v>
      </c>
      <c r="L86" s="184" t="s">
        <v>129</v>
      </c>
      <c r="M86" s="385" t="s">
        <v>647</v>
      </c>
      <c r="T86" s="184" t="s">
        <v>246</v>
      </c>
      <c r="U86" s="385" t="s">
        <v>648</v>
      </c>
    </row>
    <row r="87" spans="1:28">
      <c r="A87" s="227"/>
    </row>
    <row r="88" spans="1:28" ht="30" customHeight="1">
      <c r="A88" s="227"/>
      <c r="B88" s="51"/>
      <c r="C88" s="472" t="s">
        <v>502</v>
      </c>
      <c r="D88" s="472"/>
      <c r="E88" s="472"/>
      <c r="F88" s="472"/>
      <c r="G88" s="472"/>
      <c r="H88" s="472"/>
      <c r="I88" s="472"/>
      <c r="J88" s="472"/>
      <c r="K88" s="472"/>
      <c r="L88" s="472"/>
      <c r="M88" s="472"/>
      <c r="N88" s="472"/>
      <c r="O88" s="472"/>
      <c r="P88" s="472"/>
      <c r="Q88" s="472"/>
      <c r="R88" s="472"/>
      <c r="S88" s="472"/>
      <c r="T88" s="472"/>
      <c r="U88" s="472"/>
      <c r="V88" s="472"/>
      <c r="W88" s="472"/>
      <c r="X88" s="472"/>
      <c r="Y88" s="51"/>
      <c r="Z88" s="51"/>
    </row>
    <row r="90" spans="1:28">
      <c r="A90" s="227"/>
      <c r="D90" s="298" t="s">
        <v>503</v>
      </c>
      <c r="E90" s="52" t="s">
        <v>503</v>
      </c>
      <c r="F90" s="40"/>
      <c r="G90" s="40"/>
      <c r="L90" s="59" t="s">
        <v>131</v>
      </c>
      <c r="M90" s="59" t="s">
        <v>130</v>
      </c>
      <c r="N90" s="299"/>
      <c r="O90" s="299"/>
      <c r="P90" s="299" t="s">
        <v>15</v>
      </c>
      <c r="Q90" s="300"/>
    </row>
    <row r="91" spans="1:28" ht="3.75" customHeight="1">
      <c r="A91" s="227"/>
      <c r="C91" s="40"/>
      <c r="D91" s="40"/>
      <c r="E91" s="39"/>
      <c r="F91" s="40"/>
      <c r="G91" s="40"/>
      <c r="L91" s="39"/>
      <c r="M91" s="39"/>
    </row>
    <row r="92" spans="1:28">
      <c r="A92" s="227">
        <f>A84+1</f>
        <v>70</v>
      </c>
      <c r="C92" s="3"/>
      <c r="D92" s="54" t="s">
        <v>121</v>
      </c>
      <c r="E92" s="54" t="s">
        <v>121</v>
      </c>
      <c r="F92" s="44" t="s">
        <v>122</v>
      </c>
      <c r="G92" s="54"/>
      <c r="H92" s="54"/>
      <c r="I92" s="2"/>
      <c r="J92" s="2"/>
      <c r="K92" s="2"/>
      <c r="L92" s="45">
        <f>L120+L121+L122+L123+L124</f>
        <v>336628.2</v>
      </c>
      <c r="M92" s="132">
        <f>M120+M121+M122+M123+M124</f>
        <v>8.1391001633733071E-2</v>
      </c>
      <c r="P92" s="267">
        <f>$Z$84*M92</f>
        <v>319.09240451755284</v>
      </c>
    </row>
    <row r="93" spans="1:28">
      <c r="A93" s="227">
        <f>A92+1</f>
        <v>71</v>
      </c>
      <c r="C93" s="3"/>
      <c r="D93" s="54" t="s">
        <v>123</v>
      </c>
      <c r="E93" s="54" t="s">
        <v>123</v>
      </c>
      <c r="F93" s="44" t="s">
        <v>124</v>
      </c>
      <c r="G93" s="54"/>
      <c r="H93" s="54"/>
      <c r="I93" s="2"/>
      <c r="J93" s="2"/>
      <c r="K93" s="2"/>
      <c r="L93" s="45">
        <f>L125+L126+L127+L128+L129</f>
        <v>892973.43</v>
      </c>
      <c r="M93" s="132">
        <f>M125+M126+M127+M128+M129</f>
        <v>0.21590586261047123</v>
      </c>
      <c r="P93" s="267">
        <f>$Z$84*M93</f>
        <v>846.45623554113013</v>
      </c>
    </row>
    <row r="94" spans="1:28">
      <c r="A94" s="227">
        <f t="shared" ref="A94:A96" si="24">A93+1</f>
        <v>72</v>
      </c>
      <c r="C94" s="3"/>
      <c r="D94" s="54" t="s">
        <v>125</v>
      </c>
      <c r="E94" s="54" t="s">
        <v>125</v>
      </c>
      <c r="F94" s="44" t="s">
        <v>104</v>
      </c>
      <c r="G94" s="54"/>
      <c r="H94" s="54"/>
      <c r="I94" s="2"/>
      <c r="J94" s="2"/>
      <c r="K94" s="2"/>
      <c r="L94" s="45">
        <f>L130+L131</f>
        <v>635638.28999999992</v>
      </c>
      <c r="M94" s="132">
        <f>M130+M131</f>
        <v>0.15368658092178045</v>
      </c>
      <c r="P94" s="267">
        <f>$Z$84*M94</f>
        <v>602.52631942162168</v>
      </c>
    </row>
    <row r="95" spans="1:28">
      <c r="A95" s="227">
        <f t="shared" si="24"/>
        <v>73</v>
      </c>
      <c r="C95" s="3"/>
      <c r="D95" s="54" t="s">
        <v>504</v>
      </c>
      <c r="E95" s="54" t="s">
        <v>504</v>
      </c>
      <c r="F95" s="44" t="s">
        <v>78</v>
      </c>
      <c r="G95" s="54"/>
      <c r="H95" s="54"/>
      <c r="I95" s="2"/>
      <c r="J95" s="2"/>
      <c r="K95" s="2"/>
      <c r="L95" s="45">
        <f>L132</f>
        <v>78126.3</v>
      </c>
      <c r="M95" s="132">
        <f>M132</f>
        <v>1.8889617123394657E-2</v>
      </c>
      <c r="P95" s="267">
        <f>$Z$84*M95</f>
        <v>74.056507812059991</v>
      </c>
    </row>
    <row r="96" spans="1:28">
      <c r="A96" s="227">
        <f t="shared" si="24"/>
        <v>74</v>
      </c>
      <c r="C96" s="3"/>
      <c r="D96" s="54" t="s">
        <v>126</v>
      </c>
      <c r="E96" s="54" t="s">
        <v>126</v>
      </c>
      <c r="F96" s="44" t="s">
        <v>120</v>
      </c>
      <c r="G96" s="54"/>
      <c r="H96" s="54"/>
      <c r="I96" s="2"/>
      <c r="J96" s="2"/>
      <c r="K96" s="2"/>
      <c r="L96" s="45">
        <f>L133+L134+L135</f>
        <v>686473.62</v>
      </c>
      <c r="M96" s="132">
        <f>M133+M134+M135</f>
        <v>0.165977703374033</v>
      </c>
      <c r="P96" s="267">
        <f>$Z$84*M96</f>
        <v>650.71351135665054</v>
      </c>
    </row>
    <row r="97" spans="1:17" ht="15" customHeight="1">
      <c r="A97" s="227">
        <f>A96+1</f>
        <v>75</v>
      </c>
      <c r="C97" s="3"/>
      <c r="D97" s="397" t="s">
        <v>656</v>
      </c>
      <c r="E97" s="47"/>
      <c r="F97" s="390"/>
      <c r="G97" s="47"/>
      <c r="H97" s="47"/>
      <c r="I97" s="55"/>
      <c r="J97" s="55"/>
      <c r="K97" s="474">
        <f>SUM(L92:L96)</f>
        <v>2629839.84</v>
      </c>
      <c r="L97" s="474"/>
      <c r="M97" s="302">
        <f>SUM(M92:M96)</f>
        <v>0.63585076566341248</v>
      </c>
      <c r="P97" s="389">
        <f>SUM(P92:P96)</f>
        <v>2492.8449786490155</v>
      </c>
    </row>
    <row r="98" spans="1:17" ht="5.25" customHeight="1">
      <c r="A98" s="227"/>
      <c r="C98" s="3"/>
      <c r="D98" s="54"/>
      <c r="E98" s="54"/>
      <c r="F98" s="44"/>
      <c r="G98" s="54"/>
      <c r="H98" s="54"/>
      <c r="I98" s="2"/>
      <c r="J98" s="2"/>
      <c r="K98" s="53"/>
      <c r="L98" s="53"/>
      <c r="M98" s="132"/>
    </row>
    <row r="99" spans="1:17">
      <c r="A99" s="204">
        <f>A97+1</f>
        <v>76</v>
      </c>
      <c r="C99" s="3"/>
      <c r="D99" s="54" t="s">
        <v>505</v>
      </c>
      <c r="E99" s="54" t="s">
        <v>505</v>
      </c>
      <c r="F99" s="44" t="s">
        <v>506</v>
      </c>
      <c r="G99" s="54"/>
      <c r="H99" s="54"/>
      <c r="I99" s="2"/>
      <c r="J99" s="2"/>
      <c r="K99" s="2"/>
      <c r="L99" s="45">
        <f>L114+L115</f>
        <v>1115103.26</v>
      </c>
      <c r="M99" s="132">
        <f>M114+M115</f>
        <v>0.26961309615902967</v>
      </c>
      <c r="P99" s="267">
        <f>$Z$84*M99</f>
        <v>1057.0147733278491</v>
      </c>
    </row>
    <row r="100" spans="1:17">
      <c r="A100" s="204">
        <f>A99+1</f>
        <v>77</v>
      </c>
      <c r="C100" s="3"/>
      <c r="D100" s="54" t="s">
        <v>507</v>
      </c>
      <c r="E100" s="54" t="s">
        <v>507</v>
      </c>
      <c r="F100" s="44" t="s">
        <v>508</v>
      </c>
      <c r="G100" s="54"/>
      <c r="H100" s="54"/>
      <c r="I100" s="2"/>
      <c r="J100" s="2"/>
      <c r="K100" s="2"/>
      <c r="L100" s="45">
        <f>L117+L116</f>
        <v>131391.31</v>
      </c>
      <c r="M100" s="132">
        <f>M117+M116</f>
        <v>3.1768195079521944E-2</v>
      </c>
      <c r="P100" s="267">
        <f>$Z$84*M100</f>
        <v>124.54681170683617</v>
      </c>
    </row>
    <row r="101" spans="1:17">
      <c r="A101" s="204">
        <f>A100+1</f>
        <v>78</v>
      </c>
      <c r="C101" s="3"/>
      <c r="D101" s="54" t="s">
        <v>509</v>
      </c>
      <c r="E101" s="54" t="s">
        <v>509</v>
      </c>
      <c r="F101" s="44" t="s">
        <v>510</v>
      </c>
      <c r="G101" s="54"/>
      <c r="H101" s="54"/>
      <c r="I101" s="2"/>
      <c r="J101" s="2"/>
      <c r="K101" s="2"/>
      <c r="L101" s="45">
        <f>L118</f>
        <v>103839.18</v>
      </c>
      <c r="M101" s="132">
        <f t="shared" ref="M101:M102" si="25">M118</f>
        <v>2.5106556340275421E-2</v>
      </c>
      <c r="P101" s="267">
        <f>$Z$84*M101</f>
        <v>98.429940300102544</v>
      </c>
    </row>
    <row r="102" spans="1:17">
      <c r="A102" s="204">
        <f>A101+1</f>
        <v>79</v>
      </c>
      <c r="C102" s="3"/>
      <c r="D102" s="54" t="s">
        <v>511</v>
      </c>
      <c r="E102" s="54" t="s">
        <v>511</v>
      </c>
      <c r="F102" s="44" t="s">
        <v>512</v>
      </c>
      <c r="G102" s="54"/>
      <c r="H102" s="54"/>
      <c r="I102" s="2"/>
      <c r="J102" s="2"/>
      <c r="K102" s="2"/>
      <c r="L102" s="45">
        <f>L119</f>
        <v>155765.19</v>
      </c>
      <c r="M102" s="132">
        <f t="shared" si="25"/>
        <v>3.7661386757760471E-2</v>
      </c>
      <c r="P102" s="267">
        <f>$Z$84*M102</f>
        <v>147.65099601647597</v>
      </c>
    </row>
    <row r="103" spans="1:17" ht="15" customHeight="1">
      <c r="A103" s="204">
        <f>A102+1</f>
        <v>80</v>
      </c>
      <c r="C103" s="3"/>
      <c r="D103" s="47"/>
      <c r="E103" s="47"/>
      <c r="F103" s="301"/>
      <c r="G103" s="47"/>
      <c r="H103" s="47"/>
      <c r="I103" s="55" t="s">
        <v>22</v>
      </c>
      <c r="J103" s="55"/>
      <c r="K103" s="474">
        <f>SUM(L99:L102)</f>
        <v>1506098.94</v>
      </c>
      <c r="L103" s="474"/>
      <c r="M103" s="302">
        <f>SUM(M99:M102)</f>
        <v>0.36414923433658752</v>
      </c>
      <c r="P103" s="303">
        <f>SUM(P99:P102)</f>
        <v>1427.6425213512639</v>
      </c>
    </row>
    <row r="104" spans="1:17" ht="5.25" customHeight="1">
      <c r="A104" s="227"/>
      <c r="C104" s="3"/>
      <c r="D104" s="54"/>
      <c r="E104" s="54"/>
      <c r="F104" s="44"/>
      <c r="G104" s="54"/>
      <c r="H104" s="54"/>
      <c r="I104" s="2"/>
      <c r="J104" s="2"/>
      <c r="K104" s="53"/>
      <c r="L104" s="53"/>
      <c r="M104" s="46"/>
    </row>
    <row r="105" spans="1:17" ht="15" customHeight="1" thickBot="1">
      <c r="A105" s="204">
        <f>A103+1</f>
        <v>81</v>
      </c>
      <c r="C105" s="3"/>
      <c r="D105" s="56"/>
      <c r="E105" s="56"/>
      <c r="F105" s="57" t="s">
        <v>43</v>
      </c>
      <c r="G105" s="56"/>
      <c r="H105" s="56"/>
      <c r="I105" s="4"/>
      <c r="J105" s="4"/>
      <c r="K105" s="475">
        <f>K97+K103</f>
        <v>4135938.78</v>
      </c>
      <c r="L105" s="475"/>
      <c r="M105" s="58">
        <f>M97+M103</f>
        <v>1</v>
      </c>
      <c r="P105" s="304">
        <f>P97+P103</f>
        <v>3920.4875000002794</v>
      </c>
      <c r="Q105" s="304"/>
    </row>
    <row r="106" spans="1:17" ht="13.8" thickTop="1"/>
    <row r="110" spans="1:17">
      <c r="D110" s="181" t="s">
        <v>513</v>
      </c>
      <c r="E110" s="305" t="s">
        <v>513</v>
      </c>
    </row>
    <row r="111" spans="1:17">
      <c r="C111" s="40"/>
      <c r="D111" s="40"/>
      <c r="E111" s="39"/>
      <c r="F111" s="40"/>
      <c r="G111" s="40"/>
      <c r="H111" s="39"/>
      <c r="I111" s="39"/>
      <c r="J111" s="40"/>
      <c r="K111" s="40"/>
    </row>
    <row r="112" spans="1:17">
      <c r="D112" s="298" t="s">
        <v>514</v>
      </c>
      <c r="E112" s="298" t="s">
        <v>514</v>
      </c>
      <c r="F112" s="298" t="s">
        <v>515</v>
      </c>
      <c r="G112" s="298"/>
      <c r="L112" s="306" t="s">
        <v>516</v>
      </c>
      <c r="M112" s="306" t="s">
        <v>517</v>
      </c>
    </row>
    <row r="113" spans="4:13">
      <c r="E113" s="204"/>
      <c r="F113" s="3"/>
    </row>
    <row r="114" spans="4:13">
      <c r="D114" s="307">
        <v>107.2</v>
      </c>
      <c r="E114" s="307">
        <v>107.2</v>
      </c>
      <c r="F114" s="39" t="s">
        <v>518</v>
      </c>
      <c r="G114" s="40"/>
      <c r="L114" s="308">
        <v>1019983.29</v>
      </c>
      <c r="M114" s="309">
        <f t="shared" ref="M114:M135" si="26">L114/K$136</f>
        <v>0.24661469723205137</v>
      </c>
    </row>
    <row r="115" spans="4:13">
      <c r="D115" s="307">
        <v>108.8</v>
      </c>
      <c r="E115" s="307">
        <v>108.8</v>
      </c>
      <c r="F115" s="39" t="s">
        <v>519</v>
      </c>
      <c r="G115" s="40"/>
      <c r="L115" s="308">
        <v>95119.97</v>
      </c>
      <c r="M115" s="309">
        <f t="shared" si="26"/>
        <v>2.2998398926978313E-2</v>
      </c>
    </row>
    <row r="116" spans="4:13">
      <c r="D116" s="307">
        <v>143</v>
      </c>
      <c r="E116" s="307"/>
      <c r="F116" s="39" t="s">
        <v>520</v>
      </c>
      <c r="G116" s="40"/>
      <c r="L116" s="308">
        <f>20578.08+21681.13</f>
        <v>42259.210000000006</v>
      </c>
      <c r="M116" s="309">
        <f t="shared" si="26"/>
        <v>1.0217561779287267E-2</v>
      </c>
    </row>
    <row r="117" spans="4:13">
      <c r="D117" s="307">
        <v>163</v>
      </c>
      <c r="E117" s="307">
        <v>163</v>
      </c>
      <c r="F117" s="39" t="s">
        <v>521</v>
      </c>
      <c r="G117" s="40"/>
      <c r="L117" s="308">
        <v>89132.1</v>
      </c>
      <c r="M117" s="309">
        <f t="shared" si="26"/>
        <v>2.155063330023468E-2</v>
      </c>
    </row>
    <row r="118" spans="4:13">
      <c r="D118" s="307">
        <v>184.1</v>
      </c>
      <c r="E118" s="307">
        <v>184.1</v>
      </c>
      <c r="F118" s="39" t="s">
        <v>118</v>
      </c>
      <c r="G118" s="40"/>
      <c r="L118" s="308">
        <v>103839.18</v>
      </c>
      <c r="M118" s="309">
        <f t="shared" si="26"/>
        <v>2.5106556340275421E-2</v>
      </c>
    </row>
    <row r="119" spans="4:13">
      <c r="D119" s="307">
        <v>242</v>
      </c>
      <c r="E119" s="307">
        <v>242</v>
      </c>
      <c r="F119" s="39" t="s">
        <v>522</v>
      </c>
      <c r="G119" s="40"/>
      <c r="L119" s="308">
        <f>150562.97+5202.22</f>
        <v>155765.19</v>
      </c>
      <c r="M119" s="309">
        <f t="shared" si="26"/>
        <v>3.7661386757760471E-2</v>
      </c>
    </row>
    <row r="120" spans="4:13" hidden="1">
      <c r="D120" s="307">
        <v>580</v>
      </c>
      <c r="E120" s="307">
        <v>580</v>
      </c>
      <c r="F120" s="39" t="s">
        <v>523</v>
      </c>
      <c r="G120" s="40"/>
      <c r="L120" s="308">
        <v>0</v>
      </c>
      <c r="M120" s="309">
        <f t="shared" si="26"/>
        <v>0</v>
      </c>
    </row>
    <row r="121" spans="4:13">
      <c r="D121" s="307">
        <v>583</v>
      </c>
      <c r="E121" s="307">
        <v>583</v>
      </c>
      <c r="F121" s="39" t="s">
        <v>524</v>
      </c>
      <c r="G121" s="40"/>
      <c r="L121" s="308">
        <v>60584.19</v>
      </c>
      <c r="M121" s="309">
        <f t="shared" si="26"/>
        <v>1.4648231809659426E-2</v>
      </c>
    </row>
    <row r="122" spans="4:13">
      <c r="D122" s="307">
        <v>586</v>
      </c>
      <c r="E122" s="307">
        <v>586</v>
      </c>
      <c r="F122" s="39" t="s">
        <v>119</v>
      </c>
      <c r="G122" s="40"/>
      <c r="L122" s="308">
        <v>275724.79999999999</v>
      </c>
      <c r="M122" s="309">
        <f t="shared" si="26"/>
        <v>6.6665590248412718E-2</v>
      </c>
    </row>
    <row r="123" spans="4:13">
      <c r="D123" s="307">
        <v>587</v>
      </c>
      <c r="E123" s="307">
        <v>587</v>
      </c>
      <c r="F123" s="39" t="s">
        <v>525</v>
      </c>
      <c r="G123" s="40"/>
      <c r="L123" s="308">
        <v>319.20999999999998</v>
      </c>
      <c r="M123" s="309">
        <f t="shared" si="26"/>
        <v>7.7179575660933731E-5</v>
      </c>
    </row>
    <row r="124" spans="4:13" hidden="1">
      <c r="D124" s="307">
        <v>588</v>
      </c>
      <c r="E124" s="307">
        <v>588</v>
      </c>
      <c r="F124" s="39" t="s">
        <v>526</v>
      </c>
      <c r="G124" s="40"/>
      <c r="L124" s="308">
        <v>0</v>
      </c>
      <c r="M124" s="309">
        <f t="shared" si="26"/>
        <v>0</v>
      </c>
    </row>
    <row r="125" spans="4:13" hidden="1">
      <c r="D125" s="307">
        <v>590</v>
      </c>
      <c r="E125" s="307">
        <v>590</v>
      </c>
      <c r="F125" s="39" t="s">
        <v>527</v>
      </c>
      <c r="G125" s="40"/>
      <c r="L125" s="308">
        <v>0</v>
      </c>
      <c r="M125" s="309">
        <f t="shared" si="26"/>
        <v>0</v>
      </c>
    </row>
    <row r="126" spans="4:13">
      <c r="D126" s="307">
        <v>593</v>
      </c>
      <c r="E126" s="307">
        <v>593</v>
      </c>
      <c r="F126" s="39" t="s">
        <v>528</v>
      </c>
      <c r="G126" s="40"/>
      <c r="L126" s="308">
        <v>804611.31</v>
      </c>
      <c r="M126" s="309">
        <f t="shared" si="26"/>
        <v>0.19454139744302501</v>
      </c>
    </row>
    <row r="127" spans="4:13" hidden="1">
      <c r="D127" s="307">
        <v>595</v>
      </c>
      <c r="E127" s="307">
        <v>595</v>
      </c>
      <c r="F127" s="39" t="s">
        <v>529</v>
      </c>
      <c r="G127" s="40"/>
      <c r="L127" s="308">
        <v>0</v>
      </c>
      <c r="M127" s="309">
        <f t="shared" si="26"/>
        <v>0</v>
      </c>
    </row>
    <row r="128" spans="4:13">
      <c r="D128" s="307">
        <v>597</v>
      </c>
      <c r="E128" s="307">
        <v>597</v>
      </c>
      <c r="F128" s="39" t="s">
        <v>530</v>
      </c>
      <c r="G128" s="40"/>
      <c r="L128" s="308">
        <v>18655.2</v>
      </c>
      <c r="M128" s="309">
        <f t="shared" si="26"/>
        <v>4.5105116376988538E-3</v>
      </c>
    </row>
    <row r="129" spans="3:13">
      <c r="D129" s="307">
        <v>598</v>
      </c>
      <c r="E129" s="307">
        <v>598</v>
      </c>
      <c r="F129" s="39" t="s">
        <v>531</v>
      </c>
      <c r="G129" s="40"/>
      <c r="L129" s="308">
        <v>69706.92</v>
      </c>
      <c r="M129" s="309">
        <f t="shared" si="26"/>
        <v>1.6853953529747362E-2</v>
      </c>
    </row>
    <row r="130" spans="3:13">
      <c r="D130" s="307">
        <v>902</v>
      </c>
      <c r="E130" s="307">
        <v>902</v>
      </c>
      <c r="F130" s="39" t="s">
        <v>532</v>
      </c>
      <c r="G130" s="40"/>
      <c r="L130" s="308">
        <v>50241.96</v>
      </c>
      <c r="M130" s="309">
        <f t="shared" si="26"/>
        <v>1.214765562850038E-2</v>
      </c>
    </row>
    <row r="131" spans="3:13">
      <c r="D131" s="307">
        <v>903</v>
      </c>
      <c r="E131" s="307">
        <v>903</v>
      </c>
      <c r="F131" s="39" t="s">
        <v>533</v>
      </c>
      <c r="G131" s="40"/>
      <c r="L131" s="308">
        <v>585396.32999999996</v>
      </c>
      <c r="M131" s="309">
        <f t="shared" si="26"/>
        <v>0.14153892529328008</v>
      </c>
    </row>
    <row r="132" spans="3:13">
      <c r="D132" s="310" t="s">
        <v>534</v>
      </c>
      <c r="E132" s="310" t="s">
        <v>534</v>
      </c>
      <c r="F132" s="39" t="s">
        <v>535</v>
      </c>
      <c r="G132" s="40"/>
      <c r="L132" s="308">
        <v>78126.3</v>
      </c>
      <c r="M132" s="309">
        <f t="shared" si="26"/>
        <v>1.8889617123394657E-2</v>
      </c>
    </row>
    <row r="133" spans="3:13">
      <c r="D133" s="307">
        <v>920</v>
      </c>
      <c r="E133" s="307">
        <v>920</v>
      </c>
      <c r="F133" s="39" t="s">
        <v>120</v>
      </c>
      <c r="G133" s="40"/>
      <c r="L133" s="308">
        <v>665731.43999999994</v>
      </c>
      <c r="M133" s="309">
        <f t="shared" si="26"/>
        <v>0.16096259529257342</v>
      </c>
    </row>
    <row r="134" spans="3:13">
      <c r="D134" s="307">
        <v>921</v>
      </c>
      <c r="E134" s="307">
        <v>926</v>
      </c>
      <c r="F134" s="39" t="s">
        <v>536</v>
      </c>
      <c r="G134" s="40"/>
      <c r="L134" s="308">
        <v>4750</v>
      </c>
      <c r="M134" s="309">
        <f t="shared" si="26"/>
        <v>1.1484696105680751E-3</v>
      </c>
    </row>
    <row r="135" spans="3:13">
      <c r="C135" s="30"/>
      <c r="D135" s="311">
        <v>932</v>
      </c>
      <c r="E135" s="311">
        <v>935</v>
      </c>
      <c r="F135" s="44" t="s">
        <v>537</v>
      </c>
      <c r="G135" s="54"/>
      <c r="H135" s="2"/>
      <c r="I135" s="2"/>
      <c r="L135" s="308">
        <v>15992.18</v>
      </c>
      <c r="M135" s="309">
        <f t="shared" si="26"/>
        <v>3.8666384708914863E-3</v>
      </c>
    </row>
    <row r="136" spans="3:13" ht="15" customHeight="1">
      <c r="C136" s="54"/>
      <c r="D136" s="5"/>
      <c r="E136" s="55"/>
      <c r="F136" s="301" t="s">
        <v>43</v>
      </c>
      <c r="G136" s="47"/>
      <c r="H136" s="55"/>
      <c r="I136" s="55"/>
      <c r="J136" s="55"/>
      <c r="K136" s="474">
        <f>SUM(L114:L135)</f>
        <v>4135938.7800000003</v>
      </c>
      <c r="L136" s="474"/>
      <c r="M136" s="312">
        <f>K136/K$136</f>
        <v>1</v>
      </c>
    </row>
    <row r="137" spans="3:13">
      <c r="C137" s="40"/>
      <c r="D137" s="40"/>
      <c r="E137" s="39"/>
      <c r="F137" s="40"/>
      <c r="G137" s="40"/>
      <c r="L137" s="39"/>
      <c r="M137" s="39"/>
    </row>
  </sheetData>
  <mergeCells count="20">
    <mergeCell ref="Z48:Z49"/>
    <mergeCell ref="A3:Z3"/>
    <mergeCell ref="A4:Z4"/>
    <mergeCell ref="A6:Z6"/>
    <mergeCell ref="C8:F8"/>
    <mergeCell ref="H8:J8"/>
    <mergeCell ref="L8:P8"/>
    <mergeCell ref="R8:R9"/>
    <mergeCell ref="T8:X8"/>
    <mergeCell ref="Z8:Z9"/>
    <mergeCell ref="C48:F48"/>
    <mergeCell ref="H48:J48"/>
    <mergeCell ref="L48:P48"/>
    <mergeCell ref="R48:R49"/>
    <mergeCell ref="K97:L97"/>
    <mergeCell ref="K103:L103"/>
    <mergeCell ref="T48:X48"/>
    <mergeCell ref="K105:L105"/>
    <mergeCell ref="K136:L136"/>
    <mergeCell ref="C88:X88"/>
  </mergeCells>
  <pageMargins left="0.25" right="0.25" top="0.75" bottom="0.5" header="0.5" footer="0.5"/>
  <pageSetup scale="76" fitToHeight="3" orientation="landscape" r:id="rId1"/>
  <headerFooter alignWithMargins="0">
    <oddFooter>&amp;RExhibit JW-2
Page &amp;P of &amp;N</oddFooter>
  </headerFooter>
  <rowBreaks count="2" manualBreakCount="2">
    <brk id="46" max="25" man="1"/>
    <brk id="86" max="25" man="1"/>
  </rowBreaks>
  <ignoredErrors>
    <ignoredError sqref="D132" numberStoredAsText="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58"/>
  <sheetViews>
    <sheetView view="pageBreakPreview" zoomScale="75" zoomScaleNormal="75" zoomScaleSheetLayoutView="75" workbookViewId="0">
      <selection activeCell="C43" sqref="C43"/>
    </sheetView>
  </sheetViews>
  <sheetFormatPr defaultColWidth="9.109375" defaultRowHeight="13.2"/>
  <cols>
    <col min="1" max="1" width="5.88671875" style="10" customWidth="1"/>
    <col min="2" max="2" width="2.33203125" style="11" customWidth="1"/>
    <col min="3" max="3" width="10.44140625" style="10" bestFit="1" customWidth="1"/>
    <col min="4" max="4" width="8.33203125" style="10" customWidth="1"/>
    <col min="5" max="5" width="33.33203125" style="11" bestFit="1" customWidth="1"/>
    <col min="6" max="6" width="11.88671875" style="11" customWidth="1"/>
    <col min="7" max="7" width="1.5546875" style="11" customWidth="1"/>
    <col min="8" max="8" width="28.88671875" style="11" bestFit="1" customWidth="1"/>
    <col min="9" max="9" width="11.109375" style="11" customWidth="1"/>
    <col min="10" max="10" width="7.33203125" style="400" customWidth="1"/>
    <col min="11" max="16384" width="9.109375" style="11"/>
  </cols>
  <sheetData>
    <row r="1" spans="1:11">
      <c r="D1" s="201"/>
      <c r="J1" s="6" t="s">
        <v>652</v>
      </c>
    </row>
    <row r="2" spans="1:11" ht="20.25" customHeight="1">
      <c r="D2" s="201"/>
      <c r="F2" s="6"/>
      <c r="G2" s="6"/>
    </row>
    <row r="3" spans="1:11">
      <c r="A3" s="465" t="str">
        <f>RevReq!A1</f>
        <v>CUMBERLAND VALLEY ELECTRIC</v>
      </c>
      <c r="B3" s="465"/>
      <c r="C3" s="465"/>
      <c r="D3" s="465"/>
      <c r="E3" s="465"/>
      <c r="F3" s="465"/>
      <c r="G3" s="465"/>
      <c r="H3" s="465"/>
      <c r="I3" s="465"/>
      <c r="J3" s="465"/>
    </row>
    <row r="4" spans="1:11">
      <c r="A4" s="465" t="str">
        <f>RevReq!A3</f>
        <v>For the 12 Months Ended December 31, 2019</v>
      </c>
      <c r="B4" s="465"/>
      <c r="C4" s="465"/>
      <c r="D4" s="465"/>
      <c r="E4" s="465"/>
      <c r="F4" s="465"/>
      <c r="G4" s="465"/>
      <c r="H4" s="465"/>
      <c r="I4" s="465"/>
      <c r="J4" s="465"/>
    </row>
    <row r="6" spans="1:11" s="7" customFormat="1" ht="15" customHeight="1">
      <c r="A6" s="466" t="s">
        <v>444</v>
      </c>
      <c r="B6" s="466"/>
      <c r="C6" s="466"/>
      <c r="D6" s="466"/>
      <c r="E6" s="466"/>
      <c r="F6" s="466"/>
      <c r="G6" s="466"/>
      <c r="H6" s="466"/>
      <c r="I6" s="466"/>
      <c r="J6" s="466"/>
    </row>
    <row r="7" spans="1:11">
      <c r="I7" s="10" t="s">
        <v>445</v>
      </c>
    </row>
    <row r="8" spans="1:11">
      <c r="A8" s="10" t="s">
        <v>0</v>
      </c>
      <c r="C8" s="10" t="s">
        <v>446</v>
      </c>
      <c r="D8" s="10" t="s">
        <v>113</v>
      </c>
      <c r="E8" s="10" t="s">
        <v>40</v>
      </c>
      <c r="F8" s="10" t="s">
        <v>314</v>
      </c>
      <c r="G8" s="10"/>
      <c r="H8" s="10" t="s">
        <v>1</v>
      </c>
      <c r="I8" s="10" t="s">
        <v>447</v>
      </c>
      <c r="J8" s="400" t="s">
        <v>264</v>
      </c>
      <c r="K8" s="7"/>
    </row>
    <row r="9" spans="1:11">
      <c r="A9" s="135" t="s">
        <v>21</v>
      </c>
      <c r="C9" s="13" t="s">
        <v>18</v>
      </c>
      <c r="D9" s="13" t="s">
        <v>20</v>
      </c>
      <c r="E9" s="13" t="s">
        <v>19</v>
      </c>
      <c r="F9" s="13" t="s">
        <v>25</v>
      </c>
      <c r="G9" s="13"/>
      <c r="H9" s="13" t="s">
        <v>47</v>
      </c>
      <c r="I9" s="13" t="s">
        <v>48</v>
      </c>
      <c r="J9" s="13" t="s">
        <v>49</v>
      </c>
    </row>
    <row r="10" spans="1:11">
      <c r="J10" s="401"/>
      <c r="K10" s="7"/>
    </row>
    <row r="11" spans="1:11" s="3" customFormat="1">
      <c r="A11" s="204">
        <f t="shared" ref="A11:A52" si="0">A10+1</f>
        <v>1</v>
      </c>
      <c r="C11" s="257" t="s">
        <v>448</v>
      </c>
      <c r="D11" s="257">
        <v>77522</v>
      </c>
      <c r="E11" s="251" t="s">
        <v>449</v>
      </c>
      <c r="F11" s="252">
        <v>1000</v>
      </c>
      <c r="G11" s="252"/>
      <c r="H11" s="251" t="s">
        <v>450</v>
      </c>
      <c r="I11" s="391">
        <v>0</v>
      </c>
      <c r="J11" s="204"/>
    </row>
    <row r="12" spans="1:11" s="3" customFormat="1">
      <c r="A12" s="204">
        <f t="shared" si="0"/>
        <v>2</v>
      </c>
      <c r="C12" s="257" t="s">
        <v>451</v>
      </c>
      <c r="D12" s="204">
        <v>77781</v>
      </c>
      <c r="E12" s="251" t="s">
        <v>452</v>
      </c>
      <c r="F12" s="252">
        <v>1000</v>
      </c>
      <c r="G12" s="252"/>
      <c r="H12" s="251" t="s">
        <v>450</v>
      </c>
      <c r="I12" s="392">
        <v>0</v>
      </c>
      <c r="J12" s="204"/>
    </row>
    <row r="13" spans="1:11" s="3" customFormat="1">
      <c r="A13" s="204">
        <f t="shared" si="0"/>
        <v>3</v>
      </c>
      <c r="C13" s="257" t="s">
        <v>453</v>
      </c>
      <c r="D13" s="204">
        <v>77890</v>
      </c>
      <c r="E13" s="251" t="s">
        <v>454</v>
      </c>
      <c r="F13" s="252">
        <v>1920</v>
      </c>
      <c r="G13" s="252"/>
      <c r="H13" s="251" t="s">
        <v>455</v>
      </c>
      <c r="I13" s="392">
        <v>0</v>
      </c>
      <c r="J13" s="204"/>
    </row>
    <row r="14" spans="1:11" s="3" customFormat="1">
      <c r="A14" s="204">
        <f t="shared" si="0"/>
        <v>4</v>
      </c>
      <c r="C14" s="257" t="s">
        <v>405</v>
      </c>
      <c r="D14" s="257">
        <v>78046</v>
      </c>
      <c r="E14" s="251" t="s">
        <v>456</v>
      </c>
      <c r="F14" s="252">
        <v>2603.5</v>
      </c>
      <c r="G14" s="252"/>
      <c r="H14" s="251" t="s">
        <v>457</v>
      </c>
      <c r="I14" s="392">
        <v>0</v>
      </c>
      <c r="J14" s="204"/>
    </row>
    <row r="15" spans="1:11" s="3" customFormat="1">
      <c r="A15" s="204">
        <f t="shared" si="0"/>
        <v>5</v>
      </c>
      <c r="C15" s="257" t="s">
        <v>347</v>
      </c>
      <c r="D15" s="204">
        <v>77982</v>
      </c>
      <c r="E15" s="251" t="s">
        <v>449</v>
      </c>
      <c r="F15" s="252">
        <v>1000</v>
      </c>
      <c r="G15" s="252"/>
      <c r="H15" s="251" t="s">
        <v>450</v>
      </c>
      <c r="I15" s="392">
        <v>0</v>
      </c>
      <c r="J15" s="204"/>
    </row>
    <row r="16" spans="1:11" s="3" customFormat="1">
      <c r="A16" s="204">
        <f t="shared" si="0"/>
        <v>6</v>
      </c>
      <c r="C16" s="257" t="s">
        <v>458</v>
      </c>
      <c r="D16" s="257">
        <v>78180</v>
      </c>
      <c r="E16" s="251" t="s">
        <v>452</v>
      </c>
      <c r="F16" s="252">
        <v>1000</v>
      </c>
      <c r="G16" s="252"/>
      <c r="H16" s="251" t="s">
        <v>450</v>
      </c>
      <c r="I16" s="392">
        <v>0</v>
      </c>
      <c r="J16" s="204"/>
    </row>
    <row r="17" spans="1:10" s="3" customFormat="1">
      <c r="A17" s="204">
        <f t="shared" si="0"/>
        <v>7</v>
      </c>
      <c r="C17" s="257" t="s">
        <v>363</v>
      </c>
      <c r="D17" s="204">
        <v>78400</v>
      </c>
      <c r="E17" s="251" t="s">
        <v>459</v>
      </c>
      <c r="F17" s="252">
        <v>695.5</v>
      </c>
      <c r="G17" s="252"/>
      <c r="H17" s="251" t="s">
        <v>460</v>
      </c>
      <c r="I17" s="391">
        <f>F17*2/3</f>
        <v>463.66666666666669</v>
      </c>
      <c r="J17" s="204" t="s">
        <v>129</v>
      </c>
    </row>
    <row r="18" spans="1:10" s="3" customFormat="1">
      <c r="A18" s="204">
        <f t="shared" si="0"/>
        <v>8</v>
      </c>
      <c r="C18" s="257" t="s">
        <v>363</v>
      </c>
      <c r="D18" s="257">
        <v>78461</v>
      </c>
      <c r="E18" s="251" t="s">
        <v>456</v>
      </c>
      <c r="F18" s="252">
        <v>1236.5</v>
      </c>
      <c r="G18" s="252"/>
      <c r="H18" s="251" t="s">
        <v>457</v>
      </c>
      <c r="I18" s="391">
        <v>0</v>
      </c>
      <c r="J18" s="204"/>
    </row>
    <row r="19" spans="1:10" s="3" customFormat="1">
      <c r="A19" s="204">
        <f t="shared" si="0"/>
        <v>9</v>
      </c>
      <c r="C19" s="257" t="s">
        <v>461</v>
      </c>
      <c r="D19" s="257">
        <v>78394</v>
      </c>
      <c r="E19" s="251" t="s">
        <v>449</v>
      </c>
      <c r="F19" s="252">
        <v>1000</v>
      </c>
      <c r="G19" s="252"/>
      <c r="H19" s="251" t="s">
        <v>450</v>
      </c>
      <c r="I19" s="391">
        <v>0</v>
      </c>
      <c r="J19" s="204"/>
    </row>
    <row r="20" spans="1:10" s="3" customFormat="1">
      <c r="A20" s="204">
        <f t="shared" si="0"/>
        <v>10</v>
      </c>
      <c r="C20" s="257" t="s">
        <v>462</v>
      </c>
      <c r="D20" s="257">
        <v>78476</v>
      </c>
      <c r="E20" s="251" t="s">
        <v>463</v>
      </c>
      <c r="F20" s="252">
        <v>1850</v>
      </c>
      <c r="G20" s="252"/>
      <c r="H20" s="251" t="s">
        <v>455</v>
      </c>
      <c r="I20" s="391">
        <v>0</v>
      </c>
      <c r="J20" s="204"/>
    </row>
    <row r="21" spans="1:10" s="3" customFormat="1">
      <c r="A21" s="204">
        <f t="shared" si="0"/>
        <v>11</v>
      </c>
      <c r="C21" s="257" t="s">
        <v>365</v>
      </c>
      <c r="D21" s="257">
        <v>78689</v>
      </c>
      <c r="E21" s="251" t="s">
        <v>456</v>
      </c>
      <c r="F21" s="252">
        <v>1635</v>
      </c>
      <c r="G21" s="252"/>
      <c r="H21" s="251" t="s">
        <v>457</v>
      </c>
      <c r="I21" s="391">
        <v>0</v>
      </c>
      <c r="J21" s="204"/>
    </row>
    <row r="22" spans="1:10" s="3" customFormat="1">
      <c r="A22" s="204">
        <f t="shared" si="0"/>
        <v>12</v>
      </c>
      <c r="C22" s="257" t="s">
        <v>464</v>
      </c>
      <c r="D22" s="204">
        <v>78641</v>
      </c>
      <c r="E22" s="251" t="s">
        <v>449</v>
      </c>
      <c r="F22" s="252">
        <v>1000</v>
      </c>
      <c r="G22" s="252"/>
      <c r="H22" s="251" t="s">
        <v>450</v>
      </c>
      <c r="I22" s="391">
        <v>0</v>
      </c>
      <c r="J22" s="204"/>
    </row>
    <row r="23" spans="1:10" s="3" customFormat="1">
      <c r="A23" s="204">
        <f t="shared" si="0"/>
        <v>13</v>
      </c>
      <c r="C23" s="257" t="s">
        <v>465</v>
      </c>
      <c r="D23" s="257">
        <v>79168</v>
      </c>
      <c r="E23" s="251" t="s">
        <v>449</v>
      </c>
      <c r="F23" s="252">
        <v>1000</v>
      </c>
      <c r="G23" s="252"/>
      <c r="H23" s="251" t="s">
        <v>450</v>
      </c>
      <c r="I23" s="391">
        <v>0</v>
      </c>
      <c r="J23" s="204"/>
    </row>
    <row r="24" spans="1:10" s="3" customFormat="1">
      <c r="A24" s="204">
        <f t="shared" si="0"/>
        <v>14</v>
      </c>
      <c r="C24" s="257" t="s">
        <v>466</v>
      </c>
      <c r="D24" s="257">
        <v>79287</v>
      </c>
      <c r="E24" s="251" t="s">
        <v>456</v>
      </c>
      <c r="F24" s="252">
        <v>1445.5</v>
      </c>
      <c r="G24" s="252"/>
      <c r="H24" s="251" t="s">
        <v>457</v>
      </c>
      <c r="I24" s="391">
        <v>0</v>
      </c>
      <c r="J24" s="204"/>
    </row>
    <row r="25" spans="1:10" s="3" customFormat="1">
      <c r="A25" s="204">
        <f t="shared" si="0"/>
        <v>15</v>
      </c>
      <c r="C25" s="257" t="s">
        <v>466</v>
      </c>
      <c r="D25" s="257">
        <v>79290</v>
      </c>
      <c r="E25" s="251" t="s">
        <v>467</v>
      </c>
      <c r="F25" s="252">
        <v>3525</v>
      </c>
      <c r="G25" s="252"/>
      <c r="H25" s="251" t="s">
        <v>468</v>
      </c>
      <c r="I25" s="391">
        <v>0</v>
      </c>
      <c r="J25" s="204"/>
    </row>
    <row r="26" spans="1:10" s="3" customFormat="1">
      <c r="A26" s="204">
        <f t="shared" si="0"/>
        <v>16</v>
      </c>
      <c r="C26" s="257" t="s">
        <v>469</v>
      </c>
      <c r="D26" s="257">
        <v>79407</v>
      </c>
      <c r="E26" s="251" t="s">
        <v>449</v>
      </c>
      <c r="F26" s="252">
        <v>1000</v>
      </c>
      <c r="G26" s="252"/>
      <c r="H26" s="251" t="s">
        <v>450</v>
      </c>
      <c r="I26" s="391">
        <v>0</v>
      </c>
      <c r="J26" s="204"/>
    </row>
    <row r="27" spans="1:10" s="3" customFormat="1">
      <c r="A27" s="204">
        <f t="shared" si="0"/>
        <v>17</v>
      </c>
      <c r="C27" s="257" t="s">
        <v>373</v>
      </c>
      <c r="D27" s="257">
        <v>79462</v>
      </c>
      <c r="E27" s="251" t="s">
        <v>470</v>
      </c>
      <c r="F27" s="252">
        <v>726.45</v>
      </c>
      <c r="G27" s="252"/>
      <c r="H27" s="251" t="s">
        <v>457</v>
      </c>
      <c r="I27" s="391">
        <f>F27</f>
        <v>726.45</v>
      </c>
      <c r="J27" s="204" t="s">
        <v>128</v>
      </c>
    </row>
    <row r="28" spans="1:10" s="3" customFormat="1">
      <c r="A28" s="204">
        <f t="shared" si="0"/>
        <v>18</v>
      </c>
      <c r="C28" s="257" t="s">
        <v>471</v>
      </c>
      <c r="D28" s="257">
        <v>79483</v>
      </c>
      <c r="E28" s="251" t="s">
        <v>456</v>
      </c>
      <c r="F28" s="258">
        <v>5782.9</v>
      </c>
      <c r="G28" s="258"/>
      <c r="H28" s="251" t="s">
        <v>457</v>
      </c>
      <c r="I28" s="391">
        <v>0</v>
      </c>
      <c r="J28" s="204"/>
    </row>
    <row r="29" spans="1:10" s="3" customFormat="1">
      <c r="A29" s="204">
        <f t="shared" si="0"/>
        <v>19</v>
      </c>
      <c r="C29" s="257" t="s">
        <v>472</v>
      </c>
      <c r="D29" s="204">
        <v>79525</v>
      </c>
      <c r="E29" s="251" t="s">
        <v>449</v>
      </c>
      <c r="F29" s="252">
        <v>12198.13</v>
      </c>
      <c r="G29" s="252"/>
      <c r="H29" s="251" t="s">
        <v>457</v>
      </c>
      <c r="I29" s="391">
        <v>0</v>
      </c>
      <c r="J29" s="204"/>
    </row>
    <row r="30" spans="1:10" s="3" customFormat="1">
      <c r="A30" s="204">
        <f t="shared" si="0"/>
        <v>20</v>
      </c>
      <c r="C30" s="257" t="s">
        <v>472</v>
      </c>
      <c r="D30" s="257">
        <v>79528</v>
      </c>
      <c r="E30" s="251" t="s">
        <v>459</v>
      </c>
      <c r="F30" s="252">
        <v>1391</v>
      </c>
      <c r="G30" s="252"/>
      <c r="H30" s="251" t="s">
        <v>457</v>
      </c>
      <c r="I30" s="391">
        <f>F30*2/3</f>
        <v>927.33333333333337</v>
      </c>
      <c r="J30" s="204" t="s">
        <v>129</v>
      </c>
    </row>
    <row r="31" spans="1:10" s="3" customFormat="1">
      <c r="A31" s="204">
        <f t="shared" si="0"/>
        <v>21</v>
      </c>
      <c r="C31" s="257" t="s">
        <v>473</v>
      </c>
      <c r="D31" s="204">
        <v>79624</v>
      </c>
      <c r="E31" s="251" t="s">
        <v>449</v>
      </c>
      <c r="F31" s="252">
        <v>1000</v>
      </c>
      <c r="G31" s="252"/>
      <c r="H31" s="251" t="s">
        <v>450</v>
      </c>
      <c r="I31" s="391">
        <v>0</v>
      </c>
      <c r="J31" s="204"/>
    </row>
    <row r="32" spans="1:10" s="3" customFormat="1">
      <c r="A32" s="204">
        <f t="shared" si="0"/>
        <v>22</v>
      </c>
      <c r="C32" s="257" t="s">
        <v>474</v>
      </c>
      <c r="D32" s="257">
        <v>79756</v>
      </c>
      <c r="E32" s="251" t="s">
        <v>459</v>
      </c>
      <c r="F32" s="252">
        <v>21777.47</v>
      </c>
      <c r="G32" s="252"/>
      <c r="H32" s="251" t="s">
        <v>457</v>
      </c>
      <c r="I32" s="392">
        <f>F32*2/3</f>
        <v>14518.313333333334</v>
      </c>
      <c r="J32" s="204" t="s">
        <v>129</v>
      </c>
    </row>
    <row r="33" spans="1:10" s="3" customFormat="1">
      <c r="A33" s="204">
        <f t="shared" si="0"/>
        <v>23</v>
      </c>
      <c r="C33" s="257" t="s">
        <v>474</v>
      </c>
      <c r="D33" s="204">
        <v>79762</v>
      </c>
      <c r="E33" s="251" t="s">
        <v>456</v>
      </c>
      <c r="F33" s="252">
        <v>2448.8000000000002</v>
      </c>
      <c r="G33" s="252"/>
      <c r="H33" s="251" t="s">
        <v>457</v>
      </c>
      <c r="I33" s="392">
        <v>0</v>
      </c>
      <c r="J33" s="204"/>
    </row>
    <row r="34" spans="1:10" s="3" customFormat="1">
      <c r="A34" s="204">
        <f t="shared" si="0"/>
        <v>24</v>
      </c>
      <c r="C34" s="257" t="s">
        <v>475</v>
      </c>
      <c r="D34" s="257">
        <v>79860</v>
      </c>
      <c r="E34" s="251" t="s">
        <v>449</v>
      </c>
      <c r="F34" s="252">
        <v>1000</v>
      </c>
      <c r="G34" s="252"/>
      <c r="H34" s="251" t="s">
        <v>450</v>
      </c>
      <c r="I34" s="392">
        <v>0</v>
      </c>
      <c r="J34" s="204"/>
    </row>
    <row r="35" spans="1:10" s="3" customFormat="1">
      <c r="A35" s="204">
        <f t="shared" si="0"/>
        <v>25</v>
      </c>
      <c r="C35" s="257" t="s">
        <v>476</v>
      </c>
      <c r="D35" s="204">
        <v>79912</v>
      </c>
      <c r="E35" s="251" t="s">
        <v>449</v>
      </c>
      <c r="F35" s="252">
        <v>3736.5</v>
      </c>
      <c r="G35" s="252"/>
      <c r="H35" s="251" t="s">
        <v>457</v>
      </c>
      <c r="I35" s="392">
        <v>0</v>
      </c>
      <c r="J35" s="204"/>
    </row>
    <row r="36" spans="1:10" s="3" customFormat="1">
      <c r="A36" s="204">
        <f t="shared" si="0"/>
        <v>26</v>
      </c>
      <c r="C36" s="257" t="s">
        <v>477</v>
      </c>
      <c r="D36" s="257">
        <v>79936</v>
      </c>
      <c r="E36" s="251" t="s">
        <v>459</v>
      </c>
      <c r="F36" s="252">
        <v>3978.46</v>
      </c>
      <c r="G36" s="252"/>
      <c r="H36" s="251" t="s">
        <v>457</v>
      </c>
      <c r="I36" s="392">
        <f>F36*2/3</f>
        <v>2652.3066666666668</v>
      </c>
      <c r="J36" s="204" t="s">
        <v>129</v>
      </c>
    </row>
    <row r="37" spans="1:10" s="3" customFormat="1">
      <c r="A37" s="204">
        <f t="shared" si="0"/>
        <v>27</v>
      </c>
      <c r="C37" s="257" t="s">
        <v>379</v>
      </c>
      <c r="D37" s="204">
        <v>80154</v>
      </c>
      <c r="E37" s="251" t="s">
        <v>470</v>
      </c>
      <c r="F37" s="252">
        <v>2852.88</v>
      </c>
      <c r="G37" s="252"/>
      <c r="H37" s="251" t="s">
        <v>457</v>
      </c>
      <c r="I37" s="392">
        <v>0</v>
      </c>
      <c r="J37" s="204"/>
    </row>
    <row r="38" spans="1:10" s="3" customFormat="1">
      <c r="A38" s="204">
        <f t="shared" si="0"/>
        <v>28</v>
      </c>
      <c r="C38" s="259" t="s">
        <v>379</v>
      </c>
      <c r="D38" s="204">
        <v>80190</v>
      </c>
      <c r="E38" s="169" t="s">
        <v>478</v>
      </c>
      <c r="F38" s="260">
        <v>3844.62</v>
      </c>
      <c r="G38" s="260"/>
      <c r="H38" s="169"/>
      <c r="I38" s="392">
        <f>F38</f>
        <v>3844.62</v>
      </c>
      <c r="J38" s="204" t="s">
        <v>128</v>
      </c>
    </row>
    <row r="39" spans="1:10" s="3" customFormat="1">
      <c r="A39" s="204">
        <f t="shared" si="0"/>
        <v>29</v>
      </c>
      <c r="C39" s="257" t="s">
        <v>479</v>
      </c>
      <c r="D39" s="257">
        <v>80124</v>
      </c>
      <c r="E39" s="251" t="s">
        <v>449</v>
      </c>
      <c r="F39" s="252">
        <v>1000</v>
      </c>
      <c r="G39" s="252"/>
      <c r="H39" s="251" t="s">
        <v>450</v>
      </c>
      <c r="I39" s="392">
        <v>0</v>
      </c>
      <c r="J39" s="204"/>
    </row>
    <row r="40" spans="1:10" s="3" customFormat="1">
      <c r="A40" s="204">
        <f t="shared" si="0"/>
        <v>30</v>
      </c>
      <c r="C40" s="257" t="s">
        <v>381</v>
      </c>
      <c r="D40" s="204">
        <v>80201</v>
      </c>
      <c r="E40" s="251" t="s">
        <v>459</v>
      </c>
      <c r="F40" s="252">
        <v>481.5</v>
      </c>
      <c r="G40" s="252"/>
      <c r="H40" s="251" t="s">
        <v>457</v>
      </c>
      <c r="I40" s="392">
        <f>F40*2/3</f>
        <v>321</v>
      </c>
      <c r="J40" s="204" t="s">
        <v>129</v>
      </c>
    </row>
    <row r="41" spans="1:10" s="3" customFormat="1">
      <c r="A41" s="204">
        <f t="shared" si="0"/>
        <v>31</v>
      </c>
      <c r="C41" s="257" t="s">
        <v>381</v>
      </c>
      <c r="D41" s="257">
        <v>80203</v>
      </c>
      <c r="E41" s="251" t="s">
        <v>480</v>
      </c>
      <c r="F41" s="252">
        <v>2708.2</v>
      </c>
      <c r="G41" s="252"/>
      <c r="H41" s="251" t="s">
        <v>468</v>
      </c>
      <c r="I41" s="392">
        <f>F41</f>
        <v>2708.2</v>
      </c>
      <c r="J41" s="204" t="s">
        <v>128</v>
      </c>
    </row>
    <row r="42" spans="1:10" s="3" customFormat="1">
      <c r="A42" s="204">
        <f t="shared" si="0"/>
        <v>32</v>
      </c>
      <c r="C42" s="257" t="s">
        <v>383</v>
      </c>
      <c r="D42" s="257">
        <v>80205</v>
      </c>
      <c r="E42" s="251" t="s">
        <v>481</v>
      </c>
      <c r="F42" s="252">
        <v>2000</v>
      </c>
      <c r="G42" s="252"/>
      <c r="H42" s="251" t="s">
        <v>482</v>
      </c>
      <c r="I42" s="392">
        <v>0</v>
      </c>
      <c r="J42" s="204"/>
    </row>
    <row r="43" spans="1:10" s="3" customFormat="1">
      <c r="A43" s="204">
        <f t="shared" si="0"/>
        <v>33</v>
      </c>
      <c r="C43" s="257" t="s">
        <v>483</v>
      </c>
      <c r="D43" s="257">
        <v>80329</v>
      </c>
      <c r="E43" s="251" t="s">
        <v>449</v>
      </c>
      <c r="F43" s="252">
        <v>1000</v>
      </c>
      <c r="G43" s="252"/>
      <c r="H43" s="251" t="s">
        <v>450</v>
      </c>
      <c r="I43" s="392">
        <v>0</v>
      </c>
      <c r="J43" s="204"/>
    </row>
    <row r="44" spans="1:10" s="3" customFormat="1">
      <c r="A44" s="204">
        <f t="shared" si="0"/>
        <v>34</v>
      </c>
      <c r="C44" s="257" t="s">
        <v>484</v>
      </c>
      <c r="D44" s="257">
        <v>80441</v>
      </c>
      <c r="E44" s="251" t="s">
        <v>456</v>
      </c>
      <c r="F44" s="252">
        <v>796.5</v>
      </c>
      <c r="G44" s="252"/>
      <c r="H44" s="251" t="s">
        <v>457</v>
      </c>
      <c r="I44" s="392">
        <v>0</v>
      </c>
      <c r="J44" s="204"/>
    </row>
    <row r="45" spans="1:10" s="3" customFormat="1">
      <c r="A45" s="204">
        <f t="shared" si="0"/>
        <v>35</v>
      </c>
      <c r="C45" s="257" t="s">
        <v>438</v>
      </c>
      <c r="D45" s="204">
        <v>80622</v>
      </c>
      <c r="E45" s="251" t="s">
        <v>456</v>
      </c>
      <c r="F45" s="252">
        <v>2389.5</v>
      </c>
      <c r="G45" s="252"/>
      <c r="H45" s="251" t="s">
        <v>457</v>
      </c>
      <c r="I45" s="392">
        <v>0</v>
      </c>
      <c r="J45" s="204"/>
    </row>
    <row r="46" spans="1:10" s="3" customFormat="1">
      <c r="A46" s="204">
        <f t="shared" si="0"/>
        <v>36</v>
      </c>
      <c r="C46" s="257" t="s">
        <v>485</v>
      </c>
      <c r="D46" s="257">
        <v>79705</v>
      </c>
      <c r="E46" s="251" t="s">
        <v>463</v>
      </c>
      <c r="F46" s="252">
        <v>12500</v>
      </c>
      <c r="G46" s="252"/>
      <c r="H46" s="251" t="s">
        <v>486</v>
      </c>
      <c r="I46" s="392">
        <v>0</v>
      </c>
      <c r="J46" s="204"/>
    </row>
    <row r="47" spans="1:10" s="3" customFormat="1">
      <c r="A47" s="204">
        <f t="shared" si="0"/>
        <v>37</v>
      </c>
      <c r="C47" s="204"/>
      <c r="D47" s="204"/>
      <c r="E47" s="169"/>
      <c r="F47" s="256"/>
      <c r="G47" s="256"/>
      <c r="H47" s="261"/>
      <c r="I47" s="393"/>
      <c r="J47" s="204"/>
    </row>
    <row r="48" spans="1:10" s="3" customFormat="1">
      <c r="A48" s="204">
        <f t="shared" si="0"/>
        <v>38</v>
      </c>
      <c r="D48" s="10"/>
      <c r="E48" s="15" t="s">
        <v>36</v>
      </c>
      <c r="F48" s="242">
        <f>SUM(F11:F46)</f>
        <v>106523.91</v>
      </c>
      <c r="G48" s="243"/>
      <c r="H48" s="11"/>
      <c r="I48" s="394">
        <f>SUM(I11:I46)</f>
        <v>26161.89</v>
      </c>
      <c r="J48" s="204"/>
    </row>
    <row r="49" spans="1:10" s="3" customFormat="1">
      <c r="A49" s="204">
        <f t="shared" si="0"/>
        <v>39</v>
      </c>
      <c r="D49" s="10"/>
      <c r="E49" s="15"/>
      <c r="F49" s="245"/>
      <c r="G49" s="245"/>
      <c r="H49" s="11"/>
      <c r="I49" s="245"/>
      <c r="J49" s="204"/>
    </row>
    <row r="50" spans="1:10" s="3" customFormat="1">
      <c r="A50" s="204">
        <f t="shared" si="0"/>
        <v>40</v>
      </c>
      <c r="D50" s="10"/>
      <c r="E50" s="15" t="s">
        <v>152</v>
      </c>
      <c r="F50" s="245">
        <f>F48-I48</f>
        <v>80362.02</v>
      </c>
      <c r="G50" s="245"/>
      <c r="H50" s="11"/>
      <c r="I50" s="245"/>
      <c r="J50" s="204"/>
    </row>
    <row r="51" spans="1:10">
      <c r="A51" s="204">
        <f t="shared" si="0"/>
        <v>41</v>
      </c>
      <c r="C51" s="204"/>
      <c r="D51" s="204"/>
      <c r="I51" s="245"/>
    </row>
    <row r="52" spans="1:10" ht="13.8" thickBot="1">
      <c r="A52" s="204">
        <f t="shared" si="0"/>
        <v>42</v>
      </c>
      <c r="C52" s="262" t="s">
        <v>15</v>
      </c>
      <c r="D52" s="262"/>
      <c r="E52" s="21"/>
      <c r="F52" s="23">
        <f>F50-F48</f>
        <v>-26161.89</v>
      </c>
      <c r="G52" s="23"/>
      <c r="I52" s="245"/>
    </row>
    <row r="53" spans="1:10" ht="13.8" thickTop="1"/>
    <row r="54" spans="1:10">
      <c r="C54" s="351" t="s">
        <v>662</v>
      </c>
    </row>
    <row r="55" spans="1:10">
      <c r="C55" s="10" t="s">
        <v>128</v>
      </c>
      <c r="D55" s="15" t="s">
        <v>661</v>
      </c>
    </row>
    <row r="56" spans="1:10">
      <c r="C56" s="10" t="s">
        <v>129</v>
      </c>
      <c r="D56" s="15" t="s">
        <v>663</v>
      </c>
    </row>
    <row r="58" spans="1:10" ht="27.75" customHeight="1">
      <c r="C58" s="467" t="s">
        <v>487</v>
      </c>
      <c r="D58" s="467"/>
      <c r="E58" s="467"/>
      <c r="F58" s="467"/>
      <c r="G58" s="467"/>
      <c r="H58" s="467"/>
      <c r="I58" s="467"/>
    </row>
  </sheetData>
  <mergeCells count="4">
    <mergeCell ref="C58:I58"/>
    <mergeCell ref="A3:J3"/>
    <mergeCell ref="A4:J4"/>
    <mergeCell ref="A6:J6"/>
  </mergeCells>
  <printOptions horizontalCentered="1"/>
  <pageMargins left="1" right="0.75" top="0.75" bottom="0.5" header="0.5" footer="0.5"/>
  <pageSetup scale="70" orientation="portrait" r:id="rId1"/>
  <headerFooter alignWithMargins="0">
    <oddFooter>&amp;RExhibit JW-2
Page &amp;P of &amp;N</oddFooter>
  </headerFooter>
  <ignoredErrors>
    <ignoredError sqref="C9:J9" numberStoredAsText="1"/>
    <ignoredError sqref="C11:C46"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1"/>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37.6640625" style="11" bestFit="1" customWidth="1"/>
    <col min="4" max="4" width="9.44140625" style="11" customWidth="1"/>
    <col min="5" max="5" width="2.44140625" style="11" customWidth="1"/>
    <col min="6" max="6" width="15.6640625" style="11" customWidth="1"/>
    <col min="7" max="16384" width="9.109375" style="11"/>
  </cols>
  <sheetData>
    <row r="1" spans="1:6">
      <c r="D1" s="6"/>
      <c r="F1" s="6" t="s">
        <v>279</v>
      </c>
    </row>
    <row r="2" spans="1:6" ht="20.25" customHeight="1">
      <c r="D2" s="6"/>
      <c r="F2" s="6"/>
    </row>
    <row r="3" spans="1:6">
      <c r="A3" s="465" t="str">
        <f>RevReq!A1</f>
        <v>CUMBERLAND VALLEY ELECTRIC</v>
      </c>
      <c r="B3" s="465"/>
      <c r="C3" s="465"/>
      <c r="D3" s="465"/>
      <c r="E3" s="465"/>
      <c r="F3" s="465"/>
    </row>
    <row r="4" spans="1:6">
      <c r="A4" s="465" t="str">
        <f>RevReq!A3</f>
        <v>For the 12 Months Ended December 31, 2019</v>
      </c>
      <c r="B4" s="465"/>
      <c r="C4" s="465"/>
      <c r="D4" s="465"/>
      <c r="E4" s="465"/>
      <c r="F4" s="465"/>
    </row>
    <row r="6" spans="1:6" s="7" customFormat="1" ht="15" customHeight="1">
      <c r="A6" s="466" t="s">
        <v>31</v>
      </c>
      <c r="B6" s="466"/>
      <c r="C6" s="466"/>
      <c r="D6" s="466"/>
      <c r="E6" s="466"/>
      <c r="F6" s="466"/>
    </row>
    <row r="8" spans="1:6">
      <c r="A8" s="10" t="s">
        <v>0</v>
      </c>
      <c r="C8" s="10" t="s">
        <v>40</v>
      </c>
      <c r="D8" s="10" t="s">
        <v>327</v>
      </c>
      <c r="E8" s="10"/>
      <c r="F8" s="10" t="s">
        <v>24</v>
      </c>
    </row>
    <row r="9" spans="1:6">
      <c r="A9" s="135" t="s">
        <v>21</v>
      </c>
      <c r="C9" s="13" t="s">
        <v>18</v>
      </c>
      <c r="D9" s="13" t="s">
        <v>20</v>
      </c>
      <c r="E9" s="13"/>
      <c r="F9" s="13" t="s">
        <v>19</v>
      </c>
    </row>
    <row r="10" spans="1:6">
      <c r="A10" s="10"/>
    </row>
    <row r="11" spans="1:6">
      <c r="A11" s="10"/>
    </row>
    <row r="12" spans="1:6">
      <c r="A12" s="10">
        <v>1</v>
      </c>
      <c r="C12" s="15" t="s">
        <v>489</v>
      </c>
      <c r="D12" s="29">
        <v>423</v>
      </c>
      <c r="E12" s="204"/>
      <c r="F12" s="263">
        <v>1712191.29</v>
      </c>
    </row>
    <row r="13" spans="1:6">
      <c r="A13" s="10">
        <v>2</v>
      </c>
      <c r="C13" s="2"/>
      <c r="D13" s="2"/>
      <c r="E13" s="2"/>
      <c r="F13" s="20"/>
    </row>
    <row r="14" spans="1:6">
      <c r="A14" s="10">
        <v>3</v>
      </c>
      <c r="C14" s="2" t="s">
        <v>36</v>
      </c>
      <c r="D14" s="2"/>
      <c r="E14" s="2"/>
      <c r="F14" s="20">
        <v>1712191.29</v>
      </c>
    </row>
    <row r="15" spans="1:6">
      <c r="A15" s="10">
        <v>4</v>
      </c>
      <c r="C15" s="2"/>
      <c r="D15" s="2"/>
      <c r="E15" s="2"/>
    </row>
    <row r="16" spans="1:6">
      <c r="A16" s="10">
        <v>5</v>
      </c>
      <c r="C16" s="3" t="s">
        <v>37</v>
      </c>
      <c r="D16" s="3"/>
      <c r="F16" s="14">
        <v>0</v>
      </c>
    </row>
    <row r="17" spans="1:6">
      <c r="A17" s="10">
        <v>6</v>
      </c>
      <c r="C17" s="3"/>
      <c r="D17" s="3"/>
    </row>
    <row r="18" spans="1:6" ht="13.8" thickBot="1">
      <c r="A18" s="10">
        <v>7</v>
      </c>
      <c r="C18" s="4" t="s">
        <v>15</v>
      </c>
      <c r="D18" s="4"/>
      <c r="E18" s="21"/>
      <c r="F18" s="23">
        <f>ROUND(F16-F14,2)</f>
        <v>-1712191.29</v>
      </c>
    </row>
    <row r="19" spans="1:6" ht="13.8" thickTop="1"/>
    <row r="21" spans="1:6" ht="30" customHeight="1">
      <c r="C21" s="467" t="s">
        <v>490</v>
      </c>
      <c r="D21" s="467"/>
      <c r="E21" s="467"/>
      <c r="F21" s="467"/>
    </row>
  </sheetData>
  <mergeCells count="4">
    <mergeCell ref="A3:F3"/>
    <mergeCell ref="A4:F4"/>
    <mergeCell ref="A6:F6"/>
    <mergeCell ref="C21:F21"/>
  </mergeCells>
  <printOptions horizontalCentered="1"/>
  <pageMargins left="1" right="0.75" top="0.75" bottom="0.5" header="0.5" footer="0.5"/>
  <pageSetup orientation="portrait" r:id="rId1"/>
  <headerFooter alignWithMargins="0">
    <oddFooter>&amp;RExhibit JW-2
Page &amp;P of &amp;N</oddFooter>
  </headerFooter>
  <ignoredErrors>
    <ignoredError sqref="C9:F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04"/>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6.5546875" style="11" customWidth="1"/>
    <col min="4" max="4" width="9" style="11" customWidth="1"/>
    <col min="5" max="5" width="4.33203125" style="11" customWidth="1"/>
    <col min="6" max="6" width="12.109375" style="11" customWidth="1"/>
    <col min="7" max="7" width="11.5546875" style="11" customWidth="1"/>
    <col min="8" max="8" width="11.33203125" style="11" bestFit="1" customWidth="1"/>
    <col min="9" max="9" width="11.44140625" style="11" customWidth="1"/>
    <col min="10" max="10" width="11.33203125" style="11" bestFit="1" customWidth="1"/>
    <col min="11" max="11" width="12.88671875" style="11" customWidth="1"/>
    <col min="12" max="12" width="7.88671875" style="11" customWidth="1"/>
    <col min="13" max="13" width="9.109375" style="11"/>
    <col min="14" max="14" width="9.33203125" style="11" bestFit="1" customWidth="1"/>
    <col min="15" max="15" width="12.44140625" style="11" customWidth="1"/>
    <col min="16" max="16384" width="9.109375" style="11"/>
  </cols>
  <sheetData>
    <row r="1" spans="1:17">
      <c r="O1" s="6" t="s">
        <v>488</v>
      </c>
    </row>
    <row r="2" spans="1:17" ht="20.25" customHeight="1">
      <c r="F2" s="6"/>
    </row>
    <row r="3" spans="1:17">
      <c r="A3" s="465" t="str">
        <f>RevReq!A1</f>
        <v>CUMBERLAND VALLEY ELECTRIC</v>
      </c>
      <c r="B3" s="465"/>
      <c r="C3" s="465"/>
      <c r="D3" s="465"/>
      <c r="E3" s="465"/>
      <c r="F3" s="465"/>
      <c r="G3" s="465"/>
      <c r="H3" s="465"/>
      <c r="I3" s="465"/>
      <c r="J3" s="465"/>
      <c r="K3" s="465"/>
      <c r="L3" s="465"/>
      <c r="M3" s="465"/>
      <c r="N3" s="465"/>
      <c r="O3" s="465"/>
    </row>
    <row r="4" spans="1:17">
      <c r="A4" s="465" t="str">
        <f>RevReq!A3</f>
        <v>For the 12 Months Ended December 31, 2019</v>
      </c>
      <c r="B4" s="465"/>
      <c r="C4" s="465"/>
      <c r="D4" s="465"/>
      <c r="E4" s="465"/>
      <c r="F4" s="465"/>
      <c r="G4" s="465"/>
      <c r="H4" s="465"/>
      <c r="I4" s="465"/>
      <c r="J4" s="465"/>
      <c r="K4" s="465"/>
      <c r="L4" s="465"/>
      <c r="M4" s="465"/>
      <c r="N4" s="465"/>
      <c r="O4" s="465"/>
    </row>
    <row r="6" spans="1:17" s="7" customFormat="1" ht="15" customHeight="1">
      <c r="A6" s="466" t="s">
        <v>538</v>
      </c>
      <c r="B6" s="466"/>
      <c r="C6" s="466"/>
      <c r="D6" s="466"/>
      <c r="E6" s="466"/>
      <c r="F6" s="466"/>
      <c r="G6" s="466"/>
      <c r="H6" s="466"/>
      <c r="I6" s="466"/>
      <c r="J6" s="466"/>
      <c r="K6" s="466"/>
      <c r="L6" s="466"/>
      <c r="M6" s="466"/>
      <c r="N6" s="466"/>
      <c r="O6" s="466"/>
    </row>
    <row r="7" spans="1:17">
      <c r="D7" s="10"/>
      <c r="E7" s="10"/>
      <c r="G7" s="192"/>
    </row>
    <row r="8" spans="1:17" s="284" customFormat="1" ht="24" customHeight="1">
      <c r="A8" s="227"/>
      <c r="C8" s="477" t="s">
        <v>265</v>
      </c>
      <c r="D8" s="478"/>
      <c r="E8" s="478"/>
      <c r="F8" s="479"/>
      <c r="G8" s="477" t="s">
        <v>539</v>
      </c>
      <c r="H8" s="479"/>
      <c r="I8" s="477" t="s">
        <v>540</v>
      </c>
      <c r="J8" s="479"/>
      <c r="K8" s="477" t="s">
        <v>541</v>
      </c>
      <c r="L8" s="479"/>
      <c r="M8" s="477" t="s">
        <v>542</v>
      </c>
      <c r="N8" s="478"/>
      <c r="O8" s="313" t="s">
        <v>43</v>
      </c>
    </row>
    <row r="9" spans="1:17" s="3" customFormat="1">
      <c r="A9" s="204"/>
      <c r="C9" s="314"/>
      <c r="D9" s="5"/>
      <c r="E9" s="5"/>
      <c r="F9" s="315" t="s">
        <v>543</v>
      </c>
      <c r="G9" s="316" t="s">
        <v>544</v>
      </c>
      <c r="H9" s="317" t="s">
        <v>545</v>
      </c>
      <c r="I9" s="318" t="s">
        <v>266</v>
      </c>
      <c r="J9" s="317" t="s">
        <v>545</v>
      </c>
      <c r="K9" s="317" t="s">
        <v>544</v>
      </c>
      <c r="L9" s="318" t="s">
        <v>545</v>
      </c>
      <c r="M9" s="317" t="s">
        <v>544</v>
      </c>
      <c r="N9" s="316" t="s">
        <v>545</v>
      </c>
      <c r="O9" s="319" t="s">
        <v>546</v>
      </c>
    </row>
    <row r="10" spans="1:17" s="3" customFormat="1">
      <c r="A10" s="208" t="s">
        <v>0</v>
      </c>
      <c r="B10" s="42"/>
      <c r="C10" s="320" t="s">
        <v>492</v>
      </c>
      <c r="D10" s="296" t="s">
        <v>258</v>
      </c>
      <c r="E10" s="296" t="s">
        <v>264</v>
      </c>
      <c r="F10" s="321" t="s">
        <v>547</v>
      </c>
      <c r="G10" s="322">
        <v>118500</v>
      </c>
      <c r="H10" s="323">
        <v>6.2E-2</v>
      </c>
      <c r="I10" s="324" t="s">
        <v>547</v>
      </c>
      <c r="J10" s="323">
        <v>1.4500000000000001E-2</v>
      </c>
      <c r="K10" s="325">
        <v>7000</v>
      </c>
      <c r="L10" s="326">
        <v>6.0000000000000001E-3</v>
      </c>
      <c r="M10" s="325">
        <v>10500</v>
      </c>
      <c r="N10" s="327">
        <v>3.0000000000000001E-3</v>
      </c>
      <c r="O10" s="323" t="s">
        <v>548</v>
      </c>
    </row>
    <row r="11" spans="1:17" s="3" customFormat="1">
      <c r="A11" s="49" t="s">
        <v>21</v>
      </c>
      <c r="B11" s="42"/>
      <c r="C11" s="328">
        <v>1</v>
      </c>
      <c r="D11" s="329">
        <f>C11+1</f>
        <v>2</v>
      </c>
      <c r="E11" s="329">
        <f>D11+1</f>
        <v>3</v>
      </c>
      <c r="F11" s="330">
        <v>4</v>
      </c>
      <c r="G11" s="329">
        <f t="shared" ref="G11:O11" si="0">F11+1</f>
        <v>5</v>
      </c>
      <c r="H11" s="331">
        <f t="shared" si="0"/>
        <v>6</v>
      </c>
      <c r="I11" s="329">
        <f t="shared" si="0"/>
        <v>7</v>
      </c>
      <c r="J11" s="331">
        <f t="shared" si="0"/>
        <v>8</v>
      </c>
      <c r="K11" s="331">
        <f t="shared" si="0"/>
        <v>9</v>
      </c>
      <c r="L11" s="329">
        <f t="shared" si="0"/>
        <v>10</v>
      </c>
      <c r="M11" s="331">
        <f t="shared" si="0"/>
        <v>11</v>
      </c>
      <c r="N11" s="331">
        <f t="shared" si="0"/>
        <v>12</v>
      </c>
      <c r="O11" s="331">
        <f t="shared" si="0"/>
        <v>13</v>
      </c>
    </row>
    <row r="12" spans="1:17" s="3" customFormat="1">
      <c r="A12" s="208"/>
      <c r="B12" s="42"/>
      <c r="C12" s="208"/>
      <c r="D12" s="208"/>
      <c r="E12" s="208"/>
    </row>
    <row r="13" spans="1:17" s="3" customFormat="1" ht="20.100000000000001" hidden="1" customHeight="1">
      <c r="A13" s="204"/>
      <c r="C13" s="204"/>
      <c r="D13" s="204"/>
      <c r="E13" s="204"/>
      <c r="F13" s="332"/>
      <c r="G13" s="205"/>
      <c r="H13" s="205"/>
      <c r="Q13" s="309"/>
    </row>
    <row r="14" spans="1:17" s="3" customFormat="1" ht="20.100000000000001" hidden="1" customHeight="1">
      <c r="A14" s="204"/>
      <c r="C14" s="204"/>
      <c r="D14" s="333"/>
      <c r="E14" s="333"/>
      <c r="F14" s="334"/>
      <c r="G14" s="205"/>
      <c r="H14" s="205"/>
      <c r="I14" s="204"/>
      <c r="J14" s="204"/>
      <c r="K14" s="204"/>
      <c r="Q14" s="309"/>
    </row>
    <row r="15" spans="1:17" s="204" customFormat="1" ht="13.8" hidden="1" thickBot="1">
      <c r="C15" s="204" t="s">
        <v>492</v>
      </c>
      <c r="D15" s="204" t="s">
        <v>549</v>
      </c>
      <c r="F15" s="335" t="s">
        <v>43</v>
      </c>
      <c r="G15" s="336"/>
      <c r="H15" s="166"/>
      <c r="I15" s="183"/>
      <c r="J15" s="333"/>
      <c r="K15" s="333"/>
      <c r="N15" s="337"/>
      <c r="O15" s="337"/>
      <c r="P15" s="338"/>
    </row>
    <row r="16" spans="1:17" s="3" customFormat="1">
      <c r="A16" s="204">
        <v>1</v>
      </c>
      <c r="C16" s="182" t="s">
        <v>550</v>
      </c>
      <c r="D16" s="204"/>
      <c r="E16" s="167"/>
    </row>
    <row r="17" spans="1:15" s="3" customFormat="1">
      <c r="A17" s="204">
        <f>A16+1</f>
        <v>2</v>
      </c>
      <c r="C17" s="204">
        <f>'1.10 Wages'!C12</f>
        <v>1</v>
      </c>
      <c r="D17" s="204">
        <f>'1.10 Wages'!D12</f>
        <v>1201</v>
      </c>
      <c r="E17" s="204"/>
      <c r="F17" s="171">
        <f>'1.10 Wages'!X12</f>
        <v>118976.4</v>
      </c>
      <c r="G17" s="339">
        <f>IF($F17&lt;G$10,$F17,G$10)</f>
        <v>118500</v>
      </c>
      <c r="H17" s="340">
        <f>G17*H$10</f>
        <v>7347</v>
      </c>
      <c r="I17" s="339">
        <f t="shared" ref="I17:I26" si="1">F17</f>
        <v>118976.4</v>
      </c>
      <c r="J17" s="340">
        <f>I17*J$10</f>
        <v>1725.1578</v>
      </c>
      <c r="K17" s="339">
        <f t="shared" ref="K17:K26" si="2">IF($F17&lt;K$10,$F17,K$10)</f>
        <v>7000</v>
      </c>
      <c r="L17" s="340">
        <f>K17*L$10</f>
        <v>42</v>
      </c>
      <c r="M17" s="339">
        <f t="shared" ref="M17:M26" si="3">IF($F17&lt;M$10,$F17,M$10)</f>
        <v>10500</v>
      </c>
      <c r="N17" s="340">
        <f>M17*N$10</f>
        <v>31.5</v>
      </c>
      <c r="O17" s="340">
        <f>H17+J17+L17+N17</f>
        <v>9145.6578000000009</v>
      </c>
    </row>
    <row r="18" spans="1:15" s="3" customFormat="1">
      <c r="A18" s="204">
        <f t="shared" ref="A18:A82" si="4">A17+1</f>
        <v>3</v>
      </c>
      <c r="C18" s="204">
        <f>'1.10 Wages'!C13</f>
        <v>1</v>
      </c>
      <c r="D18" s="204">
        <f>'1.10 Wages'!D13</f>
        <v>1211</v>
      </c>
      <c r="E18" s="204"/>
      <c r="F18" s="171">
        <f>'1.10 Wages'!X13</f>
        <v>75254.8</v>
      </c>
      <c r="G18" s="339">
        <f t="shared" ref="G18:G70" si="5">IF($F18&lt;G$10,$F18,G$10)</f>
        <v>75254.8</v>
      </c>
      <c r="H18" s="340">
        <f t="shared" ref="H18:J58" si="6">G18*H$10</f>
        <v>4665.7975999999999</v>
      </c>
      <c r="I18" s="339">
        <f t="shared" si="1"/>
        <v>75254.8</v>
      </c>
      <c r="J18" s="340">
        <f t="shared" si="6"/>
        <v>1091.1946</v>
      </c>
      <c r="K18" s="339">
        <f t="shared" si="2"/>
        <v>7000</v>
      </c>
      <c r="L18" s="340">
        <f t="shared" ref="L18:L26" si="7">K18*L$10</f>
        <v>42</v>
      </c>
      <c r="M18" s="339">
        <f t="shared" si="3"/>
        <v>10500</v>
      </c>
      <c r="N18" s="340">
        <f t="shared" ref="N18:N26" si="8">M18*N$10</f>
        <v>31.5</v>
      </c>
      <c r="O18" s="340">
        <f t="shared" ref="O18:O82" si="9">H18+J18+L18+N18</f>
        <v>5830.4921999999997</v>
      </c>
    </row>
    <row r="19" spans="1:15" s="3" customFormat="1">
      <c r="A19" s="204">
        <f t="shared" si="4"/>
        <v>4</v>
      </c>
      <c r="C19" s="204">
        <f>'1.10 Wages'!C14</f>
        <v>1</v>
      </c>
      <c r="D19" s="204">
        <f>'1.10 Wages'!D14</f>
        <v>1218</v>
      </c>
      <c r="E19" s="204"/>
      <c r="F19" s="339">
        <f>'1.10 Wages'!X14</f>
        <v>116771.6</v>
      </c>
      <c r="G19" s="339">
        <f t="shared" si="5"/>
        <v>116771.6</v>
      </c>
      <c r="H19" s="340">
        <f t="shared" si="6"/>
        <v>7239.8392000000003</v>
      </c>
      <c r="I19" s="339">
        <f t="shared" si="1"/>
        <v>116771.6</v>
      </c>
      <c r="J19" s="340">
        <f t="shared" si="6"/>
        <v>1693.1882000000003</v>
      </c>
      <c r="K19" s="339">
        <f t="shared" si="2"/>
        <v>7000</v>
      </c>
      <c r="L19" s="340">
        <f t="shared" si="7"/>
        <v>42</v>
      </c>
      <c r="M19" s="339">
        <f t="shared" si="3"/>
        <v>10500</v>
      </c>
      <c r="N19" s="340">
        <f t="shared" si="8"/>
        <v>31.5</v>
      </c>
      <c r="O19" s="340">
        <f t="shared" si="9"/>
        <v>9006.5274000000009</v>
      </c>
    </row>
    <row r="20" spans="1:15" s="3" customFormat="1">
      <c r="A20" s="204">
        <f t="shared" si="4"/>
        <v>5</v>
      </c>
      <c r="C20" s="204">
        <f>'1.10 Wages'!C15</f>
        <v>1</v>
      </c>
      <c r="D20" s="204">
        <f>'1.10 Wages'!D15</f>
        <v>1224</v>
      </c>
      <c r="E20" s="204"/>
      <c r="F20" s="171">
        <f>'1.10 Wages'!X15</f>
        <v>74838.8</v>
      </c>
      <c r="G20" s="339">
        <f t="shared" si="5"/>
        <v>74838.8</v>
      </c>
      <c r="H20" s="340">
        <f t="shared" si="6"/>
        <v>4640.0056000000004</v>
      </c>
      <c r="I20" s="339">
        <f t="shared" si="1"/>
        <v>74838.8</v>
      </c>
      <c r="J20" s="340">
        <f t="shared" si="6"/>
        <v>1085.1626000000001</v>
      </c>
      <c r="K20" s="339">
        <f t="shared" si="2"/>
        <v>7000</v>
      </c>
      <c r="L20" s="340">
        <f t="shared" si="7"/>
        <v>42</v>
      </c>
      <c r="M20" s="339">
        <f t="shared" si="3"/>
        <v>10500</v>
      </c>
      <c r="N20" s="340">
        <f t="shared" si="8"/>
        <v>31.5</v>
      </c>
      <c r="O20" s="340">
        <f t="shared" si="9"/>
        <v>5798.6682000000001</v>
      </c>
    </row>
    <row r="21" spans="1:15" s="3" customFormat="1">
      <c r="A21" s="204">
        <f t="shared" si="4"/>
        <v>6</v>
      </c>
      <c r="C21" s="204">
        <f>'1.10 Wages'!C16</f>
        <v>1</v>
      </c>
      <c r="D21" s="204">
        <f>'1.10 Wages'!D16</f>
        <v>1226</v>
      </c>
      <c r="E21" s="204"/>
      <c r="F21" s="171">
        <f>'1.10 Wages'!X16</f>
        <v>188344</v>
      </c>
      <c r="G21" s="339">
        <f t="shared" si="5"/>
        <v>118500</v>
      </c>
      <c r="H21" s="340">
        <f t="shared" si="6"/>
        <v>7347</v>
      </c>
      <c r="I21" s="339">
        <f t="shared" si="1"/>
        <v>188344</v>
      </c>
      <c r="J21" s="340">
        <f t="shared" si="6"/>
        <v>2730.9880000000003</v>
      </c>
      <c r="K21" s="339">
        <f t="shared" si="2"/>
        <v>7000</v>
      </c>
      <c r="L21" s="340">
        <f t="shared" si="7"/>
        <v>42</v>
      </c>
      <c r="M21" s="339">
        <f t="shared" si="3"/>
        <v>10500</v>
      </c>
      <c r="N21" s="340">
        <f t="shared" si="8"/>
        <v>31.5</v>
      </c>
      <c r="O21" s="340">
        <f t="shared" si="9"/>
        <v>10151.488000000001</v>
      </c>
    </row>
    <row r="22" spans="1:15" s="3" customFormat="1">
      <c r="A22" s="204">
        <f t="shared" si="4"/>
        <v>7</v>
      </c>
      <c r="C22" s="204">
        <v>1</v>
      </c>
      <c r="D22" s="204">
        <f>'1.10 Wages'!D17</f>
        <v>1227</v>
      </c>
      <c r="E22" s="204"/>
      <c r="F22" s="171">
        <f>'1.10 Wages'!X17</f>
        <v>109491.6</v>
      </c>
      <c r="G22" s="339">
        <f t="shared" si="5"/>
        <v>109491.6</v>
      </c>
      <c r="H22" s="340">
        <f t="shared" si="6"/>
        <v>6788.4792000000007</v>
      </c>
      <c r="I22" s="339">
        <f t="shared" si="1"/>
        <v>109491.6</v>
      </c>
      <c r="J22" s="340">
        <f t="shared" si="6"/>
        <v>1587.6282000000001</v>
      </c>
      <c r="K22" s="339">
        <f t="shared" si="2"/>
        <v>7000</v>
      </c>
      <c r="L22" s="340">
        <f t="shared" si="7"/>
        <v>42</v>
      </c>
      <c r="M22" s="339">
        <f t="shared" si="3"/>
        <v>10500</v>
      </c>
      <c r="N22" s="340">
        <f t="shared" si="8"/>
        <v>31.5</v>
      </c>
      <c r="O22" s="340">
        <f t="shared" si="9"/>
        <v>8449.6074000000008</v>
      </c>
    </row>
    <row r="23" spans="1:15" s="3" customFormat="1">
      <c r="A23" s="204">
        <f t="shared" si="4"/>
        <v>8</v>
      </c>
      <c r="C23" s="204">
        <f>'1.10 Wages'!C18</f>
        <v>1</v>
      </c>
      <c r="D23" s="204">
        <f>'1.10 Wages'!D18</f>
        <v>1228</v>
      </c>
      <c r="E23" s="204"/>
      <c r="F23" s="171">
        <f>'1.10 Wages'!X18</f>
        <v>88691.6</v>
      </c>
      <c r="G23" s="339">
        <f t="shared" si="5"/>
        <v>88691.6</v>
      </c>
      <c r="H23" s="340">
        <f t="shared" si="6"/>
        <v>5498.8792000000003</v>
      </c>
      <c r="I23" s="339">
        <f t="shared" si="1"/>
        <v>88691.6</v>
      </c>
      <c r="J23" s="340">
        <f t="shared" si="6"/>
        <v>1286.0282000000002</v>
      </c>
      <c r="K23" s="339">
        <f t="shared" si="2"/>
        <v>7000</v>
      </c>
      <c r="L23" s="340">
        <f t="shared" si="7"/>
        <v>42</v>
      </c>
      <c r="M23" s="339">
        <f t="shared" si="3"/>
        <v>10500</v>
      </c>
      <c r="N23" s="340">
        <f t="shared" si="8"/>
        <v>31.5</v>
      </c>
      <c r="O23" s="340">
        <f t="shared" si="9"/>
        <v>6858.4074000000001</v>
      </c>
    </row>
    <row r="24" spans="1:15" s="3" customFormat="1">
      <c r="A24" s="204">
        <f t="shared" si="4"/>
        <v>9</v>
      </c>
      <c r="C24" s="204">
        <f>'1.10 Wages'!C19</f>
        <v>1</v>
      </c>
      <c r="D24" s="204">
        <f>'1.10 Wages'!D19</f>
        <v>1239</v>
      </c>
      <c r="E24" s="204"/>
      <c r="F24" s="171">
        <f>'1.10 Wages'!X19</f>
        <v>80600.400000000009</v>
      </c>
      <c r="G24" s="339">
        <f t="shared" si="5"/>
        <v>80600.400000000009</v>
      </c>
      <c r="H24" s="340">
        <f t="shared" si="6"/>
        <v>4997.2248000000009</v>
      </c>
      <c r="I24" s="339">
        <f t="shared" si="1"/>
        <v>80600.400000000009</v>
      </c>
      <c r="J24" s="340">
        <f t="shared" si="6"/>
        <v>1168.7058000000002</v>
      </c>
      <c r="K24" s="339">
        <f t="shared" si="2"/>
        <v>7000</v>
      </c>
      <c r="L24" s="340">
        <f t="shared" si="7"/>
        <v>42</v>
      </c>
      <c r="M24" s="339">
        <f t="shared" si="3"/>
        <v>10500</v>
      </c>
      <c r="N24" s="340">
        <f t="shared" si="8"/>
        <v>31.5</v>
      </c>
      <c r="O24" s="340">
        <f t="shared" si="9"/>
        <v>6239.4306000000015</v>
      </c>
    </row>
    <row r="25" spans="1:15" s="3" customFormat="1">
      <c r="A25" s="204">
        <f t="shared" si="4"/>
        <v>10</v>
      </c>
      <c r="C25" s="204">
        <f>'1.10 Wages'!C20</f>
        <v>1</v>
      </c>
      <c r="D25" s="204">
        <f>'1.10 Wages'!D20</f>
        <v>1245</v>
      </c>
      <c r="E25" s="208"/>
      <c r="F25" s="171">
        <f>'1.10 Wages'!X20</f>
        <v>126318.8</v>
      </c>
      <c r="G25" s="339">
        <f t="shared" si="5"/>
        <v>118500</v>
      </c>
      <c r="H25" s="340">
        <f t="shared" si="6"/>
        <v>7347</v>
      </c>
      <c r="I25" s="339">
        <f t="shared" si="1"/>
        <v>126318.8</v>
      </c>
      <c r="J25" s="340">
        <f t="shared" si="6"/>
        <v>1831.6226000000001</v>
      </c>
      <c r="K25" s="339">
        <f t="shared" si="2"/>
        <v>7000</v>
      </c>
      <c r="L25" s="340">
        <f t="shared" si="7"/>
        <v>42</v>
      </c>
      <c r="M25" s="339">
        <f t="shared" si="3"/>
        <v>10500</v>
      </c>
      <c r="N25" s="340">
        <f t="shared" si="8"/>
        <v>31.5</v>
      </c>
      <c r="O25" s="340">
        <f t="shared" si="9"/>
        <v>9252.1226000000006</v>
      </c>
    </row>
    <row r="26" spans="1:15" s="3" customFormat="1">
      <c r="A26" s="204">
        <f t="shared" si="4"/>
        <v>11</v>
      </c>
      <c r="C26" s="204">
        <f>'1.10 Wages'!C21</f>
        <v>1</v>
      </c>
      <c r="D26" s="204">
        <f>'1.10 Wages'!D21</f>
        <v>1247</v>
      </c>
      <c r="E26" s="208"/>
      <c r="F26" s="171">
        <f>'1.10 Wages'!X21</f>
        <v>109491.6</v>
      </c>
      <c r="G26" s="339">
        <f t="shared" si="5"/>
        <v>109491.6</v>
      </c>
      <c r="H26" s="340">
        <f t="shared" si="6"/>
        <v>6788.4792000000007</v>
      </c>
      <c r="I26" s="339">
        <f t="shared" si="1"/>
        <v>109491.6</v>
      </c>
      <c r="J26" s="340">
        <f t="shared" si="6"/>
        <v>1587.6282000000001</v>
      </c>
      <c r="K26" s="339">
        <f t="shared" si="2"/>
        <v>7000</v>
      </c>
      <c r="L26" s="340">
        <f t="shared" si="7"/>
        <v>42</v>
      </c>
      <c r="M26" s="339">
        <f t="shared" si="3"/>
        <v>10500</v>
      </c>
      <c r="N26" s="340">
        <f t="shared" si="8"/>
        <v>31.5</v>
      </c>
      <c r="O26" s="340">
        <f t="shared" si="9"/>
        <v>8449.6074000000008</v>
      </c>
    </row>
    <row r="27" spans="1:15" s="3" customFormat="1">
      <c r="A27" s="204">
        <f t="shared" si="4"/>
        <v>12</v>
      </c>
      <c r="C27" s="5">
        <f>SUM(C17:C26)</f>
        <v>10</v>
      </c>
      <c r="D27" s="5" t="s">
        <v>22</v>
      </c>
      <c r="E27" s="5"/>
      <c r="F27" s="341">
        <f>SUM(F17:F26)</f>
        <v>1088779.6000000001</v>
      </c>
      <c r="G27" s="341">
        <f>SUM(G17:G26)</f>
        <v>1010640.4</v>
      </c>
      <c r="H27" s="341">
        <f t="shared" ref="H27:N27" si="10">SUM(H17:H26)</f>
        <v>62659.704800000007</v>
      </c>
      <c r="I27" s="341">
        <f t="shared" si="10"/>
        <v>1088779.6000000001</v>
      </c>
      <c r="J27" s="341">
        <f t="shared" si="10"/>
        <v>15787.304200000002</v>
      </c>
      <c r="K27" s="341">
        <f t="shared" si="10"/>
        <v>70000</v>
      </c>
      <c r="L27" s="341">
        <f t="shared" si="10"/>
        <v>420</v>
      </c>
      <c r="M27" s="341">
        <f t="shared" si="10"/>
        <v>105000</v>
      </c>
      <c r="N27" s="341">
        <f t="shared" si="10"/>
        <v>315</v>
      </c>
      <c r="O27" s="341">
        <f t="shared" si="9"/>
        <v>79182.009000000005</v>
      </c>
    </row>
    <row r="28" spans="1:15" s="3" customFormat="1">
      <c r="A28" s="204">
        <f t="shared" si="4"/>
        <v>13</v>
      </c>
      <c r="C28" s="204"/>
      <c r="D28" s="204"/>
      <c r="E28" s="204"/>
      <c r="F28" s="170"/>
      <c r="G28" s="339"/>
      <c r="H28" s="340"/>
      <c r="I28" s="339"/>
      <c r="J28" s="340"/>
      <c r="K28" s="339">
        <f t="shared" ref="K28:K70" si="11">IF($F28&lt;K$10,$F28,K$10)</f>
        <v>0</v>
      </c>
      <c r="L28" s="340"/>
      <c r="M28" s="339">
        <f t="shared" ref="M28:M70" si="12">IF($F28&lt;M$10,$F28,M$10)</f>
        <v>0</v>
      </c>
      <c r="N28" s="340"/>
      <c r="O28" s="340"/>
    </row>
    <row r="29" spans="1:15" s="3" customFormat="1">
      <c r="A29" s="204">
        <f t="shared" si="4"/>
        <v>14</v>
      </c>
      <c r="C29" s="182" t="s">
        <v>495</v>
      </c>
      <c r="D29" s="204"/>
      <c r="E29" s="167"/>
      <c r="F29" s="273"/>
      <c r="G29" s="339"/>
      <c r="H29" s="340"/>
      <c r="I29" s="339"/>
      <c r="J29" s="340"/>
      <c r="K29" s="339">
        <f t="shared" si="11"/>
        <v>0</v>
      </c>
      <c r="L29" s="340"/>
      <c r="M29" s="339">
        <f t="shared" si="12"/>
        <v>0</v>
      </c>
      <c r="N29" s="340"/>
      <c r="O29" s="340"/>
    </row>
    <row r="30" spans="1:15" s="3" customFormat="1">
      <c r="A30" s="204">
        <f t="shared" si="4"/>
        <v>15</v>
      </c>
      <c r="C30" s="204">
        <f>'1.10 Wages'!C25</f>
        <v>1</v>
      </c>
      <c r="D30" s="204">
        <f>'1.10 Wages'!D25</f>
        <v>1202</v>
      </c>
      <c r="E30" s="204"/>
      <c r="F30" s="171">
        <f>'1.10 Wages'!X25</f>
        <v>78783.647500000021</v>
      </c>
      <c r="G30" s="339">
        <f t="shared" si="5"/>
        <v>78783.647500000021</v>
      </c>
      <c r="H30" s="340">
        <f t="shared" si="6"/>
        <v>4884.5861450000011</v>
      </c>
      <c r="I30" s="339">
        <f t="shared" ref="I30:I70" si="13">F30</f>
        <v>78783.647500000021</v>
      </c>
      <c r="J30" s="340">
        <f t="shared" si="6"/>
        <v>1142.3628887500004</v>
      </c>
      <c r="K30" s="339">
        <f t="shared" si="11"/>
        <v>7000</v>
      </c>
      <c r="L30" s="340">
        <f t="shared" ref="L30:L70" si="14">K30*L$10</f>
        <v>42</v>
      </c>
      <c r="M30" s="339">
        <f t="shared" si="12"/>
        <v>10500</v>
      </c>
      <c r="N30" s="340">
        <f t="shared" ref="N30:N70" si="15">M30*N$10</f>
        <v>31.5</v>
      </c>
      <c r="O30" s="340">
        <f t="shared" si="9"/>
        <v>6100.449033750001</v>
      </c>
    </row>
    <row r="31" spans="1:15" s="3" customFormat="1">
      <c r="A31" s="204">
        <f t="shared" si="4"/>
        <v>16</v>
      </c>
      <c r="C31" s="204">
        <f>'1.10 Wages'!C26</f>
        <v>1</v>
      </c>
      <c r="D31" s="204">
        <f>'1.10 Wages'!D26</f>
        <v>1203</v>
      </c>
      <c r="E31" s="204"/>
      <c r="F31" s="171">
        <f>'1.10 Wages'!X26</f>
        <v>53319.409999999996</v>
      </c>
      <c r="G31" s="339">
        <f t="shared" si="5"/>
        <v>53319.409999999996</v>
      </c>
      <c r="H31" s="340">
        <f t="shared" si="6"/>
        <v>3305.8034199999997</v>
      </c>
      <c r="I31" s="339">
        <f t="shared" si="13"/>
        <v>53319.409999999996</v>
      </c>
      <c r="J31" s="340">
        <f t="shared" si="6"/>
        <v>773.13144499999999</v>
      </c>
      <c r="K31" s="339">
        <f t="shared" si="11"/>
        <v>7000</v>
      </c>
      <c r="L31" s="340">
        <f t="shared" si="14"/>
        <v>42</v>
      </c>
      <c r="M31" s="339">
        <f t="shared" si="12"/>
        <v>10500</v>
      </c>
      <c r="N31" s="340">
        <f t="shared" si="15"/>
        <v>31.5</v>
      </c>
      <c r="O31" s="340">
        <f t="shared" si="9"/>
        <v>4152.4348649999993</v>
      </c>
    </row>
    <row r="32" spans="1:15" s="3" customFormat="1">
      <c r="A32" s="204">
        <f t="shared" si="4"/>
        <v>17</v>
      </c>
      <c r="C32" s="204">
        <f>'1.10 Wages'!C27</f>
        <v>1</v>
      </c>
      <c r="D32" s="204">
        <f>'1.10 Wages'!D27</f>
        <v>1204</v>
      </c>
      <c r="E32" s="204"/>
      <c r="F32" s="171">
        <f>'1.10 Wages'!X27</f>
        <v>100140.17500000002</v>
      </c>
      <c r="G32" s="339">
        <f t="shared" si="5"/>
        <v>100140.17500000002</v>
      </c>
      <c r="H32" s="340">
        <f t="shared" si="6"/>
        <v>6208.6908500000009</v>
      </c>
      <c r="I32" s="339">
        <f t="shared" si="13"/>
        <v>100140.17500000002</v>
      </c>
      <c r="J32" s="340">
        <f t="shared" si="6"/>
        <v>1452.0325375000002</v>
      </c>
      <c r="K32" s="339">
        <f t="shared" si="11"/>
        <v>7000</v>
      </c>
      <c r="L32" s="340">
        <f t="shared" si="14"/>
        <v>42</v>
      </c>
      <c r="M32" s="339">
        <f t="shared" si="12"/>
        <v>10500</v>
      </c>
      <c r="N32" s="340">
        <f t="shared" si="15"/>
        <v>31.5</v>
      </c>
      <c r="O32" s="340">
        <f t="shared" si="9"/>
        <v>7734.2233875000011</v>
      </c>
    </row>
    <row r="33" spans="1:15" s="3" customFormat="1">
      <c r="A33" s="204">
        <f t="shared" si="4"/>
        <v>18</v>
      </c>
      <c r="C33" s="204">
        <f>'1.10 Wages'!C28</f>
        <v>1</v>
      </c>
      <c r="D33" s="204">
        <f>'1.10 Wages'!D28</f>
        <v>1205</v>
      </c>
      <c r="E33" s="204"/>
      <c r="F33" s="171">
        <f>'1.10 Wages'!X28</f>
        <v>141446.44</v>
      </c>
      <c r="G33" s="339">
        <f t="shared" si="5"/>
        <v>118500</v>
      </c>
      <c r="H33" s="340">
        <f t="shared" si="6"/>
        <v>7347</v>
      </c>
      <c r="I33" s="339">
        <f t="shared" si="13"/>
        <v>141446.44</v>
      </c>
      <c r="J33" s="340">
        <f t="shared" si="6"/>
        <v>2050.9733800000004</v>
      </c>
      <c r="K33" s="339">
        <f t="shared" si="11"/>
        <v>7000</v>
      </c>
      <c r="L33" s="340">
        <f t="shared" si="14"/>
        <v>42</v>
      </c>
      <c r="M33" s="339">
        <f t="shared" si="12"/>
        <v>10500</v>
      </c>
      <c r="N33" s="340">
        <f t="shared" si="15"/>
        <v>31.5</v>
      </c>
      <c r="O33" s="340">
        <f t="shared" si="9"/>
        <v>9471.4733799999995</v>
      </c>
    </row>
    <row r="34" spans="1:15" s="3" customFormat="1">
      <c r="A34" s="204">
        <f t="shared" si="4"/>
        <v>19</v>
      </c>
      <c r="C34" s="204">
        <f>'1.10 Wages'!C29</f>
        <v>1</v>
      </c>
      <c r="D34" s="204">
        <f>'1.10 Wages'!D29</f>
        <v>1206</v>
      </c>
      <c r="E34" s="204"/>
      <c r="F34" s="171">
        <f>'1.10 Wages'!X29</f>
        <v>47470.67</v>
      </c>
      <c r="G34" s="339">
        <f t="shared" si="5"/>
        <v>47470.67</v>
      </c>
      <c r="H34" s="340">
        <f t="shared" si="6"/>
        <v>2943.18154</v>
      </c>
      <c r="I34" s="339">
        <f t="shared" si="13"/>
        <v>47470.67</v>
      </c>
      <c r="J34" s="340">
        <f t="shared" si="6"/>
        <v>688.32471499999997</v>
      </c>
      <c r="K34" s="339">
        <f t="shared" si="11"/>
        <v>7000</v>
      </c>
      <c r="L34" s="340">
        <f t="shared" si="14"/>
        <v>42</v>
      </c>
      <c r="M34" s="339">
        <f t="shared" si="12"/>
        <v>10500</v>
      </c>
      <c r="N34" s="340">
        <f t="shared" si="15"/>
        <v>31.5</v>
      </c>
      <c r="O34" s="340">
        <f t="shared" si="9"/>
        <v>3705.0062550000002</v>
      </c>
    </row>
    <row r="35" spans="1:15" s="3" customFormat="1">
      <c r="A35" s="204">
        <f t="shared" si="4"/>
        <v>20</v>
      </c>
      <c r="C35" s="204">
        <f>'1.10 Wages'!C30</f>
        <v>1</v>
      </c>
      <c r="D35" s="204">
        <f>'1.10 Wages'!D30</f>
        <v>1207</v>
      </c>
      <c r="E35" s="204"/>
      <c r="F35" s="171">
        <f>'1.10 Wages'!X30</f>
        <v>71255.199999999997</v>
      </c>
      <c r="G35" s="339">
        <f t="shared" si="5"/>
        <v>71255.199999999997</v>
      </c>
      <c r="H35" s="340">
        <f t="shared" si="6"/>
        <v>4417.8224</v>
      </c>
      <c r="I35" s="339">
        <f t="shared" si="13"/>
        <v>71255.199999999997</v>
      </c>
      <c r="J35" s="340">
        <f t="shared" si="6"/>
        <v>1033.2003999999999</v>
      </c>
      <c r="K35" s="339">
        <f t="shared" si="11"/>
        <v>7000</v>
      </c>
      <c r="L35" s="340">
        <f t="shared" si="14"/>
        <v>42</v>
      </c>
      <c r="M35" s="339">
        <f t="shared" si="12"/>
        <v>10500</v>
      </c>
      <c r="N35" s="340">
        <f t="shared" si="15"/>
        <v>31.5</v>
      </c>
      <c r="O35" s="340">
        <f t="shared" si="9"/>
        <v>5524.5227999999997</v>
      </c>
    </row>
    <row r="36" spans="1:15" s="3" customFormat="1">
      <c r="A36" s="204">
        <f t="shared" si="4"/>
        <v>21</v>
      </c>
      <c r="C36" s="204">
        <f>'1.10 Wages'!C31</f>
        <v>1</v>
      </c>
      <c r="D36" s="204">
        <f>'1.10 Wages'!D31</f>
        <v>1208</v>
      </c>
      <c r="E36" s="204"/>
      <c r="F36" s="171">
        <f>'1.10 Wages'!X31</f>
        <v>52309.613749999997</v>
      </c>
      <c r="G36" s="339">
        <f t="shared" si="5"/>
        <v>52309.613749999997</v>
      </c>
      <c r="H36" s="340">
        <f t="shared" si="6"/>
        <v>3243.1960525</v>
      </c>
      <c r="I36" s="339">
        <f t="shared" si="13"/>
        <v>52309.613749999997</v>
      </c>
      <c r="J36" s="340">
        <f t="shared" si="6"/>
        <v>758.48939937499995</v>
      </c>
      <c r="K36" s="339">
        <f t="shared" si="11"/>
        <v>7000</v>
      </c>
      <c r="L36" s="340">
        <f t="shared" si="14"/>
        <v>42</v>
      </c>
      <c r="M36" s="339">
        <f t="shared" si="12"/>
        <v>10500</v>
      </c>
      <c r="N36" s="340">
        <f t="shared" si="15"/>
        <v>31.5</v>
      </c>
      <c r="O36" s="340">
        <f t="shared" si="9"/>
        <v>4075.1854518749997</v>
      </c>
    </row>
    <row r="37" spans="1:15" s="3" customFormat="1">
      <c r="A37" s="204">
        <f t="shared" si="4"/>
        <v>22</v>
      </c>
      <c r="C37" s="204">
        <f>'1.10 Wages'!C32</f>
        <v>1</v>
      </c>
      <c r="D37" s="208">
        <f>'1.10 Wages'!D32</f>
        <v>1209</v>
      </c>
      <c r="E37" s="204"/>
      <c r="F37" s="171">
        <f>'1.10 Wages'!X32</f>
        <v>49834.272499999992</v>
      </c>
      <c r="G37" s="339">
        <f t="shared" si="5"/>
        <v>49834.272499999992</v>
      </c>
      <c r="H37" s="340">
        <f t="shared" si="6"/>
        <v>3089.7248949999994</v>
      </c>
      <c r="I37" s="339">
        <f t="shared" si="13"/>
        <v>49834.272499999992</v>
      </c>
      <c r="J37" s="340">
        <f t="shared" si="6"/>
        <v>722.59695124999996</v>
      </c>
      <c r="K37" s="339">
        <f t="shared" si="11"/>
        <v>7000</v>
      </c>
      <c r="L37" s="340">
        <f t="shared" si="14"/>
        <v>42</v>
      </c>
      <c r="M37" s="339">
        <f t="shared" si="12"/>
        <v>10500</v>
      </c>
      <c r="N37" s="340">
        <f t="shared" si="15"/>
        <v>31.5</v>
      </c>
      <c r="O37" s="340">
        <f t="shared" si="9"/>
        <v>3885.8218462499995</v>
      </c>
    </row>
    <row r="38" spans="1:15" s="3" customFormat="1">
      <c r="A38" s="204">
        <f t="shared" si="4"/>
        <v>23</v>
      </c>
      <c r="C38" s="204">
        <f>'1.10 Wages'!C33</f>
        <v>1</v>
      </c>
      <c r="D38" s="204">
        <f>'1.10 Wages'!D33</f>
        <v>1210</v>
      </c>
      <c r="E38" s="204"/>
      <c r="F38" s="171">
        <f>'1.10 Wages'!X33</f>
        <v>50164.913749999992</v>
      </c>
      <c r="G38" s="339">
        <f t="shared" si="5"/>
        <v>50164.913749999992</v>
      </c>
      <c r="H38" s="340">
        <f t="shared" si="6"/>
        <v>3110.2246524999996</v>
      </c>
      <c r="I38" s="339">
        <f t="shared" si="13"/>
        <v>50164.913749999992</v>
      </c>
      <c r="J38" s="340">
        <f t="shared" si="6"/>
        <v>727.39124937499992</v>
      </c>
      <c r="K38" s="339">
        <f t="shared" si="11"/>
        <v>7000</v>
      </c>
      <c r="L38" s="340">
        <f t="shared" si="14"/>
        <v>42</v>
      </c>
      <c r="M38" s="339">
        <f t="shared" si="12"/>
        <v>10500</v>
      </c>
      <c r="N38" s="340">
        <f t="shared" si="15"/>
        <v>31.5</v>
      </c>
      <c r="O38" s="340">
        <f t="shared" si="9"/>
        <v>3911.1159018749995</v>
      </c>
    </row>
    <row r="39" spans="1:15" s="3" customFormat="1">
      <c r="A39" s="204">
        <f t="shared" si="4"/>
        <v>24</v>
      </c>
      <c r="C39" s="204">
        <f>'1.10 Wages'!C34</f>
        <v>1</v>
      </c>
      <c r="D39" s="204">
        <f>'1.10 Wages'!D34</f>
        <v>1212</v>
      </c>
      <c r="E39" s="204"/>
      <c r="F39" s="171">
        <f>'1.10 Wages'!X34</f>
        <v>79038.325000000012</v>
      </c>
      <c r="G39" s="339">
        <f t="shared" si="5"/>
        <v>79038.325000000012</v>
      </c>
      <c r="H39" s="340">
        <f t="shared" si="6"/>
        <v>4900.376150000001</v>
      </c>
      <c r="I39" s="339">
        <f t="shared" si="13"/>
        <v>79038.325000000012</v>
      </c>
      <c r="J39" s="340">
        <f t="shared" si="6"/>
        <v>1146.0557125000003</v>
      </c>
      <c r="K39" s="339">
        <f t="shared" si="11"/>
        <v>7000</v>
      </c>
      <c r="L39" s="340">
        <f t="shared" si="14"/>
        <v>42</v>
      </c>
      <c r="M39" s="339">
        <f t="shared" si="12"/>
        <v>10500</v>
      </c>
      <c r="N39" s="340">
        <f t="shared" si="15"/>
        <v>31.5</v>
      </c>
      <c r="O39" s="340">
        <f t="shared" si="9"/>
        <v>6119.9318625000014</v>
      </c>
    </row>
    <row r="40" spans="1:15" s="3" customFormat="1">
      <c r="A40" s="204">
        <f t="shared" si="4"/>
        <v>25</v>
      </c>
      <c r="C40" s="204">
        <f>'1.10 Wages'!C35</f>
        <v>1</v>
      </c>
      <c r="D40" s="204">
        <f>'1.10 Wages'!D35</f>
        <v>1213</v>
      </c>
      <c r="E40" s="204"/>
      <c r="F40" s="171">
        <f>'1.10 Wages'!X35</f>
        <v>93639.835000000021</v>
      </c>
      <c r="G40" s="339">
        <f t="shared" si="5"/>
        <v>93639.835000000021</v>
      </c>
      <c r="H40" s="340">
        <f t="shared" si="6"/>
        <v>5805.6697700000013</v>
      </c>
      <c r="I40" s="339">
        <f t="shared" si="13"/>
        <v>93639.835000000021</v>
      </c>
      <c r="J40" s="340">
        <f t="shared" si="6"/>
        <v>1357.7776075000004</v>
      </c>
      <c r="K40" s="339">
        <f t="shared" si="11"/>
        <v>7000</v>
      </c>
      <c r="L40" s="340">
        <f t="shared" si="14"/>
        <v>42</v>
      </c>
      <c r="M40" s="339">
        <f t="shared" si="12"/>
        <v>10500</v>
      </c>
      <c r="N40" s="340">
        <f t="shared" si="15"/>
        <v>31.5</v>
      </c>
      <c r="O40" s="340">
        <f t="shared" si="9"/>
        <v>7236.9473775000015</v>
      </c>
    </row>
    <row r="41" spans="1:15" s="3" customFormat="1">
      <c r="A41" s="204">
        <f t="shared" si="4"/>
        <v>26</v>
      </c>
      <c r="C41" s="204">
        <f>'1.10 Wages'!C36</f>
        <v>1</v>
      </c>
      <c r="D41" s="204">
        <f>'1.10 Wages'!D36</f>
        <v>1214</v>
      </c>
      <c r="E41" s="204"/>
      <c r="F41" s="171">
        <f>'1.10 Wages'!X36</f>
        <v>90074.35</v>
      </c>
      <c r="G41" s="339">
        <f t="shared" si="5"/>
        <v>90074.35</v>
      </c>
      <c r="H41" s="340">
        <f t="shared" si="6"/>
        <v>5584.6097</v>
      </c>
      <c r="I41" s="339">
        <f t="shared" si="13"/>
        <v>90074.35</v>
      </c>
      <c r="J41" s="340">
        <f t="shared" si="6"/>
        <v>1306.0780750000001</v>
      </c>
      <c r="K41" s="339">
        <f t="shared" si="11"/>
        <v>7000</v>
      </c>
      <c r="L41" s="340">
        <f t="shared" si="14"/>
        <v>42</v>
      </c>
      <c r="M41" s="339">
        <f t="shared" si="12"/>
        <v>10500</v>
      </c>
      <c r="N41" s="340">
        <f t="shared" si="15"/>
        <v>31.5</v>
      </c>
      <c r="O41" s="340">
        <f t="shared" si="9"/>
        <v>6964.1877750000003</v>
      </c>
    </row>
    <row r="42" spans="1:15" s="3" customFormat="1">
      <c r="A42" s="204">
        <f t="shared" si="4"/>
        <v>27</v>
      </c>
      <c r="C42" s="204">
        <f>'1.10 Wages'!C37</f>
        <v>1</v>
      </c>
      <c r="D42" s="204">
        <f>'1.10 Wages'!D37</f>
        <v>1215</v>
      </c>
      <c r="E42" s="204"/>
      <c r="F42" s="171">
        <f>'1.10 Wages'!X37</f>
        <v>120053.53000000001</v>
      </c>
      <c r="G42" s="339">
        <f t="shared" si="5"/>
        <v>118500</v>
      </c>
      <c r="H42" s="340">
        <f t="shared" si="6"/>
        <v>7347</v>
      </c>
      <c r="I42" s="339">
        <f t="shared" si="13"/>
        <v>120053.53000000001</v>
      </c>
      <c r="J42" s="340">
        <f t="shared" si="6"/>
        <v>1740.7761850000004</v>
      </c>
      <c r="K42" s="339">
        <f t="shared" si="11"/>
        <v>7000</v>
      </c>
      <c r="L42" s="340">
        <f t="shared" si="14"/>
        <v>42</v>
      </c>
      <c r="M42" s="339">
        <f t="shared" si="12"/>
        <v>10500</v>
      </c>
      <c r="N42" s="340">
        <f t="shared" si="15"/>
        <v>31.5</v>
      </c>
      <c r="O42" s="340">
        <f t="shared" si="9"/>
        <v>9161.2761850000006</v>
      </c>
    </row>
    <row r="43" spans="1:15" s="3" customFormat="1">
      <c r="A43" s="204">
        <f t="shared" si="4"/>
        <v>28</v>
      </c>
      <c r="C43" s="204">
        <f>'1.10 Wages'!C38</f>
        <v>1</v>
      </c>
      <c r="D43" s="204">
        <f>'1.10 Wages'!D38</f>
        <v>1216</v>
      </c>
      <c r="E43" s="204"/>
      <c r="F43" s="171">
        <f>'1.10 Wages'!X38</f>
        <v>80275.330000000016</v>
      </c>
      <c r="G43" s="339">
        <f t="shared" si="5"/>
        <v>80275.330000000016</v>
      </c>
      <c r="H43" s="340">
        <f t="shared" si="6"/>
        <v>4977.0704600000008</v>
      </c>
      <c r="I43" s="339">
        <f t="shared" si="13"/>
        <v>80275.330000000016</v>
      </c>
      <c r="J43" s="340">
        <f t="shared" si="6"/>
        <v>1163.9922850000003</v>
      </c>
      <c r="K43" s="339">
        <f t="shared" si="11"/>
        <v>7000</v>
      </c>
      <c r="L43" s="340">
        <f t="shared" si="14"/>
        <v>42</v>
      </c>
      <c r="M43" s="339">
        <f t="shared" si="12"/>
        <v>10500</v>
      </c>
      <c r="N43" s="340">
        <f t="shared" si="15"/>
        <v>31.5</v>
      </c>
      <c r="O43" s="340">
        <f t="shared" si="9"/>
        <v>6214.5627450000011</v>
      </c>
    </row>
    <row r="44" spans="1:15" s="3" customFormat="1">
      <c r="A44" s="204">
        <f t="shared" si="4"/>
        <v>29</v>
      </c>
      <c r="C44" s="204">
        <f>'1.10 Wages'!C39</f>
        <v>1</v>
      </c>
      <c r="D44" s="204">
        <f>'1.10 Wages'!D39</f>
        <v>1217</v>
      </c>
      <c r="E44" s="204"/>
      <c r="F44" s="171">
        <f>'1.10 Wages'!X39</f>
        <v>50155.977499999994</v>
      </c>
      <c r="G44" s="339">
        <f t="shared" si="5"/>
        <v>50155.977499999994</v>
      </c>
      <c r="H44" s="340">
        <f t="shared" si="6"/>
        <v>3109.6706049999998</v>
      </c>
      <c r="I44" s="339">
        <f t="shared" si="13"/>
        <v>50155.977499999994</v>
      </c>
      <c r="J44" s="340">
        <f t="shared" si="6"/>
        <v>727.26167375</v>
      </c>
      <c r="K44" s="339">
        <f t="shared" si="11"/>
        <v>7000</v>
      </c>
      <c r="L44" s="340">
        <f t="shared" si="14"/>
        <v>42</v>
      </c>
      <c r="M44" s="339">
        <f t="shared" si="12"/>
        <v>10500</v>
      </c>
      <c r="N44" s="340">
        <f t="shared" si="15"/>
        <v>31.5</v>
      </c>
      <c r="O44" s="340">
        <f t="shared" si="9"/>
        <v>3910.4322787499996</v>
      </c>
    </row>
    <row r="45" spans="1:15" s="3" customFormat="1">
      <c r="A45" s="204">
        <f t="shared" si="4"/>
        <v>30</v>
      </c>
      <c r="C45" s="204">
        <f>'1.10 Wages'!C40</f>
        <v>1</v>
      </c>
      <c r="D45" s="204">
        <f>'1.10 Wages'!D40</f>
        <v>1219</v>
      </c>
      <c r="E45" s="204"/>
      <c r="F45" s="171">
        <f>'1.10 Wages'!X40</f>
        <v>104748.62500000001</v>
      </c>
      <c r="G45" s="339">
        <f t="shared" si="5"/>
        <v>104748.62500000001</v>
      </c>
      <c r="H45" s="340">
        <f t="shared" si="6"/>
        <v>6494.4147500000008</v>
      </c>
      <c r="I45" s="339">
        <f t="shared" si="13"/>
        <v>104748.62500000001</v>
      </c>
      <c r="J45" s="340">
        <f t="shared" si="6"/>
        <v>1518.8550625000003</v>
      </c>
      <c r="K45" s="339">
        <f t="shared" si="11"/>
        <v>7000</v>
      </c>
      <c r="L45" s="340">
        <f t="shared" si="14"/>
        <v>42</v>
      </c>
      <c r="M45" s="339">
        <f t="shared" si="12"/>
        <v>10500</v>
      </c>
      <c r="N45" s="340">
        <f t="shared" si="15"/>
        <v>31.5</v>
      </c>
      <c r="O45" s="340">
        <f t="shared" si="9"/>
        <v>8086.7698125000006</v>
      </c>
    </row>
    <row r="46" spans="1:15" s="3" customFormat="1">
      <c r="A46" s="204">
        <f t="shared" si="4"/>
        <v>31</v>
      </c>
      <c r="C46" s="204">
        <f>'1.10 Wages'!C41</f>
        <v>1</v>
      </c>
      <c r="D46" s="204">
        <f>'1.10 Wages'!D41</f>
        <v>1220</v>
      </c>
      <c r="E46" s="204"/>
      <c r="F46" s="171">
        <f>'1.10 Wages'!X41</f>
        <v>87216.925000000003</v>
      </c>
      <c r="G46" s="339">
        <f t="shared" si="5"/>
        <v>87216.925000000003</v>
      </c>
      <c r="H46" s="340">
        <f t="shared" si="6"/>
        <v>5407.4493499999999</v>
      </c>
      <c r="I46" s="339">
        <f t="shared" si="13"/>
        <v>87216.925000000003</v>
      </c>
      <c r="J46" s="340">
        <f t="shared" si="6"/>
        <v>1264.6454125</v>
      </c>
      <c r="K46" s="339">
        <f t="shared" si="11"/>
        <v>7000</v>
      </c>
      <c r="L46" s="340">
        <f t="shared" si="14"/>
        <v>42</v>
      </c>
      <c r="M46" s="339">
        <f t="shared" si="12"/>
        <v>10500</v>
      </c>
      <c r="N46" s="340">
        <f t="shared" si="15"/>
        <v>31.5</v>
      </c>
      <c r="O46" s="340">
        <f t="shared" si="9"/>
        <v>6745.5947624999999</v>
      </c>
    </row>
    <row r="47" spans="1:15" s="3" customFormat="1">
      <c r="A47" s="204">
        <f t="shared" si="4"/>
        <v>32</v>
      </c>
      <c r="C47" s="204">
        <f>'1.10 Wages'!C42</f>
        <v>1</v>
      </c>
      <c r="D47" s="204">
        <f>'1.10 Wages'!D42</f>
        <v>1221</v>
      </c>
      <c r="E47" s="204"/>
      <c r="F47" s="171">
        <f>'1.10 Wages'!X42</f>
        <v>54481.122499999998</v>
      </c>
      <c r="G47" s="339">
        <f t="shared" si="5"/>
        <v>54481.122499999998</v>
      </c>
      <c r="H47" s="340">
        <f t="shared" si="6"/>
        <v>3377.8295949999997</v>
      </c>
      <c r="I47" s="339">
        <f t="shared" si="13"/>
        <v>54481.122499999998</v>
      </c>
      <c r="J47" s="340">
        <f t="shared" si="6"/>
        <v>789.97627624999996</v>
      </c>
      <c r="K47" s="339">
        <f t="shared" si="11"/>
        <v>7000</v>
      </c>
      <c r="L47" s="340">
        <f t="shared" si="14"/>
        <v>42</v>
      </c>
      <c r="M47" s="339">
        <f t="shared" si="12"/>
        <v>10500</v>
      </c>
      <c r="N47" s="340">
        <f t="shared" si="15"/>
        <v>31.5</v>
      </c>
      <c r="O47" s="340">
        <f t="shared" si="9"/>
        <v>4241.3058712499997</v>
      </c>
    </row>
    <row r="48" spans="1:15" s="3" customFormat="1">
      <c r="A48" s="204">
        <f t="shared" si="4"/>
        <v>33</v>
      </c>
      <c r="C48" s="204">
        <f>'1.10 Wages'!C43</f>
        <v>1</v>
      </c>
      <c r="D48" s="204">
        <f>'1.10 Wages'!D43</f>
        <v>1222</v>
      </c>
      <c r="E48" s="204"/>
      <c r="F48" s="171">
        <f>'1.10 Wages'!X43</f>
        <v>50879.813749999994</v>
      </c>
      <c r="G48" s="339">
        <f t="shared" si="5"/>
        <v>50879.813749999994</v>
      </c>
      <c r="H48" s="340">
        <f t="shared" si="6"/>
        <v>3154.5484524999997</v>
      </c>
      <c r="I48" s="339">
        <f t="shared" si="13"/>
        <v>50879.813749999994</v>
      </c>
      <c r="J48" s="340">
        <f t="shared" si="6"/>
        <v>737.757299375</v>
      </c>
      <c r="K48" s="339">
        <f t="shared" si="11"/>
        <v>7000</v>
      </c>
      <c r="L48" s="340">
        <f t="shared" si="14"/>
        <v>42</v>
      </c>
      <c r="M48" s="339">
        <f t="shared" si="12"/>
        <v>10500</v>
      </c>
      <c r="N48" s="340">
        <f t="shared" si="15"/>
        <v>31.5</v>
      </c>
      <c r="O48" s="340">
        <f t="shared" si="9"/>
        <v>3965.8057518749997</v>
      </c>
    </row>
    <row r="49" spans="1:15" s="3" customFormat="1">
      <c r="A49" s="204">
        <f t="shared" si="4"/>
        <v>34</v>
      </c>
      <c r="C49" s="204">
        <f>'1.10 Wages'!C44</f>
        <v>1</v>
      </c>
      <c r="D49" s="204">
        <f>'1.10 Wages'!D44</f>
        <v>1223</v>
      </c>
      <c r="E49" s="204"/>
      <c r="F49" s="171">
        <f>'1.10 Wages'!X44</f>
        <v>85359.88</v>
      </c>
      <c r="G49" s="339">
        <f t="shared" si="5"/>
        <v>85359.88</v>
      </c>
      <c r="H49" s="340">
        <f t="shared" si="6"/>
        <v>5292.3125600000003</v>
      </c>
      <c r="I49" s="339">
        <f t="shared" si="13"/>
        <v>85359.88</v>
      </c>
      <c r="J49" s="340">
        <f t="shared" si="6"/>
        <v>1237.7182600000001</v>
      </c>
      <c r="K49" s="339">
        <f t="shared" si="11"/>
        <v>7000</v>
      </c>
      <c r="L49" s="340">
        <f t="shared" si="14"/>
        <v>42</v>
      </c>
      <c r="M49" s="339">
        <f t="shared" si="12"/>
        <v>10500</v>
      </c>
      <c r="N49" s="340">
        <f t="shared" si="15"/>
        <v>31.5</v>
      </c>
      <c r="O49" s="340">
        <f t="shared" si="9"/>
        <v>6603.5308199999999</v>
      </c>
    </row>
    <row r="50" spans="1:15" s="3" customFormat="1">
      <c r="A50" s="204">
        <f t="shared" si="4"/>
        <v>35</v>
      </c>
      <c r="C50" s="204">
        <f>'1.10 Wages'!C45</f>
        <v>1</v>
      </c>
      <c r="D50" s="204">
        <f>'1.10 Wages'!D45</f>
        <v>1225</v>
      </c>
      <c r="E50" s="208"/>
      <c r="F50" s="171">
        <f>'1.10 Wages'!X45</f>
        <v>65971.040000000008</v>
      </c>
      <c r="G50" s="339">
        <f t="shared" si="5"/>
        <v>65971.040000000008</v>
      </c>
      <c r="H50" s="340">
        <f t="shared" si="6"/>
        <v>4090.2044800000003</v>
      </c>
      <c r="I50" s="339">
        <f t="shared" si="13"/>
        <v>65971.040000000008</v>
      </c>
      <c r="J50" s="340">
        <f t="shared" si="6"/>
        <v>956.58008000000018</v>
      </c>
      <c r="K50" s="339">
        <f t="shared" si="11"/>
        <v>7000</v>
      </c>
      <c r="L50" s="340">
        <f t="shared" si="14"/>
        <v>42</v>
      </c>
      <c r="M50" s="339">
        <f t="shared" si="12"/>
        <v>10500</v>
      </c>
      <c r="N50" s="340">
        <f t="shared" si="15"/>
        <v>31.5</v>
      </c>
      <c r="O50" s="340">
        <f t="shared" si="9"/>
        <v>5120.2845600000001</v>
      </c>
    </row>
    <row r="51" spans="1:15" s="3" customFormat="1">
      <c r="A51" s="204">
        <f t="shared" si="4"/>
        <v>36</v>
      </c>
      <c r="C51" s="204">
        <f>'1.10 Wages'!C46</f>
        <v>1</v>
      </c>
      <c r="D51" s="204">
        <f>'1.10 Wages'!D46</f>
        <v>1229</v>
      </c>
      <c r="E51" s="208"/>
      <c r="F51" s="171">
        <f>'1.10 Wages'!X46</f>
        <v>88425.010000000009</v>
      </c>
      <c r="G51" s="339">
        <f t="shared" si="5"/>
        <v>88425.010000000009</v>
      </c>
      <c r="H51" s="340">
        <f t="shared" si="6"/>
        <v>5482.3506200000002</v>
      </c>
      <c r="I51" s="339">
        <f t="shared" si="13"/>
        <v>88425.010000000009</v>
      </c>
      <c r="J51" s="340">
        <f t="shared" si="6"/>
        <v>1282.1626450000001</v>
      </c>
      <c r="K51" s="339">
        <f t="shared" si="11"/>
        <v>7000</v>
      </c>
      <c r="L51" s="340">
        <f t="shared" si="14"/>
        <v>42</v>
      </c>
      <c r="M51" s="339">
        <f t="shared" si="12"/>
        <v>10500</v>
      </c>
      <c r="N51" s="340">
        <f t="shared" si="15"/>
        <v>31.5</v>
      </c>
      <c r="O51" s="340">
        <f t="shared" si="9"/>
        <v>6838.0132650000005</v>
      </c>
    </row>
    <row r="52" spans="1:15" s="3" customFormat="1">
      <c r="A52" s="204">
        <f t="shared" si="4"/>
        <v>37</v>
      </c>
      <c r="C52" s="204">
        <f>'1.10 Wages'!C51</f>
        <v>1</v>
      </c>
      <c r="D52" s="204">
        <f>'1.10 Wages'!D51</f>
        <v>1230</v>
      </c>
      <c r="E52" s="208"/>
      <c r="F52" s="171">
        <f>'1.10 Wages'!X51</f>
        <v>69863.432499999995</v>
      </c>
      <c r="G52" s="339">
        <f t="shared" si="5"/>
        <v>69863.432499999995</v>
      </c>
      <c r="H52" s="340">
        <f t="shared" si="6"/>
        <v>4331.5328149999996</v>
      </c>
      <c r="I52" s="339">
        <f t="shared" si="13"/>
        <v>69863.432499999995</v>
      </c>
      <c r="J52" s="340">
        <f t="shared" si="6"/>
        <v>1013.01977125</v>
      </c>
      <c r="K52" s="339">
        <f t="shared" si="11"/>
        <v>7000</v>
      </c>
      <c r="L52" s="340">
        <f t="shared" si="14"/>
        <v>42</v>
      </c>
      <c r="M52" s="339">
        <f t="shared" si="12"/>
        <v>10500</v>
      </c>
      <c r="N52" s="340">
        <f t="shared" si="15"/>
        <v>31.5</v>
      </c>
      <c r="O52" s="340">
        <f t="shared" si="9"/>
        <v>5418.0525862499999</v>
      </c>
    </row>
    <row r="53" spans="1:15" s="3" customFormat="1">
      <c r="A53" s="204">
        <f t="shared" si="4"/>
        <v>38</v>
      </c>
      <c r="C53" s="204">
        <f>'1.10 Wages'!C52</f>
        <v>1</v>
      </c>
      <c r="D53" s="204">
        <f>'1.10 Wages'!D52</f>
        <v>1231</v>
      </c>
      <c r="E53" s="208"/>
      <c r="F53" s="171">
        <f>'1.10 Wages'!X52</f>
        <v>0</v>
      </c>
      <c r="G53" s="339">
        <f t="shared" si="5"/>
        <v>0</v>
      </c>
      <c r="H53" s="340">
        <f t="shared" si="6"/>
        <v>0</v>
      </c>
      <c r="I53" s="339">
        <f t="shared" si="13"/>
        <v>0</v>
      </c>
      <c r="J53" s="340">
        <f t="shared" si="6"/>
        <v>0</v>
      </c>
      <c r="K53" s="339">
        <f t="shared" si="11"/>
        <v>0</v>
      </c>
      <c r="L53" s="340">
        <f t="shared" si="14"/>
        <v>0</v>
      </c>
      <c r="M53" s="339">
        <f t="shared" si="12"/>
        <v>0</v>
      </c>
      <c r="N53" s="340">
        <f t="shared" si="15"/>
        <v>0</v>
      </c>
      <c r="O53" s="340">
        <f t="shared" si="9"/>
        <v>0</v>
      </c>
    </row>
    <row r="54" spans="1:15" s="3" customFormat="1">
      <c r="A54" s="204">
        <f t="shared" si="4"/>
        <v>39</v>
      </c>
      <c r="C54" s="204">
        <f>'1.10 Wages'!C53</f>
        <v>1</v>
      </c>
      <c r="D54" s="204">
        <f>'1.10 Wages'!D53</f>
        <v>1232</v>
      </c>
      <c r="E54" s="208"/>
      <c r="F54" s="339">
        <f>'1.10 Wages'!X53</f>
        <v>103435.66</v>
      </c>
      <c r="G54" s="339">
        <f t="shared" si="5"/>
        <v>103435.66</v>
      </c>
      <c r="H54" s="340">
        <f t="shared" si="6"/>
        <v>6413.0109200000006</v>
      </c>
      <c r="I54" s="339">
        <f t="shared" si="13"/>
        <v>103435.66</v>
      </c>
      <c r="J54" s="340">
        <f t="shared" si="6"/>
        <v>1499.8170700000001</v>
      </c>
      <c r="K54" s="339">
        <f t="shared" si="11"/>
        <v>7000</v>
      </c>
      <c r="L54" s="340">
        <f t="shared" si="14"/>
        <v>42</v>
      </c>
      <c r="M54" s="339">
        <f t="shared" si="12"/>
        <v>10500</v>
      </c>
      <c r="N54" s="340">
        <f t="shared" si="15"/>
        <v>31.5</v>
      </c>
      <c r="O54" s="340">
        <f t="shared" si="9"/>
        <v>7986.3279900000007</v>
      </c>
    </row>
    <row r="55" spans="1:15" s="3" customFormat="1">
      <c r="A55" s="204">
        <f t="shared" si="4"/>
        <v>40</v>
      </c>
      <c r="C55" s="204">
        <f>'1.10 Wages'!C54</f>
        <v>1</v>
      </c>
      <c r="D55" s="204">
        <f>'1.10 Wages'!D54</f>
        <v>1233</v>
      </c>
      <c r="E55" s="208"/>
      <c r="F55" s="171">
        <f>'1.10 Wages'!X54</f>
        <v>135334.18000000002</v>
      </c>
      <c r="G55" s="339">
        <f t="shared" si="5"/>
        <v>118500</v>
      </c>
      <c r="H55" s="340">
        <f t="shared" si="6"/>
        <v>7347</v>
      </c>
      <c r="I55" s="339">
        <f t="shared" si="13"/>
        <v>135334.18000000002</v>
      </c>
      <c r="J55" s="340">
        <f t="shared" si="6"/>
        <v>1962.3456100000005</v>
      </c>
      <c r="K55" s="339">
        <f t="shared" si="11"/>
        <v>7000</v>
      </c>
      <c r="L55" s="340">
        <f t="shared" si="14"/>
        <v>42</v>
      </c>
      <c r="M55" s="339">
        <f t="shared" si="12"/>
        <v>10500</v>
      </c>
      <c r="N55" s="340">
        <f t="shared" si="15"/>
        <v>31.5</v>
      </c>
      <c r="O55" s="340">
        <f t="shared" si="9"/>
        <v>9382.8456100000003</v>
      </c>
    </row>
    <row r="56" spans="1:15" s="3" customFormat="1">
      <c r="A56" s="204">
        <f t="shared" si="4"/>
        <v>41</v>
      </c>
      <c r="C56" s="204">
        <f>'1.10 Wages'!C55</f>
        <v>1</v>
      </c>
      <c r="D56" s="204">
        <f>'1.10 Wages'!D55</f>
        <v>1235</v>
      </c>
      <c r="E56" s="208"/>
      <c r="F56" s="339">
        <f>'1.10 Wages'!X55</f>
        <v>65595.362499999988</v>
      </c>
      <c r="G56" s="339">
        <f t="shared" si="5"/>
        <v>65595.362499999988</v>
      </c>
      <c r="H56" s="340">
        <f t="shared" si="6"/>
        <v>4066.9124749999992</v>
      </c>
      <c r="I56" s="339">
        <f t="shared" si="13"/>
        <v>65595.362499999988</v>
      </c>
      <c r="J56" s="340">
        <f t="shared" si="6"/>
        <v>951.13275624999983</v>
      </c>
      <c r="K56" s="339">
        <f t="shared" si="11"/>
        <v>7000</v>
      </c>
      <c r="L56" s="340">
        <f t="shared" si="14"/>
        <v>42</v>
      </c>
      <c r="M56" s="339">
        <f t="shared" si="12"/>
        <v>10500</v>
      </c>
      <c r="N56" s="340">
        <f t="shared" si="15"/>
        <v>31.5</v>
      </c>
      <c r="O56" s="340">
        <f t="shared" si="9"/>
        <v>5091.5452312499992</v>
      </c>
    </row>
    <row r="57" spans="1:15" s="3" customFormat="1">
      <c r="A57" s="204">
        <f t="shared" si="4"/>
        <v>42</v>
      </c>
      <c r="C57" s="204">
        <f>'1.10 Wages'!C56</f>
        <v>1</v>
      </c>
      <c r="D57" s="204">
        <f>'1.10 Wages'!D56</f>
        <v>1236</v>
      </c>
      <c r="E57" s="208"/>
      <c r="F57" s="171">
        <f>'1.10 Wages'!X56</f>
        <v>50173.849999999991</v>
      </c>
      <c r="G57" s="339">
        <f t="shared" si="5"/>
        <v>50173.849999999991</v>
      </c>
      <c r="H57" s="340">
        <f t="shared" si="6"/>
        <v>3110.7786999999994</v>
      </c>
      <c r="I57" s="339">
        <f t="shared" si="13"/>
        <v>50173.849999999991</v>
      </c>
      <c r="J57" s="340">
        <f t="shared" si="6"/>
        <v>727.52082499999995</v>
      </c>
      <c r="K57" s="339">
        <f t="shared" si="11"/>
        <v>7000</v>
      </c>
      <c r="L57" s="340">
        <f t="shared" si="14"/>
        <v>42</v>
      </c>
      <c r="M57" s="339">
        <f t="shared" si="12"/>
        <v>10500</v>
      </c>
      <c r="N57" s="340">
        <f t="shared" si="15"/>
        <v>31.5</v>
      </c>
      <c r="O57" s="340">
        <f t="shared" si="9"/>
        <v>3911.7995249999994</v>
      </c>
    </row>
    <row r="58" spans="1:15" s="3" customFormat="1">
      <c r="A58" s="204">
        <f t="shared" si="4"/>
        <v>43</v>
      </c>
      <c r="C58" s="204">
        <f>'1.10 Wages'!C57</f>
        <v>1</v>
      </c>
      <c r="D58" s="204">
        <f>'1.10 Wages'!D57</f>
        <v>1237</v>
      </c>
      <c r="E58" s="208"/>
      <c r="F58" s="171">
        <f>'1.10 Wages'!X57</f>
        <v>50468.746249999997</v>
      </c>
      <c r="G58" s="339">
        <f t="shared" si="5"/>
        <v>50468.746249999997</v>
      </c>
      <c r="H58" s="340">
        <f t="shared" si="6"/>
        <v>3129.0622675</v>
      </c>
      <c r="I58" s="339">
        <f t="shared" si="13"/>
        <v>50468.746249999997</v>
      </c>
      <c r="J58" s="340">
        <f t="shared" si="6"/>
        <v>731.79682062500001</v>
      </c>
      <c r="K58" s="339">
        <f t="shared" si="11"/>
        <v>7000</v>
      </c>
      <c r="L58" s="340">
        <f t="shared" si="14"/>
        <v>42</v>
      </c>
      <c r="M58" s="339">
        <f t="shared" si="12"/>
        <v>10500</v>
      </c>
      <c r="N58" s="340">
        <f t="shared" si="15"/>
        <v>31.5</v>
      </c>
      <c r="O58" s="340">
        <f t="shared" si="9"/>
        <v>3934.3590881250002</v>
      </c>
    </row>
    <row r="59" spans="1:15" s="3" customFormat="1">
      <c r="A59" s="204">
        <f t="shared" si="4"/>
        <v>44</v>
      </c>
      <c r="C59" s="204">
        <f>'1.10 Wages'!C58</f>
        <v>1</v>
      </c>
      <c r="D59" s="204">
        <f>'1.10 Wages'!D58</f>
        <v>1238</v>
      </c>
      <c r="E59" s="208"/>
      <c r="F59" s="171">
        <f>'1.10 Wages'!X58</f>
        <v>91376.920000000013</v>
      </c>
      <c r="G59" s="339">
        <f t="shared" si="5"/>
        <v>91376.920000000013</v>
      </c>
      <c r="H59" s="340">
        <f t="shared" ref="H59:H70" si="16">G59*H$10</f>
        <v>5665.3690400000005</v>
      </c>
      <c r="I59" s="339">
        <f t="shared" si="13"/>
        <v>91376.920000000013</v>
      </c>
      <c r="J59" s="340">
        <f t="shared" ref="J59:J70" si="17">I59*J$10</f>
        <v>1324.9653400000002</v>
      </c>
      <c r="K59" s="339">
        <f t="shared" si="11"/>
        <v>7000</v>
      </c>
      <c r="L59" s="340">
        <f t="shared" si="14"/>
        <v>42</v>
      </c>
      <c r="M59" s="339">
        <f t="shared" si="12"/>
        <v>10500</v>
      </c>
      <c r="N59" s="340">
        <f t="shared" si="15"/>
        <v>31.5</v>
      </c>
      <c r="O59" s="340">
        <f t="shared" si="9"/>
        <v>7063.8343800000002</v>
      </c>
    </row>
    <row r="60" spans="1:15" s="3" customFormat="1">
      <c r="A60" s="204">
        <f t="shared" si="4"/>
        <v>45</v>
      </c>
      <c r="C60" s="204">
        <f>'1.10 Wages'!C59</f>
        <v>1</v>
      </c>
      <c r="D60" s="204">
        <f>'1.10 Wages'!D59</f>
        <v>1241</v>
      </c>
      <c r="E60" s="208"/>
      <c r="F60" s="171">
        <f>'1.10 Wages'!X59</f>
        <v>69312.070000000007</v>
      </c>
      <c r="G60" s="339">
        <f t="shared" si="5"/>
        <v>69312.070000000007</v>
      </c>
      <c r="H60" s="340">
        <f t="shared" si="16"/>
        <v>4297.3483400000005</v>
      </c>
      <c r="I60" s="339">
        <f t="shared" si="13"/>
        <v>69312.070000000007</v>
      </c>
      <c r="J60" s="340">
        <f t="shared" si="17"/>
        <v>1005.0250150000002</v>
      </c>
      <c r="K60" s="339">
        <f t="shared" si="11"/>
        <v>7000</v>
      </c>
      <c r="L60" s="340">
        <f t="shared" si="14"/>
        <v>42</v>
      </c>
      <c r="M60" s="339">
        <f t="shared" si="12"/>
        <v>10500</v>
      </c>
      <c r="N60" s="340">
        <f t="shared" si="15"/>
        <v>31.5</v>
      </c>
      <c r="O60" s="340">
        <f t="shared" si="9"/>
        <v>5375.8733550000006</v>
      </c>
    </row>
    <row r="61" spans="1:15" s="3" customFormat="1">
      <c r="A61" s="204">
        <f t="shared" si="4"/>
        <v>46</v>
      </c>
      <c r="C61" s="204">
        <f>'1.10 Wages'!C60</f>
        <v>1</v>
      </c>
      <c r="D61" s="204">
        <f>'1.10 Wages'!D60</f>
        <v>1242</v>
      </c>
      <c r="E61" s="208"/>
      <c r="F61" s="171">
        <f>'1.10 Wages'!X60</f>
        <v>50924.494999999995</v>
      </c>
      <c r="G61" s="339">
        <f t="shared" si="5"/>
        <v>50924.494999999995</v>
      </c>
      <c r="H61" s="340">
        <f t="shared" si="16"/>
        <v>3157.3186899999996</v>
      </c>
      <c r="I61" s="339">
        <f t="shared" si="13"/>
        <v>50924.494999999995</v>
      </c>
      <c r="J61" s="340">
        <f t="shared" si="17"/>
        <v>738.40517749999992</v>
      </c>
      <c r="K61" s="339">
        <f t="shared" si="11"/>
        <v>7000</v>
      </c>
      <c r="L61" s="340">
        <f t="shared" si="14"/>
        <v>42</v>
      </c>
      <c r="M61" s="339">
        <f t="shared" si="12"/>
        <v>10500</v>
      </c>
      <c r="N61" s="340">
        <f t="shared" si="15"/>
        <v>31.5</v>
      </c>
      <c r="O61" s="340">
        <f t="shared" si="9"/>
        <v>3969.2238674999994</v>
      </c>
    </row>
    <row r="62" spans="1:15" s="3" customFormat="1">
      <c r="A62" s="204">
        <f t="shared" si="4"/>
        <v>47</v>
      </c>
      <c r="C62" s="204">
        <f>'1.10 Wages'!C61</f>
        <v>1</v>
      </c>
      <c r="D62" s="204">
        <f>'1.10 Wages'!D61</f>
        <v>1244</v>
      </c>
      <c r="E62" s="208"/>
      <c r="F62" s="171">
        <f>'1.10 Wages'!X61</f>
        <v>142198.34500000003</v>
      </c>
      <c r="G62" s="339">
        <f t="shared" si="5"/>
        <v>118500</v>
      </c>
      <c r="H62" s="340">
        <f t="shared" si="16"/>
        <v>7347</v>
      </c>
      <c r="I62" s="339">
        <f t="shared" si="13"/>
        <v>142198.34500000003</v>
      </c>
      <c r="J62" s="340">
        <f t="shared" si="17"/>
        <v>2061.8760025000006</v>
      </c>
      <c r="K62" s="339">
        <f t="shared" si="11"/>
        <v>7000</v>
      </c>
      <c r="L62" s="340">
        <f t="shared" si="14"/>
        <v>42</v>
      </c>
      <c r="M62" s="339">
        <f t="shared" si="12"/>
        <v>10500</v>
      </c>
      <c r="N62" s="340">
        <f t="shared" si="15"/>
        <v>31.5</v>
      </c>
      <c r="O62" s="340">
        <f t="shared" si="9"/>
        <v>9482.3760025000011</v>
      </c>
    </row>
    <row r="63" spans="1:15" s="3" customFormat="1">
      <c r="A63" s="204">
        <f t="shared" si="4"/>
        <v>48</v>
      </c>
      <c r="C63" s="204">
        <f>'1.10 Wages'!C62</f>
        <v>1</v>
      </c>
      <c r="D63" s="204">
        <f>'1.10 Wages'!D62</f>
        <v>1246</v>
      </c>
      <c r="E63" s="208"/>
      <c r="F63" s="171">
        <f>'1.10 Wages'!X62</f>
        <v>75612.774999999994</v>
      </c>
      <c r="G63" s="339">
        <f t="shared" si="5"/>
        <v>75612.774999999994</v>
      </c>
      <c r="H63" s="340">
        <f t="shared" si="16"/>
        <v>4687.9920499999998</v>
      </c>
      <c r="I63" s="339">
        <f t="shared" si="13"/>
        <v>75612.774999999994</v>
      </c>
      <c r="J63" s="340">
        <f t="shared" si="17"/>
        <v>1096.3852374999999</v>
      </c>
      <c r="K63" s="339">
        <f t="shared" si="11"/>
        <v>7000</v>
      </c>
      <c r="L63" s="340">
        <f t="shared" si="14"/>
        <v>42</v>
      </c>
      <c r="M63" s="339">
        <f t="shared" si="12"/>
        <v>10500</v>
      </c>
      <c r="N63" s="340">
        <f t="shared" si="15"/>
        <v>31.5</v>
      </c>
      <c r="O63" s="340">
        <f t="shared" si="9"/>
        <v>5857.8772874999995</v>
      </c>
    </row>
    <row r="64" spans="1:15" s="3" customFormat="1">
      <c r="A64" s="204">
        <f t="shared" si="4"/>
        <v>49</v>
      </c>
      <c r="C64" s="204">
        <f>'1.10 Wages'!C63</f>
        <v>1</v>
      </c>
      <c r="D64" s="204">
        <f>'1.10 Wages'!D63</f>
        <v>1248</v>
      </c>
      <c r="E64" s="208"/>
      <c r="F64" s="171">
        <f>'1.10 Wages'!X63</f>
        <v>71567.785000000018</v>
      </c>
      <c r="G64" s="339">
        <f t="shared" si="5"/>
        <v>71567.785000000018</v>
      </c>
      <c r="H64" s="340">
        <f t="shared" si="16"/>
        <v>4437.2026700000015</v>
      </c>
      <c r="I64" s="339">
        <f t="shared" si="13"/>
        <v>71567.785000000018</v>
      </c>
      <c r="J64" s="340">
        <f t="shared" si="17"/>
        <v>1037.7328825000004</v>
      </c>
      <c r="K64" s="339">
        <f t="shared" si="11"/>
        <v>7000</v>
      </c>
      <c r="L64" s="340">
        <f t="shared" si="14"/>
        <v>42</v>
      </c>
      <c r="M64" s="339">
        <f t="shared" si="12"/>
        <v>10500</v>
      </c>
      <c r="N64" s="340">
        <f t="shared" si="15"/>
        <v>31.5</v>
      </c>
      <c r="O64" s="340">
        <f t="shared" si="9"/>
        <v>5548.4355525000019</v>
      </c>
    </row>
    <row r="65" spans="1:15" s="3" customFormat="1">
      <c r="A65" s="204">
        <f t="shared" si="4"/>
        <v>50</v>
      </c>
      <c r="C65" s="204">
        <f>'1.10 Wages'!C64</f>
        <v>1</v>
      </c>
      <c r="D65" s="204">
        <f>'1.10 Wages'!D64</f>
        <v>1249</v>
      </c>
      <c r="E65" s="208"/>
      <c r="F65" s="171">
        <f>'1.10 Wages'!X64</f>
        <v>93349.72</v>
      </c>
      <c r="G65" s="339">
        <f t="shared" si="5"/>
        <v>93349.72</v>
      </c>
      <c r="H65" s="340">
        <f t="shared" si="16"/>
        <v>5787.68264</v>
      </c>
      <c r="I65" s="339">
        <f t="shared" si="13"/>
        <v>93349.72</v>
      </c>
      <c r="J65" s="340">
        <f t="shared" si="17"/>
        <v>1353.5709400000001</v>
      </c>
      <c r="K65" s="339">
        <f t="shared" si="11"/>
        <v>7000</v>
      </c>
      <c r="L65" s="340">
        <f t="shared" si="14"/>
        <v>42</v>
      </c>
      <c r="M65" s="339">
        <f t="shared" si="12"/>
        <v>10500</v>
      </c>
      <c r="N65" s="340">
        <f t="shared" si="15"/>
        <v>31.5</v>
      </c>
      <c r="O65" s="340">
        <f t="shared" si="9"/>
        <v>7214.7535800000005</v>
      </c>
    </row>
    <row r="66" spans="1:15" s="3" customFormat="1">
      <c r="A66" s="204">
        <f t="shared" si="4"/>
        <v>51</v>
      </c>
      <c r="C66" s="204">
        <f>'1.10 Wages'!C65</f>
        <v>1</v>
      </c>
      <c r="D66" s="204">
        <f>'1.10 Wages'!D65</f>
        <v>1250</v>
      </c>
      <c r="E66" s="208"/>
      <c r="F66" s="171">
        <f>'1.10 Wages'!X65</f>
        <v>87600.340000000011</v>
      </c>
      <c r="G66" s="339">
        <f t="shared" si="5"/>
        <v>87600.340000000011</v>
      </c>
      <c r="H66" s="340">
        <f t="shared" si="16"/>
        <v>5431.2210800000003</v>
      </c>
      <c r="I66" s="339">
        <f t="shared" si="13"/>
        <v>87600.340000000011</v>
      </c>
      <c r="J66" s="340">
        <f t="shared" si="17"/>
        <v>1270.2049300000003</v>
      </c>
      <c r="K66" s="339">
        <f t="shared" si="11"/>
        <v>7000</v>
      </c>
      <c r="L66" s="340">
        <f t="shared" si="14"/>
        <v>42</v>
      </c>
      <c r="M66" s="339">
        <f t="shared" si="12"/>
        <v>10500</v>
      </c>
      <c r="N66" s="340">
        <f t="shared" si="15"/>
        <v>31.5</v>
      </c>
      <c r="O66" s="340">
        <f t="shared" si="9"/>
        <v>6774.926010000001</v>
      </c>
    </row>
    <row r="67" spans="1:15" s="3" customFormat="1">
      <c r="A67" s="204">
        <f t="shared" si="4"/>
        <v>52</v>
      </c>
      <c r="C67" s="204">
        <v>1</v>
      </c>
      <c r="D67" s="204">
        <f>'1.10 Wages'!D79</f>
        <v>1251</v>
      </c>
      <c r="E67" s="208" t="s">
        <v>128</v>
      </c>
      <c r="F67" s="171">
        <f>'1.10 Wages'!X79</f>
        <v>0</v>
      </c>
      <c r="G67" s="339">
        <f t="shared" si="5"/>
        <v>0</v>
      </c>
      <c r="H67" s="340">
        <f t="shared" ref="H67" si="18">G67*H$10</f>
        <v>0</v>
      </c>
      <c r="I67" s="339">
        <f t="shared" ref="I67" si="19">F67</f>
        <v>0</v>
      </c>
      <c r="J67" s="340">
        <f t="shared" ref="J67" si="20">I67*J$10</f>
        <v>0</v>
      </c>
      <c r="K67" s="339">
        <f t="shared" si="11"/>
        <v>0</v>
      </c>
      <c r="L67" s="340">
        <f t="shared" ref="L67" si="21">K67*L$10</f>
        <v>0</v>
      </c>
      <c r="M67" s="339">
        <f t="shared" si="12"/>
        <v>0</v>
      </c>
      <c r="N67" s="340">
        <f t="shared" ref="N67" si="22">M67*N$10</f>
        <v>0</v>
      </c>
      <c r="O67" s="340">
        <f t="shared" ref="O67" si="23">H67+J67+L67+N67</f>
        <v>0</v>
      </c>
    </row>
    <row r="68" spans="1:15" s="3" customFormat="1">
      <c r="A68" s="204">
        <f t="shared" si="4"/>
        <v>53</v>
      </c>
      <c r="C68" s="204">
        <v>1</v>
      </c>
      <c r="D68" s="204">
        <f>'1.10 Wages'!D72</f>
        <v>1234</v>
      </c>
      <c r="E68" s="208" t="s">
        <v>129</v>
      </c>
      <c r="F68" s="171">
        <f>'1.10 Wages'!X72</f>
        <v>27415.119999999999</v>
      </c>
      <c r="G68" s="339">
        <f t="shared" si="5"/>
        <v>27415.119999999999</v>
      </c>
      <c r="H68" s="340">
        <f t="shared" si="16"/>
        <v>1699.7374399999999</v>
      </c>
      <c r="I68" s="339">
        <f t="shared" si="13"/>
        <v>27415.119999999999</v>
      </c>
      <c r="J68" s="340">
        <f t="shared" si="17"/>
        <v>397.51924000000002</v>
      </c>
      <c r="K68" s="339">
        <f t="shared" si="11"/>
        <v>7000</v>
      </c>
      <c r="L68" s="340">
        <f t="shared" si="14"/>
        <v>42</v>
      </c>
      <c r="M68" s="339">
        <f t="shared" si="12"/>
        <v>10500</v>
      </c>
      <c r="N68" s="340">
        <f t="shared" si="15"/>
        <v>31.5</v>
      </c>
      <c r="O68" s="340">
        <f t="shared" si="9"/>
        <v>2170.75668</v>
      </c>
    </row>
    <row r="69" spans="1:15" s="3" customFormat="1">
      <c r="A69" s="204">
        <f t="shared" si="4"/>
        <v>54</v>
      </c>
      <c r="C69" s="204">
        <v>1</v>
      </c>
      <c r="D69" s="204">
        <f>'1.10 Wages'!D73</f>
        <v>1240</v>
      </c>
      <c r="E69" s="208" t="s">
        <v>129</v>
      </c>
      <c r="F69" s="171">
        <f>'1.10 Wages'!T73</f>
        <v>9794.119999999999</v>
      </c>
      <c r="G69" s="339">
        <f t="shared" si="5"/>
        <v>9794.119999999999</v>
      </c>
      <c r="H69" s="340">
        <f t="shared" si="16"/>
        <v>607.23543999999993</v>
      </c>
      <c r="I69" s="339">
        <f t="shared" si="13"/>
        <v>9794.119999999999</v>
      </c>
      <c r="J69" s="340">
        <f t="shared" si="17"/>
        <v>142.01473999999999</v>
      </c>
      <c r="K69" s="339">
        <f t="shared" si="11"/>
        <v>7000</v>
      </c>
      <c r="L69" s="340">
        <f t="shared" si="14"/>
        <v>42</v>
      </c>
      <c r="M69" s="339">
        <f t="shared" si="12"/>
        <v>9794.119999999999</v>
      </c>
      <c r="N69" s="340">
        <f t="shared" si="15"/>
        <v>29.382359999999998</v>
      </c>
      <c r="O69" s="340">
        <f t="shared" si="9"/>
        <v>820.63253999999984</v>
      </c>
    </row>
    <row r="70" spans="1:15" s="3" customFormat="1">
      <c r="A70" s="204">
        <f t="shared" si="4"/>
        <v>55</v>
      </c>
      <c r="C70" s="204">
        <v>1</v>
      </c>
      <c r="D70" s="204">
        <f>'1.10 Wages'!D74</f>
        <v>1243</v>
      </c>
      <c r="E70" s="208" t="s">
        <v>129</v>
      </c>
      <c r="F70" s="171">
        <f>'1.10 Wages'!X74</f>
        <v>27478.239999999998</v>
      </c>
      <c r="G70" s="339">
        <f t="shared" si="5"/>
        <v>27478.239999999998</v>
      </c>
      <c r="H70" s="340">
        <f t="shared" si="16"/>
        <v>1703.6508799999999</v>
      </c>
      <c r="I70" s="339">
        <f t="shared" si="13"/>
        <v>27478.239999999998</v>
      </c>
      <c r="J70" s="340">
        <f t="shared" si="17"/>
        <v>398.43448000000001</v>
      </c>
      <c r="K70" s="339">
        <f t="shared" si="11"/>
        <v>7000</v>
      </c>
      <c r="L70" s="340">
        <f t="shared" si="14"/>
        <v>42</v>
      </c>
      <c r="M70" s="339">
        <f t="shared" si="12"/>
        <v>10500</v>
      </c>
      <c r="N70" s="340">
        <f t="shared" si="15"/>
        <v>31.5</v>
      </c>
      <c r="O70" s="340">
        <f t="shared" si="9"/>
        <v>2175.58536</v>
      </c>
    </row>
    <row r="71" spans="1:15" s="3" customFormat="1">
      <c r="A71" s="204">
        <f t="shared" si="4"/>
        <v>56</v>
      </c>
      <c r="C71" s="204">
        <v>1</v>
      </c>
      <c r="D71" s="204">
        <f>'1.10 Wages'!D66</f>
        <v>1252</v>
      </c>
      <c r="E71" s="208" t="s">
        <v>128</v>
      </c>
      <c r="F71" s="171">
        <f>'1.10 Wages'!X66</f>
        <v>0</v>
      </c>
      <c r="G71" s="339">
        <f>IF($F71&lt;G$10,$F71,G$10)</f>
        <v>0</v>
      </c>
      <c r="H71" s="340">
        <f>G71*H$10</f>
        <v>0</v>
      </c>
      <c r="I71" s="339">
        <f>F71</f>
        <v>0</v>
      </c>
      <c r="J71" s="340">
        <f>I71*J$10</f>
        <v>0</v>
      </c>
      <c r="K71" s="339">
        <f>IF($F71&lt;K$10,$F71,K$10)</f>
        <v>0</v>
      </c>
      <c r="L71" s="340">
        <f>K71*L$10</f>
        <v>0</v>
      </c>
      <c r="M71" s="339">
        <f>IF($F71&lt;M$10,$F71,M$10)</f>
        <v>0</v>
      </c>
      <c r="N71" s="340">
        <f>M71*N$10</f>
        <v>0</v>
      </c>
      <c r="O71" s="340">
        <f>H71+J71+L71+N71</f>
        <v>0</v>
      </c>
    </row>
    <row r="72" spans="1:15" s="3" customFormat="1">
      <c r="A72" s="204">
        <f t="shared" si="4"/>
        <v>57</v>
      </c>
      <c r="C72" s="204">
        <v>1</v>
      </c>
      <c r="D72" s="204">
        <f>'1.10 Wages'!D67</f>
        <v>1254</v>
      </c>
      <c r="E72" s="208" t="s">
        <v>246</v>
      </c>
      <c r="F72" s="171">
        <f>'1.10 Wages'!X67</f>
        <v>67267.200000000012</v>
      </c>
      <c r="G72" s="339">
        <f t="shared" ref="G72:G73" si="24">IF($F72&lt;G$10,$F72,G$10)</f>
        <v>67267.200000000012</v>
      </c>
      <c r="H72" s="340">
        <f>G72*H$10</f>
        <v>4170.5664000000006</v>
      </c>
      <c r="I72" s="339">
        <f t="shared" ref="I72:I73" si="25">F72</f>
        <v>67267.200000000012</v>
      </c>
      <c r="J72" s="340">
        <f t="shared" ref="J72:J73" si="26">I72*J$10</f>
        <v>975.37440000000026</v>
      </c>
      <c r="K72" s="339">
        <f t="shared" ref="K72:K73" si="27">IF($F72&lt;K$10,$F72,K$10)</f>
        <v>7000</v>
      </c>
      <c r="L72" s="340">
        <f t="shared" ref="L72:L73" si="28">K72*L$10</f>
        <v>42</v>
      </c>
      <c r="M72" s="339">
        <f t="shared" ref="M72:M73" si="29">IF($F72&lt;M$10,$F72,M$10)</f>
        <v>10500</v>
      </c>
      <c r="N72" s="340">
        <f t="shared" ref="N72:N73" si="30">M72*N$10</f>
        <v>31.5</v>
      </c>
      <c r="O72" s="340">
        <f>H72+J72+L72+N72</f>
        <v>5219.4408000000012</v>
      </c>
    </row>
    <row r="73" spans="1:15" s="3" customFormat="1">
      <c r="A73" s="204">
        <f t="shared" si="4"/>
        <v>58</v>
      </c>
      <c r="C73" s="204">
        <f>'1.10 Wages'!C68</f>
        <v>1</v>
      </c>
      <c r="D73" s="204">
        <f>'1.10 Wages'!D68</f>
        <v>1255</v>
      </c>
      <c r="E73" s="204" t="s">
        <v>246</v>
      </c>
      <c r="F73" s="171">
        <f>'1.10 Wages'!X68</f>
        <v>67267.200000000012</v>
      </c>
      <c r="G73" s="339">
        <f t="shared" si="24"/>
        <v>67267.200000000012</v>
      </c>
      <c r="H73" s="340">
        <f t="shared" ref="H73" si="31">G73*H$10</f>
        <v>4170.5664000000006</v>
      </c>
      <c r="I73" s="339">
        <f t="shared" si="25"/>
        <v>67267.200000000012</v>
      </c>
      <c r="J73" s="340">
        <f t="shared" si="26"/>
        <v>975.37440000000026</v>
      </c>
      <c r="K73" s="339">
        <f t="shared" si="27"/>
        <v>7000</v>
      </c>
      <c r="L73" s="340">
        <f t="shared" si="28"/>
        <v>42</v>
      </c>
      <c r="M73" s="339">
        <f t="shared" si="29"/>
        <v>10500</v>
      </c>
      <c r="N73" s="340">
        <f t="shared" si="30"/>
        <v>31.5</v>
      </c>
      <c r="O73" s="340">
        <f t="shared" ref="O73" si="32">H73+J73+L73+N73</f>
        <v>5219.4408000000012</v>
      </c>
    </row>
    <row r="74" spans="1:15" s="3" customFormat="1">
      <c r="A74" s="204">
        <f t="shared" si="4"/>
        <v>59</v>
      </c>
      <c r="C74" s="5">
        <f>SUM(C30:C73)</f>
        <v>44</v>
      </c>
      <c r="D74" s="5" t="s">
        <v>22</v>
      </c>
      <c r="E74" s="173"/>
      <c r="F74" s="283">
        <f t="shared" ref="F74:N74" si="33">SUM(F30:F72)</f>
        <v>2983812.4675000003</v>
      </c>
      <c r="G74" s="283">
        <f t="shared" si="33"/>
        <v>2918779.9725000006</v>
      </c>
      <c r="H74" s="283">
        <f t="shared" si="33"/>
        <v>180964.35829499998</v>
      </c>
      <c r="I74" s="283">
        <f t="shared" si="33"/>
        <v>2983812.4675000003</v>
      </c>
      <c r="J74" s="283">
        <f t="shared" si="33"/>
        <v>43265.280778750006</v>
      </c>
      <c r="K74" s="283">
        <f t="shared" si="33"/>
        <v>280000</v>
      </c>
      <c r="L74" s="283">
        <f t="shared" si="33"/>
        <v>1680</v>
      </c>
      <c r="M74" s="283">
        <f t="shared" si="33"/>
        <v>419294.12</v>
      </c>
      <c r="N74" s="283">
        <f t="shared" si="33"/>
        <v>1257.8823600000001</v>
      </c>
      <c r="O74" s="283">
        <f>H74+J74+L74+N74</f>
        <v>227167.52143374999</v>
      </c>
    </row>
    <row r="75" spans="1:15" s="3" customFormat="1">
      <c r="A75" s="204">
        <f t="shared" si="4"/>
        <v>60</v>
      </c>
      <c r="C75" s="204"/>
      <c r="D75" s="204"/>
      <c r="E75" s="204"/>
      <c r="F75" s="170"/>
      <c r="G75" s="340"/>
      <c r="I75" s="340"/>
      <c r="K75" s="340"/>
      <c r="M75" s="340"/>
    </row>
    <row r="76" spans="1:15" s="3" customFormat="1">
      <c r="A76" s="204">
        <f t="shared" si="4"/>
        <v>61</v>
      </c>
      <c r="C76" s="342">
        <f>+C27+C74</f>
        <v>54</v>
      </c>
      <c r="D76" s="342" t="s">
        <v>14</v>
      </c>
      <c r="E76" s="343"/>
      <c r="F76" s="344">
        <f t="shared" ref="F76:N76" si="34">F27+F74</f>
        <v>4072592.0675000004</v>
      </c>
      <c r="G76" s="344">
        <f t="shared" si="34"/>
        <v>3929420.3725000005</v>
      </c>
      <c r="H76" s="344">
        <f t="shared" si="34"/>
        <v>243624.06309499999</v>
      </c>
      <c r="I76" s="344">
        <f t="shared" si="34"/>
        <v>4072592.0675000004</v>
      </c>
      <c r="J76" s="344">
        <f t="shared" si="34"/>
        <v>59052.584978750005</v>
      </c>
      <c r="K76" s="344">
        <f t="shared" si="34"/>
        <v>350000</v>
      </c>
      <c r="L76" s="344">
        <f t="shared" si="34"/>
        <v>2100</v>
      </c>
      <c r="M76" s="344">
        <f t="shared" si="34"/>
        <v>524294.12</v>
      </c>
      <c r="N76" s="344">
        <f t="shared" si="34"/>
        <v>1572.8823600000001</v>
      </c>
      <c r="O76" s="344">
        <f t="shared" si="9"/>
        <v>306349.53043374995</v>
      </c>
    </row>
    <row r="77" spans="1:15" s="3" customFormat="1">
      <c r="A77" s="204">
        <f t="shared" si="4"/>
        <v>62</v>
      </c>
      <c r="C77" s="227"/>
      <c r="D77" s="227"/>
      <c r="E77" s="285"/>
      <c r="F77" s="345"/>
    </row>
    <row r="78" spans="1:15" s="3" customFormat="1">
      <c r="A78" s="204">
        <f t="shared" si="4"/>
        <v>63</v>
      </c>
      <c r="C78" s="346" t="s">
        <v>36</v>
      </c>
      <c r="E78" s="285"/>
      <c r="F78" s="345"/>
      <c r="H78" s="347">
        <f>249633.98+59445.94</f>
        <v>309079.92000000004</v>
      </c>
      <c r="I78" s="348" t="s">
        <v>551</v>
      </c>
      <c r="J78" s="349"/>
      <c r="K78" s="339"/>
      <c r="L78" s="38">
        <v>2189.5700000000002</v>
      </c>
      <c r="M78" s="38"/>
      <c r="N78" s="38">
        <v>1637.95</v>
      </c>
      <c r="O78" s="38">
        <f>H78+J78+L78+N78</f>
        <v>312907.44000000006</v>
      </c>
    </row>
    <row r="79" spans="1:15" s="3" customFormat="1">
      <c r="A79" s="204">
        <f t="shared" si="4"/>
        <v>64</v>
      </c>
      <c r="C79" s="227"/>
      <c r="D79" s="227"/>
      <c r="E79" s="285"/>
      <c r="F79" s="345"/>
      <c r="H79" s="339"/>
      <c r="I79" s="339"/>
      <c r="J79" s="339"/>
      <c r="K79" s="339"/>
      <c r="L79" s="38"/>
      <c r="M79" s="38"/>
      <c r="N79" s="38"/>
      <c r="O79" s="339"/>
    </row>
    <row r="80" spans="1:15" s="3" customFormat="1">
      <c r="A80" s="204">
        <f t="shared" si="4"/>
        <v>65</v>
      </c>
      <c r="C80" s="346" t="s">
        <v>152</v>
      </c>
      <c r="D80" s="227"/>
      <c r="E80" s="227"/>
      <c r="F80" s="284"/>
      <c r="H80" s="347">
        <f>H76+J76</f>
        <v>302676.64807374997</v>
      </c>
      <c r="I80" s="348" t="s">
        <v>552</v>
      </c>
      <c r="J80" s="349"/>
      <c r="K80" s="339"/>
      <c r="L80" s="339">
        <f>L76</f>
        <v>2100</v>
      </c>
      <c r="M80" s="339"/>
      <c r="N80" s="339">
        <f>N76</f>
        <v>1572.8823600000001</v>
      </c>
      <c r="O80" s="339">
        <f>H80+J80+L80+N80</f>
        <v>306349.53043374995</v>
      </c>
    </row>
    <row r="81" spans="1:15" s="3" customFormat="1">
      <c r="A81" s="204">
        <f t="shared" si="4"/>
        <v>66</v>
      </c>
      <c r="C81" s="227"/>
      <c r="D81" s="227"/>
      <c r="E81" s="227"/>
      <c r="F81" s="284"/>
    </row>
    <row r="82" spans="1:15" s="3" customFormat="1" ht="13.8" thickBot="1">
      <c r="A82" s="204">
        <f t="shared" si="4"/>
        <v>67</v>
      </c>
      <c r="C82" s="395" t="s">
        <v>657</v>
      </c>
      <c r="D82" s="295"/>
      <c r="E82" s="294"/>
      <c r="F82" s="294"/>
      <c r="G82" s="294"/>
      <c r="H82" s="350">
        <f>H80-H78</f>
        <v>-6403.2719262500759</v>
      </c>
      <c r="I82" s="294"/>
      <c r="J82" s="350"/>
      <c r="K82" s="294"/>
      <c r="L82" s="350">
        <f>L80-L78</f>
        <v>-89.570000000000164</v>
      </c>
      <c r="M82" s="294"/>
      <c r="N82" s="350">
        <f>N80-N78</f>
        <v>-65.067639999999983</v>
      </c>
      <c r="O82" s="350">
        <f t="shared" si="9"/>
        <v>-6557.9095662500758</v>
      </c>
    </row>
    <row r="83" spans="1:15" s="3" customFormat="1" ht="13.8" thickTop="1">
      <c r="A83" s="204"/>
      <c r="C83" s="296"/>
      <c r="D83" s="296"/>
      <c r="E83" s="296"/>
    </row>
    <row r="84" spans="1:15" s="3" customFormat="1">
      <c r="A84" s="204"/>
      <c r="C84" s="204"/>
      <c r="D84" s="202" t="s">
        <v>499</v>
      </c>
      <c r="F84" s="184" t="s">
        <v>553</v>
      </c>
      <c r="G84" s="3" t="s">
        <v>500</v>
      </c>
      <c r="I84" s="184" t="s">
        <v>554</v>
      </c>
      <c r="J84" s="3" t="s">
        <v>501</v>
      </c>
      <c r="N84" s="184" t="s">
        <v>641</v>
      </c>
      <c r="O84" s="3" t="s">
        <v>640</v>
      </c>
    </row>
    <row r="85" spans="1:15" s="3" customFormat="1" ht="23.25" customHeight="1">
      <c r="A85" s="204"/>
      <c r="C85" s="204"/>
      <c r="D85" s="204"/>
      <c r="E85" s="204"/>
    </row>
    <row r="86" spans="1:15" s="3" customFormat="1">
      <c r="A86" s="204"/>
      <c r="C86" s="472" t="s">
        <v>555</v>
      </c>
      <c r="D86" s="472"/>
      <c r="E86" s="472"/>
      <c r="F86" s="472"/>
      <c r="G86" s="472"/>
      <c r="H86" s="472"/>
      <c r="I86" s="472"/>
      <c r="J86" s="472"/>
      <c r="K86" s="472"/>
      <c r="L86" s="472"/>
      <c r="M86" s="472"/>
      <c r="N86" s="472"/>
    </row>
    <row r="88" spans="1:15">
      <c r="C88" s="232" t="s">
        <v>556</v>
      </c>
      <c r="D88" s="10"/>
      <c r="E88" s="10"/>
      <c r="G88" s="192"/>
      <c r="H88" s="351" t="s">
        <v>130</v>
      </c>
      <c r="I88" s="185" t="s">
        <v>15</v>
      </c>
    </row>
    <row r="89" spans="1:15">
      <c r="D89" s="10"/>
      <c r="E89" s="10"/>
    </row>
    <row r="90" spans="1:15">
      <c r="C90" s="11" t="s">
        <v>121</v>
      </c>
      <c r="D90" s="15"/>
      <c r="E90" s="15" t="s">
        <v>122</v>
      </c>
      <c r="G90" s="24"/>
      <c r="H90" s="352">
        <v>8.1391001633733071E-2</v>
      </c>
      <c r="I90" s="24">
        <f>H90*$O$82</f>
        <v>-533.75482822053368</v>
      </c>
    </row>
    <row r="91" spans="1:15">
      <c r="C91" s="11" t="s">
        <v>123</v>
      </c>
      <c r="D91" s="15"/>
      <c r="E91" s="15" t="s">
        <v>124</v>
      </c>
      <c r="G91" s="24"/>
      <c r="H91" s="352">
        <v>0.21590586261047123</v>
      </c>
      <c r="I91" s="24">
        <f t="shared" ref="I91:I94" si="35">H91*$O$82</f>
        <v>-1415.8911218226838</v>
      </c>
    </row>
    <row r="92" spans="1:15">
      <c r="C92" s="11" t="s">
        <v>125</v>
      </c>
      <c r="D92" s="15"/>
      <c r="E92" s="15" t="s">
        <v>104</v>
      </c>
      <c r="G92" s="24"/>
      <c r="H92" s="352">
        <v>0.15368658092178045</v>
      </c>
      <c r="I92" s="24">
        <f t="shared" si="35"/>
        <v>-1007.8626992312104</v>
      </c>
    </row>
    <row r="93" spans="1:15">
      <c r="C93" s="11" t="s">
        <v>504</v>
      </c>
      <c r="D93" s="15"/>
      <c r="E93" s="15" t="s">
        <v>78</v>
      </c>
      <c r="G93" s="24"/>
      <c r="H93" s="352">
        <v>1.8889617123394657E-2</v>
      </c>
      <c r="I93" s="24">
        <f t="shared" si="35"/>
        <v>-123.87640083631106</v>
      </c>
    </row>
    <row r="94" spans="1:15">
      <c r="C94" s="11" t="s">
        <v>126</v>
      </c>
      <c r="D94" s="15"/>
      <c r="E94" s="15" t="s">
        <v>120</v>
      </c>
      <c r="G94" s="24"/>
      <c r="H94" s="352">
        <v>0.165977703374033</v>
      </c>
      <c r="I94" s="24">
        <f t="shared" si="35"/>
        <v>-1088.4667687407884</v>
      </c>
    </row>
    <row r="95" spans="1:15">
      <c r="C95" s="397" t="s">
        <v>656</v>
      </c>
      <c r="D95" s="16"/>
      <c r="E95" s="16"/>
      <c r="F95" s="16"/>
      <c r="G95" s="32"/>
      <c r="H95" s="353">
        <f>SUM(H90:H94)</f>
        <v>0.63585076566341248</v>
      </c>
      <c r="I95" s="396">
        <f>SUM(I90:I94)</f>
        <v>-4169.8518188515272</v>
      </c>
      <c r="K95" s="232"/>
    </row>
    <row r="96" spans="1:15">
      <c r="D96" s="10"/>
      <c r="E96" s="10"/>
      <c r="G96" s="24"/>
      <c r="H96" s="352"/>
      <c r="I96" s="24"/>
    </row>
    <row r="97" spans="3:9">
      <c r="C97" s="11" t="s">
        <v>505</v>
      </c>
      <c r="D97" s="15"/>
      <c r="E97" s="15" t="s">
        <v>506</v>
      </c>
      <c r="G97" s="24"/>
      <c r="H97" s="352">
        <v>0.26961309615902967</v>
      </c>
      <c r="I97" s="24">
        <f>H97*$O$82</f>
        <v>-1768.0983024876023</v>
      </c>
    </row>
    <row r="98" spans="3:9">
      <c r="C98" s="11" t="s">
        <v>507</v>
      </c>
      <c r="D98" s="15"/>
      <c r="E98" s="15" t="s">
        <v>508</v>
      </c>
      <c r="G98" s="24"/>
      <c r="H98" s="352">
        <v>3.1768195079521944E-2</v>
      </c>
      <c r="I98" s="24">
        <f>H98*$O$82</f>
        <v>-208.33295041449554</v>
      </c>
    </row>
    <row r="99" spans="3:9">
      <c r="C99" s="11" t="s">
        <v>509</v>
      </c>
      <c r="D99" s="15"/>
      <c r="E99" s="15" t="s">
        <v>510</v>
      </c>
      <c r="G99" s="24"/>
      <c r="H99" s="352">
        <v>2.5106556340275421E-2</v>
      </c>
      <c r="I99" s="24">
        <f>H99*$O$82</f>
        <v>-164.64652599948869</v>
      </c>
    </row>
    <row r="100" spans="3:9">
      <c r="C100" s="11" t="s">
        <v>511</v>
      </c>
      <c r="D100" s="15"/>
      <c r="E100" s="15" t="s">
        <v>512</v>
      </c>
      <c r="G100" s="24"/>
      <c r="H100" s="352">
        <v>3.7661386757760471E-2</v>
      </c>
      <c r="I100" s="24">
        <f>H100*$O$82</f>
        <v>-246.97996849696131</v>
      </c>
    </row>
    <row r="101" spans="3:9">
      <c r="C101" s="16"/>
      <c r="D101" s="16"/>
      <c r="E101" s="16" t="s">
        <v>22</v>
      </c>
      <c r="F101" s="16"/>
      <c r="G101" s="32"/>
      <c r="H101" s="353">
        <f>SUM(H97:H100)</f>
        <v>0.36414923433658752</v>
      </c>
      <c r="I101" s="32">
        <f>SUM(I97:I100)</f>
        <v>-2388.0577473985477</v>
      </c>
    </row>
    <row r="102" spans="3:9">
      <c r="D102" s="10"/>
      <c r="E102" s="10"/>
      <c r="G102" s="24"/>
      <c r="H102" s="352"/>
      <c r="I102" s="24"/>
    </row>
    <row r="103" spans="3:9" ht="13.8" thickBot="1">
      <c r="C103" s="21"/>
      <c r="D103" s="21"/>
      <c r="E103" s="354" t="s">
        <v>43</v>
      </c>
      <c r="F103" s="21"/>
      <c r="G103" s="355"/>
      <c r="H103" s="356">
        <v>1</v>
      </c>
      <c r="I103" s="355">
        <f>I95+I101</f>
        <v>-6557.9095662500749</v>
      </c>
    </row>
    <row r="104" spans="3:9" ht="13.8" thickTop="1"/>
  </sheetData>
  <mergeCells count="9">
    <mergeCell ref="C86:N86"/>
    <mergeCell ref="A3:O3"/>
    <mergeCell ref="A4:O4"/>
    <mergeCell ref="A6:O6"/>
    <mergeCell ref="C8:F8"/>
    <mergeCell ref="G8:H8"/>
    <mergeCell ref="I8:J8"/>
    <mergeCell ref="K8:L8"/>
    <mergeCell ref="M8:N8"/>
  </mergeCells>
  <pageMargins left="1" right="0.5" top="0.75" bottom="0.5" header="0.5" footer="0.5"/>
  <pageSetup scale="64" fitToHeight="2" orientation="portrait" r:id="rId1"/>
  <headerFooter alignWithMargins="0">
    <oddFooter>&amp;RExhibit JW-2
Page &amp;P of &amp;N</oddFooter>
  </headerFooter>
  <rowBreaks count="1" manualBreakCount="1">
    <brk id="84" max="14" man="1"/>
  </rowBreaks>
  <ignoredErrors>
    <ignoredError sqref="K17:M17 K18:N63 I74:I76 I17:I66 M64:M66 K64:K73 I68:I70 I67 I71:I73 M68:M70 M67 M71:M73 L64:L7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67"/>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0" customWidth="1"/>
    <col min="3" max="3" width="11.6640625" style="11" customWidth="1"/>
    <col min="4" max="4" width="5.6640625" style="11" customWidth="1"/>
    <col min="5" max="5" width="10.88671875" style="11" customWidth="1"/>
    <col min="6" max="6" width="12.5546875" style="11" customWidth="1"/>
    <col min="7" max="7" width="13.6640625" style="11" customWidth="1"/>
    <col min="8" max="8" width="12.6640625" style="11" customWidth="1"/>
    <col min="9" max="9" width="11.109375" style="11" customWidth="1"/>
    <col min="10" max="10" width="13.33203125" style="11" customWidth="1"/>
    <col min="11" max="11" width="10.44140625" style="11" customWidth="1"/>
    <col min="12" max="16384" width="9.109375" style="11"/>
  </cols>
  <sheetData>
    <row r="1" spans="1:11">
      <c r="G1" s="6"/>
      <c r="J1" s="6"/>
      <c r="K1" s="6" t="s">
        <v>653</v>
      </c>
    </row>
    <row r="2" spans="1:11" ht="13.5" customHeight="1">
      <c r="G2" s="6"/>
      <c r="H2" s="6"/>
    </row>
    <row r="3" spans="1:11">
      <c r="A3" s="465" t="str">
        <f>RevReq!A1</f>
        <v>CUMBERLAND VALLEY ELECTRIC</v>
      </c>
      <c r="B3" s="465"/>
      <c r="C3" s="465"/>
      <c r="D3" s="465"/>
      <c r="E3" s="465"/>
      <c r="F3" s="465"/>
      <c r="G3" s="465"/>
      <c r="H3" s="465"/>
      <c r="I3" s="465"/>
      <c r="J3" s="465"/>
      <c r="K3" s="465"/>
    </row>
    <row r="4" spans="1:11">
      <c r="A4" s="465" t="str">
        <f>RevReq!A3</f>
        <v>For the 12 Months Ended December 31, 2019</v>
      </c>
      <c r="B4" s="465"/>
      <c r="C4" s="465"/>
      <c r="D4" s="465"/>
      <c r="E4" s="465"/>
      <c r="F4" s="465"/>
      <c r="G4" s="465"/>
      <c r="H4" s="465"/>
      <c r="I4" s="465"/>
      <c r="J4" s="465"/>
      <c r="K4" s="465"/>
    </row>
    <row r="6" spans="1:11" s="7" customFormat="1" ht="15" customHeight="1">
      <c r="A6" s="466" t="s">
        <v>98</v>
      </c>
      <c r="B6" s="466"/>
      <c r="C6" s="466"/>
      <c r="D6" s="466"/>
      <c r="E6" s="466"/>
      <c r="F6" s="466"/>
      <c r="G6" s="466"/>
      <c r="H6" s="466"/>
      <c r="I6" s="466"/>
      <c r="J6" s="466"/>
      <c r="K6" s="466"/>
    </row>
    <row r="8" spans="1:11" s="31" customFormat="1" ht="38.25" customHeight="1">
      <c r="A8" s="31" t="s">
        <v>0</v>
      </c>
      <c r="C8" s="31" t="s">
        <v>557</v>
      </c>
      <c r="D8" s="31" t="s">
        <v>264</v>
      </c>
      <c r="E8" s="31" t="s">
        <v>558</v>
      </c>
      <c r="F8" s="31" t="s">
        <v>559</v>
      </c>
      <c r="G8" s="31" t="s">
        <v>560</v>
      </c>
      <c r="H8" s="31" t="s">
        <v>561</v>
      </c>
      <c r="I8" s="31" t="s">
        <v>562</v>
      </c>
      <c r="J8" s="31" t="s">
        <v>563</v>
      </c>
      <c r="K8" s="31" t="s">
        <v>127</v>
      </c>
    </row>
    <row r="9" spans="1:11">
      <c r="A9" s="135" t="s">
        <v>21</v>
      </c>
      <c r="C9" s="13" t="s">
        <v>18</v>
      </c>
      <c r="D9" s="13" t="s">
        <v>20</v>
      </c>
      <c r="E9" s="13" t="s">
        <v>19</v>
      </c>
      <c r="F9" s="13" t="s">
        <v>25</v>
      </c>
      <c r="G9" s="13" t="s">
        <v>47</v>
      </c>
      <c r="H9" s="13" t="s">
        <v>48</v>
      </c>
      <c r="I9" s="13" t="s">
        <v>49</v>
      </c>
      <c r="J9" s="13" t="s">
        <v>50</v>
      </c>
      <c r="K9" s="13" t="s">
        <v>564</v>
      </c>
    </row>
    <row r="10" spans="1:11">
      <c r="A10" s="10"/>
    </row>
    <row r="11" spans="1:11">
      <c r="A11" s="10">
        <v>1</v>
      </c>
      <c r="C11" s="41" t="s">
        <v>565</v>
      </c>
      <c r="D11" s="41"/>
    </row>
    <row r="12" spans="1:11">
      <c r="A12" s="10">
        <f>A11+1</f>
        <v>2</v>
      </c>
      <c r="C12" s="15" t="s">
        <v>566</v>
      </c>
      <c r="D12" s="15"/>
      <c r="E12" s="357">
        <v>36748</v>
      </c>
      <c r="F12" s="357">
        <v>49369</v>
      </c>
      <c r="G12" s="14">
        <v>719822.76</v>
      </c>
      <c r="H12" s="358">
        <v>1.375E-2</v>
      </c>
      <c r="I12" s="27">
        <f>ROUND(G12*H12,2)</f>
        <v>9897.56</v>
      </c>
      <c r="J12" s="14">
        <v>12077.08</v>
      </c>
      <c r="K12" s="14">
        <f>I12-J12</f>
        <v>-2179.5200000000004</v>
      </c>
    </row>
    <row r="13" spans="1:11">
      <c r="A13" s="10">
        <f t="shared" ref="A13:A62" si="0">A12+1</f>
        <v>3</v>
      </c>
      <c r="C13" s="15" t="s">
        <v>567</v>
      </c>
      <c r="D13" s="15"/>
      <c r="E13" s="357"/>
      <c r="F13" s="357"/>
      <c r="G13" s="14">
        <v>-1776298.46</v>
      </c>
      <c r="H13" s="358"/>
      <c r="I13" s="359">
        <f>ROUND(G13*H13,2)</f>
        <v>0</v>
      </c>
      <c r="J13" s="360"/>
      <c r="K13" s="360">
        <f t="shared" ref="K13:K50" si="1">I13-J13</f>
        <v>0</v>
      </c>
    </row>
    <row r="14" spans="1:11">
      <c r="A14" s="10">
        <f t="shared" si="0"/>
        <v>4</v>
      </c>
      <c r="C14" s="15"/>
      <c r="D14" s="15"/>
      <c r="E14" s="357"/>
      <c r="F14" s="357"/>
      <c r="G14" s="17">
        <f>SUM(G12:G13)</f>
        <v>-1056475.7</v>
      </c>
      <c r="H14" s="358"/>
      <c r="I14" s="27">
        <f>SUM(I12:I13)</f>
        <v>9897.56</v>
      </c>
      <c r="J14" s="27">
        <f>SUM(J12:J13)</f>
        <v>12077.08</v>
      </c>
      <c r="K14" s="27">
        <f>SUM(K12:K13)</f>
        <v>-2179.5200000000004</v>
      </c>
    </row>
    <row r="15" spans="1:11">
      <c r="A15" s="10">
        <f t="shared" si="0"/>
        <v>5</v>
      </c>
      <c r="C15" s="15"/>
      <c r="D15" s="15"/>
      <c r="E15" s="357"/>
      <c r="F15" s="357"/>
      <c r="G15" s="14"/>
      <c r="H15" s="358"/>
      <c r="I15" s="27"/>
      <c r="J15" s="14"/>
      <c r="K15" s="14"/>
    </row>
    <row r="16" spans="1:11">
      <c r="A16" s="10">
        <f t="shared" si="0"/>
        <v>6</v>
      </c>
      <c r="C16" s="41" t="s">
        <v>568</v>
      </c>
      <c r="D16" s="41"/>
      <c r="E16" s="357"/>
      <c r="F16" s="357"/>
      <c r="G16" s="14"/>
      <c r="H16" s="358"/>
      <c r="I16" s="27"/>
      <c r="J16" s="14"/>
      <c r="K16" s="14"/>
    </row>
    <row r="17" spans="1:14">
      <c r="A17" s="10">
        <f t="shared" si="0"/>
        <v>7</v>
      </c>
      <c r="C17" s="15" t="s">
        <v>569</v>
      </c>
      <c r="D17" s="10" t="s">
        <v>128</v>
      </c>
      <c r="E17" s="357">
        <v>36970</v>
      </c>
      <c r="F17" s="357">
        <v>44012</v>
      </c>
      <c r="G17" s="14">
        <v>2139200.71</v>
      </c>
      <c r="H17" s="361" t="s">
        <v>570</v>
      </c>
      <c r="I17" s="27">
        <v>33173.69</v>
      </c>
      <c r="J17" s="14">
        <v>51114.05</v>
      </c>
      <c r="K17" s="14">
        <f t="shared" ref="K17:K32" si="2">I17-J17</f>
        <v>-17940.36</v>
      </c>
    </row>
    <row r="18" spans="1:14">
      <c r="A18" s="10">
        <f t="shared" si="0"/>
        <v>8</v>
      </c>
      <c r="B18" s="208"/>
      <c r="C18" s="15" t="s">
        <v>571</v>
      </c>
      <c r="D18" s="10" t="s">
        <v>128</v>
      </c>
      <c r="E18" s="357">
        <v>37803</v>
      </c>
      <c r="F18" s="357">
        <v>44012</v>
      </c>
      <c r="G18" s="14">
        <v>2569177.06</v>
      </c>
      <c r="H18" s="361" t="s">
        <v>570</v>
      </c>
      <c r="I18" s="27">
        <v>39841.56</v>
      </c>
      <c r="J18" s="14">
        <v>61387.909999999996</v>
      </c>
      <c r="K18" s="14">
        <f t="shared" si="2"/>
        <v>-21546.35</v>
      </c>
    </row>
    <row r="19" spans="1:14">
      <c r="A19" s="10">
        <f t="shared" si="0"/>
        <v>9</v>
      </c>
      <c r="B19" s="208"/>
      <c r="C19" s="15" t="s">
        <v>572</v>
      </c>
      <c r="D19" s="10" t="s">
        <v>128</v>
      </c>
      <c r="E19" s="357">
        <v>38181</v>
      </c>
      <c r="F19" s="357">
        <v>44012</v>
      </c>
      <c r="G19" s="14">
        <v>1321934.93</v>
      </c>
      <c r="H19" s="361" t="s">
        <v>570</v>
      </c>
      <c r="I19" s="27">
        <v>20434.12</v>
      </c>
      <c r="J19" s="14">
        <v>31369.43</v>
      </c>
      <c r="K19" s="14">
        <f t="shared" si="2"/>
        <v>-10935.310000000001</v>
      </c>
    </row>
    <row r="20" spans="1:14">
      <c r="A20" s="10">
        <f t="shared" si="0"/>
        <v>10</v>
      </c>
      <c r="B20" s="208"/>
      <c r="C20" s="15" t="s">
        <v>573</v>
      </c>
      <c r="D20" s="10" t="s">
        <v>128</v>
      </c>
      <c r="E20" s="357">
        <v>38385</v>
      </c>
      <c r="F20" s="357">
        <v>44012</v>
      </c>
      <c r="G20" s="14">
        <v>1201759</v>
      </c>
      <c r="H20" s="361" t="s">
        <v>570</v>
      </c>
      <c r="I20" s="27">
        <v>18576.47</v>
      </c>
      <c r="J20" s="14">
        <v>28517.659999999996</v>
      </c>
      <c r="K20" s="14">
        <f t="shared" si="2"/>
        <v>-9941.1899999999951</v>
      </c>
    </row>
    <row r="21" spans="1:14">
      <c r="A21" s="10">
        <f t="shared" si="0"/>
        <v>11</v>
      </c>
      <c r="B21" s="208"/>
      <c r="C21" s="15" t="s">
        <v>574</v>
      </c>
      <c r="D21" s="10" t="s">
        <v>128</v>
      </c>
      <c r="E21" s="357">
        <v>38652</v>
      </c>
      <c r="F21" s="357">
        <v>44012</v>
      </c>
      <c r="G21" s="14">
        <v>1798119.06</v>
      </c>
      <c r="H21" s="361" t="s">
        <v>570</v>
      </c>
      <c r="I21" s="27">
        <v>27794.84</v>
      </c>
      <c r="J21" s="14">
        <v>42669.240000000005</v>
      </c>
      <c r="K21" s="14">
        <f t="shared" si="2"/>
        <v>-14874.400000000005</v>
      </c>
    </row>
    <row r="22" spans="1:14">
      <c r="A22" s="10">
        <f t="shared" si="0"/>
        <v>12</v>
      </c>
      <c r="B22" s="208"/>
      <c r="C22" s="15" t="s">
        <v>575</v>
      </c>
      <c r="D22" s="10" t="s">
        <v>128</v>
      </c>
      <c r="E22" s="357">
        <v>38975</v>
      </c>
      <c r="F22" s="357">
        <v>44012</v>
      </c>
      <c r="G22" s="14">
        <v>1223446.3700000001</v>
      </c>
      <c r="H22" s="361" t="s">
        <v>570</v>
      </c>
      <c r="I22" s="27">
        <v>18911.7</v>
      </c>
      <c r="J22" s="14">
        <v>29032.29</v>
      </c>
      <c r="K22" s="14">
        <f t="shared" si="2"/>
        <v>-10120.59</v>
      </c>
    </row>
    <row r="23" spans="1:14">
      <c r="A23" s="10">
        <f t="shared" si="0"/>
        <v>13</v>
      </c>
      <c r="C23" s="11" t="s">
        <v>576</v>
      </c>
      <c r="D23" s="10" t="s">
        <v>128</v>
      </c>
      <c r="E23" s="357">
        <v>39223</v>
      </c>
      <c r="F23" s="357">
        <v>44012</v>
      </c>
      <c r="G23" s="19">
        <v>681378.52</v>
      </c>
      <c r="H23" s="361" t="s">
        <v>570</v>
      </c>
      <c r="I23" s="27">
        <v>10532.57</v>
      </c>
      <c r="J23" s="14">
        <v>16169.06</v>
      </c>
      <c r="K23" s="14">
        <f t="shared" si="2"/>
        <v>-5636.49</v>
      </c>
    </row>
    <row r="24" spans="1:14">
      <c r="A24" s="10">
        <f t="shared" si="0"/>
        <v>14</v>
      </c>
      <c r="C24" s="15" t="s">
        <v>577</v>
      </c>
      <c r="D24" s="10" t="s">
        <v>128</v>
      </c>
      <c r="E24" s="357">
        <v>39661</v>
      </c>
      <c r="F24" s="357">
        <v>44012</v>
      </c>
      <c r="G24" s="19">
        <v>2881271.29</v>
      </c>
      <c r="H24" s="361" t="s">
        <v>570</v>
      </c>
      <c r="I24" s="27">
        <v>44405.89</v>
      </c>
      <c r="J24" s="14">
        <v>67861.26999999999</v>
      </c>
      <c r="K24" s="14">
        <f t="shared" si="2"/>
        <v>-23455.37999999999</v>
      </c>
    </row>
    <row r="25" spans="1:14">
      <c r="A25" s="10">
        <f t="shared" si="0"/>
        <v>15</v>
      </c>
      <c r="C25" s="15" t="s">
        <v>578</v>
      </c>
      <c r="D25" s="10" t="s">
        <v>128</v>
      </c>
      <c r="E25" s="357">
        <v>39755</v>
      </c>
      <c r="F25" s="357">
        <v>44012</v>
      </c>
      <c r="G25" s="19">
        <v>1800794.53</v>
      </c>
      <c r="H25" s="361" t="s">
        <v>570</v>
      </c>
      <c r="I25" s="27">
        <v>27753.67</v>
      </c>
      <c r="J25" s="14">
        <v>42413.279999999999</v>
      </c>
      <c r="K25" s="14">
        <f t="shared" si="2"/>
        <v>-14659.61</v>
      </c>
    </row>
    <row r="26" spans="1:14">
      <c r="A26" s="10">
        <f t="shared" si="0"/>
        <v>16</v>
      </c>
      <c r="C26" s="15" t="s">
        <v>579</v>
      </c>
      <c r="D26" s="10"/>
      <c r="E26" s="357">
        <v>40186</v>
      </c>
      <c r="F26" s="357">
        <v>52231</v>
      </c>
      <c r="G26" s="19">
        <v>2190438.65</v>
      </c>
      <c r="H26" s="358">
        <v>2.2859999999999998E-2</v>
      </c>
      <c r="I26" s="27">
        <f t="shared" ref="I26:I34" si="3">ROUND(G26*H26,2)</f>
        <v>50073.43</v>
      </c>
      <c r="J26" s="14">
        <v>51113.380000000005</v>
      </c>
      <c r="K26" s="14">
        <f t="shared" si="2"/>
        <v>-1039.9500000000044</v>
      </c>
      <c r="N26" s="358"/>
    </row>
    <row r="27" spans="1:14">
      <c r="A27" s="10">
        <f t="shared" si="0"/>
        <v>17</v>
      </c>
      <c r="C27" s="15" t="s">
        <v>580</v>
      </c>
      <c r="D27" s="10"/>
      <c r="E27" s="357">
        <v>40750</v>
      </c>
      <c r="F27" s="357">
        <v>52231</v>
      </c>
      <c r="G27" s="19">
        <v>3058320.93</v>
      </c>
      <c r="H27" s="358">
        <v>2.2859999999999998E-2</v>
      </c>
      <c r="I27" s="27">
        <f t="shared" si="3"/>
        <v>69913.22</v>
      </c>
      <c r="J27" s="14">
        <v>71365.200000000012</v>
      </c>
      <c r="K27" s="14">
        <f t="shared" si="2"/>
        <v>-1451.9800000000105</v>
      </c>
    </row>
    <row r="28" spans="1:14">
      <c r="A28" s="10">
        <f t="shared" si="0"/>
        <v>18</v>
      </c>
      <c r="C28" s="11" t="s">
        <v>581</v>
      </c>
      <c r="D28" s="10"/>
      <c r="E28" s="357">
        <v>41107</v>
      </c>
      <c r="F28" s="357">
        <v>52231</v>
      </c>
      <c r="G28" s="14">
        <v>1868463.03</v>
      </c>
      <c r="H28" s="358">
        <v>2.3769999999999999E-2</v>
      </c>
      <c r="I28" s="27">
        <f t="shared" si="3"/>
        <v>44413.37</v>
      </c>
      <c r="J28" s="14">
        <v>45325.05</v>
      </c>
      <c r="K28" s="14">
        <f t="shared" si="2"/>
        <v>-911.68000000000029</v>
      </c>
    </row>
    <row r="29" spans="1:14">
      <c r="A29" s="10">
        <f t="shared" si="0"/>
        <v>19</v>
      </c>
      <c r="C29" s="11" t="s">
        <v>582</v>
      </c>
      <c r="D29" s="10"/>
      <c r="E29" s="357">
        <v>41282</v>
      </c>
      <c r="F29" s="357">
        <v>17167</v>
      </c>
      <c r="G29" s="14">
        <v>2637861</v>
      </c>
      <c r="H29" s="358">
        <v>2.452E-2</v>
      </c>
      <c r="I29" s="27">
        <f t="shared" si="3"/>
        <v>64680.35</v>
      </c>
      <c r="J29" s="14">
        <v>65744.649999999994</v>
      </c>
      <c r="K29" s="14">
        <f t="shared" si="2"/>
        <v>-1064.2999999999956</v>
      </c>
    </row>
    <row r="30" spans="1:14">
      <c r="A30" s="10">
        <f t="shared" si="0"/>
        <v>20</v>
      </c>
      <c r="C30" s="11" t="s">
        <v>583</v>
      </c>
      <c r="D30" s="10"/>
      <c r="E30" s="357">
        <v>41438</v>
      </c>
      <c r="F30" s="357">
        <v>17167</v>
      </c>
      <c r="G30" s="14">
        <v>1670645.31</v>
      </c>
      <c r="H30" s="358">
        <v>2.452E-2</v>
      </c>
      <c r="I30" s="27">
        <f t="shared" si="3"/>
        <v>40964.22</v>
      </c>
      <c r="J30" s="14">
        <v>41638.28</v>
      </c>
      <c r="K30" s="14">
        <f t="shared" si="2"/>
        <v>-674.05999999999767</v>
      </c>
    </row>
    <row r="31" spans="1:14">
      <c r="A31" s="10">
        <f t="shared" si="0"/>
        <v>21</v>
      </c>
      <c r="C31" s="11" t="s">
        <v>584</v>
      </c>
      <c r="D31" s="10"/>
      <c r="E31" s="357">
        <v>41613</v>
      </c>
      <c r="F31" s="357">
        <v>17167</v>
      </c>
      <c r="G31" s="14">
        <v>1758573.87</v>
      </c>
      <c r="H31" s="358">
        <v>2.452E-2</v>
      </c>
      <c r="I31" s="27">
        <f t="shared" si="3"/>
        <v>43120.23</v>
      </c>
      <c r="J31" s="14">
        <v>43829.76999999999</v>
      </c>
      <c r="K31" s="14">
        <f t="shared" si="2"/>
        <v>-709.53999999998632</v>
      </c>
    </row>
    <row r="32" spans="1:14">
      <c r="A32" s="10">
        <f t="shared" si="0"/>
        <v>22</v>
      </c>
      <c r="C32" s="11" t="s">
        <v>585</v>
      </c>
      <c r="D32" s="10"/>
      <c r="E32" s="357">
        <v>41842</v>
      </c>
      <c r="F32" s="357">
        <v>17167</v>
      </c>
      <c r="G32" s="14">
        <v>2637971.12</v>
      </c>
      <c r="H32" s="358">
        <v>2.452E-2</v>
      </c>
      <c r="I32" s="27">
        <f t="shared" si="3"/>
        <v>64683.05</v>
      </c>
      <c r="J32" s="14">
        <v>65747.399999999994</v>
      </c>
      <c r="K32" s="14">
        <f t="shared" si="2"/>
        <v>-1064.3499999999913</v>
      </c>
    </row>
    <row r="33" spans="1:11">
      <c r="A33" s="10">
        <f t="shared" si="0"/>
        <v>23</v>
      </c>
      <c r="C33" s="11" t="s">
        <v>586</v>
      </c>
      <c r="D33" s="10"/>
      <c r="E33" s="357">
        <v>42258</v>
      </c>
      <c r="F33" s="357">
        <v>17167</v>
      </c>
      <c r="G33" s="14">
        <v>2727484.49</v>
      </c>
      <c r="H33" s="358">
        <v>2.8070000000000001E-2</v>
      </c>
      <c r="I33" s="27">
        <f t="shared" si="3"/>
        <v>76560.490000000005</v>
      </c>
      <c r="J33" s="14">
        <v>77753.39</v>
      </c>
      <c r="K33" s="14">
        <f t="shared" si="1"/>
        <v>-1192.8999999999942</v>
      </c>
    </row>
    <row r="34" spans="1:11">
      <c r="A34" s="10">
        <f t="shared" si="0"/>
        <v>24</v>
      </c>
      <c r="C34" s="11" t="s">
        <v>587</v>
      </c>
      <c r="D34" s="10"/>
      <c r="E34" s="357">
        <v>42332</v>
      </c>
      <c r="F34" s="357">
        <v>17167</v>
      </c>
      <c r="G34" s="14">
        <v>2555526.4300000002</v>
      </c>
      <c r="H34" s="358">
        <v>2.818E-2</v>
      </c>
      <c r="I34" s="27">
        <f t="shared" si="3"/>
        <v>72014.73</v>
      </c>
      <c r="J34" s="14">
        <v>73134.87999999999</v>
      </c>
      <c r="K34" s="14">
        <f t="shared" si="1"/>
        <v>-1120.1499999999942</v>
      </c>
    </row>
    <row r="35" spans="1:11">
      <c r="A35" s="10">
        <f t="shared" si="0"/>
        <v>25</v>
      </c>
      <c r="C35" s="11" t="s">
        <v>588</v>
      </c>
      <c r="D35" s="10" t="s">
        <v>128</v>
      </c>
      <c r="E35" s="357">
        <v>42650</v>
      </c>
      <c r="F35" s="357">
        <v>44012</v>
      </c>
      <c r="G35" s="14">
        <v>1101037.8600000001</v>
      </c>
      <c r="H35" s="361" t="s">
        <v>570</v>
      </c>
      <c r="I35" s="27">
        <v>16942.36</v>
      </c>
      <c r="J35" s="14">
        <v>25828.86</v>
      </c>
      <c r="K35" s="14">
        <f t="shared" si="1"/>
        <v>-8886.5</v>
      </c>
    </row>
    <row r="36" spans="1:11">
      <c r="A36" s="10">
        <f t="shared" si="0"/>
        <v>26</v>
      </c>
      <c r="C36" s="15" t="s">
        <v>589</v>
      </c>
      <c r="D36" s="10"/>
      <c r="E36" s="357">
        <v>43508</v>
      </c>
      <c r="F36" s="357">
        <v>55154</v>
      </c>
      <c r="G36" s="14">
        <v>3941400.08</v>
      </c>
      <c r="H36" s="358">
        <v>2.9899999999999999E-2</v>
      </c>
      <c r="I36" s="27">
        <f>ROUND(G36*H36,2)</f>
        <v>117847.86</v>
      </c>
      <c r="J36" s="14">
        <v>105069.85999999999</v>
      </c>
      <c r="K36" s="14">
        <f t="shared" si="1"/>
        <v>12778.000000000015</v>
      </c>
    </row>
    <row r="37" spans="1:11">
      <c r="A37" s="10">
        <f t="shared" si="0"/>
        <v>27</v>
      </c>
      <c r="C37" s="15" t="s">
        <v>590</v>
      </c>
      <c r="D37" s="10"/>
      <c r="E37" s="357">
        <v>43831</v>
      </c>
      <c r="F37" s="357">
        <v>44012</v>
      </c>
      <c r="G37" s="14">
        <v>3000000</v>
      </c>
      <c r="H37" s="362">
        <v>1.6879999999999999E-2</v>
      </c>
      <c r="I37" s="27">
        <f>ROUND(G37*H37,2)</f>
        <v>50640</v>
      </c>
      <c r="J37" s="14">
        <v>0</v>
      </c>
      <c r="K37" s="14">
        <f t="shared" si="1"/>
        <v>50640</v>
      </c>
    </row>
    <row r="38" spans="1:11">
      <c r="A38" s="10">
        <f t="shared" si="0"/>
        <v>28</v>
      </c>
      <c r="C38" s="15" t="s">
        <v>591</v>
      </c>
      <c r="D38" s="10"/>
      <c r="E38" s="357">
        <v>43922</v>
      </c>
      <c r="F38" s="357">
        <v>44012</v>
      </c>
      <c r="G38" s="14">
        <v>4000000</v>
      </c>
      <c r="H38" s="358">
        <v>1.48E-3</v>
      </c>
      <c r="I38" s="27">
        <f>ROUND(G38*H38,2)*(9/12)</f>
        <v>4440</v>
      </c>
      <c r="J38" s="14">
        <v>0</v>
      </c>
      <c r="K38" s="14">
        <f t="shared" si="1"/>
        <v>4440</v>
      </c>
    </row>
    <row r="39" spans="1:11">
      <c r="A39" s="10">
        <f t="shared" si="0"/>
        <v>29</v>
      </c>
      <c r="C39" s="15"/>
      <c r="D39" s="15"/>
      <c r="E39" s="357"/>
      <c r="F39" s="357"/>
      <c r="G39" s="17">
        <f>SUM(G17:G38)</f>
        <v>48764804.239999995</v>
      </c>
      <c r="H39" s="358"/>
      <c r="I39" s="17">
        <f>SUM(I17:I38)</f>
        <v>957717.82</v>
      </c>
      <c r="J39" s="17">
        <f>SUM(J17:J38)</f>
        <v>1037084.91</v>
      </c>
      <c r="K39" s="17">
        <f>I39-J39</f>
        <v>-79367.090000000084</v>
      </c>
    </row>
    <row r="40" spans="1:11">
      <c r="A40" s="10">
        <f t="shared" si="0"/>
        <v>30</v>
      </c>
      <c r="C40" s="41" t="s">
        <v>592</v>
      </c>
      <c r="D40" s="41"/>
      <c r="E40" s="204"/>
      <c r="F40" s="357"/>
      <c r="G40" s="14"/>
      <c r="H40" s="358"/>
      <c r="J40" s="14"/>
      <c r="K40" s="14"/>
    </row>
    <row r="41" spans="1:11">
      <c r="A41" s="10">
        <f t="shared" si="0"/>
        <v>31</v>
      </c>
      <c r="C41" s="15">
        <v>2684885</v>
      </c>
      <c r="D41" s="15"/>
      <c r="E41" s="357">
        <v>41333</v>
      </c>
      <c r="F41" s="357">
        <v>47969</v>
      </c>
      <c r="G41" s="14">
        <v>1149668.5900000001</v>
      </c>
      <c r="H41" s="358">
        <v>3.6799999999999999E-2</v>
      </c>
      <c r="I41" s="27">
        <f>ROUND(G41*H41,2)</f>
        <v>42307.8</v>
      </c>
      <c r="J41" s="14">
        <v>44646.200000000004</v>
      </c>
      <c r="K41" s="14">
        <f t="shared" si="1"/>
        <v>-2338.4000000000015</v>
      </c>
    </row>
    <row r="42" spans="1:11">
      <c r="A42" s="10">
        <f t="shared" si="0"/>
        <v>32</v>
      </c>
      <c r="C42" s="15">
        <v>2684924</v>
      </c>
      <c r="D42" s="15"/>
      <c r="E42" s="357">
        <v>41333</v>
      </c>
      <c r="F42" s="357">
        <v>44593</v>
      </c>
      <c r="G42" s="14">
        <v>190284</v>
      </c>
      <c r="H42" s="358">
        <v>2.5899999999999999E-2</v>
      </c>
      <c r="I42" s="27">
        <f>ROUND(G42*H42,2)</f>
        <v>4928.3599999999997</v>
      </c>
      <c r="J42" s="14">
        <v>6300.05</v>
      </c>
      <c r="K42" s="14">
        <f t="shared" si="1"/>
        <v>-1371.6900000000005</v>
      </c>
    </row>
    <row r="43" spans="1:11">
      <c r="A43" s="10">
        <f t="shared" si="0"/>
        <v>33</v>
      </c>
      <c r="C43" s="15">
        <v>2684943</v>
      </c>
      <c r="D43" s="15"/>
      <c r="E43" s="357">
        <v>41333</v>
      </c>
      <c r="F43" s="357">
        <v>44136</v>
      </c>
      <c r="G43" s="14">
        <v>37599.050000000003</v>
      </c>
      <c r="H43" s="358">
        <v>2.41E-2</v>
      </c>
      <c r="I43" s="27">
        <f>ROUND(G43*H43,2)</f>
        <v>906.14</v>
      </c>
      <c r="J43" s="14">
        <v>1495.2500000000002</v>
      </c>
      <c r="K43" s="14">
        <f t="shared" si="1"/>
        <v>-589.11000000000024</v>
      </c>
    </row>
    <row r="44" spans="1:11">
      <c r="A44" s="10">
        <f t="shared" si="0"/>
        <v>34</v>
      </c>
      <c r="C44" s="15">
        <v>3160644</v>
      </c>
      <c r="D44" s="15"/>
      <c r="E44" s="357">
        <v>43395</v>
      </c>
      <c r="F44" s="357">
        <v>48144</v>
      </c>
      <c r="G44" s="14">
        <v>1885111.68</v>
      </c>
      <c r="H44" s="358">
        <v>4.2900000000000001E-2</v>
      </c>
      <c r="I44" s="27">
        <f>ROUND(G44*H44,2)</f>
        <v>80871.289999999994</v>
      </c>
      <c r="J44" s="14">
        <v>85055.35</v>
      </c>
      <c r="K44" s="14">
        <f t="shared" si="1"/>
        <v>-4184.0600000000122</v>
      </c>
    </row>
    <row r="45" spans="1:11">
      <c r="A45" s="10">
        <f t="shared" si="0"/>
        <v>35</v>
      </c>
      <c r="C45" s="15"/>
      <c r="D45" s="15"/>
      <c r="E45" s="357"/>
      <c r="F45" s="357"/>
      <c r="G45" s="17">
        <f>SUM(G41:G44)</f>
        <v>3262663.3200000003</v>
      </c>
      <c r="H45" s="358"/>
      <c r="I45" s="17">
        <f>SUM(I41:I44)</f>
        <v>129013.59</v>
      </c>
      <c r="J45" s="17">
        <f>SUM(J41:J44)</f>
        <v>137496.85</v>
      </c>
      <c r="K45" s="17">
        <f>I45-J45</f>
        <v>-8483.2600000000093</v>
      </c>
    </row>
    <row r="46" spans="1:11">
      <c r="A46" s="10">
        <f t="shared" si="0"/>
        <v>36</v>
      </c>
      <c r="C46" s="41" t="s">
        <v>593</v>
      </c>
      <c r="D46" s="41"/>
      <c r="E46" s="204"/>
      <c r="F46" s="357"/>
      <c r="G46" s="14"/>
      <c r="H46" s="358"/>
      <c r="J46" s="14"/>
      <c r="K46" s="14"/>
    </row>
    <row r="47" spans="1:11">
      <c r="A47" s="10">
        <f t="shared" si="0"/>
        <v>37</v>
      </c>
      <c r="C47" s="15">
        <v>2009</v>
      </c>
      <c r="D47" s="15"/>
      <c r="E47" s="357">
        <v>40483</v>
      </c>
      <c r="F47" s="357">
        <v>43678</v>
      </c>
      <c r="G47" s="14">
        <v>0</v>
      </c>
      <c r="H47" s="358">
        <v>0.04</v>
      </c>
      <c r="I47" s="27">
        <f>ROUND(G47*H47,2)</f>
        <v>0</v>
      </c>
      <c r="J47" s="14">
        <v>2926.35</v>
      </c>
      <c r="K47" s="14">
        <f t="shared" si="1"/>
        <v>-2926.35</v>
      </c>
    </row>
    <row r="48" spans="1:11">
      <c r="A48" s="10">
        <f t="shared" si="0"/>
        <v>38</v>
      </c>
      <c r="C48" s="15">
        <v>2010</v>
      </c>
      <c r="D48" s="15"/>
      <c r="E48" s="357">
        <v>40483</v>
      </c>
      <c r="F48" s="357">
        <v>44044</v>
      </c>
      <c r="G48" s="14">
        <v>199055</v>
      </c>
      <c r="H48" s="358">
        <v>4.1500000000000002E-2</v>
      </c>
      <c r="I48" s="27">
        <f>ROUND(G48*H48,2)</f>
        <v>8260.7800000000007</v>
      </c>
      <c r="J48" s="14">
        <v>10958</v>
      </c>
      <c r="K48" s="14">
        <f t="shared" si="1"/>
        <v>-2697.2199999999993</v>
      </c>
    </row>
    <row r="49" spans="1:11">
      <c r="A49" s="10">
        <f t="shared" si="0"/>
        <v>39</v>
      </c>
      <c r="C49" s="15">
        <v>2011</v>
      </c>
      <c r="D49" s="15"/>
      <c r="E49" s="357">
        <v>40483</v>
      </c>
      <c r="F49" s="357">
        <v>44409</v>
      </c>
      <c r="G49" s="14">
        <v>211859.16</v>
      </c>
      <c r="H49" s="358">
        <v>4.2000000000000003E-2</v>
      </c>
      <c r="I49" s="27">
        <f>ROUND(G49*H49,2)</f>
        <v>8898.08</v>
      </c>
      <c r="J49" s="14">
        <v>8898.08</v>
      </c>
      <c r="K49" s="14">
        <f t="shared" si="1"/>
        <v>0</v>
      </c>
    </row>
    <row r="50" spans="1:11">
      <c r="A50" s="10">
        <f t="shared" si="0"/>
        <v>40</v>
      </c>
      <c r="C50" s="15">
        <v>2012</v>
      </c>
      <c r="D50" s="15"/>
      <c r="E50" s="357">
        <v>40483</v>
      </c>
      <c r="F50" s="357">
        <v>44774</v>
      </c>
      <c r="G50" s="14">
        <v>164699.46</v>
      </c>
      <c r="H50" s="358">
        <v>4.2999999999999997E-2</v>
      </c>
      <c r="I50" s="27">
        <f>ROUND(G50*H50,2)</f>
        <v>7082.08</v>
      </c>
      <c r="J50" s="14">
        <v>7082.08</v>
      </c>
      <c r="K50" s="14">
        <f t="shared" si="1"/>
        <v>0</v>
      </c>
    </row>
    <row r="51" spans="1:11">
      <c r="A51" s="10">
        <f t="shared" si="0"/>
        <v>41</v>
      </c>
      <c r="C51" s="15"/>
      <c r="D51" s="15"/>
      <c r="E51" s="204"/>
      <c r="F51" s="14"/>
      <c r="G51" s="17">
        <f>SUM(G47:G50)</f>
        <v>575613.62</v>
      </c>
      <c r="H51" s="358"/>
      <c r="I51" s="17">
        <f>SUM(I47:I50)</f>
        <v>24240.940000000002</v>
      </c>
      <c r="J51" s="17">
        <f>SUM(J47:J50)</f>
        <v>29864.510000000002</v>
      </c>
      <c r="K51" s="17">
        <f>I51-J51</f>
        <v>-5623.57</v>
      </c>
    </row>
    <row r="52" spans="1:11">
      <c r="A52" s="10">
        <f t="shared" si="0"/>
        <v>42</v>
      </c>
      <c r="C52" s="15"/>
      <c r="D52" s="15"/>
      <c r="E52" s="204"/>
      <c r="F52" s="14"/>
      <c r="G52" s="17"/>
      <c r="H52" s="358"/>
      <c r="I52" s="17"/>
      <c r="J52" s="17"/>
      <c r="K52" s="17"/>
    </row>
    <row r="53" spans="1:11">
      <c r="A53" s="10">
        <f t="shared" si="0"/>
        <v>43</v>
      </c>
      <c r="C53" s="41" t="s">
        <v>594</v>
      </c>
      <c r="D53" s="41"/>
      <c r="E53" s="204"/>
      <c r="F53" s="14"/>
      <c r="G53" s="19"/>
      <c r="H53" s="363"/>
      <c r="I53" s="19"/>
      <c r="J53" s="19"/>
      <c r="K53" s="19"/>
    </row>
    <row r="54" spans="1:11">
      <c r="A54" s="10">
        <f t="shared" si="0"/>
        <v>44</v>
      </c>
      <c r="C54" s="15" t="s">
        <v>595</v>
      </c>
      <c r="D54" s="15"/>
      <c r="E54" s="357">
        <v>43971</v>
      </c>
      <c r="F54" s="357">
        <v>44701</v>
      </c>
      <c r="G54" s="14">
        <v>1119202</v>
      </c>
      <c r="H54" s="358">
        <v>0.01</v>
      </c>
      <c r="I54" s="27">
        <f>ROUND(G54*H54,2)*(8/12)</f>
        <v>7461.3466666666664</v>
      </c>
      <c r="J54" s="14">
        <v>0</v>
      </c>
      <c r="K54" s="14">
        <f t="shared" ref="K54" si="4">I54-J54</f>
        <v>7461.3466666666664</v>
      </c>
    </row>
    <row r="55" spans="1:11">
      <c r="A55" s="10">
        <f t="shared" si="0"/>
        <v>45</v>
      </c>
      <c r="C55" s="15"/>
      <c r="D55" s="15"/>
      <c r="E55" s="204"/>
      <c r="F55" s="14"/>
      <c r="G55" s="19"/>
      <c r="H55" s="363"/>
      <c r="I55" s="19"/>
      <c r="J55" s="19"/>
      <c r="K55" s="19"/>
    </row>
    <row r="56" spans="1:11">
      <c r="A56" s="10">
        <f t="shared" si="0"/>
        <v>46</v>
      </c>
      <c r="C56" s="15"/>
      <c r="D56" s="15"/>
      <c r="E56" s="204"/>
      <c r="F56" s="14"/>
      <c r="G56" s="19"/>
      <c r="H56" s="358"/>
      <c r="I56" s="19"/>
      <c r="J56" s="19"/>
      <c r="K56" s="19"/>
    </row>
    <row r="57" spans="1:11" ht="13.8" thickBot="1">
      <c r="A57" s="10">
        <f t="shared" si="0"/>
        <v>47</v>
      </c>
      <c r="C57" s="15" t="s">
        <v>596</v>
      </c>
      <c r="D57" s="15"/>
      <c r="E57" s="204"/>
      <c r="F57" s="14"/>
      <c r="G57" s="23">
        <f>G14+G39+G45+G51+G54</f>
        <v>52665807.479999989</v>
      </c>
      <c r="H57" s="14"/>
      <c r="I57" s="23">
        <f>I14+I39+I45+I51+I54</f>
        <v>1128331.2566666666</v>
      </c>
      <c r="J57" s="23">
        <f>J14+J39+J45+J51+J54</f>
        <v>1216523.3500000001</v>
      </c>
      <c r="K57" s="23">
        <f>I57-J57</f>
        <v>-88192.093333333498</v>
      </c>
    </row>
    <row r="58" spans="1:11" ht="13.8" thickTop="1">
      <c r="A58" s="10">
        <f t="shared" si="0"/>
        <v>48</v>
      </c>
      <c r="C58" s="15"/>
      <c r="D58" s="15"/>
      <c r="E58" s="204"/>
      <c r="F58" s="14"/>
      <c r="G58" s="14"/>
      <c r="H58" s="14"/>
    </row>
    <row r="59" spans="1:11">
      <c r="A59" s="10">
        <f t="shared" si="0"/>
        <v>49</v>
      </c>
      <c r="C59" s="15" t="s">
        <v>597</v>
      </c>
      <c r="D59" s="15"/>
      <c r="E59" s="204"/>
      <c r="F59" s="14"/>
      <c r="G59" s="14"/>
      <c r="H59" s="14"/>
      <c r="I59" s="358">
        <f>I57/G57</f>
        <v>2.1424360712501256E-2</v>
      </c>
      <c r="J59" s="358">
        <f>J57/G57</f>
        <v>2.3098921448455503E-2</v>
      </c>
      <c r="K59" s="358"/>
    </row>
    <row r="60" spans="1:11">
      <c r="A60" s="10">
        <f t="shared" si="0"/>
        <v>50</v>
      </c>
      <c r="C60" s="15"/>
      <c r="D60" s="15"/>
      <c r="E60" s="204"/>
      <c r="F60" s="14"/>
      <c r="G60" s="14"/>
      <c r="H60" s="14"/>
    </row>
    <row r="61" spans="1:11">
      <c r="A61" s="10">
        <f t="shared" si="0"/>
        <v>51</v>
      </c>
      <c r="C61" s="15"/>
      <c r="D61" s="15"/>
      <c r="E61" s="204"/>
      <c r="F61" s="14"/>
      <c r="G61" s="14"/>
    </row>
    <row r="62" spans="1:11" ht="13.8" thickBot="1">
      <c r="A62" s="10">
        <f t="shared" si="0"/>
        <v>52</v>
      </c>
      <c r="C62" s="364" t="s">
        <v>598</v>
      </c>
      <c r="D62" s="364"/>
      <c r="E62" s="262"/>
      <c r="F62" s="23"/>
      <c r="G62" s="23"/>
      <c r="H62" s="23"/>
      <c r="I62" s="21"/>
      <c r="J62" s="21"/>
      <c r="K62" s="22">
        <f>K57</f>
        <v>-88192.093333333498</v>
      </c>
    </row>
    <row r="63" spans="1:11" ht="13.8" thickTop="1">
      <c r="A63" s="10"/>
      <c r="C63" s="15"/>
      <c r="D63" s="15"/>
      <c r="E63" s="204"/>
      <c r="F63" s="14"/>
      <c r="G63" s="14"/>
      <c r="H63" s="14"/>
    </row>
    <row r="64" spans="1:11">
      <c r="A64" s="10"/>
      <c r="C64" s="202" t="s">
        <v>499</v>
      </c>
      <c r="D64" s="15"/>
      <c r="E64" s="204" t="s">
        <v>128</v>
      </c>
      <c r="F64" s="14" t="s">
        <v>599</v>
      </c>
      <c r="G64" s="14"/>
      <c r="H64" s="14"/>
    </row>
    <row r="65" spans="1:11">
      <c r="A65" s="10"/>
      <c r="C65" s="202"/>
      <c r="D65" s="15"/>
      <c r="E65" s="204"/>
      <c r="F65" s="14" t="s">
        <v>600</v>
      </c>
      <c r="G65" s="14"/>
      <c r="H65" s="14"/>
    </row>
    <row r="66" spans="1:11" ht="15" customHeight="1"/>
    <row r="67" spans="1:11" ht="49.5" customHeight="1">
      <c r="C67" s="467" t="s">
        <v>601</v>
      </c>
      <c r="D67" s="467"/>
      <c r="E67" s="467"/>
      <c r="F67" s="467"/>
      <c r="G67" s="467"/>
      <c r="H67" s="467"/>
      <c r="I67" s="467"/>
      <c r="J67" s="467"/>
      <c r="K67" s="467"/>
    </row>
  </sheetData>
  <mergeCells count="4">
    <mergeCell ref="A3:K3"/>
    <mergeCell ref="A4:K4"/>
    <mergeCell ref="A6:K6"/>
    <mergeCell ref="C67:K67"/>
  </mergeCells>
  <printOptions horizontalCentered="1"/>
  <pageMargins left="1" right="0.75" top="0.75" bottom="0.5" header="0.5" footer="0.5"/>
  <pageSetup scale="72" orientation="portrait" r:id="rId1"/>
  <headerFooter alignWithMargins="0">
    <oddFooter>&amp;RExhibit JW-2
Page &amp;P of &amp;N</oddFooter>
  </headerFooter>
  <ignoredErrors>
    <ignoredError sqref="C9:K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8"/>
  <sheetViews>
    <sheetView view="pageBreakPreview" zoomScale="75" zoomScaleNormal="75" zoomScaleSheetLayoutView="75" workbookViewId="0">
      <selection activeCell="C43" sqref="C43"/>
    </sheetView>
  </sheetViews>
  <sheetFormatPr defaultColWidth="9.109375" defaultRowHeight="13.2"/>
  <cols>
    <col min="1" max="1" width="9.109375" style="11"/>
    <col min="2" max="2" width="11.5546875" style="11" customWidth="1"/>
    <col min="3" max="3" width="5.6640625" style="11" customWidth="1"/>
    <col min="4" max="4" width="14.5546875" style="11" customWidth="1"/>
    <col min="5" max="5" width="19.44140625" style="11" customWidth="1"/>
    <col min="6" max="9" width="16.88671875" style="11" customWidth="1"/>
    <col min="10" max="10" width="9.109375" style="11"/>
    <col min="11" max="11" width="11.33203125" style="11" bestFit="1" customWidth="1"/>
    <col min="12" max="12" width="9.109375" style="11"/>
    <col min="13" max="13" width="11.33203125" style="11" bestFit="1" customWidth="1"/>
    <col min="14" max="16384" width="9.109375" style="11"/>
  </cols>
  <sheetData>
    <row r="1" spans="1:16" ht="15" customHeight="1">
      <c r="H1" s="6"/>
      <c r="I1" s="6" t="s">
        <v>296</v>
      </c>
    </row>
    <row r="2" spans="1:16" ht="20.25" customHeight="1">
      <c r="H2" s="6"/>
      <c r="I2" s="6"/>
    </row>
    <row r="3" spans="1:16">
      <c r="H3" s="6"/>
      <c r="I3" s="6"/>
    </row>
    <row r="4" spans="1:16">
      <c r="B4" s="465" t="str">
        <f>RevReq!A1</f>
        <v>CUMBERLAND VALLEY ELECTRIC</v>
      </c>
      <c r="C4" s="465"/>
      <c r="D4" s="465"/>
      <c r="E4" s="465"/>
      <c r="F4" s="465"/>
      <c r="G4" s="465"/>
      <c r="H4" s="465"/>
      <c r="I4" s="465"/>
      <c r="J4" s="152"/>
      <c r="K4" s="152"/>
      <c r="L4" s="152"/>
      <c r="M4" s="152"/>
      <c r="N4" s="152"/>
      <c r="O4" s="152"/>
      <c r="P4" s="152"/>
    </row>
    <row r="5" spans="1:16">
      <c r="B5" s="465" t="str">
        <f>RevReq!A3</f>
        <v>For the 12 Months Ended December 31, 2019</v>
      </c>
      <c r="C5" s="465"/>
      <c r="D5" s="465"/>
      <c r="E5" s="465"/>
      <c r="F5" s="465"/>
      <c r="G5" s="465"/>
      <c r="H5" s="465"/>
      <c r="I5" s="465"/>
      <c r="J5" s="152"/>
      <c r="K5" s="152"/>
      <c r="L5" s="152"/>
      <c r="M5" s="152"/>
    </row>
    <row r="7" spans="1:16" s="7" customFormat="1" ht="15" customHeight="1">
      <c r="B7" s="466" t="s">
        <v>268</v>
      </c>
      <c r="C7" s="466"/>
      <c r="D7" s="466"/>
      <c r="E7" s="466"/>
      <c r="F7" s="466"/>
      <c r="G7" s="466"/>
      <c r="H7" s="466"/>
      <c r="I7" s="466"/>
      <c r="J7" s="182"/>
      <c r="K7" s="182"/>
      <c r="L7" s="182"/>
      <c r="M7" s="182"/>
    </row>
    <row r="9" spans="1:16">
      <c r="B9" s="186" t="s">
        <v>128</v>
      </c>
      <c r="C9" s="186" t="s">
        <v>129</v>
      </c>
      <c r="D9" s="186" t="s">
        <v>246</v>
      </c>
      <c r="E9" s="186" t="s">
        <v>269</v>
      </c>
      <c r="F9" s="186" t="s">
        <v>247</v>
      </c>
      <c r="G9" s="186" t="s">
        <v>248</v>
      </c>
      <c r="H9" s="186" t="s">
        <v>249</v>
      </c>
      <c r="I9" s="206" t="s">
        <v>642</v>
      </c>
    </row>
    <row r="10" spans="1:16">
      <c r="A10" s="208"/>
      <c r="B10" s="186"/>
      <c r="C10" s="206"/>
      <c r="D10" s="186"/>
      <c r="E10" s="187"/>
      <c r="F10" s="187"/>
      <c r="G10" s="187"/>
      <c r="H10" s="187" t="s">
        <v>643</v>
      </c>
      <c r="I10" s="187" t="s">
        <v>644</v>
      </c>
      <c r="J10" s="187"/>
    </row>
    <row r="11" spans="1:16" ht="31.5" customHeight="1">
      <c r="A11" s="179" t="s">
        <v>659</v>
      </c>
      <c r="B11" s="179" t="s">
        <v>263</v>
      </c>
      <c r="C11" s="179" t="s">
        <v>264</v>
      </c>
      <c r="D11" s="188" t="s">
        <v>270</v>
      </c>
      <c r="E11" s="188" t="s">
        <v>271</v>
      </c>
      <c r="F11" s="188" t="s">
        <v>272</v>
      </c>
      <c r="G11" s="188" t="s">
        <v>273</v>
      </c>
      <c r="H11" s="188" t="s">
        <v>638</v>
      </c>
      <c r="I11" s="188" t="s">
        <v>274</v>
      </c>
      <c r="J11" s="187"/>
    </row>
    <row r="12" spans="1:16">
      <c r="A12" s="204">
        <v>1</v>
      </c>
      <c r="B12" s="378">
        <v>1201</v>
      </c>
      <c r="C12" s="378"/>
      <c r="D12" s="180">
        <v>1578.4799999999998</v>
      </c>
      <c r="E12" s="170">
        <v>57.08</v>
      </c>
      <c r="F12" s="189">
        <f>+E12*2080</f>
        <v>118726.39999999999</v>
      </c>
      <c r="G12" s="180">
        <f>IF(F12&gt;50000,50000,F12)</f>
        <v>50000</v>
      </c>
      <c r="H12" s="180">
        <f>+F12*3</f>
        <v>356179.19999999995</v>
      </c>
      <c r="I12" s="190">
        <f>((H12-G12)/H12)*D12</f>
        <v>1356.8949102474257</v>
      </c>
      <c r="J12" s="28"/>
      <c r="K12" s="189"/>
      <c r="M12" s="189"/>
    </row>
    <row r="13" spans="1:16">
      <c r="A13" s="388">
        <f>A12+1</f>
        <v>2</v>
      </c>
      <c r="B13" s="378">
        <v>1202</v>
      </c>
      <c r="C13" s="378"/>
      <c r="D13" s="180">
        <v>898.08000000000027</v>
      </c>
      <c r="E13" s="170">
        <v>32.340000000000003</v>
      </c>
      <c r="F13" s="189">
        <f t="shared" ref="F13:F64" si="0">+E13*2080</f>
        <v>67267.200000000012</v>
      </c>
      <c r="G13" s="180">
        <f t="shared" ref="G13:G64" si="1">IF(F13&gt;50000,50000,F13)</f>
        <v>50000</v>
      </c>
      <c r="H13" s="180">
        <f>+F13*3</f>
        <v>201801.60000000003</v>
      </c>
      <c r="I13" s="190">
        <f t="shared" ref="I13:I60" si="2">((H13-G13)/H13)*D13</f>
        <v>675.56442034156339</v>
      </c>
      <c r="J13" s="28"/>
      <c r="K13" s="189"/>
      <c r="M13" s="189"/>
    </row>
    <row r="14" spans="1:16">
      <c r="A14" s="388">
        <f t="shared" ref="A14:A67" si="3">A13+1</f>
        <v>3</v>
      </c>
      <c r="B14" s="378">
        <v>1203</v>
      </c>
      <c r="C14" s="378"/>
      <c r="D14" s="180">
        <v>666.84000000000015</v>
      </c>
      <c r="E14" s="170">
        <v>23.83</v>
      </c>
      <c r="F14" s="189">
        <f t="shared" si="0"/>
        <v>49566.399999999994</v>
      </c>
      <c r="G14" s="180">
        <f t="shared" si="1"/>
        <v>49566.399999999994</v>
      </c>
      <c r="H14" s="180">
        <f t="shared" ref="H14:H64" si="4">+F14*3</f>
        <v>148699.19999999998</v>
      </c>
      <c r="I14" s="190">
        <f t="shared" si="2"/>
        <v>444.56000000000006</v>
      </c>
      <c r="J14" s="28"/>
      <c r="K14" s="189"/>
      <c r="M14" s="189"/>
    </row>
    <row r="15" spans="1:16">
      <c r="A15" s="388">
        <f t="shared" si="3"/>
        <v>4</v>
      </c>
      <c r="B15" s="378">
        <v>1204</v>
      </c>
      <c r="C15" s="378"/>
      <c r="D15" s="180">
        <v>898.08000000000027</v>
      </c>
      <c r="E15" s="170">
        <v>32.340000000000003</v>
      </c>
      <c r="F15" s="189">
        <f t="shared" si="0"/>
        <v>67267.200000000012</v>
      </c>
      <c r="G15" s="180">
        <f t="shared" si="1"/>
        <v>50000</v>
      </c>
      <c r="H15" s="180">
        <f t="shared" si="4"/>
        <v>201801.60000000003</v>
      </c>
      <c r="I15" s="190">
        <f t="shared" si="2"/>
        <v>675.56442034156339</v>
      </c>
      <c r="J15" s="28"/>
      <c r="K15" s="189"/>
      <c r="M15" s="189"/>
    </row>
    <row r="16" spans="1:16">
      <c r="A16" s="388">
        <f t="shared" si="3"/>
        <v>5</v>
      </c>
      <c r="B16" s="378">
        <v>1205</v>
      </c>
      <c r="C16" s="378"/>
      <c r="D16" s="180">
        <v>898.08000000000027</v>
      </c>
      <c r="E16" s="170">
        <v>32.340000000000003</v>
      </c>
      <c r="F16" s="189">
        <f t="shared" si="0"/>
        <v>67267.200000000012</v>
      </c>
      <c r="G16" s="180">
        <f t="shared" si="1"/>
        <v>50000</v>
      </c>
      <c r="H16" s="180">
        <f t="shared" si="4"/>
        <v>201801.60000000003</v>
      </c>
      <c r="I16" s="190">
        <f t="shared" si="2"/>
        <v>675.56442034156339</v>
      </c>
      <c r="J16" s="28"/>
      <c r="K16" s="189"/>
      <c r="M16" s="189"/>
    </row>
    <row r="17" spans="1:13">
      <c r="A17" s="388">
        <f t="shared" si="3"/>
        <v>6</v>
      </c>
      <c r="B17" s="378">
        <v>1206</v>
      </c>
      <c r="C17" s="378"/>
      <c r="D17" s="180">
        <v>612.3599999999999</v>
      </c>
      <c r="E17" s="170">
        <v>22.12</v>
      </c>
      <c r="F17" s="189">
        <f t="shared" si="0"/>
        <v>46009.599999999999</v>
      </c>
      <c r="G17" s="180">
        <f t="shared" si="1"/>
        <v>46009.599999999999</v>
      </c>
      <c r="H17" s="180">
        <f t="shared" si="4"/>
        <v>138028.79999999999</v>
      </c>
      <c r="I17" s="190">
        <f t="shared" si="2"/>
        <v>408.2399999999999</v>
      </c>
      <c r="J17" s="28"/>
      <c r="K17" s="189"/>
      <c r="M17" s="189"/>
    </row>
    <row r="18" spans="1:13">
      <c r="A18" s="388">
        <f t="shared" si="3"/>
        <v>7</v>
      </c>
      <c r="B18" s="378">
        <v>1207</v>
      </c>
      <c r="C18" s="378"/>
      <c r="D18" s="180">
        <v>898.08000000000027</v>
      </c>
      <c r="E18" s="170">
        <v>32.1</v>
      </c>
      <c r="F18" s="189">
        <f t="shared" si="0"/>
        <v>66768</v>
      </c>
      <c r="G18" s="180">
        <f t="shared" si="1"/>
        <v>50000</v>
      </c>
      <c r="H18" s="180">
        <f t="shared" si="4"/>
        <v>200304</v>
      </c>
      <c r="I18" s="190">
        <f t="shared" si="2"/>
        <v>673.90075245626667</v>
      </c>
      <c r="J18" s="28"/>
      <c r="K18" s="189"/>
      <c r="M18" s="189"/>
    </row>
    <row r="19" spans="1:13">
      <c r="A19" s="388">
        <f t="shared" si="3"/>
        <v>8</v>
      </c>
      <c r="B19" s="378">
        <v>1208</v>
      </c>
      <c r="C19" s="378"/>
      <c r="D19" s="180">
        <v>666.84000000000015</v>
      </c>
      <c r="E19" s="170">
        <v>23.83</v>
      </c>
      <c r="F19" s="189">
        <f t="shared" si="0"/>
        <v>49566.399999999994</v>
      </c>
      <c r="G19" s="180">
        <f t="shared" si="1"/>
        <v>49566.399999999994</v>
      </c>
      <c r="H19" s="180">
        <f t="shared" si="4"/>
        <v>148699.19999999998</v>
      </c>
      <c r="I19" s="190">
        <f t="shared" si="2"/>
        <v>444.56000000000006</v>
      </c>
      <c r="J19" s="28"/>
      <c r="K19" s="189"/>
      <c r="M19" s="189"/>
    </row>
    <row r="20" spans="1:13">
      <c r="A20" s="388">
        <f t="shared" si="3"/>
        <v>9</v>
      </c>
      <c r="B20" s="378">
        <v>1209</v>
      </c>
      <c r="C20" s="378"/>
      <c r="D20" s="180">
        <v>666.84000000000015</v>
      </c>
      <c r="E20" s="170">
        <v>23.83</v>
      </c>
      <c r="F20" s="189">
        <f t="shared" si="0"/>
        <v>49566.399999999994</v>
      </c>
      <c r="G20" s="180">
        <f t="shared" si="1"/>
        <v>49566.399999999994</v>
      </c>
      <c r="H20" s="180">
        <f t="shared" si="4"/>
        <v>148699.19999999998</v>
      </c>
      <c r="I20" s="190">
        <f t="shared" si="2"/>
        <v>444.56000000000006</v>
      </c>
      <c r="J20" s="28"/>
      <c r="K20" s="189"/>
      <c r="M20" s="189"/>
    </row>
    <row r="21" spans="1:13">
      <c r="A21" s="388">
        <f t="shared" si="3"/>
        <v>10</v>
      </c>
      <c r="B21" s="378">
        <v>1210</v>
      </c>
      <c r="C21" s="378"/>
      <c r="D21" s="180">
        <v>666.84000000000015</v>
      </c>
      <c r="E21" s="170">
        <v>23.83</v>
      </c>
      <c r="F21" s="189">
        <f t="shared" si="0"/>
        <v>49566.399999999994</v>
      </c>
      <c r="G21" s="180">
        <f t="shared" si="1"/>
        <v>49566.399999999994</v>
      </c>
      <c r="H21" s="180">
        <f t="shared" si="4"/>
        <v>148699.19999999998</v>
      </c>
      <c r="I21" s="190">
        <f t="shared" si="2"/>
        <v>444.56000000000006</v>
      </c>
      <c r="J21" s="28"/>
      <c r="K21" s="189"/>
      <c r="M21" s="189"/>
    </row>
    <row r="22" spans="1:13">
      <c r="A22" s="388">
        <f t="shared" si="3"/>
        <v>11</v>
      </c>
      <c r="B22" s="378">
        <v>1211</v>
      </c>
      <c r="C22" s="378"/>
      <c r="D22" s="180">
        <v>939</v>
      </c>
      <c r="E22" s="170">
        <v>36.06</v>
      </c>
      <c r="F22" s="189">
        <f t="shared" si="0"/>
        <v>75004.800000000003</v>
      </c>
      <c r="G22" s="180">
        <f t="shared" si="1"/>
        <v>50000</v>
      </c>
      <c r="H22" s="180">
        <f t="shared" si="4"/>
        <v>225014.40000000002</v>
      </c>
      <c r="I22" s="190">
        <f t="shared" si="2"/>
        <v>730.3466871453561</v>
      </c>
      <c r="J22" s="28"/>
      <c r="K22" s="189"/>
      <c r="M22" s="189"/>
    </row>
    <row r="23" spans="1:13">
      <c r="A23" s="388">
        <f t="shared" si="3"/>
        <v>12</v>
      </c>
      <c r="B23" s="378">
        <v>1212</v>
      </c>
      <c r="C23" s="378"/>
      <c r="D23" s="180">
        <v>898.08000000000027</v>
      </c>
      <c r="E23" s="170">
        <v>32.340000000000003</v>
      </c>
      <c r="F23" s="189">
        <f t="shared" si="0"/>
        <v>67267.200000000012</v>
      </c>
      <c r="G23" s="180">
        <f t="shared" si="1"/>
        <v>50000</v>
      </c>
      <c r="H23" s="180">
        <f t="shared" si="4"/>
        <v>201801.60000000003</v>
      </c>
      <c r="I23" s="190">
        <f t="shared" si="2"/>
        <v>675.56442034156339</v>
      </c>
      <c r="J23" s="28"/>
      <c r="K23" s="189"/>
      <c r="M23" s="189"/>
    </row>
    <row r="24" spans="1:13">
      <c r="A24" s="388">
        <f t="shared" si="3"/>
        <v>13</v>
      </c>
      <c r="B24" s="378">
        <v>1213</v>
      </c>
      <c r="C24" s="378"/>
      <c r="D24" s="180">
        <v>898.08000000000027</v>
      </c>
      <c r="E24" s="170">
        <v>32.340000000000003</v>
      </c>
      <c r="F24" s="189">
        <f t="shared" si="0"/>
        <v>67267.200000000012</v>
      </c>
      <c r="G24" s="180">
        <f t="shared" si="1"/>
        <v>50000</v>
      </c>
      <c r="H24" s="180">
        <f t="shared" si="4"/>
        <v>201801.60000000003</v>
      </c>
      <c r="I24" s="190">
        <f t="shared" si="2"/>
        <v>675.56442034156339</v>
      </c>
      <c r="J24" s="28"/>
      <c r="K24" s="189"/>
      <c r="M24" s="189"/>
    </row>
    <row r="25" spans="1:13">
      <c r="A25" s="388">
        <f t="shared" si="3"/>
        <v>14</v>
      </c>
      <c r="B25" s="378">
        <v>1214</v>
      </c>
      <c r="C25" s="378"/>
      <c r="D25" s="180">
        <v>898.08000000000027</v>
      </c>
      <c r="E25" s="170">
        <v>32.340000000000003</v>
      </c>
      <c r="F25" s="189">
        <f t="shared" si="0"/>
        <v>67267.200000000012</v>
      </c>
      <c r="G25" s="180">
        <f>IF(F25&gt;50000,50000,F25)</f>
        <v>50000</v>
      </c>
      <c r="H25" s="180">
        <f t="shared" si="4"/>
        <v>201801.60000000003</v>
      </c>
      <c r="I25" s="190">
        <f>((H25-G25)/H25)*D25</f>
        <v>675.56442034156339</v>
      </c>
      <c r="J25" s="28"/>
      <c r="K25" s="189"/>
      <c r="M25" s="189"/>
    </row>
    <row r="26" spans="1:13">
      <c r="A26" s="388">
        <f t="shared" si="3"/>
        <v>15</v>
      </c>
      <c r="B26" s="378">
        <v>1215</v>
      </c>
      <c r="C26" s="378"/>
      <c r="D26" s="180">
        <v>898.08000000000027</v>
      </c>
      <c r="E26" s="170">
        <v>32.340000000000003</v>
      </c>
      <c r="F26" s="189">
        <f t="shared" si="0"/>
        <v>67267.200000000012</v>
      </c>
      <c r="G26" s="180">
        <f t="shared" si="1"/>
        <v>50000</v>
      </c>
      <c r="H26" s="180">
        <f t="shared" si="4"/>
        <v>201801.60000000003</v>
      </c>
      <c r="I26" s="190">
        <f t="shared" si="2"/>
        <v>675.56442034156339</v>
      </c>
      <c r="J26" s="28"/>
      <c r="K26" s="189"/>
      <c r="M26" s="189"/>
    </row>
    <row r="27" spans="1:13">
      <c r="A27" s="388">
        <f t="shared" si="3"/>
        <v>16</v>
      </c>
      <c r="B27" s="378">
        <v>1216</v>
      </c>
      <c r="C27" s="378"/>
      <c r="D27" s="180">
        <v>898.08000000000027</v>
      </c>
      <c r="E27" s="170">
        <v>32.340000000000003</v>
      </c>
      <c r="F27" s="189">
        <f t="shared" si="0"/>
        <v>67267.200000000012</v>
      </c>
      <c r="G27" s="180">
        <f t="shared" si="1"/>
        <v>50000</v>
      </c>
      <c r="H27" s="180">
        <f t="shared" si="4"/>
        <v>201801.60000000003</v>
      </c>
      <c r="I27" s="190">
        <f t="shared" si="2"/>
        <v>675.56442034156339</v>
      </c>
      <c r="J27" s="28"/>
      <c r="K27" s="189"/>
      <c r="M27" s="189"/>
    </row>
    <row r="28" spans="1:13">
      <c r="A28" s="388">
        <f t="shared" si="3"/>
        <v>17</v>
      </c>
      <c r="B28" s="378">
        <v>1217</v>
      </c>
      <c r="C28" s="378"/>
      <c r="D28" s="180">
        <v>666.84000000000015</v>
      </c>
      <c r="E28" s="170">
        <v>23.83</v>
      </c>
      <c r="F28" s="189">
        <f t="shared" si="0"/>
        <v>49566.399999999994</v>
      </c>
      <c r="G28" s="180">
        <f t="shared" si="1"/>
        <v>49566.399999999994</v>
      </c>
      <c r="H28" s="180">
        <f t="shared" si="4"/>
        <v>148699.19999999998</v>
      </c>
      <c r="I28" s="190">
        <f t="shared" si="2"/>
        <v>444.56000000000006</v>
      </c>
      <c r="J28" s="28"/>
      <c r="K28" s="189"/>
      <c r="M28" s="189"/>
    </row>
    <row r="29" spans="1:13">
      <c r="A29" s="388">
        <f t="shared" si="3"/>
        <v>18</v>
      </c>
      <c r="B29" s="378">
        <v>1218</v>
      </c>
      <c r="C29" s="378"/>
      <c r="D29" s="180">
        <v>939</v>
      </c>
      <c r="E29" s="170">
        <v>56.02</v>
      </c>
      <c r="F29" s="189">
        <f t="shared" si="0"/>
        <v>116521.60000000001</v>
      </c>
      <c r="G29" s="180">
        <f t="shared" si="1"/>
        <v>50000</v>
      </c>
      <c r="H29" s="180">
        <f t="shared" si="4"/>
        <v>349564.80000000005</v>
      </c>
      <c r="I29" s="190">
        <f t="shared" si="2"/>
        <v>804.69013813747836</v>
      </c>
      <c r="J29" s="28"/>
      <c r="K29" s="189"/>
      <c r="M29" s="189"/>
    </row>
    <row r="30" spans="1:13">
      <c r="A30" s="388">
        <f t="shared" si="3"/>
        <v>19</v>
      </c>
      <c r="B30" s="378">
        <v>1219</v>
      </c>
      <c r="C30" s="378"/>
      <c r="D30" s="180">
        <v>898.08000000000027</v>
      </c>
      <c r="E30" s="170">
        <v>32.340000000000003</v>
      </c>
      <c r="F30" s="189">
        <f t="shared" si="0"/>
        <v>67267.200000000012</v>
      </c>
      <c r="G30" s="180">
        <f t="shared" si="1"/>
        <v>50000</v>
      </c>
      <c r="H30" s="180">
        <f t="shared" si="4"/>
        <v>201801.60000000003</v>
      </c>
      <c r="I30" s="190">
        <f t="shared" si="2"/>
        <v>675.56442034156339</v>
      </c>
      <c r="J30" s="28"/>
      <c r="K30" s="189"/>
      <c r="M30" s="189"/>
    </row>
    <row r="31" spans="1:13">
      <c r="A31" s="388">
        <f t="shared" si="3"/>
        <v>20</v>
      </c>
      <c r="B31" s="378">
        <v>1220</v>
      </c>
      <c r="C31" s="378"/>
      <c r="D31" s="180">
        <v>898.08000000000027</v>
      </c>
      <c r="E31" s="170">
        <v>32.1</v>
      </c>
      <c r="F31" s="189">
        <f t="shared" si="0"/>
        <v>66768</v>
      </c>
      <c r="G31" s="180">
        <f t="shared" si="1"/>
        <v>50000</v>
      </c>
      <c r="H31" s="180">
        <f t="shared" si="4"/>
        <v>200304</v>
      </c>
      <c r="I31" s="190">
        <f t="shared" si="2"/>
        <v>673.90075245626667</v>
      </c>
      <c r="J31" s="28"/>
      <c r="K31" s="189"/>
      <c r="M31" s="189"/>
    </row>
    <row r="32" spans="1:13">
      <c r="A32" s="388">
        <f t="shared" si="3"/>
        <v>21</v>
      </c>
      <c r="B32" s="378">
        <v>1221</v>
      </c>
      <c r="C32" s="378"/>
      <c r="D32" s="180">
        <v>666.84000000000015</v>
      </c>
      <c r="E32" s="170">
        <v>23.83</v>
      </c>
      <c r="F32" s="189">
        <f t="shared" si="0"/>
        <v>49566.399999999994</v>
      </c>
      <c r="G32" s="180">
        <f t="shared" si="1"/>
        <v>49566.399999999994</v>
      </c>
      <c r="H32" s="180">
        <f t="shared" si="4"/>
        <v>148699.19999999998</v>
      </c>
      <c r="I32" s="190">
        <f t="shared" si="2"/>
        <v>444.56000000000006</v>
      </c>
      <c r="J32" s="28"/>
      <c r="K32" s="189"/>
      <c r="M32" s="189"/>
    </row>
    <row r="33" spans="1:13">
      <c r="A33" s="388">
        <f t="shared" si="3"/>
        <v>22</v>
      </c>
      <c r="B33" s="378">
        <v>1222</v>
      </c>
      <c r="C33" s="378"/>
      <c r="D33" s="180">
        <v>666.84000000000015</v>
      </c>
      <c r="E33" s="170">
        <v>23.83</v>
      </c>
      <c r="F33" s="189">
        <f t="shared" si="0"/>
        <v>49566.399999999994</v>
      </c>
      <c r="G33" s="180">
        <f t="shared" si="1"/>
        <v>49566.399999999994</v>
      </c>
      <c r="H33" s="180">
        <f t="shared" si="4"/>
        <v>148699.19999999998</v>
      </c>
      <c r="I33" s="190">
        <f t="shared" si="2"/>
        <v>444.56000000000006</v>
      </c>
      <c r="J33" s="28"/>
      <c r="K33" s="189"/>
      <c r="M33" s="189"/>
    </row>
    <row r="34" spans="1:13">
      <c r="A34" s="388">
        <f t="shared" si="3"/>
        <v>23</v>
      </c>
      <c r="B34" s="378">
        <v>1223</v>
      </c>
      <c r="C34" s="378"/>
      <c r="D34" s="180">
        <v>911.7600000000001</v>
      </c>
      <c r="E34" s="170">
        <v>32.880000000000003</v>
      </c>
      <c r="F34" s="189">
        <f t="shared" si="0"/>
        <v>68390.400000000009</v>
      </c>
      <c r="G34" s="180">
        <f t="shared" si="1"/>
        <v>50000</v>
      </c>
      <c r="H34" s="180">
        <f t="shared" si="4"/>
        <v>205171.20000000001</v>
      </c>
      <c r="I34" s="190">
        <f t="shared" si="2"/>
        <v>689.56507205689695</v>
      </c>
      <c r="J34" s="28"/>
      <c r="K34" s="189"/>
      <c r="M34" s="189"/>
    </row>
    <row r="35" spans="1:13">
      <c r="A35" s="388">
        <f t="shared" si="3"/>
        <v>24</v>
      </c>
      <c r="B35" s="378">
        <v>1224</v>
      </c>
      <c r="C35" s="378"/>
      <c r="D35" s="180">
        <v>993.35999999999979</v>
      </c>
      <c r="E35" s="170">
        <v>35.86</v>
      </c>
      <c r="F35" s="189">
        <f t="shared" si="0"/>
        <v>74588.800000000003</v>
      </c>
      <c r="G35" s="180">
        <f t="shared" si="1"/>
        <v>50000</v>
      </c>
      <c r="H35" s="180">
        <f t="shared" si="4"/>
        <v>223766.40000000002</v>
      </c>
      <c r="I35" s="190">
        <f t="shared" si="2"/>
        <v>771.39638079711688</v>
      </c>
      <c r="J35" s="28"/>
      <c r="K35" s="189"/>
      <c r="M35" s="189"/>
    </row>
    <row r="36" spans="1:13">
      <c r="A36" s="388">
        <f t="shared" si="3"/>
        <v>25</v>
      </c>
      <c r="B36" s="378">
        <v>1225</v>
      </c>
      <c r="C36" s="378"/>
      <c r="D36" s="180">
        <v>693.96</v>
      </c>
      <c r="E36" s="170">
        <v>24.64</v>
      </c>
      <c r="F36" s="189">
        <f t="shared" si="0"/>
        <v>51251.200000000004</v>
      </c>
      <c r="G36" s="180">
        <f t="shared" si="1"/>
        <v>50000</v>
      </c>
      <c r="H36" s="180">
        <f t="shared" si="4"/>
        <v>153753.60000000001</v>
      </c>
      <c r="I36" s="190">
        <f t="shared" si="2"/>
        <v>468.28723526473533</v>
      </c>
      <c r="J36" s="28"/>
      <c r="K36" s="189"/>
      <c r="M36" s="189"/>
    </row>
    <row r="37" spans="1:13">
      <c r="A37" s="388">
        <f t="shared" si="3"/>
        <v>26</v>
      </c>
      <c r="B37" s="378">
        <v>1226</v>
      </c>
      <c r="C37" s="378"/>
      <c r="D37" s="180">
        <v>821.88</v>
      </c>
      <c r="E37" s="170">
        <v>90.55</v>
      </c>
      <c r="F37" s="189">
        <f t="shared" si="0"/>
        <v>188344</v>
      </c>
      <c r="G37" s="180">
        <f t="shared" si="1"/>
        <v>50000</v>
      </c>
      <c r="H37" s="180">
        <f t="shared" si="4"/>
        <v>565032</v>
      </c>
      <c r="I37" s="190">
        <f t="shared" si="2"/>
        <v>749.15137578048677</v>
      </c>
      <c r="J37" s="28"/>
      <c r="K37" s="189"/>
      <c r="M37" s="189"/>
    </row>
    <row r="38" spans="1:13">
      <c r="A38" s="388">
        <f t="shared" si="3"/>
        <v>27</v>
      </c>
      <c r="B38" s="378">
        <v>1227</v>
      </c>
      <c r="C38" s="378"/>
      <c r="D38" s="180">
        <v>1469.64</v>
      </c>
      <c r="E38" s="170">
        <v>52.52</v>
      </c>
      <c r="F38" s="189">
        <f t="shared" si="0"/>
        <v>109241.60000000001</v>
      </c>
      <c r="G38" s="180">
        <f t="shared" si="1"/>
        <v>50000</v>
      </c>
      <c r="H38" s="180">
        <f t="shared" si="4"/>
        <v>327724.80000000005</v>
      </c>
      <c r="I38" s="190">
        <f t="shared" si="2"/>
        <v>1245.4213873103288</v>
      </c>
      <c r="J38" s="28"/>
      <c r="K38" s="189"/>
      <c r="M38" s="189"/>
    </row>
    <row r="39" spans="1:13">
      <c r="A39" s="388">
        <f t="shared" si="3"/>
        <v>28</v>
      </c>
      <c r="B39" s="378">
        <v>1228</v>
      </c>
      <c r="C39" s="378"/>
      <c r="D39" s="180">
        <v>1183.9199999999998</v>
      </c>
      <c r="E39" s="170">
        <v>42.52</v>
      </c>
      <c r="F39" s="189">
        <f t="shared" si="0"/>
        <v>88441.600000000006</v>
      </c>
      <c r="G39" s="180">
        <f t="shared" si="1"/>
        <v>50000</v>
      </c>
      <c r="H39" s="180">
        <f t="shared" si="4"/>
        <v>265324.80000000005</v>
      </c>
      <c r="I39" s="190">
        <f t="shared" si="2"/>
        <v>960.8123221651349</v>
      </c>
      <c r="J39" s="28"/>
      <c r="K39" s="189"/>
      <c r="M39" s="189"/>
    </row>
    <row r="40" spans="1:13">
      <c r="A40" s="388">
        <f t="shared" si="3"/>
        <v>29</v>
      </c>
      <c r="B40" s="378">
        <v>1229</v>
      </c>
      <c r="C40" s="378"/>
      <c r="D40" s="180">
        <v>898.08000000000027</v>
      </c>
      <c r="E40" s="170">
        <v>32.340000000000003</v>
      </c>
      <c r="F40" s="189">
        <f t="shared" si="0"/>
        <v>67267.200000000012</v>
      </c>
      <c r="G40" s="180">
        <f t="shared" si="1"/>
        <v>50000</v>
      </c>
      <c r="H40" s="180">
        <f t="shared" si="4"/>
        <v>201801.60000000003</v>
      </c>
      <c r="I40" s="190">
        <f t="shared" si="2"/>
        <v>675.56442034156339</v>
      </c>
      <c r="J40" s="28"/>
      <c r="K40" s="189"/>
      <c r="M40" s="189"/>
    </row>
    <row r="41" spans="1:13">
      <c r="A41" s="388">
        <f t="shared" si="3"/>
        <v>30</v>
      </c>
      <c r="B41" s="378">
        <v>1230</v>
      </c>
      <c r="C41" s="378"/>
      <c r="D41" s="180">
        <v>843.7199999999998</v>
      </c>
      <c r="E41" s="170">
        <v>30.27</v>
      </c>
      <c r="F41" s="189">
        <f t="shared" si="0"/>
        <v>62961.599999999999</v>
      </c>
      <c r="G41" s="180">
        <f t="shared" si="1"/>
        <v>50000</v>
      </c>
      <c r="H41" s="180">
        <f t="shared" si="4"/>
        <v>188884.8</v>
      </c>
      <c r="I41" s="190">
        <f t="shared" si="2"/>
        <v>620.37751823333565</v>
      </c>
      <c r="J41" s="28"/>
      <c r="K41" s="189"/>
      <c r="M41" s="189"/>
    </row>
    <row r="42" spans="1:13">
      <c r="A42" s="388">
        <f t="shared" si="3"/>
        <v>31</v>
      </c>
      <c r="B42" s="378">
        <v>1231</v>
      </c>
      <c r="C42" s="378" t="s">
        <v>128</v>
      </c>
      <c r="D42" s="180">
        <v>666.84000000000015</v>
      </c>
      <c r="E42" s="170">
        <v>23.83</v>
      </c>
      <c r="F42" s="189">
        <f t="shared" si="0"/>
        <v>49566.399999999994</v>
      </c>
      <c r="G42" s="180">
        <f t="shared" si="1"/>
        <v>49566.399999999994</v>
      </c>
      <c r="H42" s="180">
        <f t="shared" si="4"/>
        <v>148699.19999999998</v>
      </c>
      <c r="I42" s="190">
        <f t="shared" si="2"/>
        <v>444.56000000000006</v>
      </c>
      <c r="J42" s="28"/>
      <c r="K42" s="189"/>
      <c r="M42" s="189"/>
    </row>
    <row r="43" spans="1:13">
      <c r="A43" s="388">
        <f t="shared" si="3"/>
        <v>32</v>
      </c>
      <c r="B43" s="378">
        <v>1232</v>
      </c>
      <c r="C43" s="378"/>
      <c r="D43" s="180">
        <v>911.7600000000001</v>
      </c>
      <c r="E43" s="170">
        <v>32.880000000000003</v>
      </c>
      <c r="F43" s="189">
        <f t="shared" si="0"/>
        <v>68390.400000000009</v>
      </c>
      <c r="G43" s="180">
        <f t="shared" si="1"/>
        <v>50000</v>
      </c>
      <c r="H43" s="180">
        <f t="shared" si="4"/>
        <v>205171.20000000001</v>
      </c>
      <c r="I43" s="190">
        <f t="shared" si="2"/>
        <v>689.56507205689695</v>
      </c>
      <c r="J43" s="28"/>
      <c r="K43" s="189"/>
      <c r="M43" s="189"/>
    </row>
    <row r="44" spans="1:13">
      <c r="A44" s="388">
        <f t="shared" si="3"/>
        <v>33</v>
      </c>
      <c r="B44" s="378">
        <v>1233</v>
      </c>
      <c r="C44" s="378"/>
      <c r="D44" s="180">
        <v>898.08000000000027</v>
      </c>
      <c r="E44" s="170">
        <v>32.340000000000003</v>
      </c>
      <c r="F44" s="189">
        <f t="shared" si="0"/>
        <v>67267.200000000012</v>
      </c>
      <c r="G44" s="180">
        <f t="shared" si="1"/>
        <v>50000</v>
      </c>
      <c r="H44" s="180">
        <f t="shared" si="4"/>
        <v>201801.60000000003</v>
      </c>
      <c r="I44" s="190">
        <f t="shared" si="2"/>
        <v>675.56442034156339</v>
      </c>
      <c r="J44" s="28"/>
      <c r="K44" s="189"/>
      <c r="M44" s="189"/>
    </row>
    <row r="45" spans="1:13">
      <c r="A45" s="388">
        <f t="shared" si="3"/>
        <v>34</v>
      </c>
      <c r="B45" s="378">
        <v>1235</v>
      </c>
      <c r="C45" s="378"/>
      <c r="D45" s="180">
        <v>843.7199999999998</v>
      </c>
      <c r="E45" s="170">
        <v>30.27</v>
      </c>
      <c r="F45" s="189">
        <f t="shared" si="0"/>
        <v>62961.599999999999</v>
      </c>
      <c r="G45" s="180">
        <f t="shared" si="1"/>
        <v>50000</v>
      </c>
      <c r="H45" s="180">
        <f t="shared" si="4"/>
        <v>188884.8</v>
      </c>
      <c r="I45" s="190">
        <f t="shared" si="2"/>
        <v>620.37751823333565</v>
      </c>
      <c r="J45" s="28"/>
      <c r="K45" s="189"/>
      <c r="M45" s="189"/>
    </row>
    <row r="46" spans="1:13">
      <c r="A46" s="388">
        <f t="shared" si="3"/>
        <v>35</v>
      </c>
      <c r="B46" s="378">
        <v>1236</v>
      </c>
      <c r="C46" s="378"/>
      <c r="D46" s="180">
        <v>666.84000000000015</v>
      </c>
      <c r="E46" s="170">
        <v>23.83</v>
      </c>
      <c r="F46" s="189">
        <f t="shared" si="0"/>
        <v>49566.399999999994</v>
      </c>
      <c r="G46" s="180">
        <f t="shared" si="1"/>
        <v>49566.399999999994</v>
      </c>
      <c r="H46" s="180">
        <f t="shared" si="4"/>
        <v>148699.19999999998</v>
      </c>
      <c r="I46" s="190">
        <f t="shared" si="2"/>
        <v>444.56000000000006</v>
      </c>
      <c r="J46" s="28"/>
      <c r="K46" s="189"/>
      <c r="M46" s="189"/>
    </row>
    <row r="47" spans="1:13">
      <c r="A47" s="388">
        <f t="shared" si="3"/>
        <v>36</v>
      </c>
      <c r="B47" s="378">
        <v>1237</v>
      </c>
      <c r="C47" s="378"/>
      <c r="D47" s="180">
        <v>383.76000000000005</v>
      </c>
      <c r="E47" s="170">
        <v>23.83</v>
      </c>
      <c r="F47" s="189">
        <f t="shared" si="0"/>
        <v>49566.399999999994</v>
      </c>
      <c r="G47" s="180">
        <f t="shared" si="1"/>
        <v>49566.399999999994</v>
      </c>
      <c r="H47" s="180">
        <f t="shared" si="4"/>
        <v>148699.19999999998</v>
      </c>
      <c r="I47" s="190">
        <f t="shared" si="2"/>
        <v>255.84000000000003</v>
      </c>
      <c r="J47" s="28"/>
      <c r="K47" s="189"/>
      <c r="M47" s="189"/>
    </row>
    <row r="48" spans="1:13">
      <c r="A48" s="388">
        <f t="shared" si="3"/>
        <v>37</v>
      </c>
      <c r="B48" s="378">
        <v>1238</v>
      </c>
      <c r="C48" s="378"/>
      <c r="D48" s="180">
        <v>911.7600000000001</v>
      </c>
      <c r="E48" s="170">
        <v>32.880000000000003</v>
      </c>
      <c r="F48" s="189">
        <f t="shared" si="0"/>
        <v>68390.400000000009</v>
      </c>
      <c r="G48" s="180">
        <f t="shared" si="1"/>
        <v>50000</v>
      </c>
      <c r="H48" s="180">
        <f t="shared" si="4"/>
        <v>205171.20000000001</v>
      </c>
      <c r="I48" s="190">
        <f t="shared" si="2"/>
        <v>689.56507205689695</v>
      </c>
      <c r="J48" s="28"/>
      <c r="K48" s="189"/>
      <c r="M48" s="189"/>
    </row>
    <row r="49" spans="1:13">
      <c r="A49" s="388">
        <f t="shared" si="3"/>
        <v>38</v>
      </c>
      <c r="B49" s="378">
        <v>1239</v>
      </c>
      <c r="C49" s="378"/>
      <c r="D49" s="180">
        <v>1061.4000000000003</v>
      </c>
      <c r="E49" s="170">
        <v>38.630000000000003</v>
      </c>
      <c r="F49" s="189">
        <f t="shared" si="0"/>
        <v>80350.400000000009</v>
      </c>
      <c r="G49" s="180">
        <f t="shared" si="1"/>
        <v>50000</v>
      </c>
      <c r="H49" s="180">
        <f t="shared" si="4"/>
        <v>241051.2</v>
      </c>
      <c r="I49" s="190">
        <f t="shared" si="2"/>
        <v>841.23930384914104</v>
      </c>
      <c r="J49" s="28"/>
      <c r="K49" s="189"/>
      <c r="M49" s="189"/>
    </row>
    <row r="50" spans="1:13">
      <c r="A50" s="388">
        <f t="shared" si="3"/>
        <v>39</v>
      </c>
      <c r="B50" s="378">
        <v>1241</v>
      </c>
      <c r="C50" s="378"/>
      <c r="D50" s="180">
        <v>522.6</v>
      </c>
      <c r="E50" s="170">
        <v>32.340000000000003</v>
      </c>
      <c r="F50" s="189">
        <f t="shared" si="0"/>
        <v>67267.200000000012</v>
      </c>
      <c r="G50" s="180">
        <f t="shared" si="1"/>
        <v>50000</v>
      </c>
      <c r="H50" s="180">
        <f t="shared" si="4"/>
        <v>201801.60000000003</v>
      </c>
      <c r="I50" s="190">
        <f t="shared" si="2"/>
        <v>393.11638837353127</v>
      </c>
      <c r="J50" s="28"/>
      <c r="K50" s="189"/>
      <c r="M50" s="189"/>
    </row>
    <row r="51" spans="1:13">
      <c r="A51" s="388">
        <f t="shared" si="3"/>
        <v>40</v>
      </c>
      <c r="B51" s="378">
        <v>1242</v>
      </c>
      <c r="C51" s="378"/>
      <c r="D51" s="180">
        <v>666.84000000000015</v>
      </c>
      <c r="E51" s="170">
        <v>23.83</v>
      </c>
      <c r="F51" s="189">
        <f t="shared" si="0"/>
        <v>49566.399999999994</v>
      </c>
      <c r="G51" s="180">
        <f t="shared" si="1"/>
        <v>49566.399999999994</v>
      </c>
      <c r="H51" s="180">
        <f t="shared" si="4"/>
        <v>148699.19999999998</v>
      </c>
      <c r="I51" s="190">
        <f t="shared" si="2"/>
        <v>444.56000000000006</v>
      </c>
      <c r="J51" s="28"/>
      <c r="K51" s="189"/>
      <c r="M51" s="189"/>
    </row>
    <row r="52" spans="1:13">
      <c r="A52" s="388">
        <f t="shared" si="3"/>
        <v>41</v>
      </c>
      <c r="B52" s="378">
        <v>1244</v>
      </c>
      <c r="C52" s="378"/>
      <c r="D52" s="180">
        <v>898.08000000000027</v>
      </c>
      <c r="E52" s="170">
        <v>32.340000000000003</v>
      </c>
      <c r="F52" s="189">
        <f t="shared" si="0"/>
        <v>67267.200000000012</v>
      </c>
      <c r="G52" s="180">
        <f t="shared" si="1"/>
        <v>50000</v>
      </c>
      <c r="H52" s="180">
        <f t="shared" si="4"/>
        <v>201801.60000000003</v>
      </c>
      <c r="I52" s="190">
        <f t="shared" si="2"/>
        <v>675.56442034156339</v>
      </c>
      <c r="J52" s="28"/>
      <c r="K52" s="189"/>
      <c r="M52" s="189"/>
    </row>
    <row r="53" spans="1:13">
      <c r="A53" s="388">
        <f t="shared" si="3"/>
        <v>42</v>
      </c>
      <c r="B53" s="378">
        <v>1245</v>
      </c>
      <c r="C53" s="378"/>
      <c r="D53" s="180">
        <v>1673.76</v>
      </c>
      <c r="E53" s="170">
        <v>60.61</v>
      </c>
      <c r="F53" s="189">
        <f t="shared" si="0"/>
        <v>126068.8</v>
      </c>
      <c r="G53" s="180">
        <f t="shared" si="1"/>
        <v>50000</v>
      </c>
      <c r="H53" s="180">
        <f t="shared" si="4"/>
        <v>378206.4</v>
      </c>
      <c r="I53" s="190">
        <f t="shared" si="2"/>
        <v>1452.4839983247243</v>
      </c>
      <c r="J53" s="28"/>
      <c r="K53" s="189"/>
      <c r="M53" s="189"/>
    </row>
    <row r="54" spans="1:13">
      <c r="A54" s="388">
        <f t="shared" si="3"/>
        <v>43</v>
      </c>
      <c r="B54" s="378">
        <v>1246</v>
      </c>
      <c r="C54" s="378"/>
      <c r="D54" s="180">
        <v>898.08000000000027</v>
      </c>
      <c r="E54" s="170">
        <v>32.1</v>
      </c>
      <c r="F54" s="189">
        <f t="shared" si="0"/>
        <v>66768</v>
      </c>
      <c r="G54" s="180">
        <f t="shared" si="1"/>
        <v>50000</v>
      </c>
      <c r="H54" s="180">
        <f t="shared" si="4"/>
        <v>200304</v>
      </c>
      <c r="I54" s="190">
        <f t="shared" si="2"/>
        <v>673.90075245626667</v>
      </c>
      <c r="J54" s="28"/>
      <c r="K54" s="189"/>
      <c r="M54" s="189"/>
    </row>
    <row r="55" spans="1:13">
      <c r="A55" s="388">
        <f t="shared" si="3"/>
        <v>44</v>
      </c>
      <c r="B55" s="378">
        <v>1247</v>
      </c>
      <c r="C55" s="378"/>
      <c r="D55" s="180">
        <v>1469.64</v>
      </c>
      <c r="E55" s="170">
        <v>52.52</v>
      </c>
      <c r="F55" s="189">
        <f t="shared" si="0"/>
        <v>109241.60000000001</v>
      </c>
      <c r="G55" s="180">
        <f t="shared" si="1"/>
        <v>50000</v>
      </c>
      <c r="H55" s="180">
        <f t="shared" si="4"/>
        <v>327724.80000000005</v>
      </c>
      <c r="I55" s="190">
        <f>((H55-G55)/H55)*D55</f>
        <v>1245.4213873103288</v>
      </c>
      <c r="J55" s="28"/>
      <c r="K55" s="189"/>
      <c r="M55" s="189"/>
    </row>
    <row r="56" spans="1:13">
      <c r="A56" s="388">
        <f t="shared" si="3"/>
        <v>45</v>
      </c>
      <c r="B56" s="378">
        <v>1248</v>
      </c>
      <c r="C56" s="378"/>
      <c r="D56" s="180">
        <v>898.08000000000027</v>
      </c>
      <c r="E56" s="170">
        <v>32.340000000000003</v>
      </c>
      <c r="F56" s="189">
        <f t="shared" si="0"/>
        <v>67267.200000000012</v>
      </c>
      <c r="G56" s="180">
        <f t="shared" si="1"/>
        <v>50000</v>
      </c>
      <c r="H56" s="180">
        <f t="shared" si="4"/>
        <v>201801.60000000003</v>
      </c>
      <c r="I56" s="190">
        <f t="shared" si="2"/>
        <v>675.56442034156339</v>
      </c>
      <c r="J56" s="28"/>
      <c r="K56" s="189"/>
      <c r="M56" s="189"/>
    </row>
    <row r="57" spans="1:13">
      <c r="A57" s="388">
        <f t="shared" si="3"/>
        <v>46</v>
      </c>
      <c r="B57" s="378">
        <v>1249</v>
      </c>
      <c r="C57" s="378"/>
      <c r="D57" s="180">
        <v>911.7600000000001</v>
      </c>
      <c r="E57" s="170">
        <v>32.880000000000003</v>
      </c>
      <c r="F57" s="189">
        <f t="shared" si="0"/>
        <v>68390.400000000009</v>
      </c>
      <c r="G57" s="180">
        <f t="shared" si="1"/>
        <v>50000</v>
      </c>
      <c r="H57" s="180">
        <f t="shared" si="4"/>
        <v>205171.20000000001</v>
      </c>
      <c r="I57" s="190">
        <f t="shared" si="2"/>
        <v>689.56507205689695</v>
      </c>
      <c r="J57" s="28"/>
      <c r="K57" s="189"/>
      <c r="M57" s="189"/>
    </row>
    <row r="58" spans="1:13">
      <c r="A58" s="388">
        <f t="shared" si="3"/>
        <v>47</v>
      </c>
      <c r="B58" s="378">
        <v>1250</v>
      </c>
      <c r="C58" s="378"/>
      <c r="D58" s="180">
        <v>898.08000000000027</v>
      </c>
      <c r="E58" s="170">
        <v>32.340000000000003</v>
      </c>
      <c r="F58" s="189">
        <f t="shared" si="0"/>
        <v>67267.200000000012</v>
      </c>
      <c r="G58" s="180">
        <f t="shared" si="1"/>
        <v>50000</v>
      </c>
      <c r="H58" s="180">
        <f t="shared" si="4"/>
        <v>201801.60000000003</v>
      </c>
      <c r="I58" s="190">
        <f t="shared" si="2"/>
        <v>675.56442034156339</v>
      </c>
      <c r="J58" s="28"/>
      <c r="K58" s="189"/>
      <c r="M58" s="189"/>
    </row>
    <row r="59" spans="1:13">
      <c r="A59" s="388">
        <f t="shared" si="3"/>
        <v>48</v>
      </c>
      <c r="B59" s="378">
        <v>1251</v>
      </c>
      <c r="C59" s="378" t="s">
        <v>128</v>
      </c>
      <c r="D59" s="180">
        <v>224.52</v>
      </c>
      <c r="E59" s="170">
        <v>31.55</v>
      </c>
      <c r="F59" s="189">
        <f t="shared" si="0"/>
        <v>65624</v>
      </c>
      <c r="G59" s="180">
        <f t="shared" si="1"/>
        <v>50000</v>
      </c>
      <c r="H59" s="180">
        <f t="shared" si="4"/>
        <v>196872</v>
      </c>
      <c r="I59" s="190">
        <f t="shared" si="2"/>
        <v>167.49817871510425</v>
      </c>
      <c r="J59" s="28"/>
      <c r="K59" s="189"/>
      <c r="M59" s="189"/>
    </row>
    <row r="60" spans="1:13">
      <c r="A60" s="388">
        <f t="shared" si="3"/>
        <v>49</v>
      </c>
      <c r="B60" s="378">
        <v>1252</v>
      </c>
      <c r="C60" s="378" t="s">
        <v>128</v>
      </c>
      <c r="D60" s="180">
        <v>673.56000000000017</v>
      </c>
      <c r="E60" s="170">
        <v>32.340000000000003</v>
      </c>
      <c r="F60" s="189">
        <f t="shared" si="0"/>
        <v>67267.200000000012</v>
      </c>
      <c r="G60" s="180">
        <f t="shared" si="1"/>
        <v>50000</v>
      </c>
      <c r="H60" s="180">
        <f t="shared" si="4"/>
        <v>201801.60000000003</v>
      </c>
      <c r="I60" s="190">
        <f t="shared" si="2"/>
        <v>506.67331525617254</v>
      </c>
      <c r="J60" s="28"/>
      <c r="K60" s="189"/>
      <c r="M60" s="189"/>
    </row>
    <row r="61" spans="1:13">
      <c r="A61" s="388">
        <f t="shared" si="3"/>
        <v>50</v>
      </c>
      <c r="B61" s="198" t="s">
        <v>22</v>
      </c>
      <c r="C61" s="198"/>
      <c r="D61" s="387">
        <f>SUM(D12:D60)</f>
        <v>42511.080000000009</v>
      </c>
      <c r="E61" s="387" t="s">
        <v>665</v>
      </c>
      <c r="F61" s="387"/>
      <c r="G61" s="387"/>
      <c r="H61" s="387"/>
      <c r="I61" s="387">
        <f t="shared" ref="I61" si="5">SUM(I12:I60)</f>
        <v>32281.732475522025</v>
      </c>
      <c r="J61" s="28"/>
      <c r="K61" s="189"/>
      <c r="M61" s="189"/>
    </row>
    <row r="62" spans="1:13">
      <c r="A62" s="388">
        <f t="shared" si="3"/>
        <v>51</v>
      </c>
      <c r="B62" s="386"/>
      <c r="C62" s="386"/>
      <c r="D62" s="180"/>
      <c r="E62" s="170"/>
      <c r="F62" s="189"/>
      <c r="G62" s="180"/>
      <c r="H62" s="180"/>
      <c r="I62" s="190"/>
      <c r="J62" s="28"/>
      <c r="K62" s="189"/>
      <c r="M62" s="189"/>
    </row>
    <row r="63" spans="1:13">
      <c r="A63" s="388">
        <f t="shared" si="3"/>
        <v>52</v>
      </c>
      <c r="B63" s="378">
        <v>1254</v>
      </c>
      <c r="C63" s="378" t="s">
        <v>129</v>
      </c>
      <c r="D63" s="180">
        <v>989.04</v>
      </c>
      <c r="E63" s="170">
        <v>32.340000000000003</v>
      </c>
      <c r="F63" s="189">
        <f t="shared" si="0"/>
        <v>67267.200000000012</v>
      </c>
      <c r="G63" s="180">
        <f t="shared" si="1"/>
        <v>50000</v>
      </c>
      <c r="H63" s="180">
        <f t="shared" si="4"/>
        <v>201801.60000000003</v>
      </c>
      <c r="I63" s="190">
        <v>-743.99</v>
      </c>
      <c r="J63" s="28"/>
      <c r="K63" s="189"/>
      <c r="M63" s="189"/>
    </row>
    <row r="64" spans="1:13">
      <c r="A64" s="388">
        <f t="shared" si="3"/>
        <v>53</v>
      </c>
      <c r="B64" s="378">
        <v>1255</v>
      </c>
      <c r="C64" s="378" t="s">
        <v>129</v>
      </c>
      <c r="D64" s="180">
        <v>989.04</v>
      </c>
      <c r="E64" s="170">
        <v>32.340000000000003</v>
      </c>
      <c r="F64" s="189">
        <f t="shared" si="0"/>
        <v>67267.200000000012</v>
      </c>
      <c r="G64" s="180">
        <f t="shared" si="1"/>
        <v>50000</v>
      </c>
      <c r="H64" s="180">
        <f t="shared" si="4"/>
        <v>201801.60000000003</v>
      </c>
      <c r="I64" s="190">
        <v>-743.99</v>
      </c>
      <c r="J64" s="28"/>
      <c r="K64" s="189"/>
      <c r="M64" s="189"/>
    </row>
    <row r="65" spans="1:13">
      <c r="A65" s="388">
        <f t="shared" si="3"/>
        <v>54</v>
      </c>
      <c r="B65" s="198" t="s">
        <v>22</v>
      </c>
      <c r="C65" s="198"/>
      <c r="D65" s="387">
        <f>D64+D63</f>
        <v>1978.08</v>
      </c>
      <c r="E65" s="387"/>
      <c r="F65" s="387"/>
      <c r="G65" s="387"/>
      <c r="H65" s="387"/>
      <c r="I65" s="387">
        <f t="shared" ref="I65" si="6">I64+I63</f>
        <v>-1487.98</v>
      </c>
      <c r="J65" s="28"/>
      <c r="K65" s="189"/>
      <c r="M65" s="189"/>
    </row>
    <row r="66" spans="1:13">
      <c r="A66" s="388">
        <f t="shared" si="3"/>
        <v>55</v>
      </c>
      <c r="B66" s="386"/>
      <c r="C66" s="386"/>
      <c r="D66" s="180"/>
      <c r="E66" s="170"/>
      <c r="F66" s="189"/>
      <c r="G66" s="180"/>
      <c r="H66" s="180"/>
      <c r="I66" s="190"/>
      <c r="J66" s="28"/>
      <c r="K66" s="189"/>
      <c r="M66" s="189"/>
    </row>
    <row r="67" spans="1:13">
      <c r="A67" s="388">
        <f t="shared" si="3"/>
        <v>56</v>
      </c>
      <c r="B67" s="198" t="s">
        <v>43</v>
      </c>
      <c r="C67" s="198"/>
      <c r="D67" s="387">
        <f>D61+D65</f>
        <v>44489.160000000011</v>
      </c>
      <c r="E67" s="16"/>
      <c r="F67" s="16"/>
      <c r="G67" s="16"/>
      <c r="H67" s="16"/>
      <c r="I67" s="191">
        <f>I61+I65</f>
        <v>30793.752475522026</v>
      </c>
    </row>
    <row r="68" spans="1:13">
      <c r="B68" s="378"/>
      <c r="C68" s="378"/>
      <c r="D68" s="180"/>
      <c r="E68" s="18"/>
      <c r="F68" s="18"/>
      <c r="G68" s="18"/>
      <c r="H68" s="18"/>
      <c r="I68" s="383"/>
    </row>
    <row r="69" spans="1:13">
      <c r="B69" s="384" t="s">
        <v>499</v>
      </c>
      <c r="C69" s="378"/>
      <c r="D69" s="62" t="s">
        <v>553</v>
      </c>
      <c r="E69" s="18" t="s">
        <v>500</v>
      </c>
      <c r="F69" s="62" t="s">
        <v>645</v>
      </c>
      <c r="G69" s="18" t="s">
        <v>654</v>
      </c>
      <c r="I69" s="383"/>
    </row>
    <row r="70" spans="1:13">
      <c r="B70" s="378"/>
      <c r="C70" s="378"/>
      <c r="D70" s="384"/>
      <c r="E70" s="62"/>
      <c r="F70" s="18"/>
      <c r="G70" s="62"/>
      <c r="H70" s="18"/>
      <c r="I70" s="383"/>
    </row>
    <row r="72" spans="1:13">
      <c r="H72" s="192" t="s">
        <v>275</v>
      </c>
      <c r="I72" s="27">
        <f>D67-I67</f>
        <v>13695.407524477985</v>
      </c>
    </row>
    <row r="73" spans="1:13">
      <c r="H73" s="192"/>
    </row>
    <row r="74" spans="1:13">
      <c r="H74" s="192" t="s">
        <v>36</v>
      </c>
      <c r="I74" s="27">
        <f>D61</f>
        <v>42511.080000000009</v>
      </c>
    </row>
    <row r="75" spans="1:13">
      <c r="H75" s="192"/>
      <c r="I75" s="27"/>
    </row>
    <row r="76" spans="1:13">
      <c r="H76" s="192" t="s">
        <v>152</v>
      </c>
      <c r="I76" s="27">
        <f>I72</f>
        <v>13695.407524477985</v>
      </c>
    </row>
    <row r="77" spans="1:13">
      <c r="H77" s="192"/>
      <c r="I77" s="27"/>
    </row>
    <row r="78" spans="1:13">
      <c r="H78" s="192" t="s">
        <v>658</v>
      </c>
      <c r="I78" s="27">
        <f>I76-I74</f>
        <v>-28815.672475522024</v>
      </c>
    </row>
    <row r="80" spans="1:13" ht="30" customHeight="1">
      <c r="B80" s="480" t="s">
        <v>276</v>
      </c>
      <c r="C80" s="480"/>
      <c r="D80" s="480"/>
      <c r="E80" s="480"/>
      <c r="F80" s="480"/>
      <c r="G80" s="480"/>
      <c r="H80" s="480"/>
      <c r="I80" s="480"/>
    </row>
    <row r="82" spans="1:10">
      <c r="B82" s="232" t="s">
        <v>556</v>
      </c>
      <c r="C82" s="388"/>
      <c r="D82" s="388"/>
      <c r="F82" s="351" t="s">
        <v>130</v>
      </c>
      <c r="G82" s="185" t="s">
        <v>15</v>
      </c>
    </row>
    <row r="83" spans="1:10">
      <c r="C83" s="388"/>
      <c r="D83" s="388"/>
    </row>
    <row r="84" spans="1:10">
      <c r="A84" s="388">
        <f>A67+1</f>
        <v>57</v>
      </c>
      <c r="B84" s="11" t="s">
        <v>121</v>
      </c>
      <c r="C84" s="15"/>
      <c r="D84" s="15" t="s">
        <v>122</v>
      </c>
      <c r="F84" s="352">
        <v>8.1391001633733071E-2</v>
      </c>
      <c r="G84" s="24">
        <f>F84*$I$78</f>
        <v>-2345.3364455323303</v>
      </c>
    </row>
    <row r="85" spans="1:10">
      <c r="A85" s="388">
        <f>A84+1</f>
        <v>58</v>
      </c>
      <c r="B85" s="11" t="s">
        <v>123</v>
      </c>
      <c r="C85" s="15"/>
      <c r="D85" s="15" t="s">
        <v>124</v>
      </c>
      <c r="F85" s="352">
        <v>0.21590586261047123</v>
      </c>
      <c r="G85" s="24">
        <f t="shared" ref="G85:G88" si="7">F85*$I$78</f>
        <v>-6221.4726225283957</v>
      </c>
    </row>
    <row r="86" spans="1:10">
      <c r="A86" s="388">
        <f t="shared" ref="A86:A96" si="8">A85+1</f>
        <v>59</v>
      </c>
      <c r="B86" s="11" t="s">
        <v>125</v>
      </c>
      <c r="C86" s="15"/>
      <c r="D86" s="15" t="s">
        <v>104</v>
      </c>
      <c r="F86" s="352">
        <v>0.15368658092178045</v>
      </c>
      <c r="G86" s="24">
        <f t="shared" si="7"/>
        <v>-4428.5821797248373</v>
      </c>
    </row>
    <row r="87" spans="1:10">
      <c r="A87" s="388">
        <f t="shared" si="8"/>
        <v>60</v>
      </c>
      <c r="B87" s="11" t="s">
        <v>504</v>
      </c>
      <c r="C87" s="15"/>
      <c r="D87" s="15" t="s">
        <v>78</v>
      </c>
      <c r="F87" s="352">
        <v>1.8889617123394657E-2</v>
      </c>
      <c r="G87" s="24">
        <f t="shared" si="7"/>
        <v>-544.3170202157529</v>
      </c>
    </row>
    <row r="88" spans="1:10">
      <c r="A88" s="388">
        <f t="shared" si="8"/>
        <v>61</v>
      </c>
      <c r="B88" s="11" t="s">
        <v>126</v>
      </c>
      <c r="C88" s="15"/>
      <c r="D88" s="15" t="s">
        <v>120</v>
      </c>
      <c r="F88" s="352">
        <v>0.165977703374033</v>
      </c>
      <c r="G88" s="24">
        <f t="shared" si="7"/>
        <v>-4782.7591386654822</v>
      </c>
    </row>
    <row r="89" spans="1:10">
      <c r="A89" s="388">
        <f t="shared" si="8"/>
        <v>62</v>
      </c>
      <c r="B89" s="397" t="s">
        <v>656</v>
      </c>
      <c r="C89" s="16"/>
      <c r="D89" s="16"/>
      <c r="E89" s="16"/>
      <c r="F89" s="353">
        <f>SUM(F84:F88)</f>
        <v>0.63585076566341248</v>
      </c>
      <c r="G89" s="396">
        <f>SUM(G84:G88)</f>
        <v>-18322.467406666798</v>
      </c>
      <c r="J89" s="232"/>
    </row>
    <row r="90" spans="1:10">
      <c r="A90" s="388">
        <f t="shared" si="8"/>
        <v>63</v>
      </c>
      <c r="C90" s="388"/>
      <c r="D90" s="388"/>
      <c r="F90" s="352"/>
      <c r="G90" s="24"/>
    </row>
    <row r="91" spans="1:10">
      <c r="A91" s="388">
        <f t="shared" si="8"/>
        <v>64</v>
      </c>
      <c r="B91" s="11" t="s">
        <v>505</v>
      </c>
      <c r="C91" s="15"/>
      <c r="D91" s="15" t="s">
        <v>506</v>
      </c>
      <c r="F91" s="352">
        <v>0.26961309615902967</v>
      </c>
      <c r="G91" s="24">
        <f>F91*$I$78</f>
        <v>-7769.0826740300245</v>
      </c>
    </row>
    <row r="92" spans="1:10">
      <c r="A92" s="388">
        <f t="shared" si="8"/>
        <v>65</v>
      </c>
      <c r="B92" s="11" t="s">
        <v>507</v>
      </c>
      <c r="C92" s="15"/>
      <c r="D92" s="15" t="s">
        <v>508</v>
      </c>
      <c r="F92" s="352">
        <v>3.1768195079521944E-2</v>
      </c>
      <c r="G92" s="24">
        <f t="shared" ref="G92:G94" si="9">F92*$I$78</f>
        <v>-915.42190454999468</v>
      </c>
    </row>
    <row r="93" spans="1:10">
      <c r="A93" s="388">
        <f t="shared" si="8"/>
        <v>66</v>
      </c>
      <c r="B93" s="11" t="s">
        <v>509</v>
      </c>
      <c r="C93" s="15"/>
      <c r="D93" s="15" t="s">
        <v>510</v>
      </c>
      <c r="F93" s="352">
        <v>2.5106556340275421E-2</v>
      </c>
      <c r="G93" s="24">
        <f t="shared" si="9"/>
        <v>-723.4623044896174</v>
      </c>
    </row>
    <row r="94" spans="1:10">
      <c r="A94" s="388">
        <f t="shared" si="8"/>
        <v>67</v>
      </c>
      <c r="B94" s="11" t="s">
        <v>511</v>
      </c>
      <c r="C94" s="15"/>
      <c r="D94" s="15" t="s">
        <v>512</v>
      </c>
      <c r="F94" s="352">
        <v>3.7661386757760471E-2</v>
      </c>
      <c r="G94" s="24">
        <f t="shared" si="9"/>
        <v>-1085.238185785588</v>
      </c>
    </row>
    <row r="95" spans="1:10">
      <c r="A95" s="388">
        <f t="shared" si="8"/>
        <v>68</v>
      </c>
      <c r="B95" s="16"/>
      <c r="C95" s="16"/>
      <c r="D95" s="16" t="s">
        <v>22</v>
      </c>
      <c r="E95" s="16"/>
      <c r="F95" s="353">
        <f>SUM(F91:F94)</f>
        <v>0.36414923433658752</v>
      </c>
      <c r="G95" s="32">
        <f>SUM(G91:G94)</f>
        <v>-10493.205068855226</v>
      </c>
    </row>
    <row r="96" spans="1:10">
      <c r="A96" s="388">
        <f t="shared" si="8"/>
        <v>69</v>
      </c>
      <c r="C96" s="388"/>
      <c r="D96" s="388"/>
      <c r="F96" s="352"/>
      <c r="G96" s="24"/>
    </row>
    <row r="97" spans="1:7" ht="13.8" thickBot="1">
      <c r="A97" s="388">
        <f>A96+1</f>
        <v>70</v>
      </c>
      <c r="B97" s="21"/>
      <c r="C97" s="21"/>
      <c r="D97" s="354" t="s">
        <v>43</v>
      </c>
      <c r="E97" s="21"/>
      <c r="F97" s="356">
        <v>1</v>
      </c>
      <c r="G97" s="355">
        <f>G89+G95</f>
        <v>-28815.672475522024</v>
      </c>
    </row>
    <row r="98" spans="1:7" ht="13.8" thickTop="1"/>
  </sheetData>
  <mergeCells count="4">
    <mergeCell ref="B4:I4"/>
    <mergeCell ref="B5:I5"/>
    <mergeCell ref="B7:I7"/>
    <mergeCell ref="B80:I80"/>
  </mergeCells>
  <printOptions horizontalCentered="1"/>
  <pageMargins left="0.7" right="0.7" top="0.75" bottom="0.75" header="0.3" footer="0.3"/>
  <pageSetup scale="52" fitToHeight="2" orientation="landscape" r:id="rId1"/>
  <headerFooter>
    <oddFooter>&amp;RExhibit JW-2
Page &amp;P of &amp;N</oddFooter>
  </headerFooter>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7"/>
  <sheetViews>
    <sheetView view="pageBreakPreview" zoomScale="75" zoomScaleNormal="75" zoomScaleSheetLayoutView="75" workbookViewId="0">
      <selection activeCell="C43" sqref="C43"/>
    </sheetView>
  </sheetViews>
  <sheetFormatPr defaultColWidth="9.109375" defaultRowHeight="13.2"/>
  <cols>
    <col min="1" max="1" width="3.5546875" style="11" customWidth="1"/>
    <col min="2" max="2" width="9.109375" style="10"/>
    <col min="3" max="3" width="37.44140625" style="11" bestFit="1" customWidth="1"/>
    <col min="4" max="5" width="13.5546875" style="11" bestFit="1" customWidth="1"/>
    <col min="6" max="6" width="11.88671875" style="11" customWidth="1"/>
    <col min="7" max="7" width="12.44140625" style="11" customWidth="1"/>
    <col min="8" max="8" width="9.109375" style="11"/>
    <col min="9" max="9" width="11.6640625" style="11" bestFit="1" customWidth="1"/>
    <col min="10" max="16384" width="9.109375" style="11"/>
  </cols>
  <sheetData>
    <row r="1" spans="1:7">
      <c r="A1" s="463" t="str">
        <f>RevReq!A1</f>
        <v>CUMBERLAND VALLEY ELECTRIC</v>
      </c>
      <c r="B1" s="463"/>
      <c r="C1" s="463"/>
      <c r="D1" s="463"/>
      <c r="E1" s="463"/>
      <c r="F1" s="463"/>
      <c r="G1" s="463"/>
    </row>
    <row r="2" spans="1:7">
      <c r="A2" s="463" t="s">
        <v>154</v>
      </c>
      <c r="B2" s="463"/>
      <c r="C2" s="463"/>
      <c r="D2" s="463"/>
      <c r="E2" s="463"/>
      <c r="F2" s="463"/>
      <c r="G2" s="463"/>
    </row>
    <row r="4" spans="1:7" ht="47.25" customHeight="1">
      <c r="B4" s="48" t="s">
        <v>159</v>
      </c>
      <c r="C4" s="31" t="s">
        <v>40</v>
      </c>
      <c r="D4" s="70" t="s">
        <v>23</v>
      </c>
      <c r="E4" s="70" t="s">
        <v>24</v>
      </c>
      <c r="F4" s="70" t="s">
        <v>156</v>
      </c>
      <c r="G4" s="70" t="s">
        <v>157</v>
      </c>
    </row>
    <row r="5" spans="1:7">
      <c r="B5" s="49" t="s">
        <v>21</v>
      </c>
      <c r="C5" s="50">
        <v>1</v>
      </c>
      <c r="D5" s="50">
        <f>C5+1</f>
        <v>2</v>
      </c>
      <c r="E5" s="50">
        <f>D5+1</f>
        <v>3</v>
      </c>
      <c r="F5" s="50">
        <f>E5+1</f>
        <v>4</v>
      </c>
      <c r="G5" s="50">
        <f>F5+1</f>
        <v>5</v>
      </c>
    </row>
    <row r="6" spans="1:7">
      <c r="B6" s="11"/>
      <c r="C6" s="71"/>
      <c r="D6" s="71"/>
      <c r="E6" s="71"/>
      <c r="F6" s="71"/>
      <c r="G6" s="71"/>
    </row>
    <row r="7" spans="1:7">
      <c r="B7" s="10">
        <v>1.01</v>
      </c>
      <c r="C7" s="11" t="s">
        <v>155</v>
      </c>
      <c r="D7" s="24">
        <f>'1.01 FAC'!F31</f>
        <v>1797927.24</v>
      </c>
      <c r="E7" s="24">
        <f>'1.01 FAC'!H31</f>
        <v>1862349</v>
      </c>
      <c r="F7" s="24">
        <v>0</v>
      </c>
      <c r="G7" s="24">
        <f>D7-E7+F7</f>
        <v>-64421.760000000009</v>
      </c>
    </row>
    <row r="8" spans="1:7">
      <c r="B8" s="10">
        <v>1.02</v>
      </c>
      <c r="C8" s="11" t="s">
        <v>116</v>
      </c>
      <c r="D8" s="24">
        <f>'1.02 ES'!F31</f>
        <v>-4026453.22</v>
      </c>
      <c r="E8" s="24">
        <f>'1.02 ES'!H31</f>
        <v>-4179275</v>
      </c>
      <c r="F8" s="24">
        <v>0</v>
      </c>
      <c r="G8" s="24">
        <f t="shared" ref="G8:G26" si="0">D8-E8+F8</f>
        <v>152821.7799999998</v>
      </c>
    </row>
    <row r="9" spans="1:7">
      <c r="B9" s="10">
        <v>1.03</v>
      </c>
      <c r="C9" s="11" t="s">
        <v>30</v>
      </c>
      <c r="D9" s="24">
        <v>0</v>
      </c>
      <c r="E9" s="24">
        <f>'1.03 RC'!F26</f>
        <v>19727.29</v>
      </c>
      <c r="F9" s="24">
        <v>0</v>
      </c>
      <c r="G9" s="24">
        <f t="shared" si="0"/>
        <v>-19727.29</v>
      </c>
    </row>
    <row r="10" spans="1:7">
      <c r="B10" s="10">
        <v>1.04</v>
      </c>
      <c r="C10" s="11" t="s">
        <v>228</v>
      </c>
      <c r="D10" s="24">
        <f>'1.04 CUST'!F49</f>
        <v>-89112.49</v>
      </c>
      <c r="E10" s="24">
        <f>'1.04 CUST'!G49</f>
        <v>-48783.86</v>
      </c>
      <c r="F10" s="24">
        <v>0</v>
      </c>
      <c r="G10" s="24">
        <f t="shared" si="0"/>
        <v>-40328.630000000005</v>
      </c>
    </row>
    <row r="11" spans="1:7">
      <c r="B11" s="10">
        <v>1.05</v>
      </c>
      <c r="C11" s="3" t="s">
        <v>225</v>
      </c>
      <c r="D11" s="24">
        <v>0</v>
      </c>
      <c r="E11" s="24">
        <f>'1.05 Depr'!I43</f>
        <v>150011.18</v>
      </c>
      <c r="F11" s="24">
        <v>0</v>
      </c>
      <c r="G11" s="24">
        <f t="shared" si="0"/>
        <v>-150011.18</v>
      </c>
    </row>
    <row r="12" spans="1:7">
      <c r="B12" s="10">
        <v>1.06</v>
      </c>
      <c r="C12" s="3" t="s">
        <v>623</v>
      </c>
      <c r="D12" s="24">
        <v>0</v>
      </c>
      <c r="E12" s="24">
        <f>'1.06 Donat&amp;Promo'!H24</f>
        <v>-232523.82</v>
      </c>
      <c r="F12" s="24">
        <v>0</v>
      </c>
      <c r="G12" s="24">
        <f t="shared" si="0"/>
        <v>232523.82</v>
      </c>
    </row>
    <row r="13" spans="1:7">
      <c r="B13" s="10">
        <v>1.07</v>
      </c>
      <c r="C13" s="11" t="s">
        <v>612</v>
      </c>
      <c r="D13" s="24">
        <v>0</v>
      </c>
      <c r="E13" s="24">
        <f>'1.07 Misc'!E19</f>
        <v>-2163.9499999999998</v>
      </c>
      <c r="F13" s="24">
        <v>0</v>
      </c>
      <c r="G13" s="24">
        <f t="shared" si="0"/>
        <v>2163.9499999999998</v>
      </c>
    </row>
    <row r="14" spans="1:7">
      <c r="B14" s="10">
        <v>1.08</v>
      </c>
      <c r="C14" s="3" t="s">
        <v>227</v>
      </c>
      <c r="D14" s="24">
        <v>0</v>
      </c>
      <c r="E14" s="24">
        <f>'1.08 Dir'!K27</f>
        <v>-3522.8899999999849</v>
      </c>
      <c r="F14" s="24">
        <v>0</v>
      </c>
      <c r="G14" s="24">
        <f t="shared" si="0"/>
        <v>3522.8899999999849</v>
      </c>
    </row>
    <row r="15" spans="1:7">
      <c r="B15" s="10">
        <v>1.0900000000000001</v>
      </c>
      <c r="C15" s="3" t="s">
        <v>267</v>
      </c>
      <c r="D15" s="24">
        <v>0</v>
      </c>
      <c r="E15" s="24">
        <f>' 1.09 RS401k'!I96</f>
        <v>18364.27271523837</v>
      </c>
      <c r="F15" s="24">
        <v>0</v>
      </c>
      <c r="G15" s="24">
        <f t="shared" si="0"/>
        <v>-18364.27271523837</v>
      </c>
    </row>
    <row r="16" spans="1:7">
      <c r="B16" s="29">
        <v>1.1000000000000001</v>
      </c>
      <c r="C16" s="11" t="s">
        <v>245</v>
      </c>
      <c r="D16" s="24">
        <v>0</v>
      </c>
      <c r="E16" s="24">
        <f>'1.10 Wages'!P97</f>
        <v>2492.8449786490155</v>
      </c>
      <c r="F16" s="24">
        <v>0</v>
      </c>
      <c r="G16" s="24">
        <f t="shared" si="0"/>
        <v>-2492.8449786490155</v>
      </c>
    </row>
    <row r="17" spans="2:9">
      <c r="B17" s="10">
        <v>1.1100000000000001</v>
      </c>
      <c r="C17" s="11" t="s">
        <v>444</v>
      </c>
      <c r="D17" s="24">
        <v>0</v>
      </c>
      <c r="E17" s="24">
        <f>'1.11 Prof'!F52</f>
        <v>-26161.89</v>
      </c>
      <c r="F17" s="24">
        <v>0</v>
      </c>
      <c r="G17" s="24">
        <f t="shared" si="0"/>
        <v>26161.89</v>
      </c>
    </row>
    <row r="18" spans="2:9" s="69" customFormat="1">
      <c r="B18" s="10">
        <v>1.1200000000000001</v>
      </c>
      <c r="C18" s="69" t="s">
        <v>31</v>
      </c>
      <c r="D18" s="24">
        <v>0</v>
      </c>
      <c r="E18" s="24">
        <v>0</v>
      </c>
      <c r="F18" s="25">
        <f>'1.12 GTCC'!F18</f>
        <v>-1712191.29</v>
      </c>
      <c r="G18" s="24">
        <f t="shared" si="0"/>
        <v>-1712191.29</v>
      </c>
      <c r="I18" s="11"/>
    </row>
    <row r="19" spans="2:9">
      <c r="B19" s="10">
        <v>1.1299999999999999</v>
      </c>
      <c r="C19" s="11" t="s">
        <v>624</v>
      </c>
      <c r="D19" s="24">
        <v>0</v>
      </c>
      <c r="E19" s="24">
        <f>'1.13PayrTx'!I95</f>
        <v>-4169.8518188515272</v>
      </c>
      <c r="F19" s="24">
        <v>0</v>
      </c>
      <c r="G19" s="24">
        <f t="shared" si="0"/>
        <v>4169.8518188515272</v>
      </c>
    </row>
    <row r="20" spans="2:9">
      <c r="B20" s="10">
        <v>1.1399999999999999</v>
      </c>
      <c r="C20" s="11" t="s">
        <v>625</v>
      </c>
      <c r="D20" s="24">
        <v>0</v>
      </c>
      <c r="E20" s="24">
        <f>'1.14 Int'!K62</f>
        <v>-88192.093333333498</v>
      </c>
      <c r="F20" s="24">
        <v>0</v>
      </c>
      <c r="G20" s="24">
        <f t="shared" si="0"/>
        <v>88192.093333333498</v>
      </c>
    </row>
    <row r="21" spans="2:9">
      <c r="B21" s="10">
        <v>1.1499999999999999</v>
      </c>
      <c r="C21" s="42" t="s">
        <v>223</v>
      </c>
      <c r="D21" s="24">
        <v>0</v>
      </c>
      <c r="E21" s="24">
        <f>'1.15 Life Ins'!G89</f>
        <v>-18322.467406666798</v>
      </c>
      <c r="F21" s="24">
        <v>0</v>
      </c>
      <c r="G21" s="24">
        <f t="shared" si="0"/>
        <v>18322.467406666798</v>
      </c>
    </row>
    <row r="22" spans="2:9" hidden="1">
      <c r="F22" s="24">
        <v>0</v>
      </c>
      <c r="G22" s="24">
        <f t="shared" si="0"/>
        <v>0</v>
      </c>
    </row>
    <row r="23" spans="2:9" hidden="1">
      <c r="F23" s="24">
        <v>0</v>
      </c>
      <c r="G23" s="24">
        <f t="shared" si="0"/>
        <v>0</v>
      </c>
    </row>
    <row r="24" spans="2:9" hidden="1">
      <c r="F24" s="24">
        <v>0</v>
      </c>
      <c r="G24" s="24">
        <f t="shared" si="0"/>
        <v>0</v>
      </c>
    </row>
    <row r="25" spans="2:9" hidden="1">
      <c r="F25" s="24">
        <v>0</v>
      </c>
      <c r="G25" s="24">
        <f t="shared" si="0"/>
        <v>0</v>
      </c>
    </row>
    <row r="26" spans="2:9">
      <c r="C26" s="3"/>
      <c r="D26" s="24"/>
      <c r="E26" s="25"/>
      <c r="F26" s="24">
        <v>0</v>
      </c>
      <c r="G26" s="24">
        <f t="shared" si="0"/>
        <v>0</v>
      </c>
    </row>
    <row r="27" spans="2:9" ht="13.8" thickBot="1">
      <c r="B27" s="98"/>
      <c r="C27" s="99" t="s">
        <v>43</v>
      </c>
      <c r="D27" s="100">
        <f>SUM(D7:D26)</f>
        <v>-2317638.4700000007</v>
      </c>
      <c r="E27" s="100">
        <f t="shared" ref="E27:G27" si="1">SUM(E7:E26)</f>
        <v>-2550171.2348649641</v>
      </c>
      <c r="F27" s="100">
        <f t="shared" si="1"/>
        <v>-1712191.29</v>
      </c>
      <c r="G27" s="100">
        <f t="shared" si="1"/>
        <v>-1479658.5251350359</v>
      </c>
    </row>
    <row r="28" spans="2:9" ht="13.8" thickTop="1">
      <c r="D28" s="33"/>
      <c r="E28" s="33"/>
      <c r="F28" s="33"/>
      <c r="G28" s="24"/>
    </row>
    <row r="29" spans="2:9">
      <c r="D29" s="24"/>
      <c r="F29" s="24"/>
      <c r="G29" s="24"/>
    </row>
    <row r="30" spans="2:9">
      <c r="D30" s="28"/>
      <c r="E30" s="28"/>
      <c r="F30" s="28"/>
      <c r="G30" s="28"/>
    </row>
    <row r="31" spans="2:9">
      <c r="E31" s="24">
        <f>E27-D27</f>
        <v>-232532.76486496348</v>
      </c>
    </row>
    <row r="32" spans="2:9">
      <c r="B32" s="10" t="s">
        <v>235</v>
      </c>
    </row>
    <row r="33" spans="3:7">
      <c r="C33" s="11" t="s">
        <v>236</v>
      </c>
      <c r="D33" s="24">
        <f>RevReq!E11</f>
        <v>-2317638.4700000007</v>
      </c>
      <c r="E33" s="24">
        <f>RevReq!E29</f>
        <v>-2550171.2348649641</v>
      </c>
      <c r="F33" s="24">
        <f>RevReq!E36</f>
        <v>-1712191.29</v>
      </c>
      <c r="G33" s="24">
        <f>RevReq!E39</f>
        <v>-1479658.5251350366</v>
      </c>
    </row>
    <row r="34" spans="3:7" ht="13.8">
      <c r="C34" s="11" t="s">
        <v>153</v>
      </c>
      <c r="D34" s="96">
        <f>D33-D27</f>
        <v>0</v>
      </c>
      <c r="E34" s="96">
        <f t="shared" ref="E34:F34" si="2">E33-E27</f>
        <v>0</v>
      </c>
      <c r="F34" s="96">
        <f t="shared" si="2"/>
        <v>0</v>
      </c>
      <c r="G34" s="96">
        <f>G33-G27</f>
        <v>0</v>
      </c>
    </row>
    <row r="36" spans="3:7">
      <c r="C36" s="11" t="s">
        <v>237</v>
      </c>
      <c r="D36" s="148">
        <f>'Adj IS'!V12</f>
        <v>-2317638.4700000007</v>
      </c>
      <c r="E36" s="148">
        <f>'Adj IS'!V31</f>
        <v>-2550171.2348649641</v>
      </c>
      <c r="F36" s="148">
        <f>'Adj IS'!V40</f>
        <v>-1712191.29</v>
      </c>
      <c r="G36" s="148">
        <f>'Adj IS'!V42</f>
        <v>-1479658.5251350359</v>
      </c>
    </row>
    <row r="37" spans="3:7" ht="13.8">
      <c r="C37" s="11" t="s">
        <v>153</v>
      </c>
      <c r="D37" s="96">
        <f>D36-D27</f>
        <v>0</v>
      </c>
      <c r="E37" s="96">
        <f>E36-E27</f>
        <v>0</v>
      </c>
      <c r="F37" s="96">
        <f>F36-F27</f>
        <v>0</v>
      </c>
      <c r="G37" s="96">
        <f>G36-G27</f>
        <v>0</v>
      </c>
    </row>
  </sheetData>
  <mergeCells count="2">
    <mergeCell ref="A1:G1"/>
    <mergeCell ref="A2:G2"/>
  </mergeCells>
  <conditionalFormatting sqref="D34:G34">
    <cfRule type="cellIs" dxfId="17" priority="5" operator="notEqual">
      <formula>0</formula>
    </cfRule>
    <cfRule type="cellIs" dxfId="16" priority="6" operator="equal">
      <formula>0</formula>
    </cfRule>
  </conditionalFormatting>
  <conditionalFormatting sqref="D37:G37">
    <cfRule type="cellIs" dxfId="15" priority="1" operator="notEqual">
      <formula>0</formula>
    </cfRule>
    <cfRule type="cellIs" dxfId="14" priority="2" operator="equal">
      <formula>0</formula>
    </cfRule>
  </conditionalFormatting>
  <printOptions horizontalCentered="1"/>
  <pageMargins left="1" right="0.75" top="0.75" bottom="0.5" header="0.5" footer="0.5"/>
  <pageSetup orientation="landscape" r:id="rId1"/>
  <headerFooter alignWithMargins="0">
    <oddFooter>&amp;RRevised Exhibit JW-2
Page &amp;P of &amp;N</oddFooter>
  </headerFooter>
  <ignoredErrors>
    <ignoredError sqref="F27:G27 F34:G3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9"/>
  <sheetViews>
    <sheetView view="pageBreakPreview" zoomScale="75" zoomScaleNormal="75" zoomScaleSheetLayoutView="75" workbookViewId="0">
      <selection activeCell="C43" sqref="C43"/>
    </sheetView>
  </sheetViews>
  <sheetFormatPr defaultColWidth="9.109375" defaultRowHeight="14.4"/>
  <cols>
    <col min="1" max="1" width="9.109375" style="77"/>
    <col min="2" max="2" width="1.5546875" style="77" customWidth="1"/>
    <col min="3" max="3" width="38.44140625" style="73" bestFit="1" customWidth="1"/>
    <col min="4" max="4" width="15.5546875" style="122" bestFit="1" customWidth="1"/>
    <col min="5" max="5" width="16.44140625" style="115" customWidth="1"/>
    <col min="6" max="6" width="18.33203125" style="73" customWidth="1"/>
    <col min="7" max="7" width="4.5546875" style="73" customWidth="1"/>
    <col min="8" max="8" width="13.44140625" style="73" bestFit="1" customWidth="1"/>
    <col min="9" max="9" width="5.88671875" style="73" customWidth="1"/>
    <col min="10" max="16384" width="9.109375" style="73"/>
  </cols>
  <sheetData>
    <row r="1" spans="1:7">
      <c r="A1" s="464" t="str">
        <f>RevReq!A1</f>
        <v>CUMBERLAND VALLEY ELECTRIC</v>
      </c>
      <c r="B1" s="464"/>
      <c r="C1" s="464"/>
      <c r="D1" s="464"/>
      <c r="E1" s="464"/>
      <c r="F1" s="464"/>
      <c r="G1" s="108"/>
    </row>
    <row r="2" spans="1:7">
      <c r="A2" s="464" t="s">
        <v>161</v>
      </c>
      <c r="B2" s="464"/>
      <c r="C2" s="464"/>
      <c r="D2" s="464"/>
      <c r="E2" s="464"/>
      <c r="F2" s="464"/>
      <c r="G2" s="108"/>
    </row>
    <row r="3" spans="1:7">
      <c r="A3" s="108"/>
      <c r="B3" s="108"/>
      <c r="C3" s="108"/>
      <c r="D3" s="118"/>
      <c r="E3" s="112"/>
      <c r="F3" s="108"/>
      <c r="G3" s="108"/>
    </row>
    <row r="4" spans="1:7">
      <c r="A4" s="65"/>
      <c r="B4" s="65"/>
      <c r="C4" s="26"/>
      <c r="D4" s="136"/>
      <c r="E4" s="113"/>
      <c r="F4" s="72"/>
      <c r="G4" s="75"/>
    </row>
    <row r="5" spans="1:7" s="104" customFormat="1">
      <c r="A5" s="72" t="s">
        <v>0</v>
      </c>
      <c r="B5" s="72"/>
      <c r="C5" s="72" t="s">
        <v>1</v>
      </c>
      <c r="D5" s="136" t="s">
        <v>108</v>
      </c>
      <c r="E5" s="113" t="s">
        <v>206</v>
      </c>
      <c r="F5" s="72" t="s">
        <v>109</v>
      </c>
      <c r="G5" s="75"/>
    </row>
    <row r="6" spans="1:7" s="107" customFormat="1">
      <c r="A6" s="105" t="s">
        <v>21</v>
      </c>
      <c r="B6" s="105"/>
      <c r="C6" s="106">
        <v>1</v>
      </c>
      <c r="D6" s="106">
        <f>C6+1</f>
        <v>2</v>
      </c>
      <c r="E6" s="106">
        <f>D6+1</f>
        <v>3</v>
      </c>
      <c r="F6" s="106" t="s">
        <v>25</v>
      </c>
    </row>
    <row r="7" spans="1:7">
      <c r="A7" s="65">
        <v>1</v>
      </c>
      <c r="B7" s="111" t="s">
        <v>162</v>
      </c>
      <c r="C7" s="26"/>
      <c r="D7" s="42"/>
      <c r="E7" s="25"/>
      <c r="F7" s="26"/>
    </row>
    <row r="8" spans="1:7">
      <c r="A8" s="65">
        <f>A7+1</f>
        <v>2</v>
      </c>
      <c r="B8" s="65"/>
      <c r="C8" s="26" t="s">
        <v>163</v>
      </c>
      <c r="D8" s="109">
        <v>111578510</v>
      </c>
      <c r="E8" s="109">
        <v>0</v>
      </c>
      <c r="F8" s="109">
        <f>D8+E8</f>
        <v>111578510</v>
      </c>
    </row>
    <row r="9" spans="1:7">
      <c r="A9" s="65">
        <f t="shared" ref="A9:A69" si="0">A8+1</f>
        <v>3</v>
      </c>
      <c r="B9" s="65"/>
      <c r="C9" s="26" t="s">
        <v>164</v>
      </c>
      <c r="D9" s="109">
        <v>771350</v>
      </c>
      <c r="E9" s="109">
        <v>0</v>
      </c>
      <c r="F9" s="109">
        <f>D9+E9</f>
        <v>771350</v>
      </c>
    </row>
    <row r="10" spans="1:7">
      <c r="A10" s="65">
        <f t="shared" si="0"/>
        <v>4</v>
      </c>
      <c r="B10" s="65"/>
      <c r="C10" s="26" t="s">
        <v>287</v>
      </c>
      <c r="D10" s="109">
        <v>112349860</v>
      </c>
      <c r="E10" s="109">
        <v>0</v>
      </c>
      <c r="F10" s="109">
        <f>D10+E10</f>
        <v>112349860</v>
      </c>
    </row>
    <row r="11" spans="1:7">
      <c r="A11" s="65">
        <f t="shared" si="0"/>
        <v>5</v>
      </c>
      <c r="B11" s="65"/>
      <c r="C11" s="26" t="s">
        <v>165</v>
      </c>
      <c r="D11" s="109">
        <v>-45709364</v>
      </c>
      <c r="E11" s="109">
        <v>0</v>
      </c>
      <c r="F11" s="109">
        <f>D11+E11</f>
        <v>-45709364</v>
      </c>
    </row>
    <row r="12" spans="1:7">
      <c r="A12" s="65">
        <f t="shared" si="0"/>
        <v>6</v>
      </c>
      <c r="B12" s="65"/>
      <c r="C12" s="68" t="s">
        <v>166</v>
      </c>
      <c r="D12" s="114">
        <f>SUM(D10:D11)</f>
        <v>66640496</v>
      </c>
      <c r="E12" s="114">
        <f t="shared" ref="E12:F12" si="1">SUM(E10:E11)</f>
        <v>0</v>
      </c>
      <c r="F12" s="114">
        <f t="shared" si="1"/>
        <v>66640496</v>
      </c>
    </row>
    <row r="13" spans="1:7">
      <c r="A13" s="65">
        <f t="shared" si="0"/>
        <v>7</v>
      </c>
      <c r="B13" s="65"/>
      <c r="C13" s="26"/>
      <c r="D13" s="109"/>
      <c r="E13" s="109"/>
      <c r="F13" s="109"/>
    </row>
    <row r="14" spans="1:7">
      <c r="A14" s="65">
        <f t="shared" si="0"/>
        <v>8</v>
      </c>
      <c r="B14" s="65"/>
      <c r="C14" s="26" t="s">
        <v>167</v>
      </c>
      <c r="D14" s="109">
        <v>32671174</v>
      </c>
      <c r="E14" s="109">
        <v>0</v>
      </c>
      <c r="F14" s="109">
        <f>D14+E14</f>
        <v>32671174</v>
      </c>
    </row>
    <row r="15" spans="1:7">
      <c r="A15" s="65">
        <f t="shared" si="0"/>
        <v>9</v>
      </c>
      <c r="B15" s="65"/>
      <c r="C15" s="26" t="s">
        <v>168</v>
      </c>
      <c r="D15" s="109">
        <v>0</v>
      </c>
      <c r="E15" s="109">
        <v>0</v>
      </c>
      <c r="F15" s="109">
        <f>D15+E15</f>
        <v>0</v>
      </c>
    </row>
    <row r="16" spans="1:7">
      <c r="A16" s="65">
        <f t="shared" si="0"/>
        <v>10</v>
      </c>
      <c r="B16" s="65"/>
      <c r="C16" s="26" t="s">
        <v>169</v>
      </c>
      <c r="D16" s="109">
        <v>890246</v>
      </c>
      <c r="E16" s="109">
        <v>0</v>
      </c>
      <c r="F16" s="109">
        <f>D16+E16</f>
        <v>890246</v>
      </c>
    </row>
    <row r="17" spans="1:6">
      <c r="A17" s="65">
        <f t="shared" si="0"/>
        <v>11</v>
      </c>
      <c r="B17" s="65"/>
      <c r="C17" s="26" t="s">
        <v>170</v>
      </c>
      <c r="D17" s="109">
        <v>981480</v>
      </c>
      <c r="E17" s="109">
        <v>0</v>
      </c>
      <c r="F17" s="109">
        <f>D17+E17</f>
        <v>981480</v>
      </c>
    </row>
    <row r="18" spans="1:6">
      <c r="A18" s="65">
        <f t="shared" si="0"/>
        <v>12</v>
      </c>
      <c r="B18" s="65"/>
      <c r="C18" s="68" t="s">
        <v>171</v>
      </c>
      <c r="D18" s="114">
        <f>SUM(D14:D17)</f>
        <v>34542900</v>
      </c>
      <c r="E18" s="114">
        <f t="shared" ref="E18:F18" si="2">SUM(E14:E17)</f>
        <v>0</v>
      </c>
      <c r="F18" s="114">
        <f t="shared" si="2"/>
        <v>34542900</v>
      </c>
    </row>
    <row r="19" spans="1:6">
      <c r="A19" s="65">
        <f t="shared" si="0"/>
        <v>13</v>
      </c>
      <c r="B19" s="65"/>
      <c r="C19" s="26"/>
      <c r="D19" s="109"/>
      <c r="E19" s="109"/>
      <c r="F19" s="109"/>
    </row>
    <row r="20" spans="1:6">
      <c r="A20" s="65">
        <f t="shared" si="0"/>
        <v>14</v>
      </c>
      <c r="B20" s="65"/>
      <c r="C20" s="26" t="s">
        <v>172</v>
      </c>
      <c r="D20" s="109">
        <v>616952</v>
      </c>
      <c r="E20" s="109">
        <v>0</v>
      </c>
      <c r="F20" s="109">
        <f t="shared" ref="F20:F29" si="3">D20+E20</f>
        <v>616952</v>
      </c>
    </row>
    <row r="21" spans="1:6">
      <c r="A21" s="65">
        <f t="shared" si="0"/>
        <v>15</v>
      </c>
      <c r="B21" s="65"/>
      <c r="C21" s="26" t="s">
        <v>173</v>
      </c>
      <c r="D21" s="109">
        <v>0</v>
      </c>
      <c r="E21" s="109">
        <v>0</v>
      </c>
      <c r="F21" s="109">
        <f t="shared" si="3"/>
        <v>0</v>
      </c>
    </row>
    <row r="22" spans="1:6">
      <c r="A22" s="65">
        <f t="shared" si="0"/>
        <v>16</v>
      </c>
      <c r="B22" s="65"/>
      <c r="C22" s="26" t="s">
        <v>174</v>
      </c>
      <c r="D22" s="109">
        <v>4300</v>
      </c>
      <c r="E22" s="109">
        <v>0</v>
      </c>
      <c r="F22" s="109">
        <f t="shared" si="3"/>
        <v>4300</v>
      </c>
    </row>
    <row r="23" spans="1:6">
      <c r="A23" s="65">
        <f t="shared" si="0"/>
        <v>17</v>
      </c>
      <c r="B23" s="65"/>
      <c r="C23" s="26" t="s">
        <v>175</v>
      </c>
      <c r="D23" s="109">
        <v>0</v>
      </c>
      <c r="E23" s="109">
        <v>0</v>
      </c>
      <c r="F23" s="109">
        <f t="shared" si="3"/>
        <v>0</v>
      </c>
    </row>
    <row r="24" spans="1:6">
      <c r="A24" s="65">
        <f t="shared" si="0"/>
        <v>18</v>
      </c>
      <c r="B24" s="65"/>
      <c r="C24" s="26" t="s">
        <v>177</v>
      </c>
      <c r="D24" s="109">
        <v>3835315</v>
      </c>
      <c r="E24" s="109">
        <v>0</v>
      </c>
      <c r="F24" s="109">
        <f t="shared" si="3"/>
        <v>3835315</v>
      </c>
    </row>
    <row r="25" spans="1:6">
      <c r="A25" s="65">
        <f t="shared" si="0"/>
        <v>19</v>
      </c>
      <c r="B25" s="65"/>
      <c r="C25" s="26" t="s">
        <v>176</v>
      </c>
      <c r="D25" s="109">
        <v>1612801</v>
      </c>
      <c r="E25" s="109">
        <v>0</v>
      </c>
      <c r="F25" s="109">
        <f t="shared" si="3"/>
        <v>1612801</v>
      </c>
    </row>
    <row r="26" spans="1:6">
      <c r="A26" s="65">
        <f t="shared" si="0"/>
        <v>20</v>
      </c>
      <c r="B26" s="65"/>
      <c r="C26" s="26" t="s">
        <v>178</v>
      </c>
      <c r="D26" s="409">
        <v>0</v>
      </c>
      <c r="E26" s="109">
        <v>0</v>
      </c>
      <c r="F26" s="109">
        <f t="shared" si="3"/>
        <v>0</v>
      </c>
    </row>
    <row r="27" spans="1:6">
      <c r="A27" s="65">
        <f t="shared" si="0"/>
        <v>21</v>
      </c>
      <c r="B27" s="65"/>
      <c r="C27" s="26" t="s">
        <v>179</v>
      </c>
      <c r="D27" s="109">
        <v>1468079</v>
      </c>
      <c r="E27" s="109">
        <v>0</v>
      </c>
      <c r="F27" s="109">
        <f t="shared" si="3"/>
        <v>1468079</v>
      </c>
    </row>
    <row r="28" spans="1:6">
      <c r="A28" s="65">
        <f t="shared" si="0"/>
        <v>22</v>
      </c>
      <c r="B28" s="65"/>
      <c r="C28" s="26" t="s">
        <v>180</v>
      </c>
      <c r="D28" s="109">
        <v>38118</v>
      </c>
      <c r="E28" s="109">
        <v>0</v>
      </c>
      <c r="F28" s="109">
        <f t="shared" si="3"/>
        <v>38118</v>
      </c>
    </row>
    <row r="29" spans="1:6">
      <c r="A29" s="65">
        <f t="shared" si="0"/>
        <v>23</v>
      </c>
      <c r="B29" s="65"/>
      <c r="C29" s="26" t="s">
        <v>181</v>
      </c>
      <c r="D29" s="109">
        <v>9626</v>
      </c>
      <c r="E29" s="109">
        <v>0</v>
      </c>
      <c r="F29" s="109">
        <f t="shared" si="3"/>
        <v>9626</v>
      </c>
    </row>
    <row r="30" spans="1:6">
      <c r="A30" s="65">
        <f t="shared" si="0"/>
        <v>24</v>
      </c>
      <c r="B30" s="65"/>
      <c r="C30" s="68" t="s">
        <v>182</v>
      </c>
      <c r="D30" s="114">
        <f>SUM(D20:D29)</f>
        <v>7585191</v>
      </c>
      <c r="E30" s="114">
        <f t="shared" ref="E30:F30" si="4">SUM(E20:E29)</f>
        <v>0</v>
      </c>
      <c r="F30" s="114">
        <f t="shared" si="4"/>
        <v>7585191</v>
      </c>
    </row>
    <row r="31" spans="1:6">
      <c r="A31" s="65">
        <f t="shared" si="0"/>
        <v>25</v>
      </c>
      <c r="B31" s="65"/>
      <c r="C31" s="26"/>
      <c r="D31" s="109"/>
      <c r="E31" s="109"/>
      <c r="F31" s="109"/>
    </row>
    <row r="32" spans="1:6">
      <c r="A32" s="65">
        <f t="shared" si="0"/>
        <v>26</v>
      </c>
      <c r="B32" s="65"/>
      <c r="C32" s="26" t="s">
        <v>183</v>
      </c>
      <c r="D32" s="109">
        <v>0</v>
      </c>
      <c r="E32" s="109">
        <v>0</v>
      </c>
      <c r="F32" s="109">
        <f>D32+E32</f>
        <v>0</v>
      </c>
    </row>
    <row r="33" spans="1:6">
      <c r="A33" s="65">
        <f t="shared" si="0"/>
        <v>27</v>
      </c>
      <c r="B33" s="65"/>
      <c r="C33" s="26" t="s">
        <v>184</v>
      </c>
      <c r="D33" s="109">
        <v>518451</v>
      </c>
      <c r="E33" s="109">
        <v>0</v>
      </c>
      <c r="F33" s="109">
        <f>D33+E33</f>
        <v>518451</v>
      </c>
    </row>
    <row r="34" spans="1:6">
      <c r="A34" s="65">
        <f t="shared" si="0"/>
        <v>28</v>
      </c>
      <c r="B34" s="65"/>
      <c r="C34" s="26"/>
      <c r="D34" s="38"/>
      <c r="E34" s="109"/>
      <c r="F34" s="109"/>
    </row>
    <row r="35" spans="1:6" ht="15" thickBot="1">
      <c r="A35" s="65">
        <f t="shared" si="0"/>
        <v>29</v>
      </c>
      <c r="B35" s="65"/>
      <c r="C35" s="76" t="s">
        <v>185</v>
      </c>
      <c r="D35" s="117">
        <f>D33+D32+D30+D18+D12</f>
        <v>109287038</v>
      </c>
      <c r="E35" s="117">
        <f t="shared" ref="E35:F35" si="5">E33+E32+E30+E18+E12</f>
        <v>0</v>
      </c>
      <c r="F35" s="117">
        <f t="shared" si="5"/>
        <v>109287038</v>
      </c>
    </row>
    <row r="36" spans="1:6" ht="15" thickTop="1">
      <c r="A36" s="65">
        <f t="shared" si="0"/>
        <v>30</v>
      </c>
      <c r="B36" s="65"/>
      <c r="C36" s="103"/>
      <c r="D36" s="116"/>
      <c r="E36" s="109"/>
      <c r="F36" s="109"/>
    </row>
    <row r="37" spans="1:6">
      <c r="A37" s="65">
        <f t="shared" si="0"/>
        <v>31</v>
      </c>
      <c r="B37" s="110" t="s">
        <v>186</v>
      </c>
      <c r="C37" s="26"/>
      <c r="D37" s="109"/>
      <c r="E37" s="109"/>
      <c r="F37" s="109"/>
    </row>
    <row r="38" spans="1:6">
      <c r="A38" s="65">
        <f t="shared" si="0"/>
        <v>32</v>
      </c>
      <c r="B38" s="65"/>
      <c r="C38" s="26" t="s">
        <v>187</v>
      </c>
      <c r="D38" s="109">
        <v>-441205</v>
      </c>
      <c r="E38" s="25">
        <v>0</v>
      </c>
      <c r="F38" s="109">
        <f>D38+E38</f>
        <v>-441205</v>
      </c>
    </row>
    <row r="39" spans="1:6">
      <c r="A39" s="65">
        <f t="shared" si="0"/>
        <v>33</v>
      </c>
      <c r="B39" s="65"/>
      <c r="C39" s="26" t="s">
        <v>188</v>
      </c>
      <c r="D39" s="109">
        <v>-51665303</v>
      </c>
      <c r="E39" s="109">
        <v>0</v>
      </c>
      <c r="F39" s="109">
        <f>D39+E39</f>
        <v>-51665303</v>
      </c>
    </row>
    <row r="40" spans="1:6">
      <c r="A40" s="65">
        <f t="shared" si="0"/>
        <v>34</v>
      </c>
      <c r="B40" s="65"/>
      <c r="C40" s="26" t="s">
        <v>189</v>
      </c>
      <c r="D40" s="109">
        <v>-2122299</v>
      </c>
      <c r="E40" s="109">
        <v>0</v>
      </c>
      <c r="F40" s="109">
        <f>D40+E40</f>
        <v>-2122299</v>
      </c>
    </row>
    <row r="41" spans="1:6">
      <c r="A41" s="65">
        <f t="shared" si="0"/>
        <v>35</v>
      </c>
      <c r="B41" s="65"/>
      <c r="C41" s="26" t="s">
        <v>190</v>
      </c>
      <c r="D41" s="109">
        <v>-221194</v>
      </c>
      <c r="E41" s="109">
        <v>0</v>
      </c>
      <c r="F41" s="109">
        <f>D41+E41</f>
        <v>-221194</v>
      </c>
    </row>
    <row r="42" spans="1:6">
      <c r="A42" s="65">
        <f t="shared" si="0"/>
        <v>36</v>
      </c>
      <c r="B42" s="65"/>
      <c r="C42" s="26" t="s">
        <v>191</v>
      </c>
      <c r="D42" s="109">
        <v>939882</v>
      </c>
      <c r="E42" s="109">
        <v>0</v>
      </c>
      <c r="F42" s="109">
        <f>D42+E42</f>
        <v>939882</v>
      </c>
    </row>
    <row r="43" spans="1:6">
      <c r="A43" s="65">
        <f t="shared" si="0"/>
        <v>37</v>
      </c>
      <c r="B43" s="65"/>
      <c r="C43" s="68" t="s">
        <v>192</v>
      </c>
      <c r="D43" s="114">
        <f>SUM(D38:D42)</f>
        <v>-53510119</v>
      </c>
      <c r="E43" s="114">
        <f t="shared" ref="E43:F43" si="6">SUM(E38:E42)</f>
        <v>0</v>
      </c>
      <c r="F43" s="114">
        <f t="shared" si="6"/>
        <v>-53510119</v>
      </c>
    </row>
    <row r="44" spans="1:6">
      <c r="A44" s="65">
        <f t="shared" si="0"/>
        <v>38</v>
      </c>
      <c r="B44" s="65"/>
      <c r="C44" s="26"/>
      <c r="D44" s="109"/>
      <c r="E44" s="109"/>
      <c r="F44" s="109"/>
    </row>
    <row r="45" spans="1:6">
      <c r="A45" s="65">
        <f t="shared" si="0"/>
        <v>39</v>
      </c>
      <c r="B45" s="65"/>
      <c r="C45" s="26" t="s">
        <v>288</v>
      </c>
      <c r="D45" s="116">
        <v>-678295</v>
      </c>
      <c r="E45" s="109">
        <v>0</v>
      </c>
      <c r="F45" s="109">
        <f>D45+E45</f>
        <v>-678295</v>
      </c>
    </row>
    <row r="46" spans="1:6">
      <c r="A46" s="65">
        <f t="shared" si="0"/>
        <v>40</v>
      </c>
      <c r="B46" s="65"/>
      <c r="C46" s="26" t="s">
        <v>193</v>
      </c>
      <c r="D46" s="116">
        <v>-40252611</v>
      </c>
      <c r="E46" s="109">
        <v>0</v>
      </c>
      <c r="F46" s="109">
        <f>D46+E46</f>
        <v>-40252611</v>
      </c>
    </row>
    <row r="47" spans="1:6">
      <c r="A47" s="65">
        <f t="shared" si="0"/>
        <v>41</v>
      </c>
      <c r="B47" s="65"/>
      <c r="C47" s="26" t="s">
        <v>289</v>
      </c>
      <c r="D47" s="116">
        <v>-3255909</v>
      </c>
      <c r="E47" s="109">
        <v>0</v>
      </c>
      <c r="F47" s="109">
        <f>D47+E47</f>
        <v>-3255909</v>
      </c>
    </row>
    <row r="48" spans="1:6">
      <c r="A48" s="65">
        <f t="shared" si="0"/>
        <v>42</v>
      </c>
      <c r="B48" s="65"/>
      <c r="C48" s="26" t="s">
        <v>194</v>
      </c>
      <c r="D48" s="116">
        <v>-862214</v>
      </c>
      <c r="E48" s="109">
        <v>0</v>
      </c>
      <c r="F48" s="109">
        <f>D48+E48</f>
        <v>-862214</v>
      </c>
    </row>
    <row r="49" spans="1:6">
      <c r="A49" s="65">
        <f t="shared" si="0"/>
        <v>43</v>
      </c>
      <c r="B49" s="65"/>
      <c r="C49" s="26" t="s">
        <v>195</v>
      </c>
      <c r="D49" s="116">
        <v>1776298</v>
      </c>
      <c r="E49" s="109">
        <v>0</v>
      </c>
      <c r="F49" s="109">
        <f>D49+E49</f>
        <v>1776298</v>
      </c>
    </row>
    <row r="50" spans="1:6">
      <c r="A50" s="65">
        <f t="shared" si="0"/>
        <v>44</v>
      </c>
      <c r="B50" s="65"/>
      <c r="C50" s="68" t="s">
        <v>196</v>
      </c>
      <c r="D50" s="114">
        <f>SUM(D45:D49)</f>
        <v>-43272731</v>
      </c>
      <c r="E50" s="114">
        <f t="shared" ref="E50:F50" si="7">SUM(E45:E49)</f>
        <v>0</v>
      </c>
      <c r="F50" s="114">
        <f t="shared" si="7"/>
        <v>-43272731</v>
      </c>
    </row>
    <row r="51" spans="1:6">
      <c r="A51" s="65">
        <f t="shared" si="0"/>
        <v>45</v>
      </c>
      <c r="B51" s="65"/>
      <c r="C51" s="26"/>
      <c r="D51" s="109"/>
      <c r="E51" s="109"/>
      <c r="F51" s="109"/>
    </row>
    <row r="52" spans="1:6">
      <c r="A52" s="65">
        <f t="shared" si="0"/>
        <v>46</v>
      </c>
      <c r="B52" s="65"/>
      <c r="C52" s="103" t="s">
        <v>197</v>
      </c>
      <c r="D52" s="109">
        <v>-4009602</v>
      </c>
      <c r="E52" s="109">
        <v>0</v>
      </c>
      <c r="F52" s="109">
        <f>D52+E52</f>
        <v>-4009602</v>
      </c>
    </row>
    <row r="53" spans="1:6">
      <c r="A53" s="65">
        <f t="shared" si="0"/>
        <v>47</v>
      </c>
      <c r="B53" s="65"/>
      <c r="C53" s="26"/>
      <c r="D53" s="109"/>
      <c r="E53" s="109"/>
      <c r="F53" s="109"/>
    </row>
    <row r="54" spans="1:6">
      <c r="A54" s="65">
        <f t="shared" si="0"/>
        <v>48</v>
      </c>
      <c r="B54" s="65"/>
      <c r="C54" s="103" t="s">
        <v>198</v>
      </c>
      <c r="D54" s="109">
        <v>0</v>
      </c>
      <c r="E54" s="109">
        <v>0</v>
      </c>
      <c r="F54" s="109">
        <f>D54+E54</f>
        <v>0</v>
      </c>
    </row>
    <row r="55" spans="1:6">
      <c r="A55" s="65">
        <f t="shared" si="0"/>
        <v>49</v>
      </c>
      <c r="B55" s="65"/>
      <c r="C55" s="103" t="s">
        <v>199</v>
      </c>
      <c r="D55" s="109">
        <v>-3329829</v>
      </c>
      <c r="E55" s="109">
        <v>0</v>
      </c>
      <c r="F55" s="109">
        <f>D55+E55</f>
        <v>-3329829</v>
      </c>
    </row>
    <row r="56" spans="1:6">
      <c r="A56" s="65">
        <f t="shared" si="0"/>
        <v>50</v>
      </c>
      <c r="B56" s="65"/>
      <c r="C56" s="103" t="s">
        <v>200</v>
      </c>
      <c r="D56" s="109">
        <v>-1112174</v>
      </c>
      <c r="E56" s="109">
        <v>0</v>
      </c>
      <c r="F56" s="109">
        <f>D56+E56</f>
        <v>-1112174</v>
      </c>
    </row>
    <row r="57" spans="1:6">
      <c r="A57" s="65">
        <f t="shared" si="0"/>
        <v>51</v>
      </c>
      <c r="B57" s="65"/>
      <c r="C57" s="103" t="s">
        <v>290</v>
      </c>
      <c r="D57" s="109">
        <v>-2136088</v>
      </c>
      <c r="E57" s="109"/>
      <c r="F57" s="109"/>
    </row>
    <row r="58" spans="1:6">
      <c r="A58" s="65">
        <f t="shared" si="0"/>
        <v>52</v>
      </c>
      <c r="B58" s="65"/>
      <c r="C58" s="103" t="s">
        <v>291</v>
      </c>
      <c r="D58" s="109">
        <v>-91743</v>
      </c>
      <c r="E58" s="109"/>
      <c r="F58" s="109"/>
    </row>
    <row r="59" spans="1:6">
      <c r="A59" s="65">
        <f t="shared" si="0"/>
        <v>53</v>
      </c>
      <c r="B59" s="65"/>
      <c r="C59" s="103" t="s">
        <v>201</v>
      </c>
      <c r="D59" s="109">
        <v>-1592111</v>
      </c>
      <c r="E59" s="109">
        <v>0</v>
      </c>
      <c r="F59" s="109">
        <f>D59+E59</f>
        <v>-1592111</v>
      </c>
    </row>
    <row r="60" spans="1:6">
      <c r="A60" s="65">
        <f t="shared" si="0"/>
        <v>54</v>
      </c>
      <c r="B60" s="65"/>
      <c r="C60" s="68" t="s">
        <v>202</v>
      </c>
      <c r="D60" s="114">
        <f>SUM(D54:D59)</f>
        <v>-8261945</v>
      </c>
      <c r="E60" s="114">
        <f t="shared" ref="E60:F60" si="8">SUM(E54:E59)</f>
        <v>0</v>
      </c>
      <c r="F60" s="114">
        <f t="shared" si="8"/>
        <v>-6034114</v>
      </c>
    </row>
    <row r="61" spans="1:6">
      <c r="A61" s="65">
        <f t="shared" si="0"/>
        <v>55</v>
      </c>
      <c r="B61" s="65"/>
      <c r="C61" s="26"/>
      <c r="D61" s="109"/>
      <c r="E61" s="109"/>
      <c r="F61" s="109"/>
    </row>
    <row r="62" spans="1:6">
      <c r="A62" s="65">
        <f t="shared" si="0"/>
        <v>56</v>
      </c>
      <c r="B62" s="65"/>
      <c r="C62" s="103" t="s">
        <v>203</v>
      </c>
      <c r="D62" s="109">
        <v>0</v>
      </c>
      <c r="E62" s="109">
        <v>0</v>
      </c>
      <c r="F62" s="109">
        <f>D62+E62</f>
        <v>0</v>
      </c>
    </row>
    <row r="63" spans="1:6">
      <c r="A63" s="65">
        <f t="shared" si="0"/>
        <v>57</v>
      </c>
      <c r="B63" s="65"/>
      <c r="C63" s="103" t="s">
        <v>204</v>
      </c>
      <c r="D63" s="109">
        <v>-232641</v>
      </c>
      <c r="E63" s="109">
        <v>0</v>
      </c>
      <c r="F63" s="109">
        <f>D63+E63</f>
        <v>-232641</v>
      </c>
    </row>
    <row r="64" spans="1:6" ht="15" thickBot="1">
      <c r="A64" s="65">
        <f t="shared" si="0"/>
        <v>58</v>
      </c>
      <c r="B64" s="65"/>
      <c r="C64" s="76" t="s">
        <v>205</v>
      </c>
      <c r="D64" s="117">
        <f>D63+D62+D60+D52+D50+D43</f>
        <v>-109287038</v>
      </c>
      <c r="E64" s="117">
        <f t="shared" ref="E64:F64" si="9">E63+E62+E60+E52+E50+E43</f>
        <v>0</v>
      </c>
      <c r="F64" s="117">
        <f t="shared" si="9"/>
        <v>-107059207</v>
      </c>
    </row>
    <row r="65" spans="1:6" ht="15" thickTop="1">
      <c r="A65" s="65">
        <f t="shared" si="0"/>
        <v>59</v>
      </c>
      <c r="B65" s="65"/>
      <c r="C65" s="26"/>
      <c r="D65" s="109"/>
      <c r="E65" s="109"/>
      <c r="F65" s="109"/>
    </row>
    <row r="66" spans="1:6">
      <c r="A66" s="65">
        <f t="shared" si="0"/>
        <v>60</v>
      </c>
      <c r="B66" s="65"/>
      <c r="C66" s="103" t="s">
        <v>292</v>
      </c>
      <c r="D66" s="38"/>
      <c r="E66" s="109"/>
      <c r="F66" s="109"/>
    </row>
    <row r="67" spans="1:6">
      <c r="A67" s="65">
        <f t="shared" si="0"/>
        <v>61</v>
      </c>
      <c r="B67" s="65"/>
      <c r="C67" s="103" t="s">
        <v>293</v>
      </c>
      <c r="D67" s="109">
        <v>0</v>
      </c>
      <c r="E67" s="109">
        <v>0</v>
      </c>
      <c r="F67" s="109">
        <f>D67+E67</f>
        <v>0</v>
      </c>
    </row>
    <row r="68" spans="1:6">
      <c r="A68" s="65">
        <f t="shared" si="0"/>
        <v>62</v>
      </c>
      <c r="B68" s="65"/>
      <c r="C68" s="103" t="s">
        <v>294</v>
      </c>
      <c r="D68" s="109">
        <v>192359</v>
      </c>
      <c r="E68" s="109">
        <v>0</v>
      </c>
      <c r="F68" s="109">
        <f>D68+E68</f>
        <v>192359</v>
      </c>
    </row>
    <row r="69" spans="1:6">
      <c r="A69" s="65">
        <f t="shared" si="0"/>
        <v>63</v>
      </c>
      <c r="B69" s="65"/>
      <c r="C69" s="68" t="s">
        <v>295</v>
      </c>
      <c r="D69" s="114">
        <f>SUM(D67:D68)</f>
        <v>192359</v>
      </c>
      <c r="E69" s="114">
        <f t="shared" ref="E69:F69" si="10">SUM(E67:E68)</f>
        <v>0</v>
      </c>
      <c r="F69" s="114">
        <f t="shared" si="10"/>
        <v>192359</v>
      </c>
    </row>
  </sheetData>
  <mergeCells count="2">
    <mergeCell ref="A1:F1"/>
    <mergeCell ref="A2:F2"/>
  </mergeCells>
  <printOptions horizontalCentered="1"/>
  <pageMargins left="1" right="0.75" top="0.75" bottom="0.75" header="0.3" footer="0.3"/>
  <pageSetup scale="68" orientation="portrait" r:id="rId1"/>
  <headerFooter>
    <oddFooter>&amp;RRevised Exhibit  JW-2
Page &amp;P of &amp;N</oddFooter>
  </headerFooter>
  <ignoredErrors>
    <ignoredError sqref="D12:E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AI151"/>
  <sheetViews>
    <sheetView defaultGridColor="0" view="pageBreakPreview" colorId="22" zoomScale="75" zoomScaleNormal="75" zoomScaleSheetLayoutView="75" workbookViewId="0">
      <pane xSplit="2" ySplit="6" topLeftCell="C7" activePane="bottomRight" state="frozen"/>
      <selection activeCell="C43" sqref="C43"/>
      <selection pane="topRight" activeCell="C43" sqref="C43"/>
      <selection pane="bottomLeft" activeCell="C43" sqref="C43"/>
      <selection pane="bottomRight" activeCell="C43" sqref="C43"/>
    </sheetView>
  </sheetViews>
  <sheetFormatPr defaultColWidth="12.5546875" defaultRowHeight="13.8"/>
  <cols>
    <col min="1" max="1" width="6.109375" style="83" customWidth="1"/>
    <col min="2" max="2" width="33.109375" style="81" customWidth="1"/>
    <col min="3" max="3" width="12.33203125" style="81" customWidth="1"/>
    <col min="4" max="4" width="15.5546875" style="81" customWidth="1"/>
    <col min="5" max="5" width="13" style="81" bestFit="1" customWidth="1"/>
    <col min="6" max="6" width="14.33203125" style="81" customWidth="1"/>
    <col min="7" max="7" width="11.88671875" style="81" bestFit="1" customWidth="1"/>
    <col min="8" max="8" width="13.88671875" style="81" customWidth="1"/>
    <col min="9" max="9" width="14.33203125" style="81" customWidth="1"/>
    <col min="10" max="10" width="12.88671875" style="81" bestFit="1" customWidth="1"/>
    <col min="11" max="11" width="13.88671875" style="81" customWidth="1"/>
    <col min="12" max="12" width="10.6640625" style="81" customWidth="1"/>
    <col min="13" max="13" width="14" style="81" customWidth="1"/>
    <col min="14" max="16" width="11.88671875" style="81" customWidth="1"/>
    <col min="17" max="17" width="13.33203125" style="81" customWidth="1"/>
    <col min="18" max="18" width="12" style="81" hidden="1" customWidth="1"/>
    <col min="19" max="19" width="14.44140625" style="81" hidden="1" customWidth="1"/>
    <col min="20" max="20" width="11.44140625" style="81" hidden="1" customWidth="1"/>
    <col min="21" max="21" width="11.33203125" style="81" hidden="1" customWidth="1"/>
    <col min="22" max="22" width="11.88671875" style="81" bestFit="1" customWidth="1"/>
    <col min="23" max="23" width="3.5546875" style="81" customWidth="1"/>
    <col min="24" max="24" width="15.5546875" style="81" bestFit="1" customWidth="1"/>
    <col min="25" max="25" width="12.6640625" style="81" bestFit="1" customWidth="1"/>
    <col min="26" max="16384" width="12.5546875" style="81"/>
  </cols>
  <sheetData>
    <row r="1" spans="1:35">
      <c r="A1" s="82"/>
      <c r="B1" s="97" t="str">
        <f>RevReq!A1</f>
        <v>CUMBERLAND VALLEY ELECTRIC</v>
      </c>
      <c r="C1" s="78"/>
      <c r="D1" s="78"/>
      <c r="E1" s="78"/>
      <c r="F1" s="78"/>
      <c r="G1" s="78"/>
      <c r="H1" s="78"/>
      <c r="I1" s="78"/>
      <c r="J1" s="78"/>
      <c r="K1" s="78"/>
      <c r="L1" s="78"/>
      <c r="M1" s="78"/>
      <c r="N1" s="78"/>
      <c r="O1" s="78"/>
      <c r="P1" s="78"/>
      <c r="Q1" s="78"/>
      <c r="R1" s="78"/>
      <c r="S1" s="78"/>
      <c r="T1" s="78"/>
      <c r="U1" s="78"/>
      <c r="V1" s="78"/>
      <c r="W1" s="79"/>
      <c r="X1" s="80"/>
      <c r="Y1" s="80"/>
      <c r="Z1" s="80"/>
      <c r="AA1" s="80"/>
      <c r="AB1" s="80"/>
      <c r="AC1" s="80"/>
      <c r="AD1" s="80"/>
      <c r="AE1" s="80"/>
      <c r="AF1" s="80"/>
      <c r="AG1" s="80"/>
      <c r="AH1" s="80"/>
      <c r="AI1" s="80"/>
    </row>
    <row r="2" spans="1:35">
      <c r="A2" s="82"/>
      <c r="B2" s="97" t="s">
        <v>160</v>
      </c>
      <c r="C2" s="78"/>
      <c r="D2" s="78"/>
      <c r="E2" s="78"/>
      <c r="F2" s="78"/>
      <c r="G2" s="78"/>
      <c r="H2" s="78"/>
      <c r="I2" s="78"/>
      <c r="J2" s="78"/>
      <c r="K2" s="78"/>
      <c r="L2" s="78"/>
      <c r="M2" s="78"/>
      <c r="N2" s="78"/>
      <c r="O2" s="78"/>
      <c r="P2" s="78"/>
      <c r="Q2" s="78"/>
      <c r="R2" s="78"/>
      <c r="S2" s="78"/>
      <c r="T2" s="78"/>
      <c r="U2" s="78"/>
      <c r="V2" s="78"/>
      <c r="W2" s="79"/>
      <c r="X2" s="80"/>
      <c r="Y2" s="80"/>
      <c r="Z2" s="80"/>
      <c r="AA2" s="80"/>
      <c r="AB2" s="80"/>
      <c r="AC2" s="80"/>
      <c r="AD2" s="80"/>
      <c r="AE2" s="80"/>
      <c r="AF2" s="80"/>
      <c r="AG2" s="80"/>
      <c r="AH2" s="80"/>
      <c r="AI2" s="80"/>
    </row>
    <row r="3" spans="1:35" s="83" customForma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row>
    <row r="4" spans="1:35">
      <c r="A4" s="82"/>
      <c r="B4" s="79" t="s">
        <v>240</v>
      </c>
      <c r="C4" s="82">
        <f>'Adj List'!B7</f>
        <v>1.01</v>
      </c>
      <c r="D4" s="82">
        <f>'Adj List'!B8</f>
        <v>1.02</v>
      </c>
      <c r="E4" s="82">
        <f>'Adj List'!B9</f>
        <v>1.03</v>
      </c>
      <c r="F4" s="82">
        <f>'Adj List'!B10</f>
        <v>1.04</v>
      </c>
      <c r="G4" s="82">
        <f>'Adj List'!B11</f>
        <v>1.05</v>
      </c>
      <c r="H4" s="82">
        <f>'Adj List'!B12</f>
        <v>1.06</v>
      </c>
      <c r="I4" s="82">
        <f>'Adj List'!B13</f>
        <v>1.07</v>
      </c>
      <c r="J4" s="82">
        <f>'Adj List'!B14</f>
        <v>1.08</v>
      </c>
      <c r="K4" s="82">
        <f>'Adj List'!B15</f>
        <v>1.0900000000000001</v>
      </c>
      <c r="L4" s="84">
        <f>'Adj List'!B16</f>
        <v>1.1000000000000001</v>
      </c>
      <c r="M4" s="82">
        <f>'Adj List'!B17</f>
        <v>1.1100000000000001</v>
      </c>
      <c r="N4" s="82">
        <f>'Adj List'!B18</f>
        <v>1.1200000000000001</v>
      </c>
      <c r="O4" s="82">
        <f>'Adj List'!B19</f>
        <v>1.1299999999999999</v>
      </c>
      <c r="P4" s="82">
        <f>'Adj List'!B20</f>
        <v>1.1399999999999999</v>
      </c>
      <c r="Q4" s="82">
        <f>'Adj List'!B21</f>
        <v>1.1499999999999999</v>
      </c>
      <c r="R4" s="82"/>
      <c r="S4" s="82"/>
      <c r="T4" s="82"/>
      <c r="U4" s="82"/>
      <c r="V4" s="80"/>
      <c r="W4" s="80"/>
      <c r="X4" s="80"/>
      <c r="Y4" s="80"/>
      <c r="Z4" s="80"/>
      <c r="AA4" s="80"/>
      <c r="AB4" s="80"/>
      <c r="AC4" s="80"/>
      <c r="AD4" s="80"/>
      <c r="AE4" s="80"/>
      <c r="AF4" s="80"/>
      <c r="AG4" s="80"/>
      <c r="AH4" s="80"/>
      <c r="AI4" s="80"/>
    </row>
    <row r="5" spans="1:35" ht="9" customHeight="1">
      <c r="A5" s="82"/>
      <c r="B5" s="80"/>
      <c r="C5" s="82"/>
      <c r="D5" s="82"/>
      <c r="E5" s="82"/>
      <c r="F5" s="82"/>
      <c r="G5" s="82"/>
      <c r="H5" s="82"/>
      <c r="I5" s="82"/>
      <c r="J5" s="82"/>
      <c r="K5" s="82"/>
      <c r="L5" s="82"/>
      <c r="M5" s="82"/>
      <c r="N5" s="82"/>
      <c r="O5" s="82"/>
      <c r="P5" s="82"/>
      <c r="Q5" s="82"/>
      <c r="R5" s="85"/>
      <c r="S5" s="85"/>
      <c r="T5" s="82"/>
      <c r="U5" s="82"/>
      <c r="V5" s="82"/>
      <c r="W5" s="80"/>
      <c r="X5" s="80"/>
      <c r="Y5" s="80"/>
      <c r="Z5" s="80"/>
      <c r="AA5" s="80"/>
      <c r="AB5" s="80"/>
      <c r="AC5" s="80"/>
      <c r="AD5" s="80"/>
      <c r="AE5" s="80"/>
      <c r="AF5" s="80"/>
      <c r="AG5" s="80"/>
      <c r="AH5" s="80"/>
      <c r="AI5" s="80"/>
    </row>
    <row r="6" spans="1:35" s="87" customFormat="1" ht="59.25" customHeight="1">
      <c r="A6" s="86"/>
      <c r="B6" s="147" t="s">
        <v>241</v>
      </c>
      <c r="C6" s="86" t="str">
        <f>'Adj List'!C7</f>
        <v>Fuel Adjustment Clause</v>
      </c>
      <c r="D6" s="86" t="str">
        <f>'Adj List'!C8</f>
        <v>Environmental Surcharge</v>
      </c>
      <c r="E6" s="86" t="str">
        <f>'Adj List'!C9</f>
        <v>Rate Case Expenses</v>
      </c>
      <c r="F6" s="86" t="str">
        <f>'Adj List'!C10</f>
        <v>Year-End Customer Normalization</v>
      </c>
      <c r="G6" s="86" t="str">
        <f>'Adj List'!C11</f>
        <v>Depreciation Expense Normalization</v>
      </c>
      <c r="H6" s="86" t="str">
        <f>'Adj List'!C12</f>
        <v>Donations, Advertising, Dues, &amp; Other</v>
      </c>
      <c r="I6" s="86" t="str">
        <f>'Adj List'!C13</f>
        <v>Miscellaneous Expenses</v>
      </c>
      <c r="J6" s="86" t="str">
        <f>'Adj List'!C14</f>
        <v>Directors Expense</v>
      </c>
      <c r="K6" s="86" t="str">
        <f>'Adj List'!C15</f>
        <v>Retirement Plan Contributions</v>
      </c>
      <c r="L6" s="86" t="str">
        <f>'Adj List'!C16</f>
        <v>Wages &amp; Salaries</v>
      </c>
      <c r="M6" s="86" t="str">
        <f>'Adj List'!C17</f>
        <v>Professional Services</v>
      </c>
      <c r="N6" s="86" t="str">
        <f>'Adj List'!C18</f>
        <v>G&amp;T Capital Credits</v>
      </c>
      <c r="O6" s="86" t="str">
        <f>'Adj List'!C19</f>
        <v>Payroll Tax</v>
      </c>
      <c r="P6" s="86" t="str">
        <f>'Adj List'!C20</f>
        <v>Interest</v>
      </c>
      <c r="Q6" s="86" t="str">
        <f>'Adj List'!C21</f>
        <v>Life Insurance Premiums</v>
      </c>
      <c r="R6" s="86"/>
      <c r="S6" s="86"/>
      <c r="T6" s="86"/>
      <c r="U6" s="86"/>
      <c r="V6" s="86" t="s">
        <v>14</v>
      </c>
      <c r="W6" s="86"/>
      <c r="X6" s="86" t="s">
        <v>238</v>
      </c>
      <c r="Y6" s="86"/>
      <c r="Z6" s="86"/>
      <c r="AA6" s="86"/>
      <c r="AB6" s="86"/>
      <c r="AC6" s="86"/>
      <c r="AD6" s="86"/>
      <c r="AE6" s="86"/>
      <c r="AF6" s="86"/>
      <c r="AG6" s="86"/>
      <c r="AH6" s="86"/>
      <c r="AI6" s="86"/>
    </row>
    <row r="7" spans="1:35">
      <c r="A7" s="82">
        <v>1</v>
      </c>
      <c r="B7" s="80"/>
      <c r="C7" s="64"/>
      <c r="D7" s="64"/>
      <c r="E7" s="64"/>
      <c r="F7" s="64"/>
      <c r="G7" s="64"/>
      <c r="H7" s="64"/>
      <c r="I7" s="64"/>
      <c r="J7" s="64"/>
      <c r="K7" s="64"/>
      <c r="L7" s="64"/>
      <c r="M7" s="64"/>
      <c r="N7" s="64"/>
      <c r="O7" s="64"/>
      <c r="P7" s="64"/>
      <c r="Q7" s="64"/>
      <c r="R7" s="64"/>
      <c r="S7" s="64"/>
      <c r="T7" s="64"/>
      <c r="U7" s="64"/>
      <c r="V7" s="64"/>
      <c r="W7" s="80"/>
      <c r="X7" s="80"/>
      <c r="Y7" s="80"/>
      <c r="Z7" s="64"/>
      <c r="AA7" s="64"/>
      <c r="AB7" s="64"/>
      <c r="AC7" s="64"/>
      <c r="AD7" s="64"/>
      <c r="AE7" s="64"/>
      <c r="AF7" s="64"/>
      <c r="AG7" s="64"/>
      <c r="AH7" s="64"/>
      <c r="AI7" s="80"/>
    </row>
    <row r="8" spans="1:35">
      <c r="A8" s="82">
        <f t="shared" ref="A8:A42" si="0">(A7+1)</f>
        <v>2</v>
      </c>
      <c r="B8" s="88" t="s">
        <v>92</v>
      </c>
      <c r="C8" s="64"/>
      <c r="D8" s="64"/>
      <c r="E8" s="64"/>
      <c r="F8" s="64"/>
      <c r="G8" s="64"/>
      <c r="H8" s="64"/>
      <c r="I8" s="64"/>
      <c r="J8" s="64"/>
      <c r="K8" s="64"/>
      <c r="L8" s="64"/>
      <c r="M8" s="64"/>
      <c r="N8" s="64"/>
      <c r="O8" s="64"/>
      <c r="P8" s="64"/>
      <c r="Q8" s="64"/>
      <c r="R8" s="64"/>
      <c r="S8" s="64"/>
      <c r="T8" s="64"/>
      <c r="U8" s="64"/>
      <c r="V8" s="64"/>
      <c r="W8" s="80"/>
      <c r="X8" s="80"/>
      <c r="Y8" s="80"/>
      <c r="Z8" s="64"/>
      <c r="AA8" s="64"/>
      <c r="AB8" s="64"/>
      <c r="AC8" s="64"/>
      <c r="AD8" s="64"/>
      <c r="AE8" s="64"/>
      <c r="AF8" s="64"/>
      <c r="AG8" s="64"/>
      <c r="AH8" s="64"/>
      <c r="AI8" s="80"/>
    </row>
    <row r="9" spans="1:35">
      <c r="A9" s="82">
        <f t="shared" si="0"/>
        <v>3</v>
      </c>
      <c r="B9" s="80" t="s">
        <v>100</v>
      </c>
      <c r="C9" s="64"/>
      <c r="D9" s="64"/>
      <c r="E9" s="64"/>
      <c r="F9" s="64">
        <f>'Adj List'!D10</f>
        <v>-89112.49</v>
      </c>
      <c r="G9" s="64"/>
      <c r="H9" s="64"/>
      <c r="I9" s="64"/>
      <c r="J9" s="64"/>
      <c r="K9" s="64"/>
      <c r="L9" s="64"/>
      <c r="M9" s="64"/>
      <c r="N9" s="64"/>
      <c r="O9" s="64"/>
      <c r="P9" s="64"/>
      <c r="Q9" s="64"/>
      <c r="R9" s="64"/>
      <c r="S9" s="64"/>
      <c r="T9" s="64"/>
      <c r="U9" s="64"/>
      <c r="V9" s="64">
        <f>SUM(C9:U9)</f>
        <v>-89112.49</v>
      </c>
      <c r="W9" s="80"/>
      <c r="X9" s="80"/>
      <c r="Y9" s="80"/>
      <c r="Z9" s="64"/>
      <c r="AA9" s="64"/>
      <c r="AB9" s="64"/>
      <c r="AC9" s="64"/>
      <c r="AD9" s="64"/>
      <c r="AE9" s="64"/>
      <c r="AF9" s="64"/>
      <c r="AG9" s="64"/>
      <c r="AH9" s="64"/>
      <c r="AI9" s="80"/>
    </row>
    <row r="10" spans="1:35">
      <c r="A10" s="82">
        <f t="shared" si="0"/>
        <v>4</v>
      </c>
      <c r="B10" s="80" t="s">
        <v>277</v>
      </c>
      <c r="C10" s="64">
        <f>'Adj List'!D7</f>
        <v>1797927.24</v>
      </c>
      <c r="D10" s="64">
        <f>'Adj List'!D8</f>
        <v>-4026453.22</v>
      </c>
      <c r="E10" s="64"/>
      <c r="F10" s="64"/>
      <c r="G10" s="64"/>
      <c r="H10" s="64"/>
      <c r="I10" s="64"/>
      <c r="J10" s="64"/>
      <c r="K10" s="64"/>
      <c r="L10" s="64"/>
      <c r="M10" s="64"/>
      <c r="N10" s="64"/>
      <c r="O10" s="64"/>
      <c r="P10" s="64"/>
      <c r="Q10" s="64"/>
      <c r="R10" s="64"/>
      <c r="S10" s="64"/>
      <c r="T10" s="64"/>
      <c r="U10" s="64"/>
      <c r="V10" s="64">
        <f t="shared" ref="V10:V47" si="1">SUM(C10:U10)</f>
        <v>-2228525.9800000004</v>
      </c>
      <c r="W10" s="80"/>
      <c r="X10" s="89"/>
      <c r="Y10" s="89"/>
      <c r="Z10" s="64"/>
      <c r="AA10" s="64"/>
      <c r="AB10" s="64"/>
      <c r="AC10" s="64"/>
      <c r="AD10" s="64"/>
      <c r="AE10" s="64"/>
      <c r="AF10" s="64"/>
      <c r="AG10" s="64"/>
      <c r="AH10" s="64"/>
      <c r="AI10" s="80"/>
    </row>
    <row r="11" spans="1:35">
      <c r="A11" s="82">
        <f t="shared" si="0"/>
        <v>5</v>
      </c>
      <c r="B11" s="80" t="s">
        <v>101</v>
      </c>
      <c r="C11" s="64"/>
      <c r="D11" s="64"/>
      <c r="E11" s="64"/>
      <c r="F11" s="64"/>
      <c r="G11" s="64"/>
      <c r="H11" s="64"/>
      <c r="I11" s="64"/>
      <c r="J11" s="64"/>
      <c r="K11" s="64"/>
      <c r="L11" s="64"/>
      <c r="M11" s="64"/>
      <c r="N11" s="64"/>
      <c r="O11" s="64"/>
      <c r="P11" s="64"/>
      <c r="Q11" s="64"/>
      <c r="R11" s="64"/>
      <c r="S11" s="64"/>
      <c r="T11" s="64"/>
      <c r="U11" s="64"/>
      <c r="V11" s="90">
        <f t="shared" si="1"/>
        <v>0</v>
      </c>
      <c r="W11" s="80"/>
      <c r="X11" s="80"/>
      <c r="Y11" s="80"/>
      <c r="Z11" s="64"/>
      <c r="AA11" s="64"/>
      <c r="AB11" s="64"/>
      <c r="AC11" s="64"/>
      <c r="AD11" s="64"/>
      <c r="AE11" s="64"/>
      <c r="AF11" s="64"/>
      <c r="AG11" s="64"/>
      <c r="AH11" s="64"/>
      <c r="AI11" s="80"/>
    </row>
    <row r="12" spans="1:35">
      <c r="A12" s="82">
        <f t="shared" si="0"/>
        <v>6</v>
      </c>
      <c r="B12" s="91" t="s">
        <v>94</v>
      </c>
      <c r="C12" s="92">
        <f t="shared" ref="C12:T12" si="2">SUM(C7:C11)</f>
        <v>1797927.24</v>
      </c>
      <c r="D12" s="92">
        <f t="shared" si="2"/>
        <v>-4026453.22</v>
      </c>
      <c r="E12" s="92">
        <f t="shared" si="2"/>
        <v>0</v>
      </c>
      <c r="F12" s="92">
        <f t="shared" si="2"/>
        <v>-89112.49</v>
      </c>
      <c r="G12" s="92">
        <f t="shared" si="2"/>
        <v>0</v>
      </c>
      <c r="H12" s="92">
        <f t="shared" si="2"/>
        <v>0</v>
      </c>
      <c r="I12" s="92">
        <f t="shared" si="2"/>
        <v>0</v>
      </c>
      <c r="J12" s="92">
        <f t="shared" si="2"/>
        <v>0</v>
      </c>
      <c r="K12" s="92">
        <f t="shared" si="2"/>
        <v>0</v>
      </c>
      <c r="L12" s="92">
        <f t="shared" si="2"/>
        <v>0</v>
      </c>
      <c r="M12" s="92">
        <f t="shared" si="2"/>
        <v>0</v>
      </c>
      <c r="N12" s="92">
        <f t="shared" si="2"/>
        <v>0</v>
      </c>
      <c r="O12" s="92">
        <f t="shared" ref="O12" si="3">SUM(O7:O11)</f>
        <v>0</v>
      </c>
      <c r="P12" s="92">
        <f t="shared" si="2"/>
        <v>0</v>
      </c>
      <c r="Q12" s="92">
        <f t="shared" si="2"/>
        <v>0</v>
      </c>
      <c r="R12" s="92">
        <f t="shared" si="2"/>
        <v>0</v>
      </c>
      <c r="S12" s="92">
        <f t="shared" si="2"/>
        <v>0</v>
      </c>
      <c r="T12" s="92">
        <f t="shared" si="2"/>
        <v>0</v>
      </c>
      <c r="U12" s="92"/>
      <c r="V12" s="92">
        <f t="shared" si="1"/>
        <v>-2317638.4700000007</v>
      </c>
      <c r="W12" s="80"/>
      <c r="X12" s="96">
        <f>V12-'Adj List'!D27</f>
        <v>0</v>
      </c>
      <c r="Y12" s="80"/>
      <c r="Z12" s="64"/>
      <c r="AA12" s="64"/>
      <c r="AB12" s="64"/>
      <c r="AC12" s="64"/>
      <c r="AD12" s="64"/>
      <c r="AE12" s="64"/>
      <c r="AF12" s="64"/>
      <c r="AG12" s="64"/>
      <c r="AH12" s="64"/>
      <c r="AI12" s="80"/>
    </row>
    <row r="13" spans="1:35">
      <c r="A13" s="82">
        <f t="shared" si="0"/>
        <v>7</v>
      </c>
      <c r="B13" s="80"/>
      <c r="C13" s="93"/>
      <c r="D13" s="93"/>
      <c r="E13" s="93"/>
      <c r="F13" s="93"/>
      <c r="G13" s="93"/>
      <c r="H13" s="93"/>
      <c r="I13" s="93"/>
      <c r="J13" s="93"/>
      <c r="K13" s="93"/>
      <c r="L13" s="93"/>
      <c r="M13" s="93"/>
      <c r="N13" s="93"/>
      <c r="O13" s="93"/>
      <c r="P13" s="93"/>
      <c r="Q13" s="93"/>
      <c r="R13" s="93"/>
      <c r="S13" s="93"/>
      <c r="T13" s="93"/>
      <c r="U13" s="93"/>
      <c r="V13" s="93"/>
      <c r="W13" s="80"/>
      <c r="X13" s="80"/>
      <c r="Y13" s="80"/>
      <c r="Z13" s="64"/>
      <c r="AA13" s="64"/>
      <c r="AB13" s="64"/>
      <c r="AC13" s="64"/>
      <c r="AD13" s="64"/>
      <c r="AE13" s="64"/>
      <c r="AF13" s="64"/>
      <c r="AG13" s="64"/>
      <c r="AH13" s="64"/>
      <c r="AI13" s="80"/>
    </row>
    <row r="14" spans="1:35">
      <c r="A14" s="82">
        <f t="shared" si="0"/>
        <v>8</v>
      </c>
      <c r="B14" s="88" t="s">
        <v>73</v>
      </c>
      <c r="C14" s="64"/>
      <c r="D14" s="64"/>
      <c r="E14" s="64"/>
      <c r="F14" s="64"/>
      <c r="G14" s="64"/>
      <c r="H14" s="64"/>
      <c r="I14" s="64"/>
      <c r="J14" s="64"/>
      <c r="K14" s="64"/>
      <c r="L14" s="64"/>
      <c r="M14" s="64"/>
      <c r="N14" s="64"/>
      <c r="O14" s="64"/>
      <c r="P14" s="64"/>
      <c r="Q14" s="64"/>
      <c r="R14" s="64"/>
      <c r="S14" s="64"/>
      <c r="T14" s="64"/>
      <c r="U14" s="64"/>
      <c r="V14" s="64"/>
      <c r="W14" s="80"/>
      <c r="X14" s="80"/>
      <c r="Y14" s="80"/>
      <c r="Z14" s="64"/>
      <c r="AA14" s="64"/>
      <c r="AB14" s="64"/>
      <c r="AC14" s="64"/>
      <c r="AD14" s="64"/>
      <c r="AE14" s="64"/>
      <c r="AF14" s="64"/>
      <c r="AG14" s="64"/>
      <c r="AH14" s="64"/>
      <c r="AI14" s="80"/>
    </row>
    <row r="15" spans="1:35">
      <c r="A15" s="82">
        <f t="shared" si="0"/>
        <v>9</v>
      </c>
      <c r="B15" s="80" t="s">
        <v>74</v>
      </c>
      <c r="C15" s="64"/>
      <c r="D15" s="64"/>
      <c r="E15" s="64"/>
      <c r="F15" s="64"/>
      <c r="G15" s="64"/>
      <c r="H15" s="64"/>
      <c r="I15" s="64"/>
      <c r="J15" s="64"/>
      <c r="K15" s="64"/>
      <c r="L15" s="64"/>
      <c r="M15" s="64"/>
      <c r="N15" s="64"/>
      <c r="O15" s="64"/>
      <c r="P15" s="64"/>
      <c r="Q15" s="64"/>
      <c r="R15" s="64"/>
      <c r="S15" s="64"/>
      <c r="T15" s="64"/>
      <c r="U15" s="64"/>
      <c r="V15" s="64">
        <f t="shared" si="1"/>
        <v>0</v>
      </c>
      <c r="W15" s="80"/>
      <c r="X15" s="80"/>
      <c r="Y15" s="80"/>
      <c r="Z15" s="64"/>
      <c r="AA15" s="64"/>
      <c r="AB15" s="64"/>
      <c r="AC15" s="64"/>
      <c r="AD15" s="64"/>
      <c r="AE15" s="64"/>
      <c r="AF15" s="64"/>
      <c r="AG15" s="64"/>
      <c r="AH15" s="64"/>
      <c r="AI15" s="80"/>
    </row>
    <row r="16" spans="1:35">
      <c r="A16" s="82">
        <f t="shared" si="0"/>
        <v>10</v>
      </c>
      <c r="B16" s="80" t="s">
        <v>95</v>
      </c>
      <c r="C16" s="64"/>
      <c r="D16" s="64"/>
      <c r="E16" s="64"/>
      <c r="F16" s="64">
        <f>'Adj List'!E10</f>
        <v>-48783.86</v>
      </c>
      <c r="G16" s="64"/>
      <c r="H16" s="64"/>
      <c r="I16" s="64"/>
      <c r="J16" s="64"/>
      <c r="K16" s="64"/>
      <c r="L16" s="64"/>
      <c r="M16" s="64"/>
      <c r="N16" s="64"/>
      <c r="O16" s="64"/>
      <c r="P16" s="64"/>
      <c r="Q16" s="64"/>
      <c r="R16" s="64"/>
      <c r="S16" s="64"/>
      <c r="T16" s="64"/>
      <c r="U16" s="64"/>
      <c r="V16" s="64">
        <f t="shared" si="1"/>
        <v>-48783.86</v>
      </c>
      <c r="W16" s="80"/>
      <c r="X16" s="80"/>
      <c r="Y16" s="80"/>
      <c r="Z16" s="64"/>
      <c r="AA16" s="64"/>
      <c r="AB16" s="64"/>
      <c r="AC16" s="64"/>
      <c r="AD16" s="64"/>
      <c r="AE16" s="64"/>
      <c r="AF16" s="64"/>
      <c r="AG16" s="64"/>
      <c r="AH16" s="64"/>
      <c r="AI16" s="80"/>
    </row>
    <row r="17" spans="1:35">
      <c r="A17" s="82">
        <f t="shared" si="0"/>
        <v>11</v>
      </c>
      <c r="B17" s="80" t="s">
        <v>278</v>
      </c>
      <c r="C17" s="64">
        <f>'Adj List'!E7</f>
        <v>1862349</v>
      </c>
      <c r="D17" s="64">
        <f>'Adj List'!E8</f>
        <v>-4179275</v>
      </c>
      <c r="E17" s="64"/>
      <c r="F17" s="64"/>
      <c r="G17" s="64"/>
      <c r="H17" s="64"/>
      <c r="I17" s="64"/>
      <c r="J17" s="64"/>
      <c r="K17" s="64"/>
      <c r="L17" s="64"/>
      <c r="M17" s="64"/>
      <c r="N17" s="64"/>
      <c r="O17" s="64"/>
      <c r="P17" s="64"/>
      <c r="Q17" s="64"/>
      <c r="R17" s="64"/>
      <c r="S17" s="64"/>
      <c r="T17" s="64"/>
      <c r="U17" s="64"/>
      <c r="V17" s="64">
        <f t="shared" si="1"/>
        <v>-2316926</v>
      </c>
      <c r="W17" s="80"/>
      <c r="X17" s="80"/>
      <c r="Y17" s="80"/>
      <c r="Z17" s="64"/>
      <c r="AA17" s="64"/>
      <c r="AB17" s="64"/>
      <c r="AC17" s="64"/>
      <c r="AD17" s="64"/>
      <c r="AE17" s="64"/>
      <c r="AF17" s="64"/>
      <c r="AG17" s="64"/>
      <c r="AH17" s="64"/>
      <c r="AI17" s="80"/>
    </row>
    <row r="18" spans="1:35">
      <c r="A18" s="82">
        <f t="shared" si="0"/>
        <v>12</v>
      </c>
      <c r="B18" s="80" t="s">
        <v>102</v>
      </c>
      <c r="C18" s="64"/>
      <c r="D18" s="64"/>
      <c r="E18" s="64"/>
      <c r="F18" s="64"/>
      <c r="G18" s="64"/>
      <c r="H18" s="64"/>
      <c r="I18" s="64"/>
      <c r="J18" s="64"/>
      <c r="K18" s="64"/>
      <c r="L18" s="64"/>
      <c r="M18" s="64"/>
      <c r="N18" s="64"/>
      <c r="O18" s="64"/>
      <c r="P18" s="64"/>
      <c r="Q18" s="64"/>
      <c r="R18" s="64"/>
      <c r="S18" s="64"/>
      <c r="T18" s="64"/>
      <c r="U18" s="64"/>
      <c r="V18" s="64">
        <f t="shared" si="1"/>
        <v>0</v>
      </c>
      <c r="W18" s="80"/>
      <c r="X18" s="80"/>
      <c r="Y18" s="80"/>
      <c r="Z18" s="64"/>
      <c r="AA18" s="64"/>
      <c r="AB18" s="64"/>
      <c r="AC18" s="64"/>
      <c r="AD18" s="64"/>
      <c r="AE18" s="64"/>
      <c r="AF18" s="64"/>
      <c r="AG18" s="64"/>
      <c r="AH18" s="64"/>
      <c r="AI18" s="80"/>
    </row>
    <row r="19" spans="1:35">
      <c r="A19" s="82">
        <f t="shared" si="0"/>
        <v>13</v>
      </c>
      <c r="B19" s="80" t="s">
        <v>103</v>
      </c>
      <c r="C19" s="64"/>
      <c r="D19" s="64"/>
      <c r="E19" s="64"/>
      <c r="F19" s="64"/>
      <c r="G19" s="64"/>
      <c r="H19" s="64"/>
      <c r="I19" s="64"/>
      <c r="J19" s="64"/>
      <c r="K19" s="64"/>
      <c r="L19" s="64"/>
      <c r="M19" s="64"/>
      <c r="N19" s="64"/>
      <c r="O19" s="64"/>
      <c r="P19" s="64"/>
      <c r="Q19" s="64"/>
      <c r="R19" s="64"/>
      <c r="S19" s="64"/>
      <c r="T19" s="64"/>
      <c r="U19" s="64"/>
      <c r="V19" s="64">
        <f t="shared" si="1"/>
        <v>0</v>
      </c>
      <c r="W19" s="80"/>
      <c r="X19" s="80"/>
      <c r="Y19" s="80"/>
      <c r="Z19" s="64"/>
      <c r="AA19" s="64"/>
      <c r="AB19" s="64"/>
      <c r="AC19" s="64"/>
      <c r="AD19" s="64"/>
      <c r="AE19" s="64"/>
      <c r="AF19" s="64"/>
      <c r="AG19" s="64"/>
      <c r="AH19" s="64"/>
      <c r="AI19" s="80"/>
    </row>
    <row r="20" spans="1:35">
      <c r="A20" s="82">
        <f t="shared" si="0"/>
        <v>14</v>
      </c>
      <c r="B20" s="80" t="s">
        <v>104</v>
      </c>
      <c r="C20" s="64"/>
      <c r="D20" s="64"/>
      <c r="E20" s="64"/>
      <c r="F20" s="64"/>
      <c r="G20" s="64"/>
      <c r="H20" s="64"/>
      <c r="I20" s="64"/>
      <c r="J20" s="64"/>
      <c r="K20" s="64"/>
      <c r="L20" s="64"/>
      <c r="M20" s="64"/>
      <c r="N20" s="64"/>
      <c r="O20" s="64"/>
      <c r="P20" s="64"/>
      <c r="Q20" s="64"/>
      <c r="R20" s="64"/>
      <c r="S20" s="64"/>
      <c r="T20" s="64"/>
      <c r="U20" s="64"/>
      <c r="V20" s="64">
        <f t="shared" si="1"/>
        <v>0</v>
      </c>
      <c r="W20" s="80"/>
      <c r="X20" s="80"/>
      <c r="Y20" s="80"/>
      <c r="Z20" s="64"/>
      <c r="AA20" s="64"/>
      <c r="AB20" s="64"/>
      <c r="AC20" s="64"/>
      <c r="AD20" s="64"/>
      <c r="AE20" s="64"/>
      <c r="AF20" s="64"/>
      <c r="AG20" s="64"/>
      <c r="AH20" s="64"/>
      <c r="AI20" s="80"/>
    </row>
    <row r="21" spans="1:35">
      <c r="A21" s="82">
        <f t="shared" si="0"/>
        <v>15</v>
      </c>
      <c r="B21" s="80" t="s">
        <v>78</v>
      </c>
      <c r="C21" s="64"/>
      <c r="D21" s="64"/>
      <c r="E21" s="64"/>
      <c r="F21" s="64"/>
      <c r="G21" s="64"/>
      <c r="H21" s="64"/>
      <c r="I21" s="64"/>
      <c r="J21" s="64"/>
      <c r="K21" s="64"/>
      <c r="L21" s="64"/>
      <c r="M21" s="64"/>
      <c r="N21" s="64"/>
      <c r="O21" s="64"/>
      <c r="P21" s="64"/>
      <c r="Q21" s="64"/>
      <c r="R21" s="64"/>
      <c r="S21" s="64"/>
      <c r="T21" s="64"/>
      <c r="U21" s="64"/>
      <c r="V21" s="64">
        <f t="shared" si="1"/>
        <v>0</v>
      </c>
      <c r="W21" s="80"/>
      <c r="X21" s="80"/>
      <c r="Y21" s="80"/>
      <c r="Z21" s="64"/>
      <c r="AA21" s="64"/>
      <c r="AB21" s="64"/>
      <c r="AC21" s="64"/>
      <c r="AD21" s="64"/>
      <c r="AE21" s="64"/>
      <c r="AF21" s="64"/>
      <c r="AG21" s="64"/>
      <c r="AH21" s="64"/>
      <c r="AI21" s="80"/>
    </row>
    <row r="22" spans="1:35">
      <c r="A22" s="82">
        <f t="shared" si="0"/>
        <v>16</v>
      </c>
      <c r="B22" s="80" t="s">
        <v>105</v>
      </c>
      <c r="C22" s="64"/>
      <c r="D22" s="64"/>
      <c r="E22" s="64"/>
      <c r="F22" s="64"/>
      <c r="G22" s="64"/>
      <c r="H22" s="64"/>
      <c r="I22" s="64"/>
      <c r="J22" s="64"/>
      <c r="K22" s="64"/>
      <c r="L22" s="64"/>
      <c r="M22" s="64"/>
      <c r="N22" s="64"/>
      <c r="O22" s="64"/>
      <c r="P22" s="64"/>
      <c r="Q22" s="64"/>
      <c r="R22" s="64"/>
      <c r="S22" s="64"/>
      <c r="T22" s="64"/>
      <c r="U22" s="64"/>
      <c r="V22" s="64">
        <f t="shared" si="1"/>
        <v>0</v>
      </c>
      <c r="W22" s="80"/>
      <c r="X22" s="80"/>
      <c r="Y22" s="80"/>
      <c r="Z22" s="64"/>
      <c r="AA22" s="64"/>
      <c r="AB22" s="64"/>
      <c r="AC22" s="64"/>
      <c r="AD22" s="64"/>
      <c r="AE22" s="64"/>
      <c r="AF22" s="64"/>
      <c r="AG22" s="64"/>
      <c r="AH22" s="64"/>
      <c r="AI22" s="80"/>
    </row>
    <row r="23" spans="1:35">
      <c r="A23" s="82">
        <f t="shared" si="0"/>
        <v>17</v>
      </c>
      <c r="B23" s="80" t="s">
        <v>106</v>
      </c>
      <c r="C23" s="64"/>
      <c r="D23" s="64"/>
      <c r="E23" s="64">
        <f>'Adj List'!E9</f>
        <v>19727.29</v>
      </c>
      <c r="F23" s="64"/>
      <c r="G23" s="64"/>
      <c r="H23" s="64">
        <f>'Adj List'!E12</f>
        <v>-232523.82</v>
      </c>
      <c r="I23" s="64">
        <f>'Adj List'!E13</f>
        <v>-2163.9499999999998</v>
      </c>
      <c r="J23" s="64">
        <f>'Adj List'!E14</f>
        <v>-3522.8899999999849</v>
      </c>
      <c r="K23" s="64">
        <f>'Adj List'!E15</f>
        <v>18364.27271523837</v>
      </c>
      <c r="L23" s="64">
        <f>'Adj List'!E16</f>
        <v>2492.8449786490155</v>
      </c>
      <c r="M23" s="64">
        <f>'Adj List'!E17</f>
        <v>-26161.89</v>
      </c>
      <c r="N23" s="64"/>
      <c r="O23" s="64"/>
      <c r="P23" s="64"/>
      <c r="Q23" s="64">
        <f>'Adj List'!E21</f>
        <v>-18322.467406666798</v>
      </c>
      <c r="R23" s="64"/>
      <c r="S23" s="64"/>
      <c r="T23" s="64"/>
      <c r="U23" s="64"/>
      <c r="V23" s="64">
        <f t="shared" si="1"/>
        <v>-242110.60971277943</v>
      </c>
      <c r="W23" s="80"/>
      <c r="X23" s="80"/>
      <c r="Y23" s="80"/>
      <c r="Z23" s="64"/>
      <c r="AA23" s="64"/>
      <c r="AB23" s="64"/>
      <c r="AC23" s="64"/>
      <c r="AD23" s="64"/>
      <c r="AE23" s="64"/>
      <c r="AF23" s="64"/>
      <c r="AG23" s="64"/>
      <c r="AH23" s="64"/>
      <c r="AI23" s="80"/>
    </row>
    <row r="24" spans="1:35">
      <c r="A24" s="82">
        <f t="shared" si="0"/>
        <v>18</v>
      </c>
      <c r="B24" s="91" t="s">
        <v>96</v>
      </c>
      <c r="C24" s="92">
        <f t="shared" ref="C24:T24" si="4">SUM(C15:C23)</f>
        <v>1862349</v>
      </c>
      <c r="D24" s="92">
        <f t="shared" si="4"/>
        <v>-4179275</v>
      </c>
      <c r="E24" s="92">
        <f t="shared" si="4"/>
        <v>19727.29</v>
      </c>
      <c r="F24" s="92">
        <f t="shared" si="4"/>
        <v>-48783.86</v>
      </c>
      <c r="G24" s="92">
        <f t="shared" si="4"/>
        <v>0</v>
      </c>
      <c r="H24" s="92">
        <f t="shared" si="4"/>
        <v>-232523.82</v>
      </c>
      <c r="I24" s="92">
        <f t="shared" si="4"/>
        <v>-2163.9499999999998</v>
      </c>
      <c r="J24" s="92">
        <f t="shared" si="4"/>
        <v>-3522.8899999999849</v>
      </c>
      <c r="K24" s="92">
        <f t="shared" si="4"/>
        <v>18364.27271523837</v>
      </c>
      <c r="L24" s="92">
        <f t="shared" si="4"/>
        <v>2492.8449786490155</v>
      </c>
      <c r="M24" s="92">
        <f t="shared" si="4"/>
        <v>-26161.89</v>
      </c>
      <c r="N24" s="92">
        <f t="shared" si="4"/>
        <v>0</v>
      </c>
      <c r="O24" s="92">
        <f t="shared" ref="O24" si="5">SUM(O15:O23)</f>
        <v>0</v>
      </c>
      <c r="P24" s="92">
        <f t="shared" si="4"/>
        <v>0</v>
      </c>
      <c r="Q24" s="92">
        <f t="shared" si="4"/>
        <v>-18322.467406666798</v>
      </c>
      <c r="R24" s="92">
        <f t="shared" si="4"/>
        <v>0</v>
      </c>
      <c r="S24" s="92">
        <f t="shared" si="4"/>
        <v>0</v>
      </c>
      <c r="T24" s="92">
        <f t="shared" si="4"/>
        <v>0</v>
      </c>
      <c r="U24" s="92">
        <f>SUM(U15:U23)</f>
        <v>0</v>
      </c>
      <c r="V24" s="92">
        <f t="shared" si="1"/>
        <v>-2607820.4697127794</v>
      </c>
      <c r="W24" s="80"/>
      <c r="X24" s="96"/>
      <c r="Y24" s="80"/>
      <c r="Z24" s="64"/>
      <c r="AA24" s="64"/>
      <c r="AB24" s="64"/>
      <c r="AC24" s="64"/>
      <c r="AD24" s="64"/>
      <c r="AE24" s="64"/>
      <c r="AF24" s="64"/>
      <c r="AG24" s="64"/>
      <c r="AH24" s="64"/>
      <c r="AI24" s="80"/>
    </row>
    <row r="25" spans="1:35">
      <c r="A25" s="82">
        <f t="shared" si="0"/>
        <v>19</v>
      </c>
      <c r="B25" s="80"/>
      <c r="C25" s="93"/>
      <c r="D25" s="93"/>
      <c r="E25" s="93"/>
      <c r="F25" s="93"/>
      <c r="G25" s="93"/>
      <c r="H25" s="93"/>
      <c r="I25" s="93"/>
      <c r="J25" s="93"/>
      <c r="K25" s="93"/>
      <c r="L25" s="93"/>
      <c r="M25" s="93"/>
      <c r="N25" s="93"/>
      <c r="O25" s="93"/>
      <c r="P25" s="93"/>
      <c r="Q25" s="93"/>
      <c r="R25" s="93"/>
      <c r="S25" s="93"/>
      <c r="T25" s="93"/>
      <c r="U25" s="93"/>
      <c r="V25" s="93"/>
      <c r="W25" s="80"/>
      <c r="X25" s="80"/>
      <c r="Y25" s="80"/>
      <c r="Z25" s="64"/>
      <c r="AA25" s="64"/>
      <c r="AB25" s="64"/>
      <c r="AC25" s="64"/>
      <c r="AD25" s="64"/>
      <c r="AE25" s="64"/>
      <c r="AF25" s="64"/>
      <c r="AG25" s="64"/>
      <c r="AH25" s="64"/>
      <c r="AI25" s="80"/>
    </row>
    <row r="26" spans="1:35">
      <c r="A26" s="82">
        <f t="shared" si="0"/>
        <v>20</v>
      </c>
      <c r="B26" s="80" t="s">
        <v>29</v>
      </c>
      <c r="C26" s="64"/>
      <c r="D26" s="64"/>
      <c r="E26" s="64"/>
      <c r="F26" s="64"/>
      <c r="G26" s="64">
        <f>'Adj List'!E11</f>
        <v>150011.18</v>
      </c>
      <c r="H26" s="64"/>
      <c r="I26" s="64"/>
      <c r="J26" s="64"/>
      <c r="K26" s="64"/>
      <c r="L26" s="64"/>
      <c r="M26" s="64"/>
      <c r="N26" s="64"/>
      <c r="O26" s="64"/>
      <c r="P26" s="64"/>
      <c r="Q26" s="64"/>
      <c r="R26" s="64"/>
      <c r="S26" s="64"/>
      <c r="T26" s="64"/>
      <c r="U26" s="64"/>
      <c r="V26" s="64">
        <f t="shared" si="1"/>
        <v>150011.18</v>
      </c>
      <c r="W26" s="80"/>
      <c r="X26" s="80"/>
      <c r="Y26" s="80"/>
      <c r="Z26" s="64"/>
      <c r="AA26" s="64"/>
      <c r="AB26" s="64"/>
      <c r="AC26" s="64"/>
      <c r="AD26" s="64"/>
      <c r="AE26" s="64"/>
      <c r="AF26" s="64"/>
      <c r="AG26" s="64"/>
      <c r="AH26" s="64"/>
      <c r="AI26" s="80"/>
    </row>
    <row r="27" spans="1:35">
      <c r="A27" s="82">
        <f t="shared" si="0"/>
        <v>21</v>
      </c>
      <c r="B27" s="80" t="s">
        <v>83</v>
      </c>
      <c r="C27" s="64"/>
      <c r="D27" s="64"/>
      <c r="E27" s="64"/>
      <c r="F27" s="64"/>
      <c r="G27" s="64"/>
      <c r="H27" s="64"/>
      <c r="I27" s="64"/>
      <c r="J27" s="64"/>
      <c r="K27" s="64"/>
      <c r="L27" s="64"/>
      <c r="M27" s="64"/>
      <c r="N27" s="64"/>
      <c r="O27" s="64">
        <f>'Adj List'!E19</f>
        <v>-4169.8518188515272</v>
      </c>
      <c r="P27" s="64"/>
      <c r="Q27" s="64"/>
      <c r="R27" s="64"/>
      <c r="S27" s="64"/>
      <c r="T27" s="64"/>
      <c r="U27" s="64"/>
      <c r="V27" s="64">
        <f t="shared" si="1"/>
        <v>-4169.8518188515272</v>
      </c>
      <c r="W27" s="80"/>
      <c r="X27" s="80"/>
      <c r="Y27" s="80"/>
      <c r="Z27" s="64"/>
      <c r="AA27" s="64"/>
      <c r="AB27" s="64"/>
      <c r="AC27" s="64"/>
      <c r="AD27" s="64"/>
      <c r="AE27" s="64"/>
      <c r="AF27" s="64"/>
      <c r="AG27" s="64"/>
      <c r="AH27" s="64"/>
      <c r="AI27" s="80"/>
    </row>
    <row r="28" spans="1:35">
      <c r="A28" s="82">
        <f t="shared" si="0"/>
        <v>22</v>
      </c>
      <c r="B28" s="80" t="s">
        <v>98</v>
      </c>
      <c r="C28" s="64"/>
      <c r="D28" s="64"/>
      <c r="E28" s="64"/>
      <c r="F28" s="64"/>
      <c r="G28" s="64"/>
      <c r="H28" s="64"/>
      <c r="I28" s="64"/>
      <c r="J28" s="64"/>
      <c r="K28" s="64"/>
      <c r="L28" s="64"/>
      <c r="M28" s="64"/>
      <c r="N28" s="64"/>
      <c r="O28" s="64"/>
      <c r="P28" s="64">
        <f>'Adj List'!E20</f>
        <v>-88192.093333333498</v>
      </c>
      <c r="Q28" s="64"/>
      <c r="R28" s="64"/>
      <c r="S28" s="64"/>
      <c r="T28" s="64"/>
      <c r="U28" s="64"/>
      <c r="V28" s="64">
        <f t="shared" si="1"/>
        <v>-88192.093333333498</v>
      </c>
      <c r="W28" s="80"/>
      <c r="X28" s="80"/>
      <c r="Y28" s="80"/>
      <c r="Z28" s="64"/>
      <c r="AA28" s="64"/>
      <c r="AB28" s="64"/>
      <c r="AC28" s="64"/>
      <c r="AD28" s="64"/>
      <c r="AE28" s="64"/>
      <c r="AF28" s="64"/>
      <c r="AG28" s="64"/>
      <c r="AH28" s="64"/>
      <c r="AI28" s="80"/>
    </row>
    <row r="29" spans="1:35">
      <c r="A29" s="82">
        <f>(A28+1)</f>
        <v>23</v>
      </c>
      <c r="B29" s="80" t="s">
        <v>99</v>
      </c>
      <c r="C29" s="64"/>
      <c r="D29" s="64"/>
      <c r="E29" s="64"/>
      <c r="F29" s="64"/>
      <c r="G29" s="64"/>
      <c r="H29" s="64"/>
      <c r="I29" s="64"/>
      <c r="J29" s="64"/>
      <c r="K29" s="64"/>
      <c r="L29" s="64"/>
      <c r="M29" s="64"/>
      <c r="N29" s="64"/>
      <c r="O29" s="64"/>
      <c r="P29" s="64"/>
      <c r="Q29" s="64"/>
      <c r="R29" s="64"/>
      <c r="S29" s="64"/>
      <c r="T29" s="64"/>
      <c r="U29" s="64"/>
      <c r="V29" s="64">
        <f t="shared" si="1"/>
        <v>0</v>
      </c>
      <c r="W29" s="80"/>
      <c r="X29" s="80"/>
      <c r="Y29" s="80"/>
      <c r="Z29" s="64"/>
      <c r="AA29" s="64"/>
      <c r="AB29" s="64"/>
      <c r="AC29" s="64"/>
      <c r="AD29" s="64"/>
      <c r="AE29" s="64"/>
      <c r="AF29" s="64"/>
      <c r="AG29" s="64"/>
      <c r="AH29" s="64"/>
      <c r="AI29" s="80"/>
    </row>
    <row r="30" spans="1:35">
      <c r="A30" s="82">
        <f>(A29+1)</f>
        <v>24</v>
      </c>
      <c r="B30" s="80" t="s">
        <v>85</v>
      </c>
      <c r="C30" s="64"/>
      <c r="D30" s="64"/>
      <c r="E30" s="64"/>
      <c r="F30" s="64"/>
      <c r="G30" s="64"/>
      <c r="H30" s="64"/>
      <c r="I30" s="64"/>
      <c r="J30" s="64"/>
      <c r="K30" s="64"/>
      <c r="L30" s="64"/>
      <c r="M30" s="64"/>
      <c r="N30" s="64"/>
      <c r="O30" s="64"/>
      <c r="P30" s="64"/>
      <c r="Q30" s="64"/>
      <c r="R30" s="64"/>
      <c r="S30" s="64"/>
      <c r="T30" s="64"/>
      <c r="U30" s="64"/>
      <c r="V30" s="64">
        <f t="shared" si="1"/>
        <v>0</v>
      </c>
      <c r="W30" s="80"/>
      <c r="X30" s="80"/>
      <c r="Y30" s="80"/>
      <c r="Z30" s="64"/>
      <c r="AA30" s="64"/>
      <c r="AB30" s="64"/>
      <c r="AC30" s="64"/>
      <c r="AD30" s="64"/>
      <c r="AE30" s="64"/>
      <c r="AF30" s="64"/>
      <c r="AG30" s="64"/>
      <c r="AH30" s="64"/>
      <c r="AI30" s="80"/>
    </row>
    <row r="31" spans="1:35">
      <c r="A31" s="82">
        <f t="shared" si="0"/>
        <v>25</v>
      </c>
      <c r="B31" s="91" t="s">
        <v>33</v>
      </c>
      <c r="C31" s="92">
        <f t="shared" ref="C31:T31" si="6">SUM(C24:C30)</f>
        <v>1862349</v>
      </c>
      <c r="D31" s="92">
        <f t="shared" si="6"/>
        <v>-4179275</v>
      </c>
      <c r="E31" s="92">
        <f t="shared" si="6"/>
        <v>19727.29</v>
      </c>
      <c r="F31" s="92">
        <f t="shared" si="6"/>
        <v>-48783.86</v>
      </c>
      <c r="G31" s="92">
        <f t="shared" si="6"/>
        <v>150011.18</v>
      </c>
      <c r="H31" s="92">
        <f t="shared" si="6"/>
        <v>-232523.82</v>
      </c>
      <c r="I31" s="92">
        <f t="shared" si="6"/>
        <v>-2163.9499999999998</v>
      </c>
      <c r="J31" s="92">
        <f t="shared" si="6"/>
        <v>-3522.8899999999849</v>
      </c>
      <c r="K31" s="92">
        <f t="shared" si="6"/>
        <v>18364.27271523837</v>
      </c>
      <c r="L31" s="92">
        <f t="shared" si="6"/>
        <v>2492.8449786490155</v>
      </c>
      <c r="M31" s="92">
        <f t="shared" si="6"/>
        <v>-26161.89</v>
      </c>
      <c r="N31" s="92">
        <f t="shared" si="6"/>
        <v>0</v>
      </c>
      <c r="O31" s="92">
        <f t="shared" ref="O31" si="7">SUM(O24:O30)</f>
        <v>-4169.8518188515272</v>
      </c>
      <c r="P31" s="92">
        <f t="shared" si="6"/>
        <v>-88192.093333333498</v>
      </c>
      <c r="Q31" s="92">
        <f t="shared" si="6"/>
        <v>-18322.467406666798</v>
      </c>
      <c r="R31" s="92">
        <f t="shared" si="6"/>
        <v>0</v>
      </c>
      <c r="S31" s="92">
        <f t="shared" si="6"/>
        <v>0</v>
      </c>
      <c r="T31" s="92">
        <f t="shared" si="6"/>
        <v>0</v>
      </c>
      <c r="U31" s="92">
        <f>SUM(U24:U30)</f>
        <v>0</v>
      </c>
      <c r="V31" s="92">
        <f t="shared" si="1"/>
        <v>-2550171.2348649641</v>
      </c>
      <c r="W31" s="80"/>
      <c r="X31" s="96">
        <f>V31-'Adj List'!E27</f>
        <v>0</v>
      </c>
      <c r="Y31" s="80"/>
      <c r="Z31" s="64"/>
      <c r="AA31" s="64"/>
      <c r="AB31" s="64"/>
      <c r="AC31" s="64"/>
      <c r="AD31" s="64"/>
      <c r="AE31" s="64"/>
      <c r="AF31" s="64"/>
      <c r="AG31" s="64"/>
      <c r="AH31" s="64"/>
      <c r="AI31" s="80"/>
    </row>
    <row r="32" spans="1:35">
      <c r="A32" s="82">
        <f t="shared" si="0"/>
        <v>26</v>
      </c>
      <c r="B32" s="80"/>
      <c r="C32" s="93"/>
      <c r="D32" s="93"/>
      <c r="E32" s="93"/>
      <c r="F32" s="93"/>
      <c r="G32" s="93"/>
      <c r="H32" s="93"/>
      <c r="I32" s="93"/>
      <c r="J32" s="93"/>
      <c r="K32" s="93"/>
      <c r="L32" s="93"/>
      <c r="M32" s="93"/>
      <c r="N32" s="93"/>
      <c r="O32" s="93"/>
      <c r="P32" s="93"/>
      <c r="Q32" s="93"/>
      <c r="R32" s="93"/>
      <c r="S32" s="93"/>
      <c r="T32" s="93"/>
      <c r="U32" s="93"/>
      <c r="V32" s="93"/>
      <c r="W32" s="80"/>
      <c r="X32" s="80"/>
      <c r="Y32" s="80"/>
      <c r="Z32" s="64"/>
      <c r="AA32" s="64"/>
      <c r="AB32" s="64"/>
      <c r="AC32" s="64"/>
      <c r="AD32" s="64"/>
      <c r="AE32" s="64"/>
      <c r="AF32" s="64"/>
      <c r="AG32" s="64"/>
      <c r="AH32" s="64"/>
      <c r="AI32" s="80"/>
    </row>
    <row r="33" spans="1:35">
      <c r="A33" s="82">
        <f t="shared" si="0"/>
        <v>27</v>
      </c>
      <c r="B33" s="80" t="s">
        <v>86</v>
      </c>
      <c r="C33" s="64">
        <f t="shared" ref="C33:T33" si="8">(+C12-C31)</f>
        <v>-64421.760000000009</v>
      </c>
      <c r="D33" s="64">
        <f t="shared" si="8"/>
        <v>152821.7799999998</v>
      </c>
      <c r="E33" s="64">
        <f t="shared" si="8"/>
        <v>-19727.29</v>
      </c>
      <c r="F33" s="64">
        <f t="shared" si="8"/>
        <v>-40328.630000000005</v>
      </c>
      <c r="G33" s="64">
        <f t="shared" si="8"/>
        <v>-150011.18</v>
      </c>
      <c r="H33" s="64">
        <f t="shared" si="8"/>
        <v>232523.82</v>
      </c>
      <c r="I33" s="64">
        <f t="shared" si="8"/>
        <v>2163.9499999999998</v>
      </c>
      <c r="J33" s="64">
        <f t="shared" si="8"/>
        <v>3522.8899999999849</v>
      </c>
      <c r="K33" s="64">
        <f t="shared" si="8"/>
        <v>-18364.27271523837</v>
      </c>
      <c r="L33" s="64">
        <f t="shared" si="8"/>
        <v>-2492.8449786490155</v>
      </c>
      <c r="M33" s="64">
        <f t="shared" si="8"/>
        <v>26161.89</v>
      </c>
      <c r="N33" s="64">
        <f t="shared" si="8"/>
        <v>0</v>
      </c>
      <c r="O33" s="64">
        <f t="shared" ref="O33" si="9">(+O12-O31)</f>
        <v>4169.8518188515272</v>
      </c>
      <c r="P33" s="64">
        <f t="shared" si="8"/>
        <v>88192.093333333498</v>
      </c>
      <c r="Q33" s="64">
        <f t="shared" si="8"/>
        <v>18322.467406666798</v>
      </c>
      <c r="R33" s="64">
        <f t="shared" si="8"/>
        <v>0</v>
      </c>
      <c r="S33" s="64">
        <f t="shared" si="8"/>
        <v>0</v>
      </c>
      <c r="T33" s="64">
        <f t="shared" si="8"/>
        <v>0</v>
      </c>
      <c r="U33" s="64">
        <f>(+U12-U31)</f>
        <v>0</v>
      </c>
      <c r="V33" s="64">
        <f t="shared" si="1"/>
        <v>232532.76486496421</v>
      </c>
      <c r="W33" s="80"/>
      <c r="X33" s="80"/>
      <c r="Y33" s="80"/>
      <c r="Z33" s="64"/>
      <c r="AA33" s="64"/>
      <c r="AB33" s="64"/>
      <c r="AC33" s="64"/>
      <c r="AD33" s="64"/>
      <c r="AE33" s="64"/>
      <c r="AF33" s="64"/>
      <c r="AG33" s="64"/>
      <c r="AH33" s="64"/>
      <c r="AI33" s="80"/>
    </row>
    <row r="34" spans="1:35">
      <c r="A34" s="82">
        <f t="shared" si="0"/>
        <v>28</v>
      </c>
      <c r="B34" s="80"/>
      <c r="C34" s="93"/>
      <c r="D34" s="93"/>
      <c r="E34" s="93"/>
      <c r="F34" s="93"/>
      <c r="G34" s="93"/>
      <c r="H34" s="93"/>
      <c r="I34" s="93"/>
      <c r="J34" s="93"/>
      <c r="K34" s="93"/>
      <c r="L34" s="93"/>
      <c r="M34" s="93"/>
      <c r="N34" s="93"/>
      <c r="O34" s="93"/>
      <c r="P34" s="93"/>
      <c r="Q34" s="93"/>
      <c r="R34" s="93"/>
      <c r="S34" s="93"/>
      <c r="T34" s="93"/>
      <c r="U34" s="93"/>
      <c r="V34" s="93"/>
      <c r="W34" s="80"/>
      <c r="X34" s="80"/>
      <c r="Y34" s="80"/>
      <c r="Z34" s="64"/>
      <c r="AA34" s="64"/>
      <c r="AB34" s="64"/>
      <c r="AC34" s="64"/>
      <c r="AD34" s="64"/>
      <c r="AE34" s="64"/>
      <c r="AF34" s="64"/>
      <c r="AG34" s="64"/>
      <c r="AH34" s="64"/>
      <c r="AI34" s="80"/>
    </row>
    <row r="35" spans="1:35">
      <c r="A35" s="82">
        <f t="shared" si="0"/>
        <v>29</v>
      </c>
      <c r="B35" s="80" t="s">
        <v>34</v>
      </c>
      <c r="C35" s="64"/>
      <c r="D35" s="64"/>
      <c r="E35" s="64"/>
      <c r="F35" s="64"/>
      <c r="G35" s="64"/>
      <c r="H35" s="64"/>
      <c r="I35" s="64"/>
      <c r="J35" s="64"/>
      <c r="K35" s="64"/>
      <c r="L35" s="64"/>
      <c r="M35" s="64"/>
      <c r="N35" s="64"/>
      <c r="O35" s="64"/>
      <c r="P35" s="64"/>
      <c r="Q35" s="64"/>
      <c r="R35" s="64"/>
      <c r="S35" s="64"/>
      <c r="T35" s="64"/>
      <c r="U35" s="64"/>
      <c r="V35" s="64">
        <f t="shared" si="1"/>
        <v>0</v>
      </c>
      <c r="W35" s="80"/>
      <c r="X35" s="80"/>
      <c r="Y35" s="80"/>
      <c r="Z35" s="64"/>
      <c r="AA35" s="64"/>
      <c r="AB35" s="64"/>
      <c r="AC35" s="64"/>
      <c r="AD35" s="64"/>
      <c r="AE35" s="64"/>
      <c r="AF35" s="64"/>
      <c r="AG35" s="64"/>
      <c r="AH35" s="64"/>
      <c r="AI35" s="80"/>
    </row>
    <row r="36" spans="1:35">
      <c r="A36" s="82" t="s">
        <v>209</v>
      </c>
      <c r="B36" s="80" t="s">
        <v>210</v>
      </c>
      <c r="C36" s="64"/>
      <c r="D36" s="64"/>
      <c r="E36" s="64"/>
      <c r="F36" s="64"/>
      <c r="G36" s="64"/>
      <c r="H36" s="64"/>
      <c r="I36" s="64"/>
      <c r="J36" s="64"/>
      <c r="K36" s="64"/>
      <c r="L36" s="64"/>
      <c r="M36" s="64"/>
      <c r="N36" s="64"/>
      <c r="O36" s="64"/>
      <c r="P36" s="64"/>
      <c r="Q36" s="64"/>
      <c r="R36" s="64"/>
      <c r="S36" s="64"/>
      <c r="T36" s="64"/>
      <c r="U36" s="64"/>
      <c r="V36" s="64"/>
      <c r="W36" s="80"/>
      <c r="X36" s="80"/>
      <c r="Y36" s="80"/>
      <c r="Z36" s="64"/>
      <c r="AA36" s="64"/>
      <c r="AB36" s="64"/>
      <c r="AC36" s="64"/>
      <c r="AD36" s="64"/>
      <c r="AE36" s="64"/>
      <c r="AF36" s="64"/>
      <c r="AG36" s="64"/>
      <c r="AH36" s="64"/>
      <c r="AI36" s="80"/>
    </row>
    <row r="37" spans="1:35">
      <c r="A37" s="82">
        <f>(A35+1)</f>
        <v>30</v>
      </c>
      <c r="B37" s="80" t="s">
        <v>35</v>
      </c>
      <c r="C37" s="64"/>
      <c r="D37" s="64"/>
      <c r="E37" s="64"/>
      <c r="F37" s="64"/>
      <c r="G37" s="64"/>
      <c r="H37" s="64"/>
      <c r="I37" s="64"/>
      <c r="J37" s="64"/>
      <c r="K37" s="64"/>
      <c r="L37" s="64"/>
      <c r="M37" s="64"/>
      <c r="N37" s="64"/>
      <c r="O37" s="64"/>
      <c r="P37" s="64"/>
      <c r="Q37" s="64"/>
      <c r="R37" s="64"/>
      <c r="S37" s="64"/>
      <c r="T37" s="64"/>
      <c r="U37" s="64"/>
      <c r="V37" s="64">
        <f t="shared" si="1"/>
        <v>0</v>
      </c>
      <c r="W37" s="80"/>
      <c r="X37" s="80"/>
      <c r="Y37" s="80"/>
      <c r="Z37" s="64"/>
      <c r="AA37" s="64"/>
      <c r="AB37" s="64"/>
      <c r="AC37" s="64"/>
      <c r="AD37" s="64"/>
      <c r="AE37" s="64"/>
      <c r="AF37" s="64"/>
      <c r="AG37" s="64"/>
      <c r="AH37" s="64"/>
      <c r="AI37" s="80"/>
    </row>
    <row r="38" spans="1:35">
      <c r="A38" s="82">
        <f t="shared" si="0"/>
        <v>31</v>
      </c>
      <c r="B38" s="80" t="s">
        <v>31</v>
      </c>
      <c r="C38" s="64"/>
      <c r="D38" s="64"/>
      <c r="E38" s="64"/>
      <c r="F38" s="64"/>
      <c r="G38" s="64"/>
      <c r="H38" s="64"/>
      <c r="I38" s="64"/>
      <c r="J38" s="64"/>
      <c r="K38" s="64"/>
      <c r="L38" s="64"/>
      <c r="M38" s="64"/>
      <c r="N38" s="64">
        <f>'Adj List'!F18</f>
        <v>-1712191.29</v>
      </c>
      <c r="O38" s="64"/>
      <c r="P38" s="64"/>
      <c r="Q38" s="64"/>
      <c r="R38" s="64"/>
      <c r="S38" s="64"/>
      <c r="T38" s="64"/>
      <c r="U38" s="64"/>
      <c r="V38" s="64">
        <f t="shared" si="1"/>
        <v>-1712191.29</v>
      </c>
      <c r="W38" s="80"/>
      <c r="X38" s="80"/>
      <c r="Y38" s="80"/>
      <c r="Z38" s="64"/>
      <c r="AA38" s="64"/>
      <c r="AB38" s="64"/>
      <c r="AC38" s="64"/>
      <c r="AD38" s="64"/>
      <c r="AE38" s="64"/>
      <c r="AF38" s="64"/>
      <c r="AG38" s="64"/>
      <c r="AH38" s="64"/>
      <c r="AI38" s="80"/>
    </row>
    <row r="39" spans="1:35">
      <c r="A39" s="82">
        <f t="shared" si="0"/>
        <v>32</v>
      </c>
      <c r="B39" s="80" t="s">
        <v>87</v>
      </c>
      <c r="C39" s="64"/>
      <c r="D39" s="64"/>
      <c r="E39" s="64"/>
      <c r="F39" s="64"/>
      <c r="G39" s="64"/>
      <c r="H39" s="64"/>
      <c r="I39" s="64"/>
      <c r="J39" s="64"/>
      <c r="K39" s="64"/>
      <c r="L39" s="64"/>
      <c r="M39" s="64"/>
      <c r="N39" s="64"/>
      <c r="O39" s="64"/>
      <c r="P39" s="64"/>
      <c r="Q39" s="64"/>
      <c r="R39" s="64"/>
      <c r="S39" s="64"/>
      <c r="T39" s="64"/>
      <c r="U39" s="64"/>
      <c r="V39" s="64">
        <f t="shared" si="1"/>
        <v>0</v>
      </c>
      <c r="W39" s="80"/>
      <c r="X39" s="80"/>
      <c r="Y39" s="80"/>
      <c r="Z39" s="64"/>
      <c r="AA39" s="64"/>
      <c r="AB39" s="64"/>
      <c r="AC39" s="64"/>
      <c r="AD39" s="64"/>
      <c r="AE39" s="64"/>
      <c r="AF39" s="64"/>
      <c r="AG39" s="64"/>
      <c r="AH39" s="64"/>
      <c r="AI39" s="80"/>
    </row>
    <row r="40" spans="1:35">
      <c r="A40" s="82">
        <f t="shared" si="0"/>
        <v>33</v>
      </c>
      <c r="B40" s="91" t="s">
        <v>97</v>
      </c>
      <c r="C40" s="92">
        <f t="shared" ref="C40:T40" si="10">SUM(C35:C39)</f>
        <v>0</v>
      </c>
      <c r="D40" s="92">
        <f t="shared" si="10"/>
        <v>0</v>
      </c>
      <c r="E40" s="92">
        <f t="shared" si="10"/>
        <v>0</v>
      </c>
      <c r="F40" s="92">
        <f t="shared" si="10"/>
        <v>0</v>
      </c>
      <c r="G40" s="92">
        <f t="shared" si="10"/>
        <v>0</v>
      </c>
      <c r="H40" s="92">
        <f t="shared" si="10"/>
        <v>0</v>
      </c>
      <c r="I40" s="92">
        <f t="shared" si="10"/>
        <v>0</v>
      </c>
      <c r="J40" s="92">
        <f t="shared" si="10"/>
        <v>0</v>
      </c>
      <c r="K40" s="92">
        <f t="shared" si="10"/>
        <v>0</v>
      </c>
      <c r="L40" s="92">
        <f t="shared" si="10"/>
        <v>0</v>
      </c>
      <c r="M40" s="92">
        <f t="shared" si="10"/>
        <v>0</v>
      </c>
      <c r="N40" s="92">
        <f t="shared" si="10"/>
        <v>-1712191.29</v>
      </c>
      <c r="O40" s="92">
        <f t="shared" ref="O40" si="11">SUM(O35:O39)</f>
        <v>0</v>
      </c>
      <c r="P40" s="92">
        <f t="shared" si="10"/>
        <v>0</v>
      </c>
      <c r="Q40" s="92">
        <f t="shared" si="10"/>
        <v>0</v>
      </c>
      <c r="R40" s="92">
        <f t="shared" si="10"/>
        <v>0</v>
      </c>
      <c r="S40" s="92">
        <f t="shared" si="10"/>
        <v>0</v>
      </c>
      <c r="T40" s="92">
        <f t="shared" si="10"/>
        <v>0</v>
      </c>
      <c r="U40" s="92">
        <f>SUM(U35:U39)</f>
        <v>0</v>
      </c>
      <c r="V40" s="92">
        <f t="shared" si="1"/>
        <v>-1712191.29</v>
      </c>
      <c r="W40" s="80"/>
      <c r="X40" s="96">
        <f>V40-'Adj List'!F27</f>
        <v>0</v>
      </c>
      <c r="Y40" s="80"/>
      <c r="Z40" s="64"/>
      <c r="AA40" s="64"/>
      <c r="AB40" s="64"/>
      <c r="AC40" s="64"/>
      <c r="AD40" s="64"/>
      <c r="AE40" s="64"/>
      <c r="AF40" s="64"/>
      <c r="AG40" s="64"/>
      <c r="AH40" s="64"/>
      <c r="AI40" s="80"/>
    </row>
    <row r="41" spans="1:35">
      <c r="A41" s="82">
        <f t="shared" si="0"/>
        <v>34</v>
      </c>
      <c r="B41" s="80"/>
      <c r="C41" s="64"/>
      <c r="D41" s="64"/>
      <c r="E41" s="64"/>
      <c r="F41" s="64"/>
      <c r="G41" s="64"/>
      <c r="H41" s="64"/>
      <c r="I41" s="64"/>
      <c r="J41" s="64"/>
      <c r="K41" s="64"/>
      <c r="L41" s="64"/>
      <c r="M41" s="64"/>
      <c r="N41" s="64"/>
      <c r="O41" s="64"/>
      <c r="P41" s="64"/>
      <c r="Q41" s="64"/>
      <c r="R41" s="64"/>
      <c r="S41" s="64"/>
      <c r="T41" s="64"/>
      <c r="U41" s="64"/>
      <c r="V41" s="64"/>
      <c r="W41" s="80"/>
      <c r="X41" s="80"/>
      <c r="Y41" s="80"/>
      <c r="Z41" s="64"/>
      <c r="AA41" s="64"/>
      <c r="AB41" s="64"/>
      <c r="AC41" s="64"/>
      <c r="AD41" s="64"/>
      <c r="AE41" s="64"/>
      <c r="AF41" s="64"/>
      <c r="AG41" s="64"/>
      <c r="AH41" s="64"/>
      <c r="AI41" s="80"/>
    </row>
    <row r="42" spans="1:35" ht="14.4" thickBot="1">
      <c r="A42" s="82">
        <f t="shared" si="0"/>
        <v>35</v>
      </c>
      <c r="B42" s="94" t="s">
        <v>88</v>
      </c>
      <c r="C42" s="95">
        <f t="shared" ref="C42:T42" si="12">+C33+C40</f>
        <v>-64421.760000000009</v>
      </c>
      <c r="D42" s="95">
        <f t="shared" si="12"/>
        <v>152821.7799999998</v>
      </c>
      <c r="E42" s="95">
        <f t="shared" si="12"/>
        <v>-19727.29</v>
      </c>
      <c r="F42" s="95">
        <f t="shared" si="12"/>
        <v>-40328.630000000005</v>
      </c>
      <c r="G42" s="95">
        <f t="shared" si="12"/>
        <v>-150011.18</v>
      </c>
      <c r="H42" s="95">
        <f t="shared" si="12"/>
        <v>232523.82</v>
      </c>
      <c r="I42" s="95">
        <f t="shared" si="12"/>
        <v>2163.9499999999998</v>
      </c>
      <c r="J42" s="95">
        <f t="shared" si="12"/>
        <v>3522.8899999999849</v>
      </c>
      <c r="K42" s="95">
        <f t="shared" si="12"/>
        <v>-18364.27271523837</v>
      </c>
      <c r="L42" s="95">
        <f t="shared" si="12"/>
        <v>-2492.8449786490155</v>
      </c>
      <c r="M42" s="95">
        <f t="shared" si="12"/>
        <v>26161.89</v>
      </c>
      <c r="N42" s="95">
        <f t="shared" si="12"/>
        <v>-1712191.29</v>
      </c>
      <c r="O42" s="95">
        <f t="shared" ref="O42" si="13">+O33+O40</f>
        <v>4169.8518188515272</v>
      </c>
      <c r="P42" s="95">
        <f t="shared" si="12"/>
        <v>88192.093333333498</v>
      </c>
      <c r="Q42" s="95">
        <f t="shared" si="12"/>
        <v>18322.467406666798</v>
      </c>
      <c r="R42" s="95">
        <f t="shared" si="12"/>
        <v>0</v>
      </c>
      <c r="S42" s="95">
        <f t="shared" si="12"/>
        <v>0</v>
      </c>
      <c r="T42" s="95">
        <f t="shared" si="12"/>
        <v>0</v>
      </c>
      <c r="U42" s="95">
        <f>+U33+U40</f>
        <v>0</v>
      </c>
      <c r="V42" s="95">
        <f t="shared" si="1"/>
        <v>-1479658.5251350359</v>
      </c>
      <c r="W42" s="80"/>
      <c r="X42" s="96">
        <f>V42-'Adj List'!G27</f>
        <v>0</v>
      </c>
      <c r="Y42" s="80"/>
      <c r="Z42" s="64"/>
      <c r="AA42" s="64"/>
      <c r="AB42" s="64"/>
      <c r="AC42" s="64"/>
      <c r="AD42" s="64"/>
      <c r="AE42" s="64"/>
      <c r="AF42" s="64"/>
      <c r="AG42" s="64"/>
      <c r="AH42" s="64"/>
      <c r="AI42" s="80"/>
    </row>
    <row r="43" spans="1:35" ht="18" customHeight="1" thickTop="1">
      <c r="A43" s="82"/>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row>
    <row r="44" spans="1:35" ht="18" customHeight="1">
      <c r="A44" s="82"/>
      <c r="B44" s="80" t="s">
        <v>111</v>
      </c>
      <c r="C44" s="96">
        <f>C12</f>
        <v>1797927.24</v>
      </c>
      <c r="D44" s="96">
        <f t="shared" ref="D44:T44" si="14">D12</f>
        <v>-4026453.22</v>
      </c>
      <c r="E44" s="96">
        <f t="shared" si="14"/>
        <v>0</v>
      </c>
      <c r="F44" s="96">
        <f t="shared" si="14"/>
        <v>-89112.49</v>
      </c>
      <c r="G44" s="96">
        <f t="shared" si="14"/>
        <v>0</v>
      </c>
      <c r="H44" s="96">
        <f t="shared" si="14"/>
        <v>0</v>
      </c>
      <c r="I44" s="96">
        <f t="shared" si="14"/>
        <v>0</v>
      </c>
      <c r="J44" s="96">
        <f t="shared" si="14"/>
        <v>0</v>
      </c>
      <c r="K44" s="96">
        <f t="shared" si="14"/>
        <v>0</v>
      </c>
      <c r="L44" s="96">
        <f t="shared" si="14"/>
        <v>0</v>
      </c>
      <c r="M44" s="96">
        <f t="shared" si="14"/>
        <v>0</v>
      </c>
      <c r="N44" s="96">
        <f t="shared" si="14"/>
        <v>0</v>
      </c>
      <c r="O44" s="96">
        <f t="shared" ref="O44" si="15">O12</f>
        <v>0</v>
      </c>
      <c r="P44" s="96">
        <f t="shared" si="14"/>
        <v>0</v>
      </c>
      <c r="Q44" s="96">
        <f t="shared" si="14"/>
        <v>0</v>
      </c>
      <c r="R44" s="96">
        <f t="shared" si="14"/>
        <v>0</v>
      </c>
      <c r="S44" s="96">
        <f t="shared" si="14"/>
        <v>0</v>
      </c>
      <c r="T44" s="96">
        <f t="shared" si="14"/>
        <v>0</v>
      </c>
      <c r="U44" s="96">
        <f>U12</f>
        <v>0</v>
      </c>
      <c r="V44" s="96">
        <f t="shared" si="1"/>
        <v>-2317638.4700000007</v>
      </c>
      <c r="W44" s="80"/>
      <c r="X44" s="96">
        <f>V44-'Adj List'!D27</f>
        <v>0</v>
      </c>
      <c r="Y44" s="80"/>
      <c r="Z44" s="80"/>
      <c r="AA44" s="80"/>
      <c r="AB44" s="80"/>
      <c r="AC44" s="80"/>
      <c r="AD44" s="80"/>
      <c r="AE44" s="80"/>
      <c r="AF44" s="80"/>
      <c r="AG44" s="80"/>
      <c r="AH44" s="80"/>
      <c r="AI44" s="80"/>
    </row>
    <row r="45" spans="1:35" ht="18" customHeight="1">
      <c r="A45" s="82"/>
      <c r="B45" s="80" t="s">
        <v>110</v>
      </c>
      <c r="C45" s="96">
        <f>C31</f>
        <v>1862349</v>
      </c>
      <c r="D45" s="96">
        <f t="shared" ref="D45:M45" si="16">D31</f>
        <v>-4179275</v>
      </c>
      <c r="E45" s="96">
        <f t="shared" si="16"/>
        <v>19727.29</v>
      </c>
      <c r="F45" s="96">
        <f t="shared" si="16"/>
        <v>-48783.86</v>
      </c>
      <c r="G45" s="96">
        <f t="shared" si="16"/>
        <v>150011.18</v>
      </c>
      <c r="H45" s="96">
        <f t="shared" si="16"/>
        <v>-232523.82</v>
      </c>
      <c r="I45" s="96">
        <f t="shared" si="16"/>
        <v>-2163.9499999999998</v>
      </c>
      <c r="J45" s="96">
        <f t="shared" si="16"/>
        <v>-3522.8899999999849</v>
      </c>
      <c r="K45" s="96">
        <f t="shared" si="16"/>
        <v>18364.27271523837</v>
      </c>
      <c r="L45" s="96">
        <f t="shared" si="16"/>
        <v>2492.8449786490155</v>
      </c>
      <c r="M45" s="96">
        <f t="shared" si="16"/>
        <v>-26161.89</v>
      </c>
      <c r="N45" s="96">
        <f t="shared" ref="N45:T45" si="17">N31-N40</f>
        <v>1712191.29</v>
      </c>
      <c r="O45" s="96">
        <f t="shared" ref="O45" si="18">O31-O40</f>
        <v>-4169.8518188515272</v>
      </c>
      <c r="P45" s="96">
        <f t="shared" si="17"/>
        <v>-88192.093333333498</v>
      </c>
      <c r="Q45" s="96">
        <f t="shared" si="17"/>
        <v>-18322.467406666798</v>
      </c>
      <c r="R45" s="96">
        <f t="shared" si="17"/>
        <v>0</v>
      </c>
      <c r="S45" s="96">
        <f t="shared" si="17"/>
        <v>0</v>
      </c>
      <c r="T45" s="96">
        <f t="shared" si="17"/>
        <v>0</v>
      </c>
      <c r="U45" s="96">
        <f>U31-U40</f>
        <v>0</v>
      </c>
      <c r="V45" s="96">
        <f t="shared" si="1"/>
        <v>-837979.94486496423</v>
      </c>
      <c r="W45" s="80"/>
      <c r="X45" s="96">
        <f>V45-'Adj List'!E27+'Adj List'!F27</f>
        <v>0</v>
      </c>
      <c r="Y45" s="80"/>
      <c r="Z45" s="80"/>
      <c r="AA45" s="80"/>
      <c r="AB45" s="80"/>
      <c r="AC45" s="80"/>
      <c r="AD45" s="80"/>
      <c r="AE45" s="80"/>
      <c r="AF45" s="80"/>
      <c r="AG45" s="80"/>
      <c r="AH45" s="80"/>
      <c r="AI45" s="80"/>
    </row>
    <row r="46" spans="1:35" ht="18" customHeight="1">
      <c r="A46" s="82"/>
      <c r="B46" s="80" t="s">
        <v>239</v>
      </c>
      <c r="C46" s="96">
        <f>C40</f>
        <v>0</v>
      </c>
      <c r="D46" s="96">
        <f t="shared" ref="D46:P46" si="19">D40</f>
        <v>0</v>
      </c>
      <c r="E46" s="96">
        <f t="shared" si="19"/>
        <v>0</v>
      </c>
      <c r="F46" s="96">
        <f t="shared" si="19"/>
        <v>0</v>
      </c>
      <c r="G46" s="96">
        <f t="shared" si="19"/>
        <v>0</v>
      </c>
      <c r="H46" s="96">
        <f t="shared" si="19"/>
        <v>0</v>
      </c>
      <c r="I46" s="96">
        <f t="shared" si="19"/>
        <v>0</v>
      </c>
      <c r="J46" s="96">
        <f t="shared" si="19"/>
        <v>0</v>
      </c>
      <c r="K46" s="96">
        <f t="shared" si="19"/>
        <v>0</v>
      </c>
      <c r="L46" s="96">
        <f t="shared" si="19"/>
        <v>0</v>
      </c>
      <c r="M46" s="96">
        <f t="shared" si="19"/>
        <v>0</v>
      </c>
      <c r="N46" s="96">
        <f t="shared" si="19"/>
        <v>-1712191.29</v>
      </c>
      <c r="O46" s="96">
        <f t="shared" si="19"/>
        <v>0</v>
      </c>
      <c r="P46" s="96">
        <f t="shared" si="19"/>
        <v>0</v>
      </c>
      <c r="Q46" s="96"/>
      <c r="R46" s="96"/>
      <c r="S46" s="96"/>
      <c r="T46" s="96"/>
      <c r="U46" s="96"/>
      <c r="V46" s="96">
        <f t="shared" si="1"/>
        <v>-1712191.29</v>
      </c>
      <c r="W46" s="80"/>
      <c r="X46" s="96">
        <f>V46-'Adj List'!F27</f>
        <v>0</v>
      </c>
      <c r="Y46" s="80"/>
      <c r="Z46" s="80"/>
      <c r="AA46" s="80"/>
      <c r="AB46" s="80"/>
      <c r="AC46" s="80"/>
      <c r="AD46" s="80"/>
      <c r="AE46" s="80"/>
      <c r="AF46" s="80"/>
      <c r="AG46" s="80"/>
      <c r="AH46" s="80"/>
      <c r="AI46" s="80"/>
    </row>
    <row r="47" spans="1:35" ht="18" customHeight="1">
      <c r="A47" s="82"/>
      <c r="B47" s="80" t="s">
        <v>112</v>
      </c>
      <c r="C47" s="96">
        <f>C44-C45+C46</f>
        <v>-64421.760000000009</v>
      </c>
      <c r="D47" s="96">
        <f t="shared" ref="D47:M47" si="20">D44-D45+D46</f>
        <v>152821.7799999998</v>
      </c>
      <c r="E47" s="96">
        <f t="shared" si="20"/>
        <v>-19727.29</v>
      </c>
      <c r="F47" s="96">
        <f t="shared" si="20"/>
        <v>-40328.630000000005</v>
      </c>
      <c r="G47" s="96">
        <f t="shared" si="20"/>
        <v>-150011.18</v>
      </c>
      <c r="H47" s="96">
        <f t="shared" si="20"/>
        <v>232523.82</v>
      </c>
      <c r="I47" s="96">
        <f t="shared" si="20"/>
        <v>2163.9499999999998</v>
      </c>
      <c r="J47" s="96">
        <f t="shared" si="20"/>
        <v>3522.8899999999849</v>
      </c>
      <c r="K47" s="96">
        <f t="shared" si="20"/>
        <v>-18364.27271523837</v>
      </c>
      <c r="L47" s="96">
        <f t="shared" si="20"/>
        <v>-2492.8449786490155</v>
      </c>
      <c r="M47" s="96">
        <f t="shared" si="20"/>
        <v>26161.89</v>
      </c>
      <c r="N47" s="96">
        <f t="shared" ref="N47:U47" si="21">N44-N45</f>
        <v>-1712191.29</v>
      </c>
      <c r="O47" s="96">
        <f t="shared" ref="O47" si="22">O44-O45</f>
        <v>4169.8518188515272</v>
      </c>
      <c r="P47" s="96">
        <f t="shared" si="21"/>
        <v>88192.093333333498</v>
      </c>
      <c r="Q47" s="96">
        <f t="shared" si="21"/>
        <v>18322.467406666798</v>
      </c>
      <c r="R47" s="96">
        <f t="shared" si="21"/>
        <v>0</v>
      </c>
      <c r="S47" s="96">
        <f t="shared" si="21"/>
        <v>0</v>
      </c>
      <c r="T47" s="96">
        <f t="shared" si="21"/>
        <v>0</v>
      </c>
      <c r="U47" s="96">
        <f t="shared" si="21"/>
        <v>0</v>
      </c>
      <c r="V47" s="96">
        <f t="shared" si="1"/>
        <v>-1479658.5251350359</v>
      </c>
      <c r="W47" s="80"/>
      <c r="X47" s="96">
        <f>V47-'Adj List'!G27</f>
        <v>0</v>
      </c>
      <c r="Y47" s="80"/>
      <c r="Z47" s="80"/>
      <c r="AA47" s="80"/>
      <c r="AB47" s="80"/>
      <c r="AC47" s="80"/>
      <c r="AD47" s="80"/>
      <c r="AE47" s="80"/>
      <c r="AF47" s="80"/>
      <c r="AG47" s="80"/>
      <c r="AH47" s="80"/>
      <c r="AI47" s="80"/>
    </row>
    <row r="48" spans="1:35" ht="18" customHeight="1">
      <c r="A48" s="82"/>
      <c r="B48" s="80" t="s">
        <v>113</v>
      </c>
      <c r="C48" s="96">
        <f t="shared" ref="C48:V48" si="23">C47-C42</f>
        <v>0</v>
      </c>
      <c r="D48" s="96">
        <f t="shared" si="23"/>
        <v>0</v>
      </c>
      <c r="E48" s="96">
        <f t="shared" si="23"/>
        <v>0</v>
      </c>
      <c r="F48" s="96">
        <f t="shared" si="23"/>
        <v>0</v>
      </c>
      <c r="G48" s="96">
        <f t="shared" si="23"/>
        <v>0</v>
      </c>
      <c r="H48" s="96">
        <f t="shared" si="23"/>
        <v>0</v>
      </c>
      <c r="I48" s="96">
        <f t="shared" si="23"/>
        <v>0</v>
      </c>
      <c r="J48" s="96">
        <f t="shared" si="23"/>
        <v>0</v>
      </c>
      <c r="K48" s="96">
        <f t="shared" si="23"/>
        <v>0</v>
      </c>
      <c r="L48" s="96">
        <f t="shared" si="23"/>
        <v>0</v>
      </c>
      <c r="M48" s="96">
        <f t="shared" si="23"/>
        <v>0</v>
      </c>
      <c r="N48" s="96">
        <f t="shared" si="23"/>
        <v>0</v>
      </c>
      <c r="O48" s="96">
        <f t="shared" ref="O48" si="24">O47-O42</f>
        <v>0</v>
      </c>
      <c r="P48" s="96">
        <f t="shared" si="23"/>
        <v>0</v>
      </c>
      <c r="Q48" s="96">
        <f t="shared" si="23"/>
        <v>0</v>
      </c>
      <c r="R48" s="96">
        <f t="shared" si="23"/>
        <v>0</v>
      </c>
      <c r="S48" s="96">
        <f t="shared" si="23"/>
        <v>0</v>
      </c>
      <c r="T48" s="96">
        <f t="shared" si="23"/>
        <v>0</v>
      </c>
      <c r="U48" s="96">
        <f t="shared" si="23"/>
        <v>0</v>
      </c>
      <c r="V48" s="96">
        <f t="shared" si="23"/>
        <v>0</v>
      </c>
      <c r="W48" s="80"/>
      <c r="X48" s="80"/>
      <c r="Y48" s="80"/>
      <c r="Z48" s="80"/>
      <c r="AA48" s="80"/>
      <c r="AB48" s="80"/>
      <c r="AC48" s="80"/>
      <c r="AD48" s="80"/>
      <c r="AE48" s="80"/>
      <c r="AF48" s="80"/>
      <c r="AG48" s="80"/>
      <c r="AH48" s="80"/>
      <c r="AI48" s="80"/>
    </row>
    <row r="49" spans="1:35" ht="18" customHeight="1">
      <c r="A49" s="82"/>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ht="18" customHeight="1">
      <c r="A50" s="82"/>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c r="A51" s="82"/>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row>
    <row r="52" spans="1:35">
      <c r="A52" s="82"/>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row>
    <row r="53" spans="1:35">
      <c r="A53" s="82"/>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35">
      <c r="A54" s="82"/>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c r="A55" s="82"/>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row>
    <row r="56" spans="1:35">
      <c r="A56" s="82"/>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5">
      <c r="A57" s="82"/>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5">
      <c r="A58" s="82"/>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row>
    <row r="59" spans="1:35">
      <c r="A59" s="82"/>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row>
    <row r="60" spans="1:35">
      <c r="A60" s="82"/>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35">
      <c r="A61" s="82"/>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35">
      <c r="A62" s="82"/>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row>
    <row r="63" spans="1:35">
      <c r="A63" s="82"/>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row>
    <row r="64" spans="1:35">
      <c r="A64" s="82"/>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row>
    <row r="65" spans="1:35">
      <c r="A65" s="82"/>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row>
    <row r="66" spans="1:35">
      <c r="A66" s="82"/>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row>
    <row r="67" spans="1:35">
      <c r="A67" s="8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c r="A68" s="82"/>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row>
    <row r="69" spans="1:35">
      <c r="A69" s="8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row>
    <row r="70" spans="1:35">
      <c r="A70" s="82"/>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row>
    <row r="71" spans="1:35">
      <c r="A71" s="82"/>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row>
    <row r="72" spans="1:35">
      <c r="A72" s="82"/>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row>
    <row r="73" spans="1:35">
      <c r="A73" s="8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row>
    <row r="74" spans="1:35">
      <c r="A74" s="82"/>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row>
    <row r="75" spans="1:35">
      <c r="A75" s="82"/>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c r="A76" s="82"/>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row>
    <row r="77" spans="1:35">
      <c r="A77" s="82"/>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row>
    <row r="78" spans="1:35">
      <c r="A78" s="82"/>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row>
    <row r="79" spans="1:35">
      <c r="A79" s="82"/>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row>
    <row r="80" spans="1:35">
      <c r="A80" s="82"/>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row>
    <row r="81" spans="1:35">
      <c r="A81" s="82"/>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row>
    <row r="82" spans="1:35">
      <c r="A82" s="82"/>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row>
    <row r="83" spans="1:35">
      <c r="A83" s="82"/>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row>
    <row r="84" spans="1:35">
      <c r="A84" s="82"/>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row>
    <row r="85" spans="1:35">
      <c r="A85" s="82"/>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row>
    <row r="86" spans="1:35">
      <c r="A86" s="82"/>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row>
    <row r="87" spans="1:35">
      <c r="A87" s="82"/>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1:35">
      <c r="A88" s="82"/>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row>
    <row r="89" spans="1:35">
      <c r="A89" s="82"/>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row>
    <row r="90" spans="1:35">
      <c r="A90" s="82"/>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row>
    <row r="91" spans="1:35">
      <c r="A91" s="82"/>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row>
    <row r="92" spans="1:35">
      <c r="A92" s="82"/>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row>
    <row r="93" spans="1:35">
      <c r="A93" s="82"/>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row>
    <row r="94" spans="1:35">
      <c r="A94" s="82"/>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row>
    <row r="95" spans="1:35">
      <c r="A95" s="82"/>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row>
    <row r="96" spans="1:35">
      <c r="A96" s="82"/>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row>
    <row r="97" spans="1:35">
      <c r="A97" s="82"/>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row>
    <row r="98" spans="1:35">
      <c r="A98" s="82"/>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row>
    <row r="99" spans="1:35">
      <c r="A99" s="82"/>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row>
    <row r="100" spans="1:35">
      <c r="A100" s="82"/>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row>
    <row r="101" spans="1:35">
      <c r="A101" s="82"/>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row>
    <row r="102" spans="1:35">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35">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35">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35">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35">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35">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35">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35">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35">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35">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35">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2:29">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2:29">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2:29">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2:29">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2:29">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2:29">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2:29">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2:29">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2:29">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2:29">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2:2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2:29">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2:29">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2:29">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2:29">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2:29">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2:29">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2:29">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2:29">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2:29">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2:29">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row>
    <row r="134" spans="2:29">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row>
    <row r="135" spans="2:29">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row>
    <row r="136" spans="2:29">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37" spans="2:29">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row>
    <row r="138" spans="2:29">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row>
    <row r="139" spans="2:29">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row>
    <row r="140" spans="2:29">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row>
    <row r="141" spans="2:29">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row>
    <row r="142" spans="2:29">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row>
    <row r="143" spans="2:29">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row>
    <row r="144" spans="2:29">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row>
    <row r="145" spans="2:29">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row>
    <row r="146" spans="2:29">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row>
    <row r="147" spans="2:29">
      <c r="W147" s="80"/>
      <c r="X147" s="80"/>
      <c r="Y147" s="80"/>
      <c r="Z147" s="80"/>
      <c r="AA147" s="80"/>
      <c r="AB147" s="80"/>
      <c r="AC147" s="80"/>
    </row>
    <row r="148" spans="2:29">
      <c r="W148" s="80"/>
      <c r="X148" s="80"/>
      <c r="Y148" s="80"/>
      <c r="Z148" s="80"/>
      <c r="AA148" s="80"/>
      <c r="AB148" s="80"/>
      <c r="AC148" s="80"/>
    </row>
    <row r="149" spans="2:29">
      <c r="W149" s="80"/>
      <c r="X149" s="80"/>
      <c r="Y149" s="80"/>
      <c r="Z149" s="80"/>
      <c r="AA149" s="80"/>
      <c r="AB149" s="80"/>
      <c r="AC149" s="80"/>
    </row>
    <row r="150" spans="2:29">
      <c r="W150" s="80"/>
      <c r="X150" s="80"/>
      <c r="Y150" s="80"/>
      <c r="Z150" s="80"/>
      <c r="AA150" s="80"/>
      <c r="AB150" s="80"/>
      <c r="AC150" s="80"/>
    </row>
    <row r="151" spans="2:29">
      <c r="W151" s="80"/>
      <c r="X151" s="80"/>
      <c r="Y151" s="80"/>
      <c r="Z151" s="80"/>
      <c r="AA151" s="80"/>
      <c r="AB151" s="80"/>
      <c r="AC151" s="80"/>
    </row>
  </sheetData>
  <conditionalFormatting sqref="X12">
    <cfRule type="cellIs" dxfId="13" priority="13" operator="notEqual">
      <formula>0</formula>
    </cfRule>
    <cfRule type="cellIs" dxfId="12" priority="14" operator="equal">
      <formula>0</formula>
    </cfRule>
  </conditionalFormatting>
  <conditionalFormatting sqref="X31">
    <cfRule type="cellIs" dxfId="11" priority="11" operator="notEqual">
      <formula>0</formula>
    </cfRule>
    <cfRule type="cellIs" dxfId="10" priority="12" operator="equal">
      <formula>0</formula>
    </cfRule>
  </conditionalFormatting>
  <conditionalFormatting sqref="X40">
    <cfRule type="cellIs" dxfId="9" priority="9" operator="notEqual">
      <formula>0</formula>
    </cfRule>
    <cfRule type="cellIs" dxfId="8" priority="10" operator="equal">
      <formula>0</formula>
    </cfRule>
  </conditionalFormatting>
  <conditionalFormatting sqref="X42">
    <cfRule type="cellIs" dxfId="7" priority="7" operator="notEqual">
      <formula>0</formula>
    </cfRule>
    <cfRule type="cellIs" dxfId="6" priority="8" operator="equal">
      <formula>0</formula>
    </cfRule>
  </conditionalFormatting>
  <conditionalFormatting sqref="X44:X47">
    <cfRule type="cellIs" dxfId="5" priority="5" operator="notEqual">
      <formula>0</formula>
    </cfRule>
    <cfRule type="cellIs" dxfId="4" priority="6" operator="equal">
      <formula>0</formula>
    </cfRule>
  </conditionalFormatting>
  <conditionalFormatting sqref="C48:N48 P48:V48">
    <cfRule type="cellIs" dxfId="3" priority="3" operator="notEqual">
      <formula>0</formula>
    </cfRule>
    <cfRule type="cellIs" dxfId="2" priority="4" operator="equal">
      <formula>0</formula>
    </cfRule>
  </conditionalFormatting>
  <conditionalFormatting sqref="O48">
    <cfRule type="cellIs" dxfId="1" priority="1" operator="notEqual">
      <formula>0</formula>
    </cfRule>
    <cfRule type="cellIs" dxfId="0" priority="2" operator="equal">
      <formula>0</formula>
    </cfRule>
  </conditionalFormatting>
  <printOptions horizontalCentered="1"/>
  <pageMargins left="0.25" right="0.25" top="0.75" bottom="0.75" header="0.3" footer="0.3"/>
  <pageSetup scale="54" orientation="landscape" r:id="rId1"/>
  <headerFooter>
    <oddFooter>&amp;RRevised Exhibit  JW-2
Page &amp;P of &amp;N</oddFooter>
  </headerFooter>
  <ignoredErrors>
    <ignoredError sqref="P31:V37 P48:V48 C38:F38 P38:V38 P39:V44 P45:V45 P47:V47 N47 N45 C39:N44 H38:M38 C48:N48 C31:N3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O34"/>
  <sheetViews>
    <sheetView view="pageBreakPreview" topLeftCell="A10"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11.6640625" style="11" customWidth="1"/>
    <col min="4" max="4" width="10.88671875" style="11" customWidth="1"/>
    <col min="5" max="5" width="5.88671875" style="11" customWidth="1"/>
    <col min="6" max="6" width="15.33203125" style="11" customWidth="1"/>
    <col min="7" max="7" width="3.33203125" style="11" customWidth="1"/>
    <col min="8" max="8" width="15.6640625" style="11" customWidth="1"/>
    <col min="9" max="16384" width="9.109375" style="11"/>
  </cols>
  <sheetData>
    <row r="1" spans="1:15">
      <c r="G1" s="6"/>
      <c r="H1" s="6" t="s">
        <v>27</v>
      </c>
    </row>
    <row r="2" spans="1:15" ht="20.25" customHeight="1">
      <c r="G2" s="6"/>
      <c r="H2" s="6"/>
    </row>
    <row r="3" spans="1:15">
      <c r="G3" s="6"/>
      <c r="H3" s="6"/>
    </row>
    <row r="4" spans="1:15">
      <c r="A4" s="465" t="str">
        <f>RevReq!A1</f>
        <v>CUMBERLAND VALLEY ELECTRIC</v>
      </c>
      <c r="B4" s="465"/>
      <c r="C4" s="465"/>
      <c r="D4" s="465"/>
      <c r="E4" s="465"/>
      <c r="F4" s="465"/>
      <c r="G4" s="465"/>
      <c r="H4" s="465"/>
      <c r="J4" s="8"/>
      <c r="K4" s="8"/>
      <c r="L4" s="8"/>
      <c r="M4" s="8"/>
      <c r="N4" s="8"/>
      <c r="O4" s="8"/>
    </row>
    <row r="5" spans="1:15">
      <c r="A5" s="465" t="str">
        <f>RevReq!A3</f>
        <v>For the 12 Months Ended December 31, 2019</v>
      </c>
      <c r="B5" s="465"/>
      <c r="C5" s="465"/>
      <c r="D5" s="465"/>
      <c r="E5" s="465"/>
      <c r="F5" s="465"/>
      <c r="G5" s="465"/>
      <c r="H5" s="465"/>
    </row>
    <row r="7" spans="1:15" s="7" customFormat="1" ht="15" customHeight="1">
      <c r="A7" s="466" t="s">
        <v>117</v>
      </c>
      <c r="B7" s="466"/>
      <c r="C7" s="466"/>
      <c r="D7" s="466"/>
      <c r="E7" s="466"/>
      <c r="F7" s="466"/>
      <c r="G7" s="466"/>
      <c r="H7" s="466"/>
    </row>
    <row r="9" spans="1:15">
      <c r="A9" s="10" t="s">
        <v>0</v>
      </c>
      <c r="C9" s="10" t="s">
        <v>16</v>
      </c>
      <c r="D9" s="10" t="s">
        <v>17</v>
      </c>
      <c r="E9" s="10"/>
      <c r="F9" s="10" t="s">
        <v>23</v>
      </c>
      <c r="G9" s="10"/>
      <c r="H9" s="10" t="s">
        <v>24</v>
      </c>
    </row>
    <row r="10" spans="1:15">
      <c r="A10" s="12" t="s">
        <v>21</v>
      </c>
      <c r="C10" s="13" t="s">
        <v>18</v>
      </c>
      <c r="D10" s="13" t="s">
        <v>20</v>
      </c>
      <c r="E10" s="10"/>
      <c r="F10" s="13" t="s">
        <v>19</v>
      </c>
      <c r="G10" s="13"/>
      <c r="H10" s="13" t="s">
        <v>25</v>
      </c>
    </row>
    <row r="11" spans="1:15">
      <c r="A11" s="10"/>
    </row>
    <row r="12" spans="1:15">
      <c r="A12" s="10"/>
    </row>
    <row r="13" spans="1:15">
      <c r="A13" s="10">
        <v>1</v>
      </c>
      <c r="C13" s="10">
        <v>2019</v>
      </c>
      <c r="D13" s="1" t="s">
        <v>6</v>
      </c>
      <c r="E13" s="14"/>
      <c r="F13" s="172">
        <v>37207.75</v>
      </c>
      <c r="G13" s="172"/>
      <c r="H13" s="172">
        <v>-231423</v>
      </c>
    </row>
    <row r="14" spans="1:15">
      <c r="A14" s="10">
        <v>2</v>
      </c>
      <c r="C14" s="10">
        <f>C13</f>
        <v>2019</v>
      </c>
      <c r="D14" s="1" t="s">
        <v>7</v>
      </c>
      <c r="E14" s="14"/>
      <c r="F14" s="172">
        <v>-202844.61</v>
      </c>
      <c r="G14" s="172"/>
      <c r="H14" s="172">
        <v>-99673</v>
      </c>
    </row>
    <row r="15" spans="1:15">
      <c r="A15" s="10">
        <v>3</v>
      </c>
      <c r="C15" s="10">
        <f t="shared" ref="C15:C24" si="0">C14</f>
        <v>2019</v>
      </c>
      <c r="D15" s="1" t="s">
        <v>8</v>
      </c>
      <c r="E15" s="14"/>
      <c r="F15" s="172">
        <v>-134809.68000000002</v>
      </c>
      <c r="G15" s="172"/>
      <c r="H15" s="172">
        <v>-177236</v>
      </c>
    </row>
    <row r="16" spans="1:15">
      <c r="A16" s="10">
        <v>4</v>
      </c>
      <c r="C16" s="10">
        <f t="shared" si="0"/>
        <v>2019</v>
      </c>
      <c r="D16" s="1" t="s">
        <v>9</v>
      </c>
      <c r="E16" s="14"/>
      <c r="F16" s="172">
        <v>-126731.1</v>
      </c>
      <c r="G16" s="172"/>
      <c r="H16" s="172">
        <v>-48262</v>
      </c>
    </row>
    <row r="17" spans="1:8">
      <c r="A17" s="10">
        <v>5</v>
      </c>
      <c r="C17" s="10">
        <f t="shared" si="0"/>
        <v>2019</v>
      </c>
      <c r="D17" s="1" t="s">
        <v>10</v>
      </c>
      <c r="E17" s="14"/>
      <c r="F17" s="172">
        <v>-99363.08</v>
      </c>
      <c r="G17" s="172"/>
      <c r="H17" s="172">
        <v>-120451</v>
      </c>
    </row>
    <row r="18" spans="1:8">
      <c r="A18" s="10">
        <v>6</v>
      </c>
      <c r="C18" s="10">
        <f t="shared" si="0"/>
        <v>2019</v>
      </c>
      <c r="D18" s="1" t="s">
        <v>11</v>
      </c>
      <c r="E18" s="14"/>
      <c r="F18" s="172">
        <v>-115841.63</v>
      </c>
      <c r="G18" s="172"/>
      <c r="H18" s="172">
        <v>-113840</v>
      </c>
    </row>
    <row r="19" spans="1:8">
      <c r="A19" s="10">
        <v>7</v>
      </c>
      <c r="C19" s="10">
        <f t="shared" si="0"/>
        <v>2019</v>
      </c>
      <c r="D19" s="1" t="s">
        <v>12</v>
      </c>
      <c r="E19" s="14"/>
      <c r="F19" s="172">
        <v>-126979.51000000002</v>
      </c>
      <c r="G19" s="172"/>
      <c r="H19" s="172">
        <v>-185390</v>
      </c>
    </row>
    <row r="20" spans="1:8">
      <c r="A20" s="10">
        <v>8</v>
      </c>
      <c r="C20" s="10">
        <f t="shared" si="0"/>
        <v>2019</v>
      </c>
      <c r="D20" s="1" t="s">
        <v>13</v>
      </c>
      <c r="E20" s="14"/>
      <c r="F20" s="172">
        <v>-174013.62999999998</v>
      </c>
      <c r="G20" s="172"/>
      <c r="H20" s="172">
        <v>-196176</v>
      </c>
    </row>
    <row r="21" spans="1:8">
      <c r="A21" s="10">
        <v>9</v>
      </c>
      <c r="C21" s="10">
        <f t="shared" si="0"/>
        <v>2019</v>
      </c>
      <c r="D21" s="1" t="s">
        <v>2</v>
      </c>
      <c r="E21" s="14"/>
      <c r="F21" s="172">
        <v>-175360.05000000002</v>
      </c>
      <c r="G21" s="172"/>
      <c r="H21" s="172">
        <v>-208841</v>
      </c>
    </row>
    <row r="22" spans="1:8">
      <c r="A22" s="10">
        <v>10</v>
      </c>
      <c r="C22" s="10">
        <f t="shared" si="0"/>
        <v>2019</v>
      </c>
      <c r="D22" s="1" t="s">
        <v>3</v>
      </c>
      <c r="E22" s="14"/>
      <c r="F22" s="172">
        <v>-204185.41</v>
      </c>
      <c r="G22" s="172"/>
      <c r="H22" s="172">
        <v>-167502</v>
      </c>
    </row>
    <row r="23" spans="1:8">
      <c r="A23" s="10">
        <v>11</v>
      </c>
      <c r="C23" s="10">
        <f t="shared" si="0"/>
        <v>2019</v>
      </c>
      <c r="D23" s="1" t="s">
        <v>4</v>
      </c>
      <c r="E23" s="14"/>
      <c r="F23" s="172">
        <v>-239296.97</v>
      </c>
      <c r="G23" s="172"/>
      <c r="H23" s="172">
        <v>-264080</v>
      </c>
    </row>
    <row r="24" spans="1:8">
      <c r="A24" s="10">
        <v>12</v>
      </c>
      <c r="C24" s="10">
        <f t="shared" si="0"/>
        <v>2019</v>
      </c>
      <c r="D24" s="1" t="s">
        <v>5</v>
      </c>
      <c r="E24" s="14"/>
      <c r="F24" s="172">
        <v>-235709.32</v>
      </c>
      <c r="G24" s="172"/>
      <c r="H24" s="172">
        <v>-49475</v>
      </c>
    </row>
    <row r="25" spans="1:8">
      <c r="A25" s="10">
        <v>13</v>
      </c>
      <c r="C25" s="16"/>
      <c r="D25" s="5" t="s">
        <v>14</v>
      </c>
      <c r="E25" s="17"/>
      <c r="F25" s="177">
        <f>SUM(F13:F24)</f>
        <v>-1797927.24</v>
      </c>
      <c r="G25" s="177"/>
      <c r="H25" s="177">
        <f>SUM(H13:H24)</f>
        <v>-1862349</v>
      </c>
    </row>
    <row r="26" spans="1:8">
      <c r="A26" s="10">
        <v>14</v>
      </c>
      <c r="C26" s="18"/>
      <c r="D26" s="2"/>
      <c r="E26" s="19"/>
      <c r="F26" s="19"/>
      <c r="G26" s="19"/>
    </row>
    <row r="27" spans="1:8">
      <c r="A27" s="10">
        <v>15</v>
      </c>
      <c r="C27" s="2" t="s">
        <v>36</v>
      </c>
      <c r="D27" s="2"/>
      <c r="E27" s="19"/>
      <c r="F27" s="20">
        <f>F25</f>
        <v>-1797927.24</v>
      </c>
      <c r="G27" s="20"/>
      <c r="H27" s="20">
        <f>H25</f>
        <v>-1862349</v>
      </c>
    </row>
    <row r="28" spans="1:8">
      <c r="A28" s="10">
        <v>16</v>
      </c>
      <c r="C28" s="2"/>
      <c r="D28" s="2"/>
      <c r="E28" s="19"/>
      <c r="F28" s="19"/>
      <c r="G28" s="19"/>
    </row>
    <row r="29" spans="1:8">
      <c r="A29" s="10">
        <v>17</v>
      </c>
      <c r="C29" s="3" t="s">
        <v>37</v>
      </c>
      <c r="E29" s="14"/>
      <c r="F29" s="14">
        <v>0</v>
      </c>
      <c r="G29" s="14"/>
      <c r="H29" s="14">
        <v>0</v>
      </c>
    </row>
    <row r="30" spans="1:8">
      <c r="A30" s="10">
        <v>18</v>
      </c>
      <c r="C30" s="3"/>
    </row>
    <row r="31" spans="1:8" ht="13.8" thickBot="1">
      <c r="A31" s="10">
        <v>19</v>
      </c>
      <c r="C31" s="4" t="s">
        <v>15</v>
      </c>
      <c r="D31" s="21"/>
      <c r="E31" s="22"/>
      <c r="F31" s="23">
        <f>ROUND(F29-F27,2)</f>
        <v>1797927.24</v>
      </c>
      <c r="G31" s="22"/>
      <c r="H31" s="23">
        <f>ROUND(H29-H27,2)</f>
        <v>1862349</v>
      </c>
    </row>
    <row r="32" spans="1:8" ht="13.8" thickTop="1"/>
    <row r="34" spans="3:8" ht="30" customHeight="1">
      <c r="C34" s="467" t="s">
        <v>38</v>
      </c>
      <c r="D34" s="467"/>
      <c r="E34" s="467"/>
      <c r="F34" s="467"/>
      <c r="G34" s="467"/>
      <c r="H34" s="467"/>
    </row>
  </sheetData>
  <mergeCells count="4">
    <mergeCell ref="A4:H4"/>
    <mergeCell ref="A5:H5"/>
    <mergeCell ref="A7:H7"/>
    <mergeCell ref="C34:H34"/>
  </mergeCells>
  <printOptions horizontalCentered="1"/>
  <pageMargins left="1" right="0.75" top="0.75" bottom="0.5" header="0.5" footer="0.5"/>
  <pageSetup orientation="portrait" r:id="rId1"/>
  <headerFooter alignWithMargins="0">
    <oddFooter>&amp;RRevised Exhibit JW-2
Page &amp;P of &amp;N</oddFooter>
  </headerFooter>
  <ignoredErrors>
    <ignoredError sqref="D10:H11 C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H34"/>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11.6640625" style="11" customWidth="1"/>
    <col min="4" max="4" width="10.88671875" style="11" customWidth="1"/>
    <col min="5" max="5" width="5.88671875" style="11" customWidth="1"/>
    <col min="6" max="6" width="15.33203125" style="11" customWidth="1"/>
    <col min="7" max="7" width="3.33203125" style="11" customWidth="1"/>
    <col min="8" max="8" width="14.44140625" style="11" customWidth="1"/>
    <col min="9" max="16384" width="9.109375" style="11"/>
  </cols>
  <sheetData>
    <row r="1" spans="1:8">
      <c r="G1" s="6"/>
      <c r="H1" s="6" t="s">
        <v>26</v>
      </c>
    </row>
    <row r="2" spans="1:8" ht="20.25" customHeight="1">
      <c r="G2" s="6"/>
      <c r="H2" s="6"/>
    </row>
    <row r="3" spans="1:8">
      <c r="G3" s="6"/>
      <c r="H3" s="6"/>
    </row>
    <row r="4" spans="1:8">
      <c r="A4" s="465" t="str">
        <f>RevReq!A1</f>
        <v>CUMBERLAND VALLEY ELECTRIC</v>
      </c>
      <c r="B4" s="465"/>
      <c r="C4" s="465"/>
      <c r="D4" s="465"/>
      <c r="E4" s="465"/>
      <c r="F4" s="465"/>
      <c r="G4" s="465"/>
      <c r="H4" s="465"/>
    </row>
    <row r="5" spans="1:8">
      <c r="A5" s="465" t="str">
        <f>RevReq!A3</f>
        <v>For the 12 Months Ended December 31, 2019</v>
      </c>
      <c r="B5" s="465"/>
      <c r="C5" s="465"/>
      <c r="D5" s="465"/>
      <c r="E5" s="465"/>
      <c r="F5" s="465"/>
      <c r="G5" s="465"/>
      <c r="H5" s="465"/>
    </row>
    <row r="7" spans="1:8" s="7" customFormat="1" ht="15" customHeight="1">
      <c r="A7" s="466" t="s">
        <v>116</v>
      </c>
      <c r="B7" s="466"/>
      <c r="C7" s="466"/>
      <c r="D7" s="466"/>
      <c r="E7" s="466"/>
      <c r="F7" s="466"/>
      <c r="G7" s="466"/>
      <c r="H7" s="466"/>
    </row>
    <row r="9" spans="1:8">
      <c r="A9" s="10" t="s">
        <v>0</v>
      </c>
      <c r="C9" s="10" t="s">
        <v>16</v>
      </c>
      <c r="D9" s="10" t="s">
        <v>17</v>
      </c>
      <c r="E9" s="10"/>
      <c r="F9" s="10" t="s">
        <v>23</v>
      </c>
      <c r="G9" s="10"/>
      <c r="H9" s="10" t="s">
        <v>24</v>
      </c>
    </row>
    <row r="10" spans="1:8">
      <c r="A10" s="12" t="s">
        <v>21</v>
      </c>
      <c r="C10" s="13" t="s">
        <v>18</v>
      </c>
      <c r="D10" s="13" t="s">
        <v>20</v>
      </c>
      <c r="E10" s="10"/>
      <c r="F10" s="13" t="s">
        <v>19</v>
      </c>
      <c r="G10" s="13"/>
      <c r="H10" s="13" t="s">
        <v>25</v>
      </c>
    </row>
    <row r="11" spans="1:8">
      <c r="A11" s="10"/>
    </row>
    <row r="12" spans="1:8">
      <c r="A12" s="10"/>
      <c r="F12" s="151"/>
    </row>
    <row r="13" spans="1:8">
      <c r="A13" s="10">
        <v>1</v>
      </c>
      <c r="C13" s="10">
        <v>2019</v>
      </c>
      <c r="D13" s="1" t="s">
        <v>6</v>
      </c>
      <c r="E13" s="14"/>
      <c r="F13" s="172">
        <v>459022.67</v>
      </c>
      <c r="G13" s="172"/>
      <c r="H13" s="172">
        <v>408909</v>
      </c>
    </row>
    <row r="14" spans="1:8">
      <c r="A14" s="10">
        <v>2</v>
      </c>
      <c r="C14" s="10">
        <f>C13</f>
        <v>2019</v>
      </c>
      <c r="D14" s="1" t="s">
        <v>7</v>
      </c>
      <c r="E14" s="14"/>
      <c r="F14" s="172">
        <v>354436.21</v>
      </c>
      <c r="G14" s="172"/>
      <c r="H14" s="172">
        <v>267459</v>
      </c>
    </row>
    <row r="15" spans="1:8">
      <c r="A15" s="10">
        <v>3</v>
      </c>
      <c r="C15" s="10">
        <f t="shared" ref="C15:C24" si="0">C14</f>
        <v>2019</v>
      </c>
      <c r="D15" s="1" t="s">
        <v>8</v>
      </c>
      <c r="E15" s="14"/>
      <c r="F15" s="172">
        <v>254987.82</v>
      </c>
      <c r="G15" s="172"/>
      <c r="H15" s="172">
        <v>286877</v>
      </c>
    </row>
    <row r="16" spans="1:8">
      <c r="A16" s="10">
        <v>4</v>
      </c>
      <c r="C16" s="10">
        <f t="shared" si="0"/>
        <v>2019</v>
      </c>
      <c r="D16" s="1" t="s">
        <v>9</v>
      </c>
      <c r="E16" s="14"/>
      <c r="F16" s="172">
        <v>196354.09</v>
      </c>
      <c r="G16" s="172"/>
      <c r="H16" s="172">
        <v>276759</v>
      </c>
    </row>
    <row r="17" spans="1:8">
      <c r="A17" s="10">
        <v>5</v>
      </c>
      <c r="C17" s="10">
        <f t="shared" si="0"/>
        <v>2019</v>
      </c>
      <c r="D17" s="1" t="s">
        <v>10</v>
      </c>
      <c r="E17" s="14"/>
      <c r="F17" s="172">
        <v>264176.44</v>
      </c>
      <c r="G17" s="172"/>
      <c r="H17" s="172">
        <v>299648</v>
      </c>
    </row>
    <row r="18" spans="1:8">
      <c r="A18" s="10">
        <v>6</v>
      </c>
      <c r="C18" s="10">
        <f t="shared" si="0"/>
        <v>2019</v>
      </c>
      <c r="D18" s="1" t="s">
        <v>11</v>
      </c>
      <c r="E18" s="14"/>
      <c r="F18" s="172">
        <v>284144.48</v>
      </c>
      <c r="G18" s="172"/>
      <c r="H18" s="172">
        <v>365993</v>
      </c>
    </row>
    <row r="19" spans="1:8">
      <c r="A19" s="10">
        <v>7</v>
      </c>
      <c r="C19" s="10">
        <f t="shared" si="0"/>
        <v>2019</v>
      </c>
      <c r="D19" s="1" t="s">
        <v>12</v>
      </c>
      <c r="E19" s="14"/>
      <c r="F19" s="172">
        <v>393573.4</v>
      </c>
      <c r="G19" s="172"/>
      <c r="H19" s="172">
        <v>408379</v>
      </c>
    </row>
    <row r="20" spans="1:8">
      <c r="A20" s="10">
        <v>8</v>
      </c>
      <c r="C20" s="10">
        <f t="shared" si="0"/>
        <v>2019</v>
      </c>
      <c r="D20" s="1" t="s">
        <v>13</v>
      </c>
      <c r="E20" s="14"/>
      <c r="F20" s="172">
        <v>399493.87</v>
      </c>
      <c r="G20" s="172"/>
      <c r="H20" s="172">
        <v>386917</v>
      </c>
    </row>
    <row r="21" spans="1:8">
      <c r="A21" s="10">
        <v>9</v>
      </c>
      <c r="C21" s="10">
        <f t="shared" si="0"/>
        <v>2019</v>
      </c>
      <c r="D21" s="1" t="s">
        <v>2</v>
      </c>
      <c r="E21" s="14"/>
      <c r="F21" s="172">
        <v>361243.52000000008</v>
      </c>
      <c r="G21" s="172"/>
      <c r="H21" s="172">
        <v>300767</v>
      </c>
    </row>
    <row r="22" spans="1:8">
      <c r="A22" s="10">
        <v>10</v>
      </c>
      <c r="C22" s="10">
        <f t="shared" si="0"/>
        <v>2019</v>
      </c>
      <c r="D22" s="1" t="s">
        <v>3</v>
      </c>
      <c r="E22" s="14"/>
      <c r="F22" s="172">
        <v>276217.92000000004</v>
      </c>
      <c r="G22" s="172"/>
      <c r="H22" s="172">
        <v>276436</v>
      </c>
    </row>
    <row r="23" spans="1:8">
      <c r="A23" s="10">
        <v>11</v>
      </c>
      <c r="C23" s="10">
        <f t="shared" si="0"/>
        <v>2019</v>
      </c>
      <c r="D23" s="1" t="s">
        <v>4</v>
      </c>
      <c r="E23" s="14"/>
      <c r="F23" s="172">
        <v>344151.61</v>
      </c>
      <c r="G23" s="172"/>
      <c r="H23" s="172">
        <v>399926</v>
      </c>
    </row>
    <row r="24" spans="1:8">
      <c r="A24" s="10">
        <v>12</v>
      </c>
      <c r="C24" s="10">
        <f t="shared" si="0"/>
        <v>2019</v>
      </c>
      <c r="D24" s="1" t="s">
        <v>5</v>
      </c>
      <c r="E24" s="14"/>
      <c r="F24" s="172">
        <v>438651.19</v>
      </c>
      <c r="G24" s="172"/>
      <c r="H24" s="172">
        <v>501205</v>
      </c>
    </row>
    <row r="25" spans="1:8">
      <c r="A25" s="10">
        <v>13</v>
      </c>
      <c r="C25" s="16"/>
      <c r="D25" s="5" t="s">
        <v>14</v>
      </c>
      <c r="E25" s="17"/>
      <c r="F25" s="17">
        <f>SUM(F13:F24)</f>
        <v>4026453.2199999997</v>
      </c>
      <c r="G25" s="17"/>
      <c r="H25" s="17">
        <f>SUM(H13:H24)</f>
        <v>4179275</v>
      </c>
    </row>
    <row r="26" spans="1:8">
      <c r="A26" s="10">
        <v>14</v>
      </c>
      <c r="C26" s="18"/>
      <c r="D26" s="2"/>
      <c r="E26" s="19"/>
      <c r="F26" s="19"/>
      <c r="G26" s="19"/>
    </row>
    <row r="27" spans="1:8">
      <c r="A27" s="10">
        <v>15</v>
      </c>
      <c r="C27" s="2" t="s">
        <v>36</v>
      </c>
      <c r="D27" s="2"/>
      <c r="E27" s="19"/>
      <c r="F27" s="20">
        <f>F25</f>
        <v>4026453.2199999997</v>
      </c>
      <c r="G27" s="20"/>
      <c r="H27" s="20">
        <f>H25</f>
        <v>4179275</v>
      </c>
    </row>
    <row r="28" spans="1:8">
      <c r="A28" s="10">
        <v>16</v>
      </c>
      <c r="C28" s="2"/>
      <c r="D28" s="2"/>
      <c r="E28" s="19"/>
      <c r="F28" s="20"/>
      <c r="G28" s="20"/>
      <c r="H28" s="26"/>
    </row>
    <row r="29" spans="1:8">
      <c r="A29" s="10">
        <v>17</v>
      </c>
      <c r="C29" s="3" t="s">
        <v>37</v>
      </c>
      <c r="E29" s="14"/>
      <c r="F29" s="14">
        <v>0</v>
      </c>
      <c r="G29" s="14"/>
      <c r="H29" s="14">
        <v>0</v>
      </c>
    </row>
    <row r="30" spans="1:8">
      <c r="A30" s="10">
        <v>18</v>
      </c>
      <c r="C30" s="3"/>
    </row>
    <row r="31" spans="1:8" ht="13.8" thickBot="1">
      <c r="A31" s="10">
        <v>19</v>
      </c>
      <c r="C31" s="4" t="s">
        <v>15</v>
      </c>
      <c r="D31" s="21"/>
      <c r="E31" s="22"/>
      <c r="F31" s="23">
        <f>ROUND(F29-F27,2)</f>
        <v>-4026453.22</v>
      </c>
      <c r="G31" s="22"/>
      <c r="H31" s="23">
        <f>ROUND(H29-H27,2)</f>
        <v>-4179275</v>
      </c>
    </row>
    <row r="32" spans="1:8" ht="13.8" thickTop="1"/>
    <row r="34" spans="3:8" ht="29.25" customHeight="1">
      <c r="C34" s="467" t="s">
        <v>39</v>
      </c>
      <c r="D34" s="467"/>
      <c r="E34" s="467"/>
      <c r="F34" s="467"/>
      <c r="G34" s="467"/>
      <c r="H34" s="467"/>
    </row>
  </sheetData>
  <mergeCells count="4">
    <mergeCell ref="A4:H4"/>
    <mergeCell ref="A5:H5"/>
    <mergeCell ref="A7:H7"/>
    <mergeCell ref="C34:H34"/>
  </mergeCells>
  <printOptions horizontalCentered="1"/>
  <pageMargins left="1" right="0.75" top="0.75" bottom="0.5" header="0.5" footer="0.5"/>
  <pageSetup orientation="portrait" r:id="rId1"/>
  <headerFooter alignWithMargins="0">
    <oddFooter>&amp;RRevised Exhibit JW-2
Page &amp;P of &amp;N</oddFooter>
  </headerFooter>
  <ignoredErrors>
    <ignoredError sqref="C10:H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theme="7" tint="0.59999389629810485"/>
    <pageSetUpPr fitToPage="1"/>
  </sheetPr>
  <dimension ref="A1:P30"/>
  <sheetViews>
    <sheetView view="pageBreakPreview"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37.6640625" style="11" bestFit="1" customWidth="1"/>
    <col min="4" max="4" width="2.44140625" style="11" customWidth="1"/>
    <col min="5" max="6" width="15.6640625" style="11" customWidth="1"/>
    <col min="7" max="9" width="9.109375" style="11"/>
    <col min="10" max="11" width="10.44140625" style="11" bestFit="1" customWidth="1"/>
    <col min="12" max="12" width="9.44140625" style="11" bestFit="1" customWidth="1"/>
    <col min="13" max="13" width="10.44140625" style="11" bestFit="1" customWidth="1"/>
    <col min="14" max="14" width="9.109375" style="11"/>
    <col min="15" max="15" width="10.44140625" style="11" bestFit="1" customWidth="1"/>
    <col min="16" max="16384" width="9.109375" style="11"/>
  </cols>
  <sheetData>
    <row r="1" spans="1:16">
      <c r="E1" s="6"/>
      <c r="F1" s="6" t="s">
        <v>649</v>
      </c>
    </row>
    <row r="2" spans="1:16" ht="20.25" customHeight="1">
      <c r="E2" s="6"/>
      <c r="F2" s="6"/>
    </row>
    <row r="3" spans="1:16">
      <c r="A3" s="465" t="str">
        <f>RevReq!A1</f>
        <v>CUMBERLAND VALLEY ELECTRIC</v>
      </c>
      <c r="B3" s="465"/>
      <c r="C3" s="465"/>
      <c r="D3" s="465"/>
      <c r="E3" s="465"/>
      <c r="F3" s="465"/>
    </row>
    <row r="4" spans="1:16">
      <c r="A4" s="465" t="str">
        <f>RevReq!A3</f>
        <v>For the 12 Months Ended December 31, 2019</v>
      </c>
      <c r="B4" s="465"/>
      <c r="C4" s="465"/>
      <c r="D4" s="465"/>
      <c r="E4" s="465"/>
      <c r="F4" s="465"/>
    </row>
    <row r="6" spans="1:16" s="7" customFormat="1" ht="15" customHeight="1">
      <c r="A6" s="468" t="s">
        <v>30</v>
      </c>
      <c r="B6" s="468"/>
      <c r="C6" s="468"/>
      <c r="D6" s="468"/>
      <c r="E6" s="468"/>
      <c r="F6" s="468"/>
      <c r="J6" s="11"/>
      <c r="K6" s="11"/>
      <c r="L6" s="11"/>
      <c r="M6" s="11"/>
      <c r="N6" s="11"/>
      <c r="O6" s="11"/>
      <c r="P6" s="11"/>
    </row>
    <row r="8" spans="1:16">
      <c r="A8" s="10" t="s">
        <v>0</v>
      </c>
      <c r="C8" s="10" t="s">
        <v>40</v>
      </c>
      <c r="D8" s="10"/>
      <c r="E8" s="400" t="s">
        <v>668</v>
      </c>
      <c r="F8" s="459" t="s">
        <v>669</v>
      </c>
    </row>
    <row r="9" spans="1:16">
      <c r="A9" s="12" t="s">
        <v>21</v>
      </c>
      <c r="C9" s="13" t="s">
        <v>18</v>
      </c>
      <c r="D9" s="13"/>
      <c r="E9" s="13" t="s">
        <v>20</v>
      </c>
      <c r="F9" s="449" t="s">
        <v>19</v>
      </c>
    </row>
    <row r="10" spans="1:16">
      <c r="A10" s="10"/>
      <c r="F10" s="450"/>
    </row>
    <row r="11" spans="1:16">
      <c r="A11" s="10">
        <v>1</v>
      </c>
      <c r="C11" s="15" t="s">
        <v>619</v>
      </c>
      <c r="E11" s="282">
        <v>40000</v>
      </c>
      <c r="F11" s="451">
        <v>37743.630000000005</v>
      </c>
    </row>
    <row r="12" spans="1:16">
      <c r="A12" s="10">
        <f>A11+1</f>
        <v>2</v>
      </c>
      <c r="C12" s="15" t="s">
        <v>620</v>
      </c>
      <c r="E12" s="282">
        <v>750</v>
      </c>
      <c r="F12" s="451">
        <v>885</v>
      </c>
    </row>
    <row r="13" spans="1:16">
      <c r="A13" s="10">
        <f>A12+1</f>
        <v>3</v>
      </c>
      <c r="C13" s="15" t="s">
        <v>107</v>
      </c>
      <c r="E13" s="282">
        <v>15000</v>
      </c>
      <c r="F13" s="451">
        <v>17865.86</v>
      </c>
    </row>
    <row r="14" spans="1:16">
      <c r="A14" s="10">
        <f>A13+1</f>
        <v>4</v>
      </c>
      <c r="C14" s="15" t="s">
        <v>621</v>
      </c>
      <c r="D14" s="204"/>
      <c r="E14" s="282">
        <v>25000</v>
      </c>
      <c r="F14" s="451">
        <v>5534.85</v>
      </c>
    </row>
    <row r="15" spans="1:16">
      <c r="A15" s="10">
        <f t="shared" ref="A15:A26" si="0">A14+1</f>
        <v>5</v>
      </c>
      <c r="C15" s="15" t="s">
        <v>622</v>
      </c>
      <c r="D15" s="204"/>
      <c r="E15" s="282">
        <v>1000</v>
      </c>
      <c r="F15" s="451">
        <v>64.900000000000006</v>
      </c>
    </row>
    <row r="16" spans="1:16">
      <c r="A16" s="10">
        <f>A15+1</f>
        <v>6</v>
      </c>
      <c r="C16" s="16" t="s">
        <v>22</v>
      </c>
      <c r="D16" s="5"/>
      <c r="E16" s="410">
        <f>SUM(E11:E15)</f>
        <v>81750</v>
      </c>
      <c r="F16" s="452">
        <f>SUM(F11:F15)</f>
        <v>62094.240000000005</v>
      </c>
    </row>
    <row r="17" spans="1:6">
      <c r="A17" s="10">
        <f t="shared" si="0"/>
        <v>7</v>
      </c>
      <c r="C17" s="18"/>
      <c r="D17" s="2"/>
      <c r="E17" s="3"/>
      <c r="F17" s="450"/>
    </row>
    <row r="18" spans="1:6">
      <c r="A18" s="10">
        <f t="shared" si="0"/>
        <v>8</v>
      </c>
      <c r="C18" s="2" t="s">
        <v>41</v>
      </c>
      <c r="D18" s="2"/>
      <c r="E18" s="150">
        <f>E16</f>
        <v>81750</v>
      </c>
      <c r="F18" s="447">
        <f>F16</f>
        <v>62094.240000000005</v>
      </c>
    </row>
    <row r="19" spans="1:6">
      <c r="A19" s="10">
        <f t="shared" si="0"/>
        <v>9</v>
      </c>
      <c r="C19" s="2" t="s">
        <v>42</v>
      </c>
      <c r="D19" s="2"/>
      <c r="E19" s="150">
        <v>3</v>
      </c>
      <c r="F19" s="447">
        <v>3</v>
      </c>
    </row>
    <row r="20" spans="1:6">
      <c r="A20" s="10">
        <f t="shared" si="0"/>
        <v>10</v>
      </c>
      <c r="C20" s="2" t="s">
        <v>44</v>
      </c>
      <c r="D20" s="2"/>
      <c r="E20" s="150">
        <f>E18/E19</f>
        <v>27250</v>
      </c>
      <c r="F20" s="447">
        <f>F18/F19</f>
        <v>20698.080000000002</v>
      </c>
    </row>
    <row r="21" spans="1:6">
      <c r="A21" s="10">
        <f t="shared" si="0"/>
        <v>11</v>
      </c>
      <c r="C21" s="2"/>
      <c r="D21" s="2"/>
      <c r="E21" s="150"/>
      <c r="F21" s="447"/>
    </row>
    <row r="22" spans="1:6">
      <c r="A22" s="10">
        <f t="shared" si="0"/>
        <v>12</v>
      </c>
      <c r="C22" s="2" t="s">
        <v>36</v>
      </c>
      <c r="D22" s="2"/>
      <c r="E22" s="150">
        <f>6358.06</f>
        <v>6358.06</v>
      </c>
      <c r="F22" s="447">
        <v>0</v>
      </c>
    </row>
    <row r="23" spans="1:6">
      <c r="A23" s="10">
        <f t="shared" si="0"/>
        <v>13</v>
      </c>
      <c r="C23" s="2"/>
      <c r="D23" s="2"/>
      <c r="E23" s="3"/>
      <c r="F23" s="450"/>
    </row>
    <row r="24" spans="1:6">
      <c r="A24" s="10">
        <f t="shared" si="0"/>
        <v>14</v>
      </c>
      <c r="C24" s="3" t="s">
        <v>37</v>
      </c>
      <c r="E24" s="14">
        <f>E20</f>
        <v>27250</v>
      </c>
      <c r="F24" s="453">
        <f>F20</f>
        <v>20698.080000000002</v>
      </c>
    </row>
    <row r="25" spans="1:6">
      <c r="A25" s="10">
        <f t="shared" si="0"/>
        <v>15</v>
      </c>
      <c r="C25" s="455" t="s">
        <v>670</v>
      </c>
      <c r="F25" s="447">
        <v>-970.79</v>
      </c>
    </row>
    <row r="26" spans="1:6" ht="13.8" thickBot="1">
      <c r="A26" s="10">
        <f t="shared" si="0"/>
        <v>16</v>
      </c>
      <c r="C26" s="4" t="s">
        <v>15</v>
      </c>
      <c r="D26" s="21"/>
      <c r="E26" s="23">
        <f>ROUND(E24-E22,2)</f>
        <v>20891.939999999999</v>
      </c>
      <c r="F26" s="454">
        <f>ROUND(F24-F22+F25,2)</f>
        <v>19727.29</v>
      </c>
    </row>
    <row r="27" spans="1:6" ht="13.8" thickTop="1"/>
    <row r="29" spans="1:6" ht="30" customHeight="1">
      <c r="C29" s="467" t="s">
        <v>45</v>
      </c>
      <c r="D29" s="467"/>
      <c r="E29" s="467"/>
      <c r="F29" s="467"/>
    </row>
    <row r="30" spans="1:6">
      <c r="B30" s="450" t="s">
        <v>672</v>
      </c>
      <c r="C30" s="455" t="s">
        <v>671</v>
      </c>
    </row>
  </sheetData>
  <mergeCells count="4">
    <mergeCell ref="C29:F29"/>
    <mergeCell ref="A3:F3"/>
    <mergeCell ref="A4:F4"/>
    <mergeCell ref="A6:F6"/>
  </mergeCells>
  <printOptions horizontalCentered="1"/>
  <pageMargins left="1" right="0.75" top="0.75" bottom="0.5" header="0.5" footer="0.5"/>
  <pageSetup orientation="portrait" r:id="rId1"/>
  <headerFooter alignWithMargins="0">
    <oddFooter>&amp;RRevised Exhibit JW-2
Page &amp;P of &amp;N</oddFooter>
  </headerFooter>
  <ignoredErrors>
    <ignoredError sqref="C9:D9 E9:F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O60"/>
  <sheetViews>
    <sheetView view="pageBreakPreview" topLeftCell="A34" zoomScale="75" zoomScaleNormal="75" zoomScaleSheetLayoutView="75" workbookViewId="0">
      <selection activeCell="C43" sqref="C43"/>
    </sheetView>
  </sheetViews>
  <sheetFormatPr defaultColWidth="9.109375" defaultRowHeight="13.2"/>
  <cols>
    <col min="1" max="1" width="5.88671875" style="11" customWidth="1"/>
    <col min="2" max="2" width="2.33203125" style="11" customWidth="1"/>
    <col min="3" max="3" width="13.33203125" style="11" customWidth="1"/>
    <col min="4" max="4" width="10.88671875" style="11" customWidth="1"/>
    <col min="5" max="5" width="4.109375" style="11" customWidth="1"/>
    <col min="6" max="6" width="13.5546875" style="11" customWidth="1"/>
    <col min="7" max="7" width="15.33203125" style="11" customWidth="1"/>
    <col min="8" max="8" width="12.5546875" style="11" customWidth="1"/>
    <col min="9" max="9" width="11.5546875" style="11" bestFit="1" customWidth="1"/>
    <col min="10" max="10" width="12.88671875" style="11" customWidth="1"/>
    <col min="11" max="11" width="12.6640625" style="11" customWidth="1"/>
    <col min="12" max="12" width="11.6640625" style="11" customWidth="1"/>
    <col min="13" max="16384" width="9.109375" style="11"/>
  </cols>
  <sheetData>
    <row r="1" spans="1:15">
      <c r="A1" s="3"/>
      <c r="B1" s="3"/>
      <c r="C1" s="3"/>
      <c r="D1" s="3"/>
      <c r="E1" s="3"/>
      <c r="F1" s="3"/>
      <c r="G1" s="3"/>
      <c r="H1" s="3"/>
      <c r="I1" s="3"/>
      <c r="J1" s="3"/>
      <c r="K1" s="3"/>
      <c r="L1" s="159" t="s">
        <v>650</v>
      </c>
    </row>
    <row r="2" spans="1:15" ht="20.25" customHeight="1">
      <c r="A2" s="3"/>
      <c r="B2" s="3"/>
      <c r="C2" s="3"/>
      <c r="D2" s="3"/>
      <c r="E2" s="3"/>
      <c r="F2" s="3"/>
      <c r="G2" s="3"/>
      <c r="H2" s="3"/>
      <c r="I2" s="3"/>
      <c r="J2" s="3"/>
      <c r="K2" s="3"/>
      <c r="L2" s="159"/>
    </row>
    <row r="3" spans="1:15">
      <c r="A3" s="3"/>
      <c r="B3" s="3"/>
      <c r="C3" s="3"/>
      <c r="D3" s="3"/>
      <c r="E3" s="3"/>
      <c r="F3" s="3"/>
      <c r="G3" s="159"/>
      <c r="H3" s="3"/>
      <c r="I3" s="3"/>
      <c r="J3" s="3"/>
      <c r="K3" s="3"/>
      <c r="L3" s="3"/>
    </row>
    <row r="4" spans="1:15">
      <c r="A4" s="469" t="str">
        <f>RevReq!A1</f>
        <v>CUMBERLAND VALLEY ELECTRIC</v>
      </c>
      <c r="B4" s="469"/>
      <c r="C4" s="469"/>
      <c r="D4" s="469"/>
      <c r="E4" s="469"/>
      <c r="F4" s="469"/>
      <c r="G4" s="469"/>
      <c r="H4" s="469"/>
      <c r="I4" s="469"/>
      <c r="J4" s="469"/>
      <c r="K4" s="469"/>
      <c r="L4" s="469"/>
    </row>
    <row r="5" spans="1:15">
      <c r="A5" s="469" t="str">
        <f>RevReq!A3</f>
        <v>For the 12 Months Ended December 31, 2019</v>
      </c>
      <c r="B5" s="469"/>
      <c r="C5" s="469"/>
      <c r="D5" s="469"/>
      <c r="E5" s="469"/>
      <c r="F5" s="469"/>
      <c r="G5" s="469"/>
      <c r="H5" s="469"/>
      <c r="I5" s="469"/>
      <c r="J5" s="469"/>
      <c r="K5" s="469"/>
      <c r="L5" s="469"/>
    </row>
    <row r="6" spans="1:15">
      <c r="A6" s="3"/>
      <c r="B6" s="3"/>
      <c r="C6" s="3"/>
      <c r="D6" s="3"/>
      <c r="E6" s="3"/>
      <c r="F6" s="3"/>
      <c r="G6" s="3"/>
      <c r="H6" s="3"/>
      <c r="I6" s="3"/>
      <c r="J6" s="3"/>
      <c r="K6" s="3"/>
      <c r="L6" s="3"/>
    </row>
    <row r="7" spans="1:15" s="7" customFormat="1" ht="15" customHeight="1">
      <c r="A7" s="466" t="s">
        <v>46</v>
      </c>
      <c r="B7" s="466"/>
      <c r="C7" s="466"/>
      <c r="D7" s="466"/>
      <c r="E7" s="466"/>
      <c r="F7" s="466"/>
      <c r="G7" s="466"/>
      <c r="H7" s="466"/>
      <c r="I7" s="466"/>
      <c r="J7" s="466"/>
      <c r="K7" s="466"/>
      <c r="L7" s="466"/>
    </row>
    <row r="8" spans="1:15">
      <c r="A8" s="3"/>
      <c r="B8" s="3"/>
      <c r="C8" s="3"/>
      <c r="D8" s="3"/>
      <c r="E8" s="3"/>
      <c r="F8" s="3"/>
      <c r="G8" s="3"/>
      <c r="H8" s="3"/>
      <c r="I8" s="3"/>
      <c r="J8" s="3"/>
      <c r="K8" s="3"/>
      <c r="L8" s="3"/>
    </row>
    <row r="9" spans="1:15" ht="64.5" customHeight="1">
      <c r="A9" s="470" t="s">
        <v>0</v>
      </c>
      <c r="B9" s="3"/>
      <c r="C9" s="470" t="s">
        <v>16</v>
      </c>
      <c r="D9" s="3"/>
      <c r="E9" s="204"/>
      <c r="F9" s="407" t="s">
        <v>626</v>
      </c>
      <c r="G9" s="407" t="s">
        <v>627</v>
      </c>
      <c r="H9" s="407" t="s">
        <v>627</v>
      </c>
      <c r="I9" s="407" t="s">
        <v>628</v>
      </c>
      <c r="J9" s="407" t="s">
        <v>629</v>
      </c>
      <c r="K9" s="407" t="s">
        <v>630</v>
      </c>
      <c r="L9" s="470" t="s">
        <v>43</v>
      </c>
      <c r="N9" s="205"/>
      <c r="O9" s="205"/>
    </row>
    <row r="10" spans="1:15">
      <c r="A10" s="470"/>
      <c r="B10" s="3"/>
      <c r="C10" s="470"/>
      <c r="D10" s="204" t="s">
        <v>17</v>
      </c>
      <c r="E10" s="204"/>
      <c r="F10" s="407" t="s">
        <v>631</v>
      </c>
      <c r="G10" s="407" t="s">
        <v>632</v>
      </c>
      <c r="H10" s="407" t="s">
        <v>633</v>
      </c>
      <c r="I10" s="407" t="s">
        <v>634</v>
      </c>
      <c r="J10" s="407" t="s">
        <v>635</v>
      </c>
      <c r="K10" s="407" t="s">
        <v>636</v>
      </c>
      <c r="L10" s="470"/>
      <c r="N10" s="205"/>
      <c r="O10" s="205"/>
    </row>
    <row r="11" spans="1:15">
      <c r="A11" s="406" t="s">
        <v>21</v>
      </c>
      <c r="B11" s="3"/>
      <c r="C11" s="411" t="s">
        <v>18</v>
      </c>
      <c r="D11" s="411" t="s">
        <v>20</v>
      </c>
      <c r="E11" s="204"/>
      <c r="F11" s="411" t="s">
        <v>19</v>
      </c>
      <c r="G11" s="411" t="s">
        <v>25</v>
      </c>
      <c r="H11" s="411" t="s">
        <v>47</v>
      </c>
      <c r="I11" s="411" t="s">
        <v>48</v>
      </c>
      <c r="J11" s="411" t="s">
        <v>49</v>
      </c>
      <c r="K11" s="411" t="s">
        <v>50</v>
      </c>
      <c r="L11" s="411" t="s">
        <v>564</v>
      </c>
    </row>
    <row r="12" spans="1:15">
      <c r="A12" s="204"/>
      <c r="B12" s="3"/>
      <c r="C12" s="3"/>
      <c r="D12" s="3"/>
      <c r="E12" s="3"/>
      <c r="F12" s="3"/>
      <c r="G12" s="3"/>
      <c r="H12" s="3"/>
      <c r="I12" s="3"/>
      <c r="J12" s="3"/>
      <c r="K12" s="3"/>
      <c r="L12" s="3"/>
    </row>
    <row r="13" spans="1:15">
      <c r="A13" s="204"/>
      <c r="B13" s="3"/>
      <c r="C13" s="3"/>
      <c r="D13" s="3"/>
      <c r="E13" s="3"/>
      <c r="F13" s="3"/>
      <c r="G13" s="3"/>
      <c r="H13" s="3"/>
      <c r="I13" s="3"/>
      <c r="J13" s="3"/>
      <c r="K13" s="3"/>
      <c r="L13" s="3"/>
    </row>
    <row r="14" spans="1:15">
      <c r="A14" s="204">
        <v>1</v>
      </c>
      <c r="B14" s="3"/>
      <c r="C14" s="204">
        <v>2019</v>
      </c>
      <c r="D14" s="204" t="s">
        <v>6</v>
      </c>
      <c r="E14" s="172"/>
      <c r="F14" s="339">
        <v>22144</v>
      </c>
      <c r="G14" s="339">
        <v>1319</v>
      </c>
      <c r="H14" s="339">
        <v>166</v>
      </c>
      <c r="I14" s="339">
        <v>23</v>
      </c>
      <c r="J14" s="339">
        <v>47</v>
      </c>
      <c r="K14" s="3">
        <v>66</v>
      </c>
      <c r="L14" s="412"/>
      <c r="N14" s="130"/>
      <c r="O14" s="377"/>
    </row>
    <row r="15" spans="1:15">
      <c r="A15" s="204">
        <v>2</v>
      </c>
      <c r="B15" s="3"/>
      <c r="C15" s="204">
        <v>2019</v>
      </c>
      <c r="D15" s="204" t="s">
        <v>7</v>
      </c>
      <c r="E15" s="172"/>
      <c r="F15" s="339">
        <v>22120</v>
      </c>
      <c r="G15" s="339">
        <v>1322</v>
      </c>
      <c r="H15" s="339">
        <v>168</v>
      </c>
      <c r="I15" s="339">
        <v>23</v>
      </c>
      <c r="J15" s="339">
        <v>47</v>
      </c>
      <c r="K15" s="3">
        <v>65</v>
      </c>
      <c r="L15" s="413"/>
      <c r="N15" s="130"/>
      <c r="O15" s="377"/>
    </row>
    <row r="16" spans="1:15">
      <c r="A16" s="204">
        <v>3</v>
      </c>
      <c r="B16" s="3"/>
      <c r="C16" s="204">
        <v>2019</v>
      </c>
      <c r="D16" s="204" t="s">
        <v>8</v>
      </c>
      <c r="E16" s="172"/>
      <c r="F16" s="339">
        <v>22142</v>
      </c>
      <c r="G16" s="339">
        <v>1320</v>
      </c>
      <c r="H16" s="339">
        <v>167</v>
      </c>
      <c r="I16" s="339">
        <v>23</v>
      </c>
      <c r="J16" s="339">
        <v>47</v>
      </c>
      <c r="K16" s="3">
        <v>64</v>
      </c>
      <c r="L16" s="413"/>
      <c r="N16" s="130"/>
      <c r="O16" s="377"/>
    </row>
    <row r="17" spans="1:15">
      <c r="A17" s="204">
        <v>4</v>
      </c>
      <c r="B17" s="3"/>
      <c r="C17" s="204">
        <v>2019</v>
      </c>
      <c r="D17" s="204" t="s">
        <v>9</v>
      </c>
      <c r="E17" s="172"/>
      <c r="F17" s="339">
        <v>22091</v>
      </c>
      <c r="G17" s="339">
        <v>1336</v>
      </c>
      <c r="H17" s="339">
        <v>168</v>
      </c>
      <c r="I17" s="339">
        <v>22</v>
      </c>
      <c r="J17" s="339">
        <v>47</v>
      </c>
      <c r="K17" s="3">
        <v>65</v>
      </c>
      <c r="L17" s="413"/>
      <c r="N17" s="130"/>
      <c r="O17" s="377"/>
    </row>
    <row r="18" spans="1:15">
      <c r="A18" s="204">
        <v>5</v>
      </c>
      <c r="B18" s="3"/>
      <c r="C18" s="204">
        <v>2019</v>
      </c>
      <c r="D18" s="204" t="s">
        <v>10</v>
      </c>
      <c r="E18" s="172"/>
      <c r="F18" s="339">
        <v>22125</v>
      </c>
      <c r="G18" s="339">
        <v>1342</v>
      </c>
      <c r="H18" s="339">
        <v>171</v>
      </c>
      <c r="I18" s="339">
        <v>22</v>
      </c>
      <c r="J18" s="339">
        <v>47</v>
      </c>
      <c r="K18" s="3">
        <v>63</v>
      </c>
      <c r="L18" s="413"/>
      <c r="N18" s="130"/>
      <c r="O18" s="377"/>
    </row>
    <row r="19" spans="1:15">
      <c r="A19" s="204">
        <v>6</v>
      </c>
      <c r="B19" s="3"/>
      <c r="C19" s="204">
        <v>2019</v>
      </c>
      <c r="D19" s="204" t="s">
        <v>11</v>
      </c>
      <c r="E19" s="172"/>
      <c r="F19" s="339">
        <v>22155</v>
      </c>
      <c r="G19" s="339">
        <v>1343</v>
      </c>
      <c r="H19" s="339">
        <v>173</v>
      </c>
      <c r="I19" s="339">
        <v>21</v>
      </c>
      <c r="J19" s="339">
        <v>47</v>
      </c>
      <c r="K19" s="3">
        <v>62</v>
      </c>
      <c r="L19" s="413"/>
      <c r="N19" s="130"/>
      <c r="O19" s="377"/>
    </row>
    <row r="20" spans="1:15">
      <c r="A20" s="204">
        <v>7</v>
      </c>
      <c r="B20" s="3"/>
      <c r="C20" s="204">
        <v>2019</v>
      </c>
      <c r="D20" s="204" t="s">
        <v>12</v>
      </c>
      <c r="E20" s="172"/>
      <c r="F20" s="339">
        <v>22128</v>
      </c>
      <c r="G20" s="339">
        <v>1356</v>
      </c>
      <c r="H20" s="339">
        <v>175</v>
      </c>
      <c r="I20" s="339">
        <v>21</v>
      </c>
      <c r="J20" s="339">
        <v>47</v>
      </c>
      <c r="K20" s="3">
        <v>65</v>
      </c>
      <c r="L20" s="413"/>
      <c r="N20" s="130"/>
      <c r="O20" s="377"/>
    </row>
    <row r="21" spans="1:15">
      <c r="A21" s="204">
        <v>8</v>
      </c>
      <c r="B21" s="3"/>
      <c r="C21" s="204">
        <v>2019</v>
      </c>
      <c r="D21" s="204" t="s">
        <v>13</v>
      </c>
      <c r="E21" s="172"/>
      <c r="F21" s="339">
        <v>22168</v>
      </c>
      <c r="G21" s="339">
        <v>1348</v>
      </c>
      <c r="H21" s="339">
        <v>168</v>
      </c>
      <c r="I21" s="339">
        <v>21</v>
      </c>
      <c r="J21" s="339">
        <v>36</v>
      </c>
      <c r="K21" s="3">
        <v>64</v>
      </c>
      <c r="L21" s="413"/>
      <c r="N21" s="130"/>
      <c r="O21" s="377"/>
    </row>
    <row r="22" spans="1:15">
      <c r="A22" s="204">
        <v>9</v>
      </c>
      <c r="B22" s="3"/>
      <c r="C22" s="204">
        <v>2019</v>
      </c>
      <c r="D22" s="204" t="s">
        <v>2</v>
      </c>
      <c r="E22" s="172"/>
      <c r="F22" s="339">
        <v>22188</v>
      </c>
      <c r="G22" s="339">
        <v>1360</v>
      </c>
      <c r="H22" s="339">
        <v>167</v>
      </c>
      <c r="I22" s="339">
        <v>21</v>
      </c>
      <c r="J22" s="339">
        <v>36</v>
      </c>
      <c r="K22" s="3">
        <v>66</v>
      </c>
      <c r="L22" s="413"/>
      <c r="N22" s="130"/>
      <c r="O22" s="377"/>
    </row>
    <row r="23" spans="1:15">
      <c r="A23" s="204">
        <v>10</v>
      </c>
      <c r="B23" s="3"/>
      <c r="C23" s="204">
        <v>2019</v>
      </c>
      <c r="D23" s="204" t="s">
        <v>3</v>
      </c>
      <c r="E23" s="172"/>
      <c r="F23" s="339">
        <v>22201</v>
      </c>
      <c r="G23" s="339">
        <v>1357</v>
      </c>
      <c r="H23" s="339">
        <v>165</v>
      </c>
      <c r="I23" s="339">
        <v>21</v>
      </c>
      <c r="J23" s="339">
        <v>37</v>
      </c>
      <c r="K23" s="3">
        <v>67</v>
      </c>
      <c r="L23" s="413"/>
      <c r="N23" s="130"/>
      <c r="O23" s="377"/>
    </row>
    <row r="24" spans="1:15">
      <c r="A24" s="204">
        <v>11</v>
      </c>
      <c r="B24" s="3"/>
      <c r="C24" s="204">
        <v>2019</v>
      </c>
      <c r="D24" s="204" t="s">
        <v>4</v>
      </c>
      <c r="E24" s="172"/>
      <c r="F24" s="339">
        <v>22201</v>
      </c>
      <c r="G24" s="339">
        <v>1358</v>
      </c>
      <c r="H24" s="339">
        <v>165</v>
      </c>
      <c r="I24" s="339">
        <v>21</v>
      </c>
      <c r="J24" s="339">
        <v>37</v>
      </c>
      <c r="K24" s="3">
        <v>68</v>
      </c>
      <c r="L24" s="413"/>
      <c r="N24" s="130"/>
      <c r="O24" s="377"/>
    </row>
    <row r="25" spans="1:15">
      <c r="A25" s="204">
        <v>12</v>
      </c>
      <c r="B25" s="3"/>
      <c r="C25" s="204">
        <v>2019</v>
      </c>
      <c r="D25" s="204" t="s">
        <v>5</v>
      </c>
      <c r="E25" s="172"/>
      <c r="F25" s="339">
        <v>22066</v>
      </c>
      <c r="G25" s="339">
        <v>1358</v>
      </c>
      <c r="H25" s="339">
        <v>164</v>
      </c>
      <c r="I25" s="339">
        <v>21</v>
      </c>
      <c r="J25" s="339">
        <v>37</v>
      </c>
      <c r="K25" s="3">
        <v>67</v>
      </c>
      <c r="L25" s="413"/>
      <c r="N25" s="130"/>
      <c r="O25" s="377"/>
    </row>
    <row r="26" spans="1:15">
      <c r="A26" s="204">
        <v>13</v>
      </c>
      <c r="B26" s="3"/>
      <c r="C26" s="5" t="s">
        <v>51</v>
      </c>
      <c r="D26" s="55"/>
      <c r="E26" s="414"/>
      <c r="F26" s="341">
        <f t="shared" ref="F26:K26" si="0">ROUND(AVERAGE(F14:F25),0)</f>
        <v>22144</v>
      </c>
      <c r="G26" s="341">
        <f t="shared" si="0"/>
        <v>1343</v>
      </c>
      <c r="H26" s="341">
        <f t="shared" si="0"/>
        <v>168</v>
      </c>
      <c r="I26" s="341">
        <f t="shared" si="0"/>
        <v>22</v>
      </c>
      <c r="J26" s="341">
        <f t="shared" si="0"/>
        <v>43</v>
      </c>
      <c r="K26" s="341">
        <f t="shared" si="0"/>
        <v>65</v>
      </c>
      <c r="L26" s="413"/>
    </row>
    <row r="27" spans="1:15">
      <c r="A27" s="204">
        <v>14</v>
      </c>
      <c r="B27" s="3"/>
      <c r="C27" s="2"/>
      <c r="D27" s="3"/>
      <c r="E27" s="3"/>
      <c r="F27" s="3"/>
      <c r="G27" s="3"/>
      <c r="H27" s="3"/>
      <c r="I27" s="3"/>
      <c r="J27" s="3"/>
      <c r="K27" s="3"/>
      <c r="L27" s="3"/>
    </row>
    <row r="28" spans="1:15">
      <c r="A28" s="204">
        <v>15</v>
      </c>
      <c r="B28" s="3"/>
      <c r="C28" s="34" t="s">
        <v>66</v>
      </c>
      <c r="D28" s="3"/>
      <c r="E28" s="414"/>
      <c r="F28" s="415">
        <f t="shared" ref="F28:K28" si="1">F25-F26</f>
        <v>-78</v>
      </c>
      <c r="G28" s="415">
        <f t="shared" si="1"/>
        <v>15</v>
      </c>
      <c r="H28" s="415">
        <f t="shared" si="1"/>
        <v>-4</v>
      </c>
      <c r="I28" s="415">
        <f t="shared" si="1"/>
        <v>-1</v>
      </c>
      <c r="J28" s="415">
        <f t="shared" si="1"/>
        <v>-6</v>
      </c>
      <c r="K28" s="415">
        <f t="shared" si="1"/>
        <v>2</v>
      </c>
      <c r="L28" s="413"/>
    </row>
    <row r="29" spans="1:15">
      <c r="A29" s="204">
        <v>16</v>
      </c>
      <c r="B29" s="3"/>
      <c r="C29" s="2"/>
      <c r="D29" s="30"/>
      <c r="E29" s="414"/>
      <c r="F29" s="414"/>
      <c r="G29" s="414"/>
      <c r="H29" s="3"/>
      <c r="I29" s="3"/>
      <c r="J29" s="3"/>
      <c r="K29" s="3"/>
      <c r="L29" s="3"/>
    </row>
    <row r="30" spans="1:15">
      <c r="A30" s="204">
        <v>17</v>
      </c>
      <c r="B30" s="3"/>
      <c r="C30" s="2" t="s">
        <v>52</v>
      </c>
      <c r="D30" s="30"/>
      <c r="E30" s="414"/>
      <c r="F30" s="415">
        <v>295253522</v>
      </c>
      <c r="G30" s="415">
        <v>14497102</v>
      </c>
      <c r="H30" s="415">
        <v>9892526</v>
      </c>
      <c r="I30" s="415">
        <v>12154</v>
      </c>
      <c r="J30" s="415">
        <v>14567275</v>
      </c>
      <c r="K30" s="415">
        <v>80510446</v>
      </c>
      <c r="L30" s="413"/>
    </row>
    <row r="31" spans="1:15">
      <c r="A31" s="204">
        <v>18</v>
      </c>
      <c r="B31" s="3"/>
      <c r="C31" s="2" t="s">
        <v>53</v>
      </c>
      <c r="D31" s="30"/>
      <c r="E31" s="414"/>
      <c r="F31" s="415">
        <f t="shared" ref="F31:K31" si="2">F30/F26</f>
        <v>13333.3418533237</v>
      </c>
      <c r="G31" s="415">
        <f t="shared" si="2"/>
        <v>10794.565897244975</v>
      </c>
      <c r="H31" s="415">
        <f t="shared" si="2"/>
        <v>58884.083333333336</v>
      </c>
      <c r="I31" s="415">
        <f t="shared" si="2"/>
        <v>552.4545454545455</v>
      </c>
      <c r="J31" s="415">
        <f t="shared" si="2"/>
        <v>338773.83720930235</v>
      </c>
      <c r="K31" s="415">
        <f t="shared" si="2"/>
        <v>1238622.2461538462</v>
      </c>
      <c r="L31" s="413"/>
    </row>
    <row r="32" spans="1:15">
      <c r="A32" s="204">
        <v>19</v>
      </c>
      <c r="B32" s="3"/>
      <c r="C32" s="2" t="s">
        <v>54</v>
      </c>
      <c r="D32" s="30"/>
      <c r="E32" s="414"/>
      <c r="F32" s="415">
        <f t="shared" ref="F32:K32" si="3">F31*F28</f>
        <v>-1040000.6645592486</v>
      </c>
      <c r="G32" s="415">
        <f t="shared" si="3"/>
        <v>161918.48845867463</v>
      </c>
      <c r="H32" s="415">
        <f t="shared" si="3"/>
        <v>-235536.33333333334</v>
      </c>
      <c r="I32" s="415">
        <f t="shared" si="3"/>
        <v>-552.4545454545455</v>
      </c>
      <c r="J32" s="415">
        <f t="shared" si="3"/>
        <v>-2032643.0232558141</v>
      </c>
      <c r="K32" s="415">
        <f t="shared" si="3"/>
        <v>2477244.4923076923</v>
      </c>
      <c r="L32" s="340">
        <f>SUM(F32:K32)</f>
        <v>-669569.49492748361</v>
      </c>
    </row>
    <row r="33" spans="1:12">
      <c r="A33" s="204">
        <v>20</v>
      </c>
      <c r="B33" s="3"/>
      <c r="C33" s="2"/>
      <c r="D33" s="30"/>
      <c r="E33" s="414"/>
      <c r="F33" s="414"/>
      <c r="G33" s="414"/>
      <c r="H33" s="3"/>
      <c r="I33" s="3"/>
      <c r="J33" s="3"/>
      <c r="K33" s="3"/>
      <c r="L33" s="3"/>
    </row>
    <row r="34" spans="1:12">
      <c r="A34" s="204">
        <v>21</v>
      </c>
      <c r="B34" s="3"/>
      <c r="C34" s="416" t="s">
        <v>58</v>
      </c>
      <c r="D34" s="30"/>
      <c r="E34" s="414"/>
      <c r="F34" s="414"/>
      <c r="G34" s="414"/>
      <c r="H34" s="3"/>
      <c r="I34" s="3"/>
      <c r="J34" s="3"/>
      <c r="K34" s="3"/>
      <c r="L34" s="3"/>
    </row>
    <row r="35" spans="1:12">
      <c r="A35" s="204">
        <v>22</v>
      </c>
      <c r="B35" s="3"/>
      <c r="C35" s="2" t="s">
        <v>55</v>
      </c>
      <c r="D35" s="30"/>
      <c r="E35" s="414"/>
      <c r="F35" s="414">
        <v>27850878.270020001</v>
      </c>
      <c r="G35" s="414">
        <v>1487173.7603</v>
      </c>
      <c r="H35" s="172">
        <v>1054061.2289199999</v>
      </c>
      <c r="I35" s="172">
        <v>3593</v>
      </c>
      <c r="J35" s="172">
        <v>1126365.4085000001</v>
      </c>
      <c r="K35" s="172">
        <v>5681208.3182000006</v>
      </c>
      <c r="L35" s="413"/>
    </row>
    <row r="36" spans="1:12">
      <c r="A36" s="204">
        <v>23</v>
      </c>
      <c r="B36" s="3"/>
      <c r="C36" s="2" t="s">
        <v>56</v>
      </c>
      <c r="D36" s="30"/>
      <c r="E36" s="414"/>
      <c r="F36" s="417">
        <f t="shared" ref="F36:K36" si="4">F35/F30</f>
        <v>9.4328691090160816E-2</v>
      </c>
      <c r="G36" s="417">
        <f t="shared" si="4"/>
        <v>0.10258421029941019</v>
      </c>
      <c r="H36" s="417">
        <f t="shared" si="4"/>
        <v>0.10655127203304797</v>
      </c>
      <c r="I36" s="417">
        <f t="shared" si="4"/>
        <v>0.29562284021721247</v>
      </c>
      <c r="J36" s="417">
        <f t="shared" si="4"/>
        <v>7.7321627311902882E-2</v>
      </c>
      <c r="K36" s="417">
        <f t="shared" si="4"/>
        <v>7.0564859598467519E-2</v>
      </c>
      <c r="L36" s="413"/>
    </row>
    <row r="37" spans="1:12">
      <c r="A37" s="204">
        <v>24</v>
      </c>
      <c r="B37" s="3"/>
      <c r="C37" s="2" t="s">
        <v>57</v>
      </c>
      <c r="D37" s="30"/>
      <c r="E37" s="414"/>
      <c r="F37" s="414">
        <f t="shared" ref="F37:K37" si="5">F36*F32</f>
        <v>-98101.901420771319</v>
      </c>
      <c r="G37" s="414">
        <f t="shared" si="5"/>
        <v>16610.2802714073</v>
      </c>
      <c r="H37" s="414">
        <f t="shared" si="5"/>
        <v>-25096.695926666664</v>
      </c>
      <c r="I37" s="414">
        <f t="shared" si="5"/>
        <v>-163.31818181818184</v>
      </c>
      <c r="J37" s="414">
        <f t="shared" si="5"/>
        <v>-157167.26630232559</v>
      </c>
      <c r="K37" s="414">
        <f t="shared" si="5"/>
        <v>174806.40979076925</v>
      </c>
      <c r="L37" s="340">
        <f>SUM(F37:K37)</f>
        <v>-89112.491769405169</v>
      </c>
    </row>
    <row r="38" spans="1:12">
      <c r="A38" s="204">
        <v>25</v>
      </c>
      <c r="B38" s="3"/>
      <c r="C38" s="2"/>
      <c r="D38" s="30"/>
      <c r="E38" s="414"/>
      <c r="F38" s="414"/>
      <c r="G38" s="414"/>
      <c r="H38" s="414"/>
      <c r="I38" s="414"/>
      <c r="J38" s="414"/>
      <c r="K38" s="414"/>
      <c r="L38" s="3"/>
    </row>
    <row r="39" spans="1:12">
      <c r="A39" s="204">
        <v>26</v>
      </c>
      <c r="B39" s="3"/>
      <c r="C39" s="416" t="s">
        <v>59</v>
      </c>
      <c r="D39" s="30"/>
      <c r="E39" s="414"/>
      <c r="F39" s="414"/>
      <c r="G39" s="414"/>
      <c r="H39" s="414"/>
      <c r="I39" s="414"/>
      <c r="J39" s="414"/>
      <c r="K39" s="414"/>
      <c r="L39" s="3"/>
    </row>
    <row r="40" spans="1:12">
      <c r="A40" s="204">
        <v>27</v>
      </c>
      <c r="B40" s="3"/>
      <c r="C40" s="2" t="s">
        <v>68</v>
      </c>
      <c r="D40" s="30"/>
      <c r="E40" s="414"/>
      <c r="F40" s="418">
        <f>G57/G58</f>
        <v>7.2858552637212984E-2</v>
      </c>
      <c r="G40" s="418">
        <f>F40</f>
        <v>7.2858552637212984E-2</v>
      </c>
      <c r="H40" s="418">
        <f>G40</f>
        <v>7.2858552637212984E-2</v>
      </c>
      <c r="I40" s="418">
        <f>F40</f>
        <v>7.2858552637212984E-2</v>
      </c>
      <c r="J40" s="418">
        <f>G40</f>
        <v>7.2858552637212984E-2</v>
      </c>
      <c r="K40" s="418">
        <f>H40</f>
        <v>7.2858552637212984E-2</v>
      </c>
      <c r="L40" s="413"/>
    </row>
    <row r="41" spans="1:12">
      <c r="A41" s="204">
        <v>28</v>
      </c>
      <c r="B41" s="3"/>
      <c r="C41" s="2" t="s">
        <v>60</v>
      </c>
      <c r="D41" s="30"/>
      <c r="E41" s="414"/>
      <c r="F41" s="414">
        <f t="shared" ref="F41:K41" si="6">F40*F32</f>
        <v>-75772.943161526491</v>
      </c>
      <c r="G41" s="414">
        <f t="shared" si="6"/>
        <v>11797.146714304308</v>
      </c>
      <c r="H41" s="414">
        <f t="shared" si="6"/>
        <v>-17160.836340142811</v>
      </c>
      <c r="I41" s="414">
        <f t="shared" si="6"/>
        <v>-40.251038579667579</v>
      </c>
      <c r="J41" s="414">
        <f t="shared" si="6"/>
        <v>-148095.42870254748</v>
      </c>
      <c r="K41" s="414">
        <f t="shared" si="6"/>
        <v>180488.44823804597</v>
      </c>
      <c r="L41" s="340">
        <f>SUM(F41:K41)</f>
        <v>-48783.864290446159</v>
      </c>
    </row>
    <row r="42" spans="1:12" ht="13.8" thickBot="1">
      <c r="A42" s="204">
        <v>29</v>
      </c>
      <c r="B42" s="3"/>
      <c r="C42" s="419"/>
      <c r="D42" s="35"/>
      <c r="E42" s="420"/>
      <c r="F42" s="420"/>
      <c r="G42" s="420"/>
      <c r="H42" s="420"/>
      <c r="I42" s="420"/>
      <c r="J42" s="420"/>
      <c r="K42" s="420"/>
      <c r="L42" s="419"/>
    </row>
    <row r="43" spans="1:12" ht="13.8" thickTop="1">
      <c r="A43" s="204">
        <v>30</v>
      </c>
      <c r="B43" s="3"/>
      <c r="C43" s="2"/>
      <c r="D43" s="30"/>
      <c r="E43" s="414"/>
      <c r="F43" s="3"/>
      <c r="G43" s="3"/>
      <c r="H43" s="3"/>
      <c r="I43" s="3"/>
      <c r="J43" s="3"/>
      <c r="K43" s="3"/>
      <c r="L43" s="3"/>
    </row>
    <row r="44" spans="1:12">
      <c r="A44" s="204">
        <v>31</v>
      </c>
      <c r="B44" s="3"/>
      <c r="C44" s="2"/>
      <c r="D44" s="2"/>
      <c r="E44" s="414"/>
      <c r="F44" s="421" t="s">
        <v>32</v>
      </c>
      <c r="G44" s="421" t="s">
        <v>24</v>
      </c>
      <c r="H44" s="3"/>
      <c r="I44" s="3"/>
      <c r="J44" s="3"/>
      <c r="K44" s="3"/>
      <c r="L44" s="421" t="s">
        <v>69</v>
      </c>
    </row>
    <row r="45" spans="1:12">
      <c r="A45" s="204">
        <v>32</v>
      </c>
      <c r="B45" s="3"/>
      <c r="C45" s="2" t="s">
        <v>36</v>
      </c>
      <c r="D45" s="2"/>
      <c r="E45" s="414"/>
      <c r="F45" s="150">
        <v>0</v>
      </c>
      <c r="G45" s="150">
        <v>0</v>
      </c>
      <c r="H45" s="3"/>
      <c r="I45" s="3"/>
      <c r="J45" s="3"/>
      <c r="K45" s="3"/>
      <c r="L45" s="267">
        <f>F45-G45</f>
        <v>0</v>
      </c>
    </row>
    <row r="46" spans="1:12">
      <c r="A46" s="204">
        <v>33</v>
      </c>
      <c r="B46" s="3"/>
      <c r="C46" s="2"/>
      <c r="D46" s="2"/>
      <c r="E46" s="414"/>
      <c r="F46" s="414"/>
      <c r="G46" s="3"/>
      <c r="H46" s="3"/>
      <c r="I46" s="3"/>
      <c r="J46" s="3"/>
      <c r="K46" s="3"/>
      <c r="L46" s="3"/>
    </row>
    <row r="47" spans="1:12">
      <c r="A47" s="204">
        <v>34</v>
      </c>
      <c r="B47" s="3"/>
      <c r="C47" s="3" t="s">
        <v>37</v>
      </c>
      <c r="D47" s="3"/>
      <c r="E47" s="172"/>
      <c r="F47" s="172">
        <f>L37</f>
        <v>-89112.491769405169</v>
      </c>
      <c r="G47" s="172">
        <f>L41</f>
        <v>-48783.864290446159</v>
      </c>
      <c r="H47" s="3"/>
      <c r="I47" s="3"/>
      <c r="J47" s="3"/>
      <c r="K47" s="3"/>
      <c r="L47" s="267">
        <f>F47-G47</f>
        <v>-40328.62747895901</v>
      </c>
    </row>
    <row r="48" spans="1:12">
      <c r="A48" s="204">
        <v>35</v>
      </c>
      <c r="B48" s="3"/>
      <c r="C48" s="3"/>
      <c r="D48" s="3"/>
      <c r="E48" s="3"/>
      <c r="F48" s="3"/>
      <c r="G48" s="3"/>
      <c r="H48" s="3"/>
      <c r="I48" s="3"/>
      <c r="J48" s="3"/>
      <c r="K48" s="3"/>
      <c r="L48" s="3"/>
    </row>
    <row r="49" spans="1:12" ht="13.8" thickBot="1">
      <c r="A49" s="204">
        <v>36</v>
      </c>
      <c r="B49" s="3"/>
      <c r="C49" s="4" t="s">
        <v>15</v>
      </c>
      <c r="D49" s="4"/>
      <c r="E49" s="422"/>
      <c r="F49" s="423">
        <f>ROUND(F47-F45,2)</f>
        <v>-89112.49</v>
      </c>
      <c r="G49" s="423">
        <f>ROUND(G47-G45,2)</f>
        <v>-48783.86</v>
      </c>
      <c r="H49" s="3"/>
      <c r="I49" s="3"/>
      <c r="J49" s="3"/>
      <c r="K49" s="3"/>
      <c r="L49" s="423">
        <f>ROUND(L47-L45,2)</f>
        <v>-40328.629999999997</v>
      </c>
    </row>
    <row r="50" spans="1:12" ht="13.8" thickTop="1">
      <c r="A50" s="204">
        <v>37</v>
      </c>
      <c r="B50" s="3"/>
      <c r="C50" s="3"/>
      <c r="D50" s="3"/>
      <c r="E50" s="3"/>
      <c r="F50" s="3"/>
      <c r="G50" s="3"/>
      <c r="H50" s="3"/>
      <c r="I50" s="3"/>
      <c r="J50" s="3"/>
      <c r="K50" s="3"/>
      <c r="L50" s="3"/>
    </row>
    <row r="51" spans="1:12">
      <c r="A51" s="204">
        <v>38</v>
      </c>
      <c r="B51" s="3"/>
      <c r="C51" s="3"/>
      <c r="D51" s="3"/>
      <c r="E51" s="3"/>
      <c r="F51" s="3"/>
      <c r="G51" s="3"/>
      <c r="H51" s="3"/>
      <c r="I51" s="3"/>
      <c r="J51" s="3"/>
      <c r="K51" s="3"/>
      <c r="L51" s="3"/>
    </row>
    <row r="52" spans="1:12">
      <c r="A52" s="204">
        <v>39</v>
      </c>
      <c r="B52" s="3"/>
      <c r="C52" s="182" t="s">
        <v>67</v>
      </c>
      <c r="D52" s="3"/>
      <c r="E52" s="3"/>
      <c r="F52" s="3"/>
      <c r="G52" s="424" t="s">
        <v>224</v>
      </c>
      <c r="H52" s="3"/>
      <c r="I52" s="3"/>
      <c r="J52" s="3"/>
      <c r="K52" s="3"/>
      <c r="L52" s="3"/>
    </row>
    <row r="53" spans="1:12">
      <c r="A53" s="204">
        <v>40</v>
      </c>
      <c r="B53" s="3"/>
      <c r="C53" s="2" t="s">
        <v>61</v>
      </c>
      <c r="D53" s="30"/>
      <c r="E53" s="414"/>
      <c r="F53" s="3"/>
      <c r="G53" s="414">
        <v>29927607</v>
      </c>
      <c r="H53" s="3"/>
      <c r="I53" s="3"/>
      <c r="J53" s="3"/>
      <c r="K53" s="3"/>
      <c r="L53" s="3"/>
    </row>
    <row r="54" spans="1:12">
      <c r="A54" s="204">
        <v>41</v>
      </c>
      <c r="B54" s="3"/>
      <c r="C54" s="2" t="s">
        <v>63</v>
      </c>
      <c r="D54" s="30"/>
      <c r="E54" s="414"/>
      <c r="F54" s="3"/>
      <c r="G54" s="414">
        <v>-1862349</v>
      </c>
      <c r="H54" s="3"/>
      <c r="I54" s="3"/>
      <c r="J54" s="3"/>
      <c r="K54" s="3"/>
      <c r="L54" s="3"/>
    </row>
    <row r="55" spans="1:12">
      <c r="A55" s="204">
        <v>42</v>
      </c>
      <c r="B55" s="3"/>
      <c r="C55" s="2" t="s">
        <v>62</v>
      </c>
      <c r="D55" s="30"/>
      <c r="E55" s="414"/>
      <c r="F55" s="3"/>
      <c r="G55" s="414">
        <v>4179275</v>
      </c>
      <c r="H55" s="3"/>
      <c r="I55" s="3"/>
      <c r="J55" s="3"/>
      <c r="K55" s="3"/>
      <c r="L55" s="3"/>
    </row>
    <row r="56" spans="1:12">
      <c r="A56" s="204">
        <v>43</v>
      </c>
      <c r="B56" s="3"/>
      <c r="C56" s="2" t="s">
        <v>637</v>
      </c>
      <c r="D56" s="30"/>
      <c r="E56" s="414"/>
      <c r="F56" s="3"/>
      <c r="G56" s="414">
        <v>0</v>
      </c>
      <c r="H56" s="3"/>
      <c r="I56" s="3"/>
      <c r="J56" s="3"/>
      <c r="K56" s="3"/>
      <c r="L56" s="3"/>
    </row>
    <row r="57" spans="1:12">
      <c r="A57" s="204">
        <v>44</v>
      </c>
      <c r="B57" s="3"/>
      <c r="C57" s="2" t="s">
        <v>64</v>
      </c>
      <c r="D57" s="30"/>
      <c r="E57" s="414"/>
      <c r="F57" s="3"/>
      <c r="G57" s="414">
        <f>SUM(G53:G56)</f>
        <v>32244533</v>
      </c>
      <c r="H57" s="3"/>
      <c r="I57" s="3"/>
      <c r="J57" s="3"/>
      <c r="K57" s="3"/>
      <c r="L57" s="3"/>
    </row>
    <row r="58" spans="1:12">
      <c r="A58" s="204">
        <v>45</v>
      </c>
      <c r="B58" s="3"/>
      <c r="C58" s="2" t="s">
        <v>65</v>
      </c>
      <c r="D58" s="30"/>
      <c r="E58" s="414"/>
      <c r="F58" s="3"/>
      <c r="G58" s="415">
        <v>442563458</v>
      </c>
      <c r="H58" s="3"/>
      <c r="I58" s="3"/>
      <c r="J58" s="3"/>
      <c r="K58" s="3"/>
      <c r="L58" s="3"/>
    </row>
    <row r="60" spans="1:12" ht="27" customHeight="1">
      <c r="C60" s="467" t="s">
        <v>158</v>
      </c>
      <c r="D60" s="467"/>
      <c r="E60" s="467"/>
      <c r="F60" s="467"/>
      <c r="G60" s="467"/>
      <c r="H60" s="467"/>
      <c r="I60" s="467"/>
      <c r="J60" s="467"/>
      <c r="K60" s="467"/>
      <c r="L60" s="9"/>
    </row>
  </sheetData>
  <mergeCells count="7">
    <mergeCell ref="A4:L4"/>
    <mergeCell ref="A5:L5"/>
    <mergeCell ref="A7:L7"/>
    <mergeCell ref="C60:K60"/>
    <mergeCell ref="A9:A10"/>
    <mergeCell ref="C9:C10"/>
    <mergeCell ref="L9:L10"/>
  </mergeCells>
  <printOptions horizontalCentered="1"/>
  <pageMargins left="0.25" right="0.25" top="0.75" bottom="0.75" header="0.5" footer="0.25"/>
  <pageSetup scale="62" orientation="portrait" r:id="rId1"/>
  <headerFooter alignWithMargins="0">
    <oddFooter>&amp;RRevised Exhibit JW-2
Page &amp;P of &amp;N</oddFooter>
  </headerFooter>
  <ignoredErrors>
    <ignoredError sqref="C11:H11 I11:L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7" tint="0.59999389629810485"/>
  </sheetPr>
  <dimension ref="A1:V63"/>
  <sheetViews>
    <sheetView view="pageBreakPreview" topLeftCell="A16" zoomScale="75" zoomScaleNormal="75" zoomScaleSheetLayoutView="75" workbookViewId="0">
      <selection activeCell="C43" sqref="C43"/>
    </sheetView>
  </sheetViews>
  <sheetFormatPr defaultColWidth="9.109375" defaultRowHeight="13.2"/>
  <cols>
    <col min="1" max="1" width="5.88671875" style="11" customWidth="1"/>
    <col min="2" max="2" width="11.109375" style="11" customWidth="1"/>
    <col min="3" max="3" width="30.5546875" style="11" bestFit="1" customWidth="1"/>
    <col min="4" max="4" width="13.44140625" style="11" customWidth="1"/>
    <col min="5" max="5" width="11.5546875" style="11" customWidth="1"/>
    <col min="6" max="6" width="7.33203125" style="11" bestFit="1" customWidth="1"/>
    <col min="7" max="7" width="12.109375" style="11" customWidth="1"/>
    <col min="8" max="8" width="13" style="11" customWidth="1"/>
    <col min="9" max="9" width="11.5546875" style="11" customWidth="1"/>
    <col min="10" max="11" width="9.109375" style="11"/>
    <col min="12" max="12" width="11.5546875" style="11" customWidth="1"/>
    <col min="13" max="13" width="11.33203125" style="11" bestFit="1" customWidth="1"/>
    <col min="14" max="16384" width="9.109375" style="11"/>
  </cols>
  <sheetData>
    <row r="1" spans="1:9">
      <c r="F1" s="6"/>
      <c r="I1" s="6" t="s">
        <v>114</v>
      </c>
    </row>
    <row r="2" spans="1:9" ht="20.25" customHeight="1">
      <c r="F2" s="6"/>
      <c r="I2" s="446" t="s">
        <v>666</v>
      </c>
    </row>
    <row r="3" spans="1:9">
      <c r="A3" s="465" t="str">
        <f>RevReq!A1</f>
        <v>CUMBERLAND VALLEY ELECTRIC</v>
      </c>
      <c r="B3" s="465"/>
      <c r="C3" s="465"/>
      <c r="D3" s="465"/>
      <c r="E3" s="465"/>
      <c r="F3" s="465"/>
      <c r="G3" s="465"/>
      <c r="H3" s="465"/>
      <c r="I3" s="465"/>
    </row>
    <row r="4" spans="1:9">
      <c r="A4" s="465" t="str">
        <f>RevReq!A3</f>
        <v>For the 12 Months Ended December 31, 2019</v>
      </c>
      <c r="B4" s="465"/>
      <c r="C4" s="465"/>
      <c r="D4" s="465"/>
      <c r="E4" s="465"/>
      <c r="F4" s="465"/>
      <c r="G4" s="465"/>
      <c r="H4" s="465"/>
      <c r="I4" s="465"/>
    </row>
    <row r="6" spans="1:9" s="7" customFormat="1" ht="15" customHeight="1">
      <c r="A6" s="468" t="s">
        <v>29</v>
      </c>
      <c r="B6" s="468"/>
      <c r="C6" s="468"/>
      <c r="D6" s="468"/>
      <c r="E6" s="468"/>
      <c r="F6" s="468"/>
      <c r="G6" s="468"/>
      <c r="H6" s="468"/>
      <c r="I6" s="468"/>
    </row>
    <row r="8" spans="1:9" s="31" customFormat="1" ht="38.25" customHeight="1">
      <c r="A8" s="31" t="s">
        <v>0</v>
      </c>
      <c r="B8" s="31" t="s">
        <v>135</v>
      </c>
      <c r="C8" s="31" t="s">
        <v>1</v>
      </c>
      <c r="D8" s="31" t="s">
        <v>132</v>
      </c>
      <c r="E8" s="31" t="s">
        <v>136</v>
      </c>
      <c r="F8" s="31" t="s">
        <v>91</v>
      </c>
      <c r="G8" s="31" t="s">
        <v>133</v>
      </c>
      <c r="H8" s="31" t="s">
        <v>134</v>
      </c>
      <c r="I8" s="31" t="s">
        <v>127</v>
      </c>
    </row>
    <row r="9" spans="1:9">
      <c r="A9" s="135" t="s">
        <v>21</v>
      </c>
      <c r="B9" s="13" t="s">
        <v>18</v>
      </c>
      <c r="C9" s="13" t="s">
        <v>20</v>
      </c>
      <c r="D9" s="13" t="s">
        <v>19</v>
      </c>
      <c r="E9" s="13" t="s">
        <v>25</v>
      </c>
      <c r="F9" s="13" t="s">
        <v>47</v>
      </c>
      <c r="G9" s="13" t="s">
        <v>48</v>
      </c>
      <c r="H9" s="13" t="s">
        <v>49</v>
      </c>
      <c r="I9" s="13" t="s">
        <v>50</v>
      </c>
    </row>
    <row r="10" spans="1:9">
      <c r="A10" s="10"/>
    </row>
    <row r="11" spans="1:9">
      <c r="A11" s="10">
        <v>1</v>
      </c>
      <c r="B11" s="41" t="s">
        <v>137</v>
      </c>
    </row>
    <row r="12" spans="1:9">
      <c r="A12" s="60">
        <f>A11+1</f>
        <v>2</v>
      </c>
      <c r="B12" s="137"/>
      <c r="C12" s="3"/>
      <c r="D12" s="61"/>
      <c r="E12" s="3"/>
      <c r="F12" s="3"/>
      <c r="G12" s="3"/>
      <c r="H12" s="3"/>
      <c r="I12" s="3"/>
    </row>
    <row r="13" spans="1:9">
      <c r="A13" s="60">
        <f t="shared" ref="A13:A25" si="0">A12+1</f>
        <v>3</v>
      </c>
      <c r="B13" s="195">
        <v>360</v>
      </c>
      <c r="C13" s="44" t="s">
        <v>143</v>
      </c>
      <c r="D13" s="425">
        <v>5485.38</v>
      </c>
      <c r="E13" s="61"/>
      <c r="F13" s="132"/>
      <c r="G13" s="61"/>
      <c r="H13" s="61"/>
      <c r="I13" s="61"/>
    </row>
    <row r="14" spans="1:9">
      <c r="A14" s="60">
        <f t="shared" si="0"/>
        <v>4</v>
      </c>
      <c r="B14" s="195">
        <v>362</v>
      </c>
      <c r="C14" s="44" t="s">
        <v>138</v>
      </c>
      <c r="D14" s="61">
        <v>696733.38</v>
      </c>
      <c r="E14" s="426">
        <v>0</v>
      </c>
      <c r="F14" s="427">
        <v>6.7000000000000004E-2</v>
      </c>
      <c r="G14" s="61">
        <f t="shared" ref="G14:G16" si="1">ROUND(((+D14-E14)*F14),2)</f>
        <v>46681.14</v>
      </c>
      <c r="H14" s="426">
        <v>46672.49</v>
      </c>
      <c r="I14" s="428">
        <f>G14-H14</f>
        <v>8.6500000000014552</v>
      </c>
    </row>
    <row r="15" spans="1:9">
      <c r="A15" s="60">
        <f t="shared" si="0"/>
        <v>5</v>
      </c>
      <c r="B15" s="195">
        <v>364</v>
      </c>
      <c r="C15" s="44" t="s">
        <v>139</v>
      </c>
      <c r="D15" s="61">
        <v>32800740.91</v>
      </c>
      <c r="E15" s="426">
        <v>0</v>
      </c>
      <c r="F15" s="427">
        <v>3.9E-2</v>
      </c>
      <c r="G15" s="61">
        <f t="shared" si="1"/>
        <v>1279228.8999999999</v>
      </c>
      <c r="H15" s="426">
        <v>1263055.69</v>
      </c>
      <c r="I15" s="428">
        <f t="shared" ref="I15:I16" si="2">G15-H15</f>
        <v>16173.209999999963</v>
      </c>
    </row>
    <row r="16" spans="1:9">
      <c r="A16" s="60">
        <f t="shared" si="0"/>
        <v>6</v>
      </c>
      <c r="B16" s="195">
        <v>365</v>
      </c>
      <c r="C16" s="44" t="s">
        <v>140</v>
      </c>
      <c r="D16" s="61">
        <v>30548819.960000001</v>
      </c>
      <c r="E16" s="426">
        <v>0</v>
      </c>
      <c r="F16" s="427">
        <v>3.27E-2</v>
      </c>
      <c r="G16" s="61">
        <f t="shared" si="1"/>
        <v>998946.41</v>
      </c>
      <c r="H16" s="426">
        <v>988244.99</v>
      </c>
      <c r="I16" s="428">
        <f t="shared" si="2"/>
        <v>10701.420000000042</v>
      </c>
    </row>
    <row r="17" spans="1:9">
      <c r="A17" s="60">
        <f t="shared" si="0"/>
        <v>7</v>
      </c>
      <c r="B17" s="195">
        <v>367</v>
      </c>
      <c r="C17" s="44" t="s">
        <v>141</v>
      </c>
      <c r="D17" s="61">
        <v>4554892.37</v>
      </c>
      <c r="E17" s="61">
        <v>0</v>
      </c>
      <c r="F17" s="429">
        <v>4.02E-2</v>
      </c>
      <c r="G17" s="61">
        <f t="shared" ref="G17:G22" si="3">ROUND(((+D17-E17)*F17),2)</f>
        <v>183106.67</v>
      </c>
      <c r="H17" s="61">
        <v>179774.09</v>
      </c>
      <c r="I17" s="414">
        <f t="shared" ref="I17:I22" si="4">G17-H17</f>
        <v>3332.5800000000163</v>
      </c>
    </row>
    <row r="18" spans="1:9">
      <c r="A18" s="60">
        <f t="shared" si="0"/>
        <v>8</v>
      </c>
      <c r="B18" s="195">
        <v>368</v>
      </c>
      <c r="C18" s="44" t="s">
        <v>142</v>
      </c>
      <c r="D18" s="61">
        <v>10965699.699999999</v>
      </c>
      <c r="E18" s="61">
        <v>0</v>
      </c>
      <c r="F18" s="429">
        <v>2.3900000000000001E-2</v>
      </c>
      <c r="G18" s="61">
        <f t="shared" si="3"/>
        <v>262080.22</v>
      </c>
      <c r="H18" s="61">
        <v>260987.48</v>
      </c>
      <c r="I18" s="414">
        <f t="shared" si="4"/>
        <v>1092.7399999999907</v>
      </c>
    </row>
    <row r="19" spans="1:9">
      <c r="A19" s="60">
        <f t="shared" si="0"/>
        <v>9</v>
      </c>
      <c r="B19" s="195">
        <v>369</v>
      </c>
      <c r="C19" s="44" t="s">
        <v>93</v>
      </c>
      <c r="D19" s="61">
        <v>8837379.0999999996</v>
      </c>
      <c r="E19" s="61">
        <v>0</v>
      </c>
      <c r="F19" s="429">
        <v>4.1399999999999999E-2</v>
      </c>
      <c r="G19" s="61">
        <f t="shared" si="3"/>
        <v>365867.49</v>
      </c>
      <c r="H19" s="61">
        <v>362138.28</v>
      </c>
      <c r="I19" s="414">
        <f t="shared" si="4"/>
        <v>3729.2099999999627</v>
      </c>
    </row>
    <row r="20" spans="1:9">
      <c r="A20" s="60">
        <f t="shared" si="0"/>
        <v>10</v>
      </c>
      <c r="B20" s="195">
        <v>370</v>
      </c>
      <c r="C20" s="44" t="s">
        <v>319</v>
      </c>
      <c r="D20" s="61">
        <v>873020.86</v>
      </c>
      <c r="E20" s="61">
        <v>0</v>
      </c>
      <c r="F20" s="429">
        <v>3.4000000000000002E-2</v>
      </c>
      <c r="G20" s="61">
        <f t="shared" si="3"/>
        <v>29682.71</v>
      </c>
      <c r="H20" s="61">
        <v>32101.3</v>
      </c>
      <c r="I20" s="414">
        <f t="shared" si="4"/>
        <v>-2418.59</v>
      </c>
    </row>
    <row r="21" spans="1:9">
      <c r="A21" s="60">
        <f t="shared" si="0"/>
        <v>11</v>
      </c>
      <c r="B21" s="195">
        <v>370</v>
      </c>
      <c r="C21" s="44" t="s">
        <v>320</v>
      </c>
      <c r="D21" s="61">
        <v>7847632.9400000004</v>
      </c>
      <c r="E21" s="61"/>
      <c r="F21" s="429">
        <v>6.7000000000000004E-2</v>
      </c>
      <c r="G21" s="61">
        <f t="shared" si="3"/>
        <v>525791.41</v>
      </c>
      <c r="H21" s="61">
        <v>418464.51</v>
      </c>
      <c r="I21" s="414">
        <f t="shared" si="4"/>
        <v>107326.90000000002</v>
      </c>
    </row>
    <row r="22" spans="1:9">
      <c r="A22" s="60">
        <f t="shared" si="0"/>
        <v>12</v>
      </c>
      <c r="B22" s="195">
        <v>371</v>
      </c>
      <c r="C22" s="44" t="s">
        <v>321</v>
      </c>
      <c r="D22" s="61">
        <v>6363722.5899999999</v>
      </c>
      <c r="E22" s="61">
        <v>0</v>
      </c>
      <c r="F22" s="429">
        <v>4.8899999999999999E-2</v>
      </c>
      <c r="G22" s="61">
        <f t="shared" si="3"/>
        <v>311186.03000000003</v>
      </c>
      <c r="H22" s="61">
        <v>301540.65000000002</v>
      </c>
      <c r="I22" s="414">
        <f t="shared" si="4"/>
        <v>9645.3800000000047</v>
      </c>
    </row>
    <row r="23" spans="1:9">
      <c r="A23" s="60">
        <f t="shared" si="0"/>
        <v>13</v>
      </c>
      <c r="B23" s="2"/>
      <c r="C23" s="430" t="s">
        <v>22</v>
      </c>
      <c r="D23" s="431">
        <f>SUM(D14:D22)</f>
        <v>103488641.81</v>
      </c>
      <c r="E23" s="432">
        <f>SUM(E14:E22)</f>
        <v>0</v>
      </c>
      <c r="F23" s="431"/>
      <c r="G23" s="431">
        <f>SUM(G14:G22)</f>
        <v>4002570.9800000004</v>
      </c>
      <c r="H23" s="431">
        <f>SUM(H14:H22)</f>
        <v>3852979.4799999991</v>
      </c>
      <c r="I23" s="431">
        <f>SUM(I14:I22)</f>
        <v>149591.5</v>
      </c>
    </row>
    <row r="24" spans="1:9">
      <c r="A24" s="60">
        <f t="shared" si="0"/>
        <v>14</v>
      </c>
      <c r="B24" s="2"/>
      <c r="C24" s="2"/>
      <c r="D24" s="2"/>
      <c r="E24" s="2"/>
      <c r="F24" s="2"/>
      <c r="G24" s="2"/>
      <c r="H24" s="2"/>
      <c r="I24" s="2"/>
    </row>
    <row r="25" spans="1:9">
      <c r="A25" s="60">
        <f t="shared" si="0"/>
        <v>15</v>
      </c>
      <c r="B25" s="433" t="s">
        <v>144</v>
      </c>
      <c r="C25" s="2"/>
      <c r="D25" s="2"/>
      <c r="E25" s="2"/>
      <c r="F25" s="2"/>
      <c r="G25" s="2"/>
      <c r="H25" s="2"/>
      <c r="I25" s="2"/>
    </row>
    <row r="26" spans="1:9">
      <c r="A26" s="60">
        <f>A25+1</f>
        <v>16</v>
      </c>
      <c r="B26" s="226">
        <v>389</v>
      </c>
      <c r="C26" s="44" t="s">
        <v>143</v>
      </c>
      <c r="D26" s="425">
        <v>98651.83</v>
      </c>
      <c r="E26" s="61"/>
      <c r="F26" s="434"/>
      <c r="G26" s="61"/>
      <c r="H26" s="61"/>
      <c r="I26" s="414"/>
    </row>
    <row r="27" spans="1:9">
      <c r="A27" s="60">
        <f t="shared" ref="A27:A59" si="5">A26+1</f>
        <v>17</v>
      </c>
      <c r="B27" s="169">
        <v>390</v>
      </c>
      <c r="C27" s="3" t="s">
        <v>322</v>
      </c>
      <c r="D27" s="435">
        <v>5381.58</v>
      </c>
      <c r="E27" s="3"/>
      <c r="F27" s="368">
        <v>0.04</v>
      </c>
      <c r="G27" s="435">
        <f t="shared" ref="G27:G34" si="6">ROUND(((+D27-E27)*F27),2)</f>
        <v>215.26</v>
      </c>
      <c r="H27" s="435">
        <v>215.04</v>
      </c>
      <c r="I27" s="172">
        <f t="shared" ref="I27:I34" si="7">G27-H27</f>
        <v>0.21999999999999886</v>
      </c>
    </row>
    <row r="28" spans="1:9">
      <c r="A28" s="60">
        <f t="shared" si="5"/>
        <v>18</v>
      </c>
      <c r="B28" s="226">
        <v>390</v>
      </c>
      <c r="C28" s="44" t="s">
        <v>280</v>
      </c>
      <c r="D28" s="61">
        <v>2250794.9300000002</v>
      </c>
      <c r="E28" s="61"/>
      <c r="F28" s="436">
        <v>2.86E-2</v>
      </c>
      <c r="G28" s="61">
        <f t="shared" si="6"/>
        <v>64372.73</v>
      </c>
      <c r="H28" s="61">
        <v>63884.08</v>
      </c>
      <c r="I28" s="414">
        <f t="shared" si="7"/>
        <v>488.65000000000146</v>
      </c>
    </row>
    <row r="29" spans="1:9">
      <c r="A29" s="60">
        <f t="shared" si="5"/>
        <v>19</v>
      </c>
      <c r="B29" s="226">
        <v>391</v>
      </c>
      <c r="C29" s="44" t="s">
        <v>323</v>
      </c>
      <c r="D29" s="61">
        <v>894674.21</v>
      </c>
      <c r="E29" s="61">
        <v>40037.18</v>
      </c>
      <c r="F29" s="429">
        <v>4.99E-2</v>
      </c>
      <c r="G29" s="61">
        <f t="shared" si="6"/>
        <v>42646.39</v>
      </c>
      <c r="H29" s="61">
        <v>44389.94</v>
      </c>
      <c r="I29" s="414">
        <f t="shared" si="7"/>
        <v>-1743.5500000000029</v>
      </c>
    </row>
    <row r="30" spans="1:9">
      <c r="A30" s="60">
        <f t="shared" si="5"/>
        <v>20</v>
      </c>
      <c r="B30" s="226">
        <v>394</v>
      </c>
      <c r="C30" s="44" t="s">
        <v>281</v>
      </c>
      <c r="D30" s="61">
        <v>98942.97</v>
      </c>
      <c r="E30" s="61">
        <v>39371.01</v>
      </c>
      <c r="F30" s="429">
        <v>6.6600000000000006E-2</v>
      </c>
      <c r="G30" s="61">
        <f t="shared" si="6"/>
        <v>3967.49</v>
      </c>
      <c r="H30" s="61">
        <v>4007.9</v>
      </c>
      <c r="I30" s="414">
        <f t="shared" si="7"/>
        <v>-40.410000000000309</v>
      </c>
    </row>
    <row r="31" spans="1:9">
      <c r="A31" s="60">
        <f t="shared" si="5"/>
        <v>21</v>
      </c>
      <c r="B31" s="226">
        <v>395</v>
      </c>
      <c r="C31" s="44" t="s">
        <v>324</v>
      </c>
      <c r="D31" s="61">
        <v>87712.1</v>
      </c>
      <c r="E31" s="61"/>
      <c r="F31" s="429">
        <v>0.04</v>
      </c>
      <c r="G31" s="61">
        <f t="shared" si="6"/>
        <v>3508.48</v>
      </c>
      <c r="H31" s="61">
        <v>3505.08</v>
      </c>
      <c r="I31" s="414">
        <f t="shared" si="7"/>
        <v>3.4000000000000909</v>
      </c>
    </row>
    <row r="32" spans="1:9">
      <c r="A32" s="60">
        <f t="shared" si="5"/>
        <v>22</v>
      </c>
      <c r="B32" s="226">
        <v>396</v>
      </c>
      <c r="C32" s="44" t="s">
        <v>325</v>
      </c>
      <c r="D32" s="61">
        <v>303903.89</v>
      </c>
      <c r="E32" s="61">
        <v>136625.54999999999</v>
      </c>
      <c r="F32" s="429">
        <v>0.06</v>
      </c>
      <c r="G32" s="61">
        <f t="shared" si="6"/>
        <v>10036.700000000001</v>
      </c>
      <c r="H32" s="61">
        <v>10036.68</v>
      </c>
      <c r="I32" s="414">
        <f t="shared" si="7"/>
        <v>2.0000000000436557E-2</v>
      </c>
    </row>
    <row r="33" spans="1:22">
      <c r="A33" s="60">
        <f t="shared" si="5"/>
        <v>23</v>
      </c>
      <c r="B33" s="226">
        <v>397</v>
      </c>
      <c r="C33" s="44" t="s">
        <v>282</v>
      </c>
      <c r="D33" s="61">
        <v>835033.56</v>
      </c>
      <c r="E33" s="61">
        <v>3042.98</v>
      </c>
      <c r="F33" s="429">
        <v>4.99E-2</v>
      </c>
      <c r="G33" s="61">
        <f t="shared" si="6"/>
        <v>41516.33</v>
      </c>
      <c r="H33" s="61">
        <v>40696.44</v>
      </c>
      <c r="I33" s="414">
        <f t="shared" si="7"/>
        <v>819.88999999999942</v>
      </c>
    </row>
    <row r="34" spans="1:22">
      <c r="A34" s="60">
        <f t="shared" si="5"/>
        <v>24</v>
      </c>
      <c r="B34" s="226">
        <v>398</v>
      </c>
      <c r="C34" s="44" t="s">
        <v>283</v>
      </c>
      <c r="D34" s="61">
        <v>461005.92</v>
      </c>
      <c r="E34" s="61">
        <v>93534.16</v>
      </c>
      <c r="F34" s="429">
        <v>5.5599999999999997E-2</v>
      </c>
      <c r="G34" s="61">
        <f t="shared" si="6"/>
        <v>20431.43</v>
      </c>
      <c r="H34" s="61">
        <v>20371.32</v>
      </c>
      <c r="I34" s="414">
        <f t="shared" si="7"/>
        <v>60.110000000000582</v>
      </c>
    </row>
    <row r="35" spans="1:22">
      <c r="A35" s="60">
        <f t="shared" si="5"/>
        <v>25</v>
      </c>
      <c r="C35" s="444" t="s">
        <v>667</v>
      </c>
      <c r="D35" s="199"/>
      <c r="E35" s="199"/>
      <c r="F35" s="199"/>
      <c r="G35" s="199"/>
      <c r="H35" s="445">
        <v>-1875.42</v>
      </c>
      <c r="I35" s="199"/>
    </row>
    <row r="36" spans="1:22">
      <c r="A36" s="60">
        <f t="shared" si="5"/>
        <v>26</v>
      </c>
      <c r="B36" s="2"/>
      <c r="C36" s="5" t="s">
        <v>22</v>
      </c>
      <c r="D36" s="431">
        <f>SUM(D27:D34)</f>
        <v>4937449.16</v>
      </c>
      <c r="E36" s="431">
        <f>SUM(E27:E34)</f>
        <v>312610.88</v>
      </c>
      <c r="F36" s="431"/>
      <c r="G36" s="431">
        <f>SUM(G27:G34)</f>
        <v>186694.81</v>
      </c>
      <c r="H36" s="431">
        <f>SUM(H27:H35)</f>
        <v>185231.06</v>
      </c>
      <c r="I36" s="140">
        <f>G36-H36</f>
        <v>1463.75</v>
      </c>
    </row>
    <row r="37" spans="1:22">
      <c r="A37" s="60">
        <f t="shared" si="5"/>
        <v>27</v>
      </c>
      <c r="B37" s="371" t="s">
        <v>128</v>
      </c>
      <c r="C37" s="437" t="s">
        <v>148</v>
      </c>
      <c r="D37" s="438">
        <f>D23+D36</f>
        <v>108426090.97</v>
      </c>
      <c r="E37" s="438">
        <f>E23+E36</f>
        <v>312610.88</v>
      </c>
      <c r="F37" s="438"/>
      <c r="G37" s="438">
        <f>G23+G36</f>
        <v>4189265.7900000005</v>
      </c>
      <c r="H37" s="438">
        <f>H23+H36</f>
        <v>4038210.5399999991</v>
      </c>
      <c r="I37" s="438">
        <f>I23+I36</f>
        <v>151055.25</v>
      </c>
      <c r="L37" s="196"/>
    </row>
    <row r="38" spans="1:22">
      <c r="A38" s="60">
        <f t="shared" si="5"/>
        <v>28</v>
      </c>
      <c r="B38" s="2"/>
      <c r="C38" s="439"/>
      <c r="D38" s="428"/>
      <c r="E38" s="428"/>
      <c r="F38" s="428"/>
      <c r="G38" s="428"/>
      <c r="H38" s="428"/>
      <c r="I38" s="428"/>
    </row>
    <row r="39" spans="1:22">
      <c r="A39" s="60">
        <f t="shared" si="5"/>
        <v>29</v>
      </c>
      <c r="B39" s="433" t="s">
        <v>145</v>
      </c>
      <c r="C39" s="2"/>
      <c r="D39" s="428"/>
      <c r="E39" s="428"/>
      <c r="F39" s="428"/>
      <c r="G39" s="428"/>
      <c r="H39" s="428"/>
      <c r="I39" s="428"/>
    </row>
    <row r="40" spans="1:22">
      <c r="A40" s="60">
        <f t="shared" si="5"/>
        <v>30</v>
      </c>
      <c r="B40" s="200">
        <v>392</v>
      </c>
      <c r="C40" s="3" t="s">
        <v>118</v>
      </c>
      <c r="D40" s="61">
        <v>3053663</v>
      </c>
      <c r="E40" s="61">
        <v>1652432.39</v>
      </c>
      <c r="F40" s="436">
        <v>0.1124</v>
      </c>
      <c r="G40" s="61">
        <f>ROUND(((+D40-E40)*F40),2)</f>
        <v>157498.32</v>
      </c>
      <c r="H40" s="61">
        <v>160557</v>
      </c>
      <c r="I40" s="414">
        <f>G40-H40</f>
        <v>-3058.679999999993</v>
      </c>
    </row>
    <row r="41" spans="1:22">
      <c r="A41" s="60">
        <f t="shared" si="5"/>
        <v>31</v>
      </c>
      <c r="B41" s="138" t="s">
        <v>129</v>
      </c>
      <c r="C41" s="139" t="s">
        <v>146</v>
      </c>
      <c r="D41" s="140"/>
      <c r="E41" s="140"/>
      <c r="F41" s="141"/>
      <c r="G41" s="140"/>
      <c r="H41" s="140"/>
      <c r="I41" s="440">
        <f>E54</f>
        <v>-1044.0700000000002</v>
      </c>
    </row>
    <row r="42" spans="1:22" ht="17.25" customHeight="1">
      <c r="A42" s="60">
        <f t="shared" si="5"/>
        <v>32</v>
      </c>
      <c r="B42" s="2"/>
      <c r="C42" s="2"/>
      <c r="D42" s="2"/>
      <c r="E42" s="2"/>
      <c r="F42" s="2"/>
      <c r="G42" s="2"/>
      <c r="H42" s="2"/>
      <c r="I42" s="2"/>
    </row>
    <row r="43" spans="1:22" ht="13.8" thickBot="1">
      <c r="A43" s="60">
        <f t="shared" si="5"/>
        <v>33</v>
      </c>
      <c r="B43" s="4" t="s">
        <v>229</v>
      </c>
      <c r="C43" s="4" t="s">
        <v>14</v>
      </c>
      <c r="D43" s="441">
        <f>D37+D40</f>
        <v>111479753.97</v>
      </c>
      <c r="E43" s="441">
        <f>E37+E40</f>
        <v>1965043.27</v>
      </c>
      <c r="F43" s="4"/>
      <c r="G43" s="441">
        <f>G37+G40</f>
        <v>4346764.1100000003</v>
      </c>
      <c r="H43" s="441">
        <f>H37+H40</f>
        <v>4198767.5399999991</v>
      </c>
      <c r="I43" s="442">
        <f>I41+I37</f>
        <v>150011.18</v>
      </c>
    </row>
    <row r="44" spans="1:22" ht="26.25" customHeight="1" thickTop="1">
      <c r="A44" s="60">
        <f t="shared" si="5"/>
        <v>34</v>
      </c>
      <c r="B44" s="2"/>
      <c r="C44" s="2"/>
      <c r="D44" s="2"/>
      <c r="E44" s="2"/>
      <c r="F44" s="2"/>
      <c r="G44" s="2"/>
      <c r="H44" s="2"/>
      <c r="I44" s="2"/>
    </row>
    <row r="45" spans="1:22" s="3" customFormat="1" ht="41.25" customHeight="1">
      <c r="A45" s="60">
        <f t="shared" si="5"/>
        <v>35</v>
      </c>
      <c r="B45" s="472" t="s">
        <v>231</v>
      </c>
      <c r="C45" s="472"/>
      <c r="D45" s="472"/>
      <c r="E45" s="472"/>
      <c r="F45" s="472"/>
      <c r="G45" s="472"/>
      <c r="H45" s="472"/>
      <c r="I45" s="472"/>
      <c r="J45" s="51"/>
      <c r="K45" s="51"/>
      <c r="L45" s="51"/>
      <c r="M45" s="51"/>
      <c r="N45" s="51"/>
      <c r="O45" s="51"/>
      <c r="P45" s="51"/>
      <c r="Q45" s="51"/>
      <c r="R45" s="51"/>
      <c r="S45" s="51"/>
      <c r="T45" s="51"/>
      <c r="U45" s="51"/>
      <c r="V45" s="51"/>
    </row>
    <row r="46" spans="1:22">
      <c r="A46" s="60">
        <f t="shared" si="5"/>
        <v>36</v>
      </c>
      <c r="B46" s="2"/>
      <c r="C46" s="2"/>
      <c r="D46" s="2"/>
      <c r="E46" s="2"/>
      <c r="F46" s="2"/>
      <c r="G46" s="2"/>
      <c r="H46" s="2"/>
      <c r="I46" s="2"/>
    </row>
    <row r="47" spans="1:22">
      <c r="A47" s="60">
        <f t="shared" si="5"/>
        <v>37</v>
      </c>
      <c r="B47" s="52" t="s">
        <v>146</v>
      </c>
      <c r="C47" s="40"/>
      <c r="D47" s="59" t="s">
        <v>130</v>
      </c>
      <c r="E47" s="59" t="s">
        <v>147</v>
      </c>
      <c r="F47" s="3"/>
      <c r="G47" s="2"/>
      <c r="H47" s="2"/>
      <c r="I47" s="3"/>
      <c r="L47" s="3"/>
      <c r="M47" s="59"/>
      <c r="N47" s="59"/>
    </row>
    <row r="48" spans="1:22">
      <c r="A48" s="60">
        <f t="shared" si="5"/>
        <v>38</v>
      </c>
      <c r="B48" s="39"/>
      <c r="C48" s="40"/>
      <c r="D48" s="39"/>
      <c r="E48" s="39"/>
      <c r="F48" s="3"/>
      <c r="G48" s="2"/>
      <c r="H48" s="2"/>
      <c r="I48" s="3"/>
      <c r="L48" s="3"/>
      <c r="M48" s="39"/>
      <c r="N48" s="39"/>
    </row>
    <row r="49" spans="1:14">
      <c r="A49" s="60">
        <f t="shared" si="5"/>
        <v>39</v>
      </c>
      <c r="B49" s="54" t="s">
        <v>121</v>
      </c>
      <c r="C49" s="44" t="s">
        <v>122</v>
      </c>
      <c r="D49" s="101">
        <v>8.7855000000000003E-2</v>
      </c>
      <c r="E49" s="45">
        <f>ROUND(D49*$I$40,2)</f>
        <v>-268.72000000000003</v>
      </c>
      <c r="F49" s="3"/>
      <c r="G49" s="2"/>
      <c r="H49" s="414"/>
      <c r="I49" s="309"/>
      <c r="L49" s="2"/>
      <c r="M49" s="45"/>
      <c r="N49" s="132"/>
    </row>
    <row r="50" spans="1:14">
      <c r="A50" s="60">
        <f t="shared" si="5"/>
        <v>40</v>
      </c>
      <c r="B50" s="54" t="s">
        <v>123</v>
      </c>
      <c r="C50" s="44" t="s">
        <v>124</v>
      </c>
      <c r="D50" s="101">
        <v>0.16970299999999999</v>
      </c>
      <c r="E50" s="45">
        <f t="shared" ref="E50:E53" si="8">ROUND(D50*$I$40,2)</f>
        <v>-519.07000000000005</v>
      </c>
      <c r="F50" s="3"/>
      <c r="G50" s="2"/>
      <c r="H50" s="172"/>
      <c r="I50" s="309"/>
      <c r="L50" s="2"/>
      <c r="M50" s="45"/>
      <c r="N50" s="132"/>
    </row>
    <row r="51" spans="1:14">
      <c r="A51" s="60">
        <f t="shared" si="5"/>
        <v>41</v>
      </c>
      <c r="B51" s="54" t="s">
        <v>125</v>
      </c>
      <c r="C51" s="44" t="s">
        <v>104</v>
      </c>
      <c r="D51" s="101">
        <v>3.0223E-2</v>
      </c>
      <c r="E51" s="45">
        <f t="shared" si="8"/>
        <v>-92.44</v>
      </c>
      <c r="F51" s="3"/>
      <c r="G51" s="2"/>
      <c r="H51" s="172"/>
      <c r="I51" s="309"/>
      <c r="L51" s="2"/>
      <c r="M51" s="45"/>
      <c r="N51" s="132"/>
    </row>
    <row r="52" spans="1:14">
      <c r="A52" s="60">
        <f t="shared" si="5"/>
        <v>42</v>
      </c>
      <c r="B52" s="54" t="s">
        <v>232</v>
      </c>
      <c r="C52" s="44" t="s">
        <v>78</v>
      </c>
      <c r="D52" s="101">
        <v>2.8920999999999999E-2</v>
      </c>
      <c r="E52" s="45">
        <f t="shared" si="8"/>
        <v>-88.46</v>
      </c>
      <c r="F52" s="3"/>
      <c r="G52" s="2"/>
      <c r="H52" s="172"/>
      <c r="I52" s="309"/>
      <c r="L52" s="2"/>
      <c r="M52" s="45"/>
      <c r="N52" s="132"/>
    </row>
    <row r="53" spans="1:14">
      <c r="A53" s="60">
        <f t="shared" si="5"/>
        <v>43</v>
      </c>
      <c r="B53" s="54" t="s">
        <v>126</v>
      </c>
      <c r="C53" s="44" t="s">
        <v>120</v>
      </c>
      <c r="D53" s="101">
        <v>2.4643999999999999E-2</v>
      </c>
      <c r="E53" s="45">
        <f t="shared" si="8"/>
        <v>-75.38</v>
      </c>
      <c r="F53" s="3"/>
      <c r="G53" s="2"/>
      <c r="H53" s="172"/>
      <c r="I53" s="309"/>
      <c r="L53" s="2"/>
      <c r="M53" s="45"/>
      <c r="N53" s="132"/>
    </row>
    <row r="54" spans="1:14">
      <c r="A54" s="60">
        <f t="shared" si="5"/>
        <v>44</v>
      </c>
      <c r="B54" s="47"/>
      <c r="C54" s="55" t="s">
        <v>22</v>
      </c>
      <c r="D54" s="194">
        <f>SUM(D49:D53)</f>
        <v>0.34134599999999998</v>
      </c>
      <c r="E54" s="63">
        <f>SUM(E49:E53)</f>
        <v>-1044.0700000000002</v>
      </c>
      <c r="F54" s="3"/>
      <c r="G54" s="2"/>
      <c r="H54" s="267"/>
      <c r="I54" s="3"/>
      <c r="L54" s="53"/>
      <c r="M54" s="53"/>
      <c r="N54" s="132"/>
    </row>
    <row r="55" spans="1:14">
      <c r="A55" s="60">
        <f t="shared" si="5"/>
        <v>45</v>
      </c>
      <c r="B55" s="54"/>
      <c r="C55" s="44"/>
      <c r="D55" s="101"/>
      <c r="E55" s="405"/>
      <c r="F55" s="3"/>
      <c r="G55" s="2"/>
      <c r="H55" s="3"/>
      <c r="I55" s="3"/>
      <c r="L55" s="53"/>
      <c r="M55" s="53"/>
      <c r="N55" s="132"/>
    </row>
    <row r="56" spans="1:14">
      <c r="A56" s="60">
        <f t="shared" si="5"/>
        <v>46</v>
      </c>
      <c r="B56" s="54" t="s">
        <v>233</v>
      </c>
      <c r="C56" s="44" t="s">
        <v>230</v>
      </c>
      <c r="D56" s="101">
        <v>0.65865399999999996</v>
      </c>
      <c r="E56" s="45">
        <f>ROUND(D56*$I$40,2)</f>
        <v>-2014.61</v>
      </c>
      <c r="F56" s="3"/>
      <c r="G56" s="2"/>
      <c r="H56" s="443"/>
      <c r="I56" s="3"/>
      <c r="L56" s="2"/>
      <c r="M56" s="45"/>
      <c r="N56" s="132"/>
    </row>
    <row r="57" spans="1:14">
      <c r="A57" s="60">
        <f t="shared" si="5"/>
        <v>47</v>
      </c>
      <c r="B57" s="47"/>
      <c r="C57" s="55" t="s">
        <v>22</v>
      </c>
      <c r="D57" s="102">
        <f>SUM(D56:D56)</f>
        <v>0.65865399999999996</v>
      </c>
      <c r="E57" s="133">
        <f>SUM(E56:E56)</f>
        <v>-2014.61</v>
      </c>
      <c r="G57" s="18"/>
      <c r="L57" s="2"/>
      <c r="M57" s="45"/>
      <c r="N57" s="132"/>
    </row>
    <row r="58" spans="1:14">
      <c r="A58" s="60">
        <f t="shared" si="5"/>
        <v>48</v>
      </c>
      <c r="B58" s="54"/>
      <c r="C58" s="44"/>
      <c r="D58" s="46"/>
      <c r="E58" s="53"/>
      <c r="G58" s="18"/>
      <c r="L58" s="2"/>
      <c r="M58" s="45"/>
      <c r="N58" s="132"/>
    </row>
    <row r="59" spans="1:14" ht="13.8" thickBot="1">
      <c r="A59" s="60">
        <f t="shared" si="5"/>
        <v>49</v>
      </c>
      <c r="B59" s="56"/>
      <c r="C59" s="57" t="s">
        <v>43</v>
      </c>
      <c r="D59" s="58">
        <f>D54+D57</f>
        <v>1</v>
      </c>
      <c r="E59" s="134">
        <f>E57+E54</f>
        <v>-3058.6800000000003</v>
      </c>
      <c r="G59" s="18"/>
      <c r="H59" s="189"/>
      <c r="L59" s="2"/>
      <c r="M59" s="45"/>
      <c r="N59" s="132"/>
    </row>
    <row r="60" spans="1:14" ht="13.8" thickTop="1">
      <c r="A60" s="18"/>
      <c r="B60" s="18"/>
      <c r="C60" s="18"/>
      <c r="D60" s="18"/>
      <c r="E60" s="18"/>
      <c r="F60" s="18"/>
      <c r="G60" s="18"/>
      <c r="H60" s="18"/>
      <c r="I60" s="18"/>
      <c r="L60" s="53"/>
      <c r="M60" s="53"/>
      <c r="N60" s="132"/>
    </row>
    <row r="61" spans="1:14">
      <c r="A61" s="18"/>
      <c r="B61" s="18"/>
      <c r="C61" s="18"/>
      <c r="D61" s="18"/>
      <c r="E61" s="18"/>
      <c r="F61" s="18"/>
      <c r="G61" s="18"/>
      <c r="H61" s="18"/>
      <c r="I61" s="18"/>
      <c r="L61" s="53"/>
      <c r="M61" s="53"/>
      <c r="N61" s="46"/>
    </row>
    <row r="62" spans="1:14">
      <c r="A62" s="18"/>
      <c r="B62" s="18"/>
      <c r="C62" s="18"/>
      <c r="D62" s="18"/>
      <c r="E62" s="18"/>
      <c r="F62" s="18"/>
      <c r="G62" s="18"/>
      <c r="H62" s="18"/>
      <c r="I62" s="18"/>
      <c r="L62" s="471"/>
      <c r="M62" s="471"/>
      <c r="N62" s="46"/>
    </row>
    <row r="63" spans="1:14">
      <c r="A63" s="18"/>
      <c r="B63" s="18"/>
      <c r="C63" s="18"/>
      <c r="D63" s="18"/>
      <c r="E63" s="18"/>
      <c r="F63" s="18"/>
      <c r="G63" s="18"/>
      <c r="H63" s="18"/>
      <c r="I63" s="18"/>
      <c r="L63" s="18"/>
      <c r="M63" s="18"/>
      <c r="N63" s="18"/>
    </row>
  </sheetData>
  <mergeCells count="5">
    <mergeCell ref="L62:M62"/>
    <mergeCell ref="B45:I45"/>
    <mergeCell ref="A3:I3"/>
    <mergeCell ref="A4:I4"/>
    <mergeCell ref="A6:I6"/>
  </mergeCells>
  <printOptions horizontalCentered="1"/>
  <pageMargins left="1" right="0.75" top="0.75" bottom="0.5" header="0.5" footer="0.5"/>
  <pageSetup scale="71" fitToHeight="2" orientation="portrait" r:id="rId1"/>
  <headerFooter alignWithMargins="0">
    <oddFooter>&amp;RRevised Exhibit JW-2
Page &amp;P of &amp;N</oddFooter>
  </headerFooter>
  <ignoredErrors>
    <ignoredError sqref="B9:I9" numberStoredAsText="1"/>
    <ignoredError sqref="D23 D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RevReq</vt:lpstr>
      <vt:lpstr>Adj List</vt:lpstr>
      <vt:lpstr>Adj BS</vt:lpstr>
      <vt:lpstr>Adj IS</vt:lpstr>
      <vt:lpstr>1.01 FAC</vt:lpstr>
      <vt:lpstr>1.02 ES</vt:lpstr>
      <vt:lpstr>1.03 RC</vt:lpstr>
      <vt:lpstr>1.04 CUST</vt:lpstr>
      <vt:lpstr>1.05 Depr</vt:lpstr>
      <vt:lpstr>1.06 Donat&amp;Promo</vt:lpstr>
      <vt:lpstr>1.07 Misc</vt:lpstr>
      <vt:lpstr>1.08 Dir</vt:lpstr>
      <vt:lpstr> 1.09 RS401k</vt:lpstr>
      <vt:lpstr>1.10 Wages</vt:lpstr>
      <vt:lpstr>1.11 Prof</vt:lpstr>
      <vt:lpstr>1.12 GTCC</vt:lpstr>
      <vt:lpstr>1.13PayrTx</vt:lpstr>
      <vt:lpstr>1.14 Int</vt:lpstr>
      <vt:lpstr>1.15 Life Ins</vt:lpstr>
      <vt:lpstr>' 1.09 RS401k'!Print_Area</vt:lpstr>
      <vt:lpstr>'1.01 FAC'!Print_Area</vt:lpstr>
      <vt:lpstr>'1.02 ES'!Print_Area</vt:lpstr>
      <vt:lpstr>'1.03 RC'!Print_Area</vt:lpstr>
      <vt:lpstr>'1.04 CUST'!Print_Area</vt:lpstr>
      <vt:lpstr>'1.05 Depr'!Print_Area</vt:lpstr>
      <vt:lpstr>'1.07 Misc'!Print_Area</vt:lpstr>
      <vt:lpstr>'1.08 Dir'!Print_Area</vt:lpstr>
      <vt:lpstr>'1.10 Wages'!Print_Area</vt:lpstr>
      <vt:lpstr>'1.11 Prof'!Print_Area</vt:lpstr>
      <vt:lpstr>'1.12 GTCC'!Print_Area</vt:lpstr>
      <vt:lpstr>'1.13PayrTx'!Print_Area</vt:lpstr>
      <vt:lpstr>'1.14 Int'!Print_Area</vt:lpstr>
      <vt:lpstr>'1.15 Life Ins'!Print_Area</vt:lpstr>
      <vt:lpstr>'Adj BS'!Print_Area</vt:lpstr>
      <vt:lpstr>'Adj IS'!Print_Area</vt:lpstr>
      <vt:lpstr>'Adj List'!Print_Area</vt:lpstr>
      <vt:lpstr>RevReq!Print_Area</vt:lpstr>
      <vt:lpstr>' 1.09 RS401k'!Print_Titles</vt:lpstr>
      <vt:lpstr>'1.04 CUST'!Print_Titles</vt:lpstr>
      <vt:lpstr>'1.05 Depr'!Print_Titles</vt:lpstr>
      <vt:lpstr>'1.06 Donat&amp;Promo'!Print_Titles</vt:lpstr>
      <vt:lpstr>'1.10 Wages'!Print_Titles</vt:lpstr>
      <vt:lpstr>'1.13PayrTx'!Print_Titles</vt:lpstr>
      <vt:lpstr>'1.15 Life Ins'!Print_Titles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Wolfram</dc:creator>
  <cp:lastModifiedBy>John Wolfram</cp:lastModifiedBy>
  <cp:lastPrinted>2020-09-09T19:31:46Z</cp:lastPrinted>
  <dcterms:created xsi:type="dcterms:W3CDTF">2012-11-02T18:45:21Z</dcterms:created>
  <dcterms:modified xsi:type="dcterms:W3CDTF">2020-12-04T20:56:47Z</dcterms:modified>
</cp:coreProperties>
</file>