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35" yWindow="1440" windowWidth="11835" windowHeight="8370" tabRatio="741" firstSheet="2" activeTab="2"/>
  </bookViews>
  <sheets>
    <sheet name="Residential NonTOU" sheetId="24" state="hidden" r:id="rId1"/>
    <sheet name="Resid. - TOU" sheetId="28" state="hidden" r:id="rId2"/>
    <sheet name="Present and Proposed Rates" sheetId="61" r:id="rId3"/>
    <sheet name="R" sheetId="80" r:id="rId4"/>
    <sheet name="TOD" sheetId="81" r:id="rId5"/>
    <sheet name="C1" sheetId="82" r:id="rId6"/>
    <sheet name="C2" sheetId="83" r:id="rId7"/>
    <sheet name="IB" sheetId="84" r:id="rId8"/>
    <sheet name="E1" sheetId="85" r:id="rId9"/>
    <sheet name="L1" sheetId="86" r:id="rId10"/>
    <sheet name="S" sheetId="43" r:id="rId11"/>
    <sheet name="Act-vs-Calc" sheetId="13" r:id="rId12"/>
    <sheet name="ResIncr" sheetId="79" r:id="rId13"/>
    <sheet name="Billing Determ" sheetId="74" r:id="rId14"/>
    <sheet name="List" sheetId="73" r:id="rId15"/>
  </sheets>
  <definedNames>
    <definedName name="_xlnm.Print_Area" localSheetId="11">'Act-vs-Calc'!$A$1:$K$22</definedName>
    <definedName name="_xlnm.Print_Area" localSheetId="13">'Billing Determ'!$A$1:$Q$187</definedName>
    <definedName name="_xlnm.Print_Area" localSheetId="5">'C1'!$A$1:$S$32</definedName>
    <definedName name="_xlnm.Print_Area" localSheetId="6">'C2'!$A$1:$S$36</definedName>
    <definedName name="_xlnm.Print_Area" localSheetId="8">'E1'!$A$1:$S$29</definedName>
    <definedName name="_xlnm.Print_Area" localSheetId="7">IB!$A$1:$S$33</definedName>
    <definedName name="_xlnm.Print_Area" localSheetId="9">'L1'!$A$1:$S$35</definedName>
    <definedName name="_xlnm.Print_Area" localSheetId="14">List!$A$1:$C$15</definedName>
    <definedName name="_xlnm.Print_Area" localSheetId="2">'Present and Proposed Rates'!$A$1:$P$49</definedName>
    <definedName name="_xlnm.Print_Area" localSheetId="3">'R'!$A$1:$S$30</definedName>
    <definedName name="_xlnm.Print_Area" localSheetId="1">'Resid. - TOU'!$A$1:$H$35</definedName>
    <definedName name="_xlnm.Print_Area" localSheetId="0">'Residential NonTOU'!$A$1:$W$28</definedName>
    <definedName name="_xlnm.Print_Area" localSheetId="12">ResIncr!$A$1:$K$39</definedName>
    <definedName name="_xlnm.Print_Area" localSheetId="10">S!$A$1:$R$34</definedName>
    <definedName name="_xlnm.Print_Area" localSheetId="4">TOD!$A$1:$S$32</definedName>
    <definedName name="_xlnm.Print_Titles" localSheetId="12">ResIncr!$1:$1</definedName>
  </definedNames>
  <calcPr calcId="145621"/>
</workbook>
</file>

<file path=xl/calcChain.xml><?xml version="1.0" encoding="utf-8"?>
<calcChain xmlns="http://schemas.openxmlformats.org/spreadsheetml/2006/main">
  <c r="S17" i="86" l="1"/>
  <c r="S21" i="86"/>
  <c r="S24" i="86"/>
  <c r="S25" i="86"/>
  <c r="S29" i="86" s="1"/>
  <c r="S26" i="86"/>
  <c r="S18" i="85"/>
  <c r="S19" i="85"/>
  <c r="S23" i="85" s="1"/>
  <c r="S20" i="85"/>
  <c r="S16" i="84"/>
  <c r="S17" i="84"/>
  <c r="S27" i="84" s="1"/>
  <c r="S18" i="84"/>
  <c r="S22" i="84"/>
  <c r="S23" i="84"/>
  <c r="S24" i="84"/>
  <c r="S16" i="83"/>
  <c r="S17" i="83"/>
  <c r="S22" i="83"/>
  <c r="S25" i="83"/>
  <c r="S26" i="83"/>
  <c r="S27" i="83"/>
  <c r="S30" i="83"/>
  <c r="S16" i="82"/>
  <c r="S17" i="82"/>
  <c r="S21" i="82"/>
  <c r="S22" i="82"/>
  <c r="S23" i="82"/>
  <c r="S26" i="82"/>
  <c r="S16" i="81"/>
  <c r="S26" i="81" s="1"/>
  <c r="S17" i="81"/>
  <c r="S21" i="81"/>
  <c r="S22" i="81"/>
  <c r="S23" i="81"/>
  <c r="S16" i="80"/>
  <c r="S19" i="80"/>
  <c r="S20" i="80"/>
  <c r="S21" i="80"/>
  <c r="D16" i="80" l="1"/>
  <c r="G28" i="82" l="1"/>
  <c r="D18" i="86" l="1"/>
  <c r="D16" i="85"/>
  <c r="D20" i="84"/>
  <c r="D19" i="82"/>
  <c r="D19" i="81"/>
  <c r="D17" i="80" l="1"/>
  <c r="H11" i="61" l="1"/>
  <c r="H9" i="61"/>
  <c r="H26" i="61"/>
  <c r="H13" i="61"/>
  <c r="I26" i="61" l="1"/>
  <c r="X134" i="74"/>
  <c r="X133" i="74"/>
  <c r="X132" i="74"/>
  <c r="X117" i="74"/>
  <c r="X116" i="74"/>
  <c r="X115" i="74"/>
  <c r="X100" i="74"/>
  <c r="X99" i="74"/>
  <c r="X98" i="74"/>
  <c r="X82" i="74"/>
  <c r="X81" i="74"/>
  <c r="X80" i="74"/>
  <c r="X65" i="74"/>
  <c r="X64" i="74"/>
  <c r="X75" i="74" s="1"/>
  <c r="Z154" i="74" s="1"/>
  <c r="X63" i="74"/>
  <c r="X46" i="74"/>
  <c r="X45" i="74"/>
  <c r="X56" i="74" s="1"/>
  <c r="Z153" i="74" s="1"/>
  <c r="X44" i="74"/>
  <c r="X27" i="74"/>
  <c r="X26" i="74"/>
  <c r="X25" i="74"/>
  <c r="X9" i="74"/>
  <c r="X8" i="74"/>
  <c r="X7" i="74"/>
  <c r="G31" i="86"/>
  <c r="G25" i="85"/>
  <c r="G29" i="84"/>
  <c r="G32" i="83"/>
  <c r="G28" i="81"/>
  <c r="G26" i="80"/>
  <c r="X48" i="74"/>
  <c r="X49" i="74"/>
  <c r="X157" i="74" s="1"/>
  <c r="X50" i="74"/>
  <c r="X51" i="74"/>
  <c r="X159" i="74" s="1"/>
  <c r="X52" i="74"/>
  <c r="X53" i="74"/>
  <c r="X161" i="74" s="1"/>
  <c r="X54" i="74"/>
  <c r="X55" i="74"/>
  <c r="X163" i="74" s="1"/>
  <c r="X47" i="74"/>
  <c r="X155" i="74" s="1"/>
  <c r="Z159" i="74"/>
  <c r="X156" i="74"/>
  <c r="X158" i="74"/>
  <c r="X160" i="74"/>
  <c r="X162" i="74"/>
  <c r="N164" i="74"/>
  <c r="L164" i="74"/>
  <c r="J164" i="74"/>
  <c r="N153" i="74"/>
  <c r="N154" i="74"/>
  <c r="N155" i="74"/>
  <c r="N156" i="74"/>
  <c r="N157" i="74"/>
  <c r="N158" i="74"/>
  <c r="N159" i="74"/>
  <c r="N160" i="74"/>
  <c r="N161" i="74"/>
  <c r="N162" i="74"/>
  <c r="N163" i="74"/>
  <c r="N152" i="74"/>
  <c r="X143" i="74"/>
  <c r="X142" i="74"/>
  <c r="X141" i="74"/>
  <c r="X140" i="74"/>
  <c r="X139" i="74"/>
  <c r="X138" i="74"/>
  <c r="X137" i="74"/>
  <c r="X136" i="74"/>
  <c r="X135" i="74"/>
  <c r="X126" i="74"/>
  <c r="X125" i="74"/>
  <c r="X124" i="74"/>
  <c r="X123" i="74"/>
  <c r="X122" i="74"/>
  <c r="X121" i="74"/>
  <c r="X120" i="74"/>
  <c r="X119" i="74"/>
  <c r="X118" i="74"/>
  <c r="X109" i="74"/>
  <c r="X108" i="74"/>
  <c r="X107" i="74"/>
  <c r="X106" i="74"/>
  <c r="X105" i="74"/>
  <c r="X104" i="74"/>
  <c r="X103" i="74"/>
  <c r="X102" i="74"/>
  <c r="X101" i="74"/>
  <c r="X91" i="74"/>
  <c r="X90" i="74"/>
  <c r="X89" i="74"/>
  <c r="X88" i="74"/>
  <c r="X87" i="74"/>
  <c r="X86" i="74"/>
  <c r="X85" i="74"/>
  <c r="X84" i="74"/>
  <c r="X83" i="74"/>
  <c r="X74" i="74"/>
  <c r="X73" i="74"/>
  <c r="X72" i="74"/>
  <c r="X71" i="74"/>
  <c r="X70" i="74"/>
  <c r="X69" i="74"/>
  <c r="X68" i="74"/>
  <c r="X67" i="74"/>
  <c r="X66" i="74"/>
  <c r="X36" i="74"/>
  <c r="X35" i="74"/>
  <c r="X34" i="74"/>
  <c r="X33" i="74"/>
  <c r="X32" i="74"/>
  <c r="X31" i="74"/>
  <c r="X30" i="74"/>
  <c r="X29" i="74"/>
  <c r="X28" i="74"/>
  <c r="X18" i="74"/>
  <c r="Z36" i="74" s="1"/>
  <c r="X17" i="74"/>
  <c r="X16" i="74"/>
  <c r="Z34" i="74" s="1"/>
  <c r="X15" i="74"/>
  <c r="X14" i="74"/>
  <c r="X13" i="74"/>
  <c r="X12" i="74"/>
  <c r="Z30" i="74" s="1"/>
  <c r="X11" i="74"/>
  <c r="Z29" i="74" s="1"/>
  <c r="X10" i="74"/>
  <c r="Z28" i="74" s="1"/>
  <c r="Z33" i="74"/>
  <c r="Z25" i="74"/>
  <c r="Z32" i="74"/>
  <c r="I164" i="74"/>
  <c r="I156" i="74"/>
  <c r="I157" i="74"/>
  <c r="I158" i="74"/>
  <c r="I159" i="74"/>
  <c r="I160" i="74"/>
  <c r="I161" i="74"/>
  <c r="I162" i="74"/>
  <c r="I163" i="74"/>
  <c r="I155" i="74"/>
  <c r="I153" i="74"/>
  <c r="I154" i="74"/>
  <c r="I152" i="74"/>
  <c r="L153" i="74"/>
  <c r="L154" i="74"/>
  <c r="L155" i="74"/>
  <c r="L156" i="74"/>
  <c r="L157" i="74"/>
  <c r="L158" i="74"/>
  <c r="L159" i="74"/>
  <c r="L160" i="74"/>
  <c r="L161" i="74"/>
  <c r="L162" i="74"/>
  <c r="L163" i="74"/>
  <c r="L152" i="74"/>
  <c r="J153" i="74"/>
  <c r="J154" i="74"/>
  <c r="J155" i="74"/>
  <c r="J156" i="74"/>
  <c r="J157" i="74"/>
  <c r="J158" i="74"/>
  <c r="J159" i="74"/>
  <c r="J160" i="74"/>
  <c r="J161" i="74"/>
  <c r="J162" i="74"/>
  <c r="J163" i="74"/>
  <c r="J152" i="74"/>
  <c r="T145" i="74"/>
  <c r="T128" i="74"/>
  <c r="T111" i="74"/>
  <c r="T93" i="74"/>
  <c r="T76" i="74"/>
  <c r="T57" i="74"/>
  <c r="T20" i="74"/>
  <c r="P148" i="74"/>
  <c r="X144" i="74" l="1"/>
  <c r="Z158" i="74" s="1"/>
  <c r="X127" i="74"/>
  <c r="Z157" i="74" s="1"/>
  <c r="X110" i="74"/>
  <c r="Z156" i="74" s="1"/>
  <c r="X92" i="74"/>
  <c r="Z155" i="74" s="1"/>
  <c r="X152" i="74"/>
  <c r="X153" i="74"/>
  <c r="X154" i="74"/>
  <c r="Z26" i="74"/>
  <c r="Z35" i="74"/>
  <c r="Z31" i="74"/>
  <c r="Z27" i="74"/>
  <c r="X19" i="74"/>
  <c r="X37" i="74"/>
  <c r="Z37" i="74" l="1"/>
  <c r="Z152" i="74" s="1"/>
  <c r="Z160" i="74" s="1"/>
  <c r="X164" i="74"/>
  <c r="D19" i="84"/>
  <c r="D18" i="82"/>
  <c r="D18" i="81"/>
  <c r="I30" i="43"/>
  <c r="Z161" i="74" l="1"/>
  <c r="G22" i="43"/>
  <c r="O24" i="43"/>
  <c r="O25" i="43"/>
  <c r="V153" i="74"/>
  <c r="V154" i="74"/>
  <c r="V155" i="74"/>
  <c r="V156" i="74"/>
  <c r="V157" i="74"/>
  <c r="V158" i="74"/>
  <c r="V159" i="74"/>
  <c r="V160" i="74"/>
  <c r="V161" i="74"/>
  <c r="V162" i="74"/>
  <c r="V163" i="74"/>
  <c r="V164" i="74"/>
  <c r="V152" i="74"/>
  <c r="I12" i="43" l="1"/>
  <c r="I13" i="43"/>
  <c r="I14" i="43"/>
  <c r="I15" i="43"/>
  <c r="I16" i="43"/>
  <c r="I17" i="43"/>
  <c r="I18" i="43"/>
  <c r="I19" i="43"/>
  <c r="I20" i="43"/>
  <c r="I21" i="43"/>
  <c r="L12" i="43"/>
  <c r="L13" i="43"/>
  <c r="L14" i="43"/>
  <c r="L15" i="43"/>
  <c r="L16" i="43"/>
  <c r="L17" i="43"/>
  <c r="L18" i="43"/>
  <c r="L19" i="43"/>
  <c r="L20" i="43"/>
  <c r="L21" i="43"/>
  <c r="P13" i="43"/>
  <c r="P14" i="43"/>
  <c r="P15" i="43"/>
  <c r="P16" i="43"/>
  <c r="P17" i="43"/>
  <c r="P18" i="43"/>
  <c r="P19" i="43"/>
  <c r="P20" i="43"/>
  <c r="P21" i="43"/>
  <c r="P12" i="43"/>
  <c r="O13" i="43"/>
  <c r="O14" i="43"/>
  <c r="O15" i="43"/>
  <c r="O16" i="43"/>
  <c r="O17" i="43"/>
  <c r="O18" i="43"/>
  <c r="O19" i="43"/>
  <c r="O20" i="43"/>
  <c r="O21" i="43"/>
  <c r="O12" i="43"/>
  <c r="H35" i="61"/>
  <c r="H32" i="61"/>
  <c r="H29" i="61"/>
  <c r="H28" i="61"/>
  <c r="H27" i="61"/>
  <c r="H23" i="61"/>
  <c r="H22" i="61"/>
  <c r="H19" i="61"/>
  <c r="H18" i="61"/>
  <c r="H15" i="61"/>
  <c r="H14" i="61"/>
  <c r="U10" i="61" l="1"/>
  <c r="O22" i="43"/>
  <c r="R21" i="43"/>
  <c r="R17" i="43"/>
  <c r="R13" i="43"/>
  <c r="R19" i="43"/>
  <c r="R15" i="43"/>
  <c r="R20" i="43"/>
  <c r="R16" i="43"/>
  <c r="R12" i="43"/>
  <c r="R18" i="43"/>
  <c r="R14" i="43"/>
  <c r="L22" i="43"/>
  <c r="I22" i="43"/>
  <c r="V143" i="74"/>
  <c r="V142" i="74"/>
  <c r="V141" i="74"/>
  <c r="V140" i="74"/>
  <c r="V139" i="74"/>
  <c r="V138" i="74"/>
  <c r="V137" i="74"/>
  <c r="V136" i="74"/>
  <c r="V135" i="74"/>
  <c r="V134" i="74"/>
  <c r="V133" i="74"/>
  <c r="V132" i="74"/>
  <c r="V144" i="74" s="1"/>
  <c r="V92" i="74"/>
  <c r="V81" i="74"/>
  <c r="V82" i="74"/>
  <c r="V83" i="74"/>
  <c r="V84" i="74"/>
  <c r="V85" i="74"/>
  <c r="V86" i="74"/>
  <c r="V87" i="74"/>
  <c r="V88" i="74"/>
  <c r="V89" i="74"/>
  <c r="V90" i="74"/>
  <c r="V91" i="74"/>
  <c r="V80" i="74"/>
  <c r="R22" i="43" l="1"/>
  <c r="U164" i="74"/>
  <c r="T164" i="74"/>
  <c r="U163" i="74"/>
  <c r="T163" i="74"/>
  <c r="U162" i="74"/>
  <c r="T162" i="74"/>
  <c r="U161" i="74"/>
  <c r="T161" i="74"/>
  <c r="U160" i="74"/>
  <c r="T160" i="74"/>
  <c r="U159" i="74"/>
  <c r="T159" i="74"/>
  <c r="U158" i="74"/>
  <c r="T158" i="74"/>
  <c r="U157" i="74"/>
  <c r="T157" i="74"/>
  <c r="U156" i="74"/>
  <c r="T156" i="74"/>
  <c r="U155" i="74"/>
  <c r="T155" i="74"/>
  <c r="U154" i="74"/>
  <c r="T154" i="74"/>
  <c r="U153" i="74"/>
  <c r="T153" i="74"/>
  <c r="U152" i="74"/>
  <c r="T152" i="74"/>
  <c r="U144" i="74"/>
  <c r="T144" i="74"/>
  <c r="U143" i="74"/>
  <c r="T143" i="74"/>
  <c r="U142" i="74"/>
  <c r="T142" i="74"/>
  <c r="U141" i="74"/>
  <c r="T141" i="74"/>
  <c r="U140" i="74"/>
  <c r="T140" i="74"/>
  <c r="U139" i="74"/>
  <c r="T139" i="74"/>
  <c r="U138" i="74"/>
  <c r="T138" i="74"/>
  <c r="U137" i="74"/>
  <c r="T137" i="74"/>
  <c r="U136" i="74"/>
  <c r="T136" i="74"/>
  <c r="U135" i="74"/>
  <c r="T135" i="74"/>
  <c r="U134" i="74"/>
  <c r="T134" i="74"/>
  <c r="U133" i="74"/>
  <c r="T133" i="74"/>
  <c r="U132" i="74"/>
  <c r="T132" i="74"/>
  <c r="U127" i="74"/>
  <c r="T127" i="74"/>
  <c r="U126" i="74"/>
  <c r="T126" i="74"/>
  <c r="U125" i="74"/>
  <c r="T125" i="74"/>
  <c r="U124" i="74"/>
  <c r="T124" i="74"/>
  <c r="U123" i="74"/>
  <c r="T123" i="74"/>
  <c r="U122" i="74"/>
  <c r="T122" i="74"/>
  <c r="U121" i="74"/>
  <c r="T121" i="74"/>
  <c r="U120" i="74"/>
  <c r="T120" i="74"/>
  <c r="U119" i="74"/>
  <c r="T119" i="74"/>
  <c r="U118" i="74"/>
  <c r="T118" i="74"/>
  <c r="U117" i="74"/>
  <c r="T117" i="74"/>
  <c r="U116" i="74"/>
  <c r="T116" i="74"/>
  <c r="U115" i="74"/>
  <c r="T115" i="74"/>
  <c r="U110" i="74"/>
  <c r="T110" i="74"/>
  <c r="U109" i="74"/>
  <c r="T109" i="74"/>
  <c r="U108" i="74"/>
  <c r="T108" i="74"/>
  <c r="U107" i="74"/>
  <c r="T107" i="74"/>
  <c r="U106" i="74"/>
  <c r="T106" i="74"/>
  <c r="U105" i="74"/>
  <c r="T105" i="74"/>
  <c r="U104" i="74"/>
  <c r="T104" i="74"/>
  <c r="U103" i="74"/>
  <c r="T103" i="74"/>
  <c r="U102" i="74"/>
  <c r="T102" i="74"/>
  <c r="U101" i="74"/>
  <c r="T101" i="74"/>
  <c r="U100" i="74"/>
  <c r="T100" i="74"/>
  <c r="U99" i="74"/>
  <c r="T99" i="74"/>
  <c r="U98" i="74"/>
  <c r="T98" i="74"/>
  <c r="T81" i="74"/>
  <c r="U81" i="74"/>
  <c r="T82" i="74"/>
  <c r="U82" i="74"/>
  <c r="T83" i="74"/>
  <c r="U83" i="74"/>
  <c r="T84" i="74"/>
  <c r="U84" i="74"/>
  <c r="T85" i="74"/>
  <c r="U85" i="74"/>
  <c r="T86" i="74"/>
  <c r="U86" i="74"/>
  <c r="T87" i="74"/>
  <c r="U87" i="74"/>
  <c r="T88" i="74"/>
  <c r="U88" i="74"/>
  <c r="T89" i="74"/>
  <c r="U89" i="74"/>
  <c r="T90" i="74"/>
  <c r="U90" i="74"/>
  <c r="T91" i="74"/>
  <c r="U91" i="74"/>
  <c r="T92" i="74"/>
  <c r="U92" i="74"/>
  <c r="U80" i="74"/>
  <c r="T80" i="74"/>
  <c r="T64" i="74"/>
  <c r="U64" i="74"/>
  <c r="T65" i="74"/>
  <c r="U65" i="74"/>
  <c r="T66" i="74"/>
  <c r="U66" i="74"/>
  <c r="T67" i="74"/>
  <c r="U67" i="74"/>
  <c r="T68" i="74"/>
  <c r="U68" i="74"/>
  <c r="T69" i="74"/>
  <c r="U69" i="74"/>
  <c r="T70" i="74"/>
  <c r="U70" i="74"/>
  <c r="T71" i="74"/>
  <c r="U71" i="74"/>
  <c r="T72" i="74"/>
  <c r="U72" i="74"/>
  <c r="T73" i="74"/>
  <c r="U73" i="74"/>
  <c r="T74" i="74"/>
  <c r="U74" i="74"/>
  <c r="T75" i="74"/>
  <c r="U75" i="74"/>
  <c r="U63" i="74"/>
  <c r="T63" i="74"/>
  <c r="T45" i="74"/>
  <c r="U45" i="74"/>
  <c r="T46" i="74"/>
  <c r="U46" i="74"/>
  <c r="T47" i="74"/>
  <c r="U47" i="74"/>
  <c r="T48" i="74"/>
  <c r="U48" i="74"/>
  <c r="T49" i="74"/>
  <c r="U49" i="74"/>
  <c r="T50" i="74"/>
  <c r="U50" i="74"/>
  <c r="T51" i="74"/>
  <c r="U51" i="74"/>
  <c r="T52" i="74"/>
  <c r="U52" i="74"/>
  <c r="T53" i="74"/>
  <c r="U53" i="74"/>
  <c r="T54" i="74"/>
  <c r="U54" i="74"/>
  <c r="T55" i="74"/>
  <c r="U55" i="74"/>
  <c r="T56" i="74"/>
  <c r="U56" i="74"/>
  <c r="U44" i="74"/>
  <c r="T44" i="74"/>
  <c r="T8" i="74" l="1"/>
  <c r="U8" i="74"/>
  <c r="T9" i="74"/>
  <c r="U9" i="74"/>
  <c r="T10" i="74"/>
  <c r="U10" i="74"/>
  <c r="T11" i="74"/>
  <c r="U11" i="74"/>
  <c r="T12" i="74"/>
  <c r="U12" i="74"/>
  <c r="T13" i="74"/>
  <c r="U13" i="74"/>
  <c r="T14" i="74"/>
  <c r="U14" i="74"/>
  <c r="T15" i="74"/>
  <c r="U15" i="74"/>
  <c r="T16" i="74"/>
  <c r="U16" i="74"/>
  <c r="T17" i="74"/>
  <c r="U17" i="74"/>
  <c r="T18" i="74"/>
  <c r="U18" i="74"/>
  <c r="T19" i="74"/>
  <c r="U19" i="74"/>
  <c r="T7" i="74"/>
  <c r="U7" i="74"/>
  <c r="S81" i="74" l="1"/>
  <c r="S82" i="74"/>
  <c r="S83" i="74"/>
  <c r="S84" i="74"/>
  <c r="S85" i="74"/>
  <c r="S86" i="74"/>
  <c r="S87" i="74"/>
  <c r="S88" i="74"/>
  <c r="S89" i="74"/>
  <c r="S90" i="74"/>
  <c r="S91" i="74"/>
  <c r="S80" i="74"/>
  <c r="N26" i="86"/>
  <c r="N20" i="85"/>
  <c r="N24" i="84"/>
  <c r="N27" i="83"/>
  <c r="N23" i="82"/>
  <c r="N23" i="81"/>
  <c r="G23" i="81"/>
  <c r="N21" i="80"/>
  <c r="G21" i="80"/>
  <c r="J21" i="80" s="1"/>
  <c r="J23" i="81" l="1"/>
  <c r="E22" i="43"/>
  <c r="C14" i="13" s="1"/>
  <c r="E12" i="80"/>
  <c r="G92" i="74" l="1"/>
  <c r="E20" i="13"/>
  <c r="G24" i="86"/>
  <c r="D15" i="85"/>
  <c r="C12" i="13" s="1"/>
  <c r="D18" i="84"/>
  <c r="G21" i="82"/>
  <c r="W175" i="74"/>
  <c r="X175" i="74"/>
  <c r="W176" i="74"/>
  <c r="X176" i="74"/>
  <c r="W177" i="74"/>
  <c r="X177" i="74"/>
  <c r="W178" i="74"/>
  <c r="X178" i="74"/>
  <c r="W179" i="74"/>
  <c r="X179" i="74"/>
  <c r="W180" i="74"/>
  <c r="X180" i="74"/>
  <c r="W181" i="74"/>
  <c r="X181" i="74"/>
  <c r="W182" i="74"/>
  <c r="X182" i="74"/>
  <c r="W183" i="74"/>
  <c r="X183" i="74"/>
  <c r="W184" i="74"/>
  <c r="X184" i="74"/>
  <c r="W185" i="74"/>
  <c r="X185" i="74"/>
  <c r="W186" i="74"/>
  <c r="X186" i="74"/>
  <c r="V187" i="74"/>
  <c r="A3" i="43"/>
  <c r="A2" i="43"/>
  <c r="A3" i="86"/>
  <c r="A2" i="86"/>
  <c r="A3" i="85"/>
  <c r="A2" i="85"/>
  <c r="A3" i="84"/>
  <c r="A2" i="84"/>
  <c r="A3" i="83"/>
  <c r="A2" i="83"/>
  <c r="A3" i="82"/>
  <c r="A2" i="82"/>
  <c r="A3" i="81"/>
  <c r="A2" i="81"/>
  <c r="A3" i="80"/>
  <c r="A2" i="80"/>
  <c r="U187" i="74"/>
  <c r="T187" i="74"/>
  <c r="S187" i="74"/>
  <c r="R187" i="74"/>
  <c r="Q187" i="74"/>
  <c r="P187" i="74"/>
  <c r="O187" i="74"/>
  <c r="N187" i="74"/>
  <c r="M187" i="74"/>
  <c r="L187" i="74"/>
  <c r="K187" i="74"/>
  <c r="J187" i="74"/>
  <c r="I187" i="74"/>
  <c r="H187" i="74"/>
  <c r="G187" i="74"/>
  <c r="F187" i="74"/>
  <c r="E187" i="74"/>
  <c r="D187" i="74"/>
  <c r="C187" i="74"/>
  <c r="G164" i="74"/>
  <c r="I25" i="43" s="1"/>
  <c r="F164" i="74"/>
  <c r="I24" i="43" s="1"/>
  <c r="E164" i="74"/>
  <c r="D164" i="74"/>
  <c r="C164" i="74"/>
  <c r="Q144" i="74"/>
  <c r="P144" i="74"/>
  <c r="O144" i="74"/>
  <c r="N144" i="74"/>
  <c r="G25" i="86" s="1"/>
  <c r="L144" i="74"/>
  <c r="K144" i="74"/>
  <c r="G26" i="86" s="1"/>
  <c r="J144" i="74"/>
  <c r="I144" i="74"/>
  <c r="D144" i="74"/>
  <c r="D17" i="86" s="1"/>
  <c r="C13" i="13" s="1"/>
  <c r="C144" i="74"/>
  <c r="D12" i="86" s="1"/>
  <c r="Q127" i="74"/>
  <c r="P127" i="74"/>
  <c r="O127" i="74"/>
  <c r="N127" i="74"/>
  <c r="G19" i="85" s="1"/>
  <c r="L127" i="74"/>
  <c r="G18" i="85" s="1"/>
  <c r="K127" i="74"/>
  <c r="G20" i="85" s="1"/>
  <c r="J20" i="85" s="1"/>
  <c r="J127" i="74"/>
  <c r="G127" i="74"/>
  <c r="D127" i="74"/>
  <c r="C127" i="74"/>
  <c r="D11" i="85" s="1"/>
  <c r="Q110" i="74"/>
  <c r="P110" i="74"/>
  <c r="O110" i="74"/>
  <c r="N110" i="74"/>
  <c r="G23" i="84" s="1"/>
  <c r="L110" i="74"/>
  <c r="G22" i="84" s="1"/>
  <c r="K110" i="74"/>
  <c r="G24" i="84" s="1"/>
  <c r="J110" i="74"/>
  <c r="I110" i="74"/>
  <c r="F110" i="74"/>
  <c r="D17" i="84" s="1"/>
  <c r="E110" i="74"/>
  <c r="D16" i="84" s="1"/>
  <c r="C11" i="13" s="1"/>
  <c r="D110" i="74"/>
  <c r="C110" i="74"/>
  <c r="D12" i="84" s="1"/>
  <c r="Q92" i="74"/>
  <c r="P92" i="74"/>
  <c r="O92" i="74"/>
  <c r="N92" i="74"/>
  <c r="G26" i="83" s="1"/>
  <c r="L92" i="74"/>
  <c r="G25" i="83" s="1"/>
  <c r="K92" i="74"/>
  <c r="G27" i="83" s="1"/>
  <c r="J92" i="74"/>
  <c r="I92" i="74"/>
  <c r="F92" i="74"/>
  <c r="D17" i="83" s="1"/>
  <c r="E92" i="74"/>
  <c r="D16" i="83" s="1"/>
  <c r="D92" i="74"/>
  <c r="C92" i="74"/>
  <c r="D12" i="83" s="1"/>
  <c r="Q75" i="74"/>
  <c r="P75" i="74"/>
  <c r="O75" i="74"/>
  <c r="N75" i="74"/>
  <c r="G22" i="82" s="1"/>
  <c r="L75" i="74"/>
  <c r="K75" i="74"/>
  <c r="G23" i="82" s="1"/>
  <c r="J75" i="74"/>
  <c r="G75" i="74"/>
  <c r="F75" i="74"/>
  <c r="D17" i="82" s="1"/>
  <c r="E75" i="74"/>
  <c r="D16" i="82" s="1"/>
  <c r="D75" i="74"/>
  <c r="C75" i="74"/>
  <c r="D12" i="82" s="1"/>
  <c r="Q56" i="74"/>
  <c r="P56" i="74"/>
  <c r="O56" i="74"/>
  <c r="N56" i="74"/>
  <c r="G22" i="81" s="1"/>
  <c r="M56" i="74"/>
  <c r="L56" i="74"/>
  <c r="G21" i="81" s="1"/>
  <c r="J56" i="74"/>
  <c r="F56" i="74"/>
  <c r="E56" i="74"/>
  <c r="D17" i="81" s="1"/>
  <c r="D56" i="74"/>
  <c r="D16" i="81" s="1"/>
  <c r="C8" i="13" s="1"/>
  <c r="C56" i="74"/>
  <c r="Q37" i="74"/>
  <c r="P37" i="74"/>
  <c r="O37" i="74"/>
  <c r="N37" i="74"/>
  <c r="L37" i="74"/>
  <c r="J37" i="74"/>
  <c r="G37" i="74"/>
  <c r="D37" i="74"/>
  <c r="C37" i="74"/>
  <c r="D12" i="80" s="1"/>
  <c r="Q19" i="74"/>
  <c r="P19" i="74"/>
  <c r="O19" i="74"/>
  <c r="N19" i="74"/>
  <c r="G20" i="80" s="1"/>
  <c r="L19" i="74"/>
  <c r="J19" i="74"/>
  <c r="G19" i="74"/>
  <c r="D19" i="74"/>
  <c r="C39" i="79" s="1"/>
  <c r="C19" i="74"/>
  <c r="D11" i="80" s="1"/>
  <c r="Q21" i="86"/>
  <c r="Q17" i="86"/>
  <c r="I17" i="86"/>
  <c r="E21" i="86"/>
  <c r="D21" i="86" s="1"/>
  <c r="E17" i="86"/>
  <c r="E12" i="86"/>
  <c r="A1" i="86"/>
  <c r="Q15" i="85"/>
  <c r="I15" i="85"/>
  <c r="E15" i="85"/>
  <c r="E11" i="85"/>
  <c r="A1" i="85"/>
  <c r="Q17" i="84"/>
  <c r="Q18" i="84"/>
  <c r="Q16" i="84"/>
  <c r="Q12" i="84"/>
  <c r="I17" i="84"/>
  <c r="I18" i="84"/>
  <c r="I16" i="84"/>
  <c r="E18" i="84"/>
  <c r="E17" i="84"/>
  <c r="E16" i="84"/>
  <c r="E12" i="84"/>
  <c r="A1" i="84"/>
  <c r="Q22" i="83"/>
  <c r="Q17" i="83"/>
  <c r="Q16" i="83"/>
  <c r="I22" i="83"/>
  <c r="I17" i="83"/>
  <c r="I16" i="83"/>
  <c r="E22" i="83"/>
  <c r="E17" i="83"/>
  <c r="E16" i="83"/>
  <c r="E12" i="83"/>
  <c r="A1" i="83"/>
  <c r="Q17" i="82"/>
  <c r="Q16" i="82"/>
  <c r="I17" i="82"/>
  <c r="I16" i="82"/>
  <c r="E17" i="82"/>
  <c r="E16" i="82"/>
  <c r="E12" i="82"/>
  <c r="A1" i="82"/>
  <c r="Q17" i="81"/>
  <c r="Q16" i="81"/>
  <c r="I17" i="81"/>
  <c r="I16" i="81"/>
  <c r="E17" i="81"/>
  <c r="E16" i="81"/>
  <c r="E12" i="81"/>
  <c r="I10" i="61"/>
  <c r="G10" i="61"/>
  <c r="H10" i="61" s="1"/>
  <c r="Q12" i="80" s="1"/>
  <c r="A1" i="81"/>
  <c r="Q11" i="80"/>
  <c r="I16" i="80"/>
  <c r="E16" i="80"/>
  <c r="E11" i="80"/>
  <c r="A1" i="80"/>
  <c r="G36" i="61"/>
  <c r="H36" i="61" s="1"/>
  <c r="G24" i="61"/>
  <c r="H24" i="61" s="1"/>
  <c r="I28" i="43" l="1"/>
  <c r="C10" i="13"/>
  <c r="D18" i="83"/>
  <c r="D19" i="83" s="1"/>
  <c r="E18" i="82"/>
  <c r="E19" i="84"/>
  <c r="I21" i="86"/>
  <c r="E18" i="81"/>
  <c r="E18" i="83"/>
  <c r="L25" i="43"/>
  <c r="R25" i="43"/>
  <c r="R24" i="43"/>
  <c r="R28" i="43" s="1"/>
  <c r="L24" i="43"/>
  <c r="J24" i="84"/>
  <c r="X187" i="74"/>
  <c r="D22" i="83"/>
  <c r="P22" i="83" s="1"/>
  <c r="S24" i="80"/>
  <c r="D14" i="13"/>
  <c r="J26" i="86"/>
  <c r="D12" i="13"/>
  <c r="J27" i="83"/>
  <c r="D10" i="13"/>
  <c r="J23" i="82"/>
  <c r="C9" i="13"/>
  <c r="D9" i="13"/>
  <c r="G19" i="80"/>
  <c r="D7" i="13"/>
  <c r="C7" i="13"/>
  <c r="G144" i="74"/>
  <c r="H110" i="74"/>
  <c r="G56" i="74"/>
  <c r="W187" i="74"/>
  <c r="D12" i="81"/>
  <c r="I22" i="61"/>
  <c r="I24" i="61"/>
  <c r="I36" i="61"/>
  <c r="I14" i="61"/>
  <c r="I27" i="61"/>
  <c r="I28" i="61"/>
  <c r="I18" i="61"/>
  <c r="L28" i="43" l="1"/>
  <c r="J22" i="83"/>
  <c r="G22" i="83"/>
  <c r="K38" i="61"/>
  <c r="E14" i="13"/>
  <c r="D13" i="13"/>
  <c r="D11" i="13"/>
  <c r="D8" i="13"/>
  <c r="C9" i="79"/>
  <c r="C10" i="79" s="1"/>
  <c r="C11" i="79" s="1"/>
  <c r="C12" i="79" s="1"/>
  <c r="C13" i="79" s="1"/>
  <c r="C14" i="79" s="1"/>
  <c r="C15" i="79" s="1"/>
  <c r="C16" i="79" s="1"/>
  <c r="C17" i="79" s="1"/>
  <c r="C18" i="79" s="1"/>
  <c r="C19" i="79" s="1"/>
  <c r="C20" i="79" s="1"/>
  <c r="C21" i="79" s="1"/>
  <c r="C22" i="79" s="1"/>
  <c r="C23" i="79" s="1"/>
  <c r="C24" i="79" s="1"/>
  <c r="C25" i="79" s="1"/>
  <c r="C26" i="79" s="1"/>
  <c r="C27" i="79" s="1"/>
  <c r="C28" i="79" s="1"/>
  <c r="C29" i="79" s="1"/>
  <c r="C30" i="79" s="1"/>
  <c r="C31" i="79" s="1"/>
  <c r="C32" i="79" s="1"/>
  <c r="C33" i="79" s="1"/>
  <c r="C34" i="79" s="1"/>
  <c r="C35" i="79" s="1"/>
  <c r="C36" i="79" s="1"/>
  <c r="C37" i="79" s="1"/>
  <c r="C38" i="79" s="1"/>
  <c r="M38" i="61" l="1"/>
  <c r="R30" i="43"/>
  <c r="L38" i="61"/>
  <c r="R34" i="43" l="1"/>
  <c r="P38" i="61" s="1"/>
  <c r="R32" i="43"/>
  <c r="O38" i="61" s="1"/>
  <c r="N38" i="61"/>
  <c r="J25" i="86"/>
  <c r="J24" i="86"/>
  <c r="J21" i="86"/>
  <c r="P21" i="86"/>
  <c r="G21" i="86"/>
  <c r="G17" i="86"/>
  <c r="J17" i="86"/>
  <c r="P17" i="86"/>
  <c r="G12" i="86"/>
  <c r="P12" i="86"/>
  <c r="P12" i="80"/>
  <c r="G12" i="80"/>
  <c r="J22" i="81" l="1"/>
  <c r="J20" i="80"/>
  <c r="J22" i="82"/>
  <c r="J23" i="84"/>
  <c r="J26" i="83"/>
  <c r="J19" i="85"/>
  <c r="J21" i="82"/>
  <c r="J19" i="80"/>
  <c r="J25" i="83"/>
  <c r="J21" i="81"/>
  <c r="J22" i="84"/>
  <c r="J18" i="85"/>
  <c r="P18" i="84"/>
  <c r="J18" i="84"/>
  <c r="G18" i="84"/>
  <c r="G29" i="86"/>
  <c r="P17" i="83"/>
  <c r="J17" i="83"/>
  <c r="G17" i="83"/>
  <c r="P17" i="81"/>
  <c r="J17" i="81"/>
  <c r="G17" i="81"/>
  <c r="G17" i="82"/>
  <c r="P17" i="82"/>
  <c r="J17" i="82"/>
  <c r="G12" i="82"/>
  <c r="P12" i="82"/>
  <c r="P11" i="85"/>
  <c r="G11" i="85"/>
  <c r="P12" i="83"/>
  <c r="G12" i="83"/>
  <c r="P12" i="84"/>
  <c r="S12" i="84" s="1"/>
  <c r="G12" i="84"/>
  <c r="P12" i="81"/>
  <c r="G12" i="81"/>
  <c r="P11" i="80"/>
  <c r="G11" i="80"/>
  <c r="E13" i="13" l="1"/>
  <c r="J17" i="84"/>
  <c r="P17" i="84"/>
  <c r="G17" i="84"/>
  <c r="P16" i="83"/>
  <c r="G16" i="83"/>
  <c r="G30" i="83" s="1"/>
  <c r="E10" i="13" s="1"/>
  <c r="J16" i="83"/>
  <c r="G15" i="85"/>
  <c r="J15" i="85"/>
  <c r="P15" i="85"/>
  <c r="S15" i="85" s="1"/>
  <c r="K34" i="61"/>
  <c r="G16" i="82"/>
  <c r="G26" i="82" s="1"/>
  <c r="E9" i="13" s="1"/>
  <c r="P16" i="82"/>
  <c r="J16" i="82"/>
  <c r="G33" i="86"/>
  <c r="G35" i="86" s="1"/>
  <c r="G16" i="84"/>
  <c r="J16" i="84"/>
  <c r="P16" i="84"/>
  <c r="P16" i="81"/>
  <c r="G16" i="81"/>
  <c r="G26" i="81" s="1"/>
  <c r="E8" i="13" s="1"/>
  <c r="J16" i="81"/>
  <c r="G16" i="80"/>
  <c r="G24" i="80" s="1"/>
  <c r="P16" i="80"/>
  <c r="G9" i="61"/>
  <c r="T11" i="61" l="1"/>
  <c r="I12" i="80"/>
  <c r="J12" i="80" s="1"/>
  <c r="I11" i="80"/>
  <c r="J11" i="80" s="1"/>
  <c r="G27" i="84"/>
  <c r="G31" i="84" s="1"/>
  <c r="G33" i="84" s="1"/>
  <c r="G28" i="80"/>
  <c r="G30" i="80" s="1"/>
  <c r="E7" i="13"/>
  <c r="M26" i="61"/>
  <c r="K9" i="61"/>
  <c r="G30" i="81"/>
  <c r="G32" i="81" s="1"/>
  <c r="K13" i="61"/>
  <c r="G30" i="82"/>
  <c r="G32" i="82" s="1"/>
  <c r="K17" i="61"/>
  <c r="G34" i="83"/>
  <c r="G36" i="83" s="1"/>
  <c r="K21" i="61"/>
  <c r="J16" i="80"/>
  <c r="D7" i="79"/>
  <c r="D39" i="79" s="1"/>
  <c r="E7" i="79"/>
  <c r="E39" i="79" s="1"/>
  <c r="T13" i="61" l="1"/>
  <c r="U11" i="61"/>
  <c r="U13" i="61" s="1"/>
  <c r="F39" i="79"/>
  <c r="K26" i="61"/>
  <c r="E11" i="13"/>
  <c r="J24" i="80"/>
  <c r="S26" i="80" s="1"/>
  <c r="S12" i="80"/>
  <c r="Q16" i="80"/>
  <c r="H7" i="79"/>
  <c r="H39" i="79" s="1"/>
  <c r="S11" i="80"/>
  <c r="G7" i="79"/>
  <c r="G39" i="79" s="1"/>
  <c r="E14" i="79"/>
  <c r="E8" i="79"/>
  <c r="E9" i="79"/>
  <c r="E13" i="79"/>
  <c r="E12" i="79"/>
  <c r="E15" i="79"/>
  <c r="E11" i="79"/>
  <c r="E17" i="79"/>
  <c r="E10" i="79"/>
  <c r="E16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E32" i="79"/>
  <c r="E33" i="79"/>
  <c r="E34" i="79"/>
  <c r="E35" i="79"/>
  <c r="E36" i="79"/>
  <c r="E37" i="79"/>
  <c r="E38" i="79"/>
  <c r="D31" i="79"/>
  <c r="D9" i="79"/>
  <c r="D10" i="79"/>
  <c r="D11" i="79"/>
  <c r="D27" i="79"/>
  <c r="D22" i="79"/>
  <c r="D23" i="79"/>
  <c r="D8" i="79"/>
  <c r="D24" i="79"/>
  <c r="D29" i="79"/>
  <c r="D17" i="79"/>
  <c r="D33" i="79"/>
  <c r="D20" i="79"/>
  <c r="D25" i="79"/>
  <c r="D18" i="79"/>
  <c r="D35" i="79"/>
  <c r="D30" i="79"/>
  <c r="D28" i="79"/>
  <c r="D26" i="79"/>
  <c r="D19" i="79"/>
  <c r="D13" i="79"/>
  <c r="D12" i="79"/>
  <c r="D34" i="79"/>
  <c r="D37" i="79"/>
  <c r="D14" i="79"/>
  <c r="D38" i="79"/>
  <c r="D16" i="79"/>
  <c r="D32" i="79"/>
  <c r="D21" i="79"/>
  <c r="D15" i="79"/>
  <c r="D36" i="79"/>
  <c r="S30" i="80" l="1"/>
  <c r="S28" i="80"/>
  <c r="V13" i="61"/>
  <c r="J28" i="80"/>
  <c r="I39" i="79"/>
  <c r="J39" i="79" s="1"/>
  <c r="K39" i="79" s="1"/>
  <c r="L9" i="61"/>
  <c r="H17" i="79"/>
  <c r="H11" i="79"/>
  <c r="H8" i="79"/>
  <c r="H15" i="79"/>
  <c r="H18" i="79"/>
  <c r="H9" i="79"/>
  <c r="H16" i="79"/>
  <c r="H14" i="79"/>
  <c r="H13" i="79"/>
  <c r="H10" i="79"/>
  <c r="H12" i="79"/>
  <c r="H19" i="79"/>
  <c r="H20" i="79"/>
  <c r="H21" i="79"/>
  <c r="H22" i="79"/>
  <c r="H23" i="79"/>
  <c r="H24" i="79"/>
  <c r="H25" i="79"/>
  <c r="H26" i="79"/>
  <c r="H27" i="79"/>
  <c r="H28" i="79"/>
  <c r="H29" i="79"/>
  <c r="H30" i="79"/>
  <c r="H31" i="79"/>
  <c r="H32" i="79"/>
  <c r="H33" i="79"/>
  <c r="H34" i="79"/>
  <c r="H35" i="79"/>
  <c r="H36" i="79"/>
  <c r="H37" i="79"/>
  <c r="H38" i="79"/>
  <c r="G11" i="79"/>
  <c r="G8" i="79"/>
  <c r="G9" i="79"/>
  <c r="G12" i="79"/>
  <c r="G38" i="79"/>
  <c r="G22" i="79"/>
  <c r="G33" i="79"/>
  <c r="G17" i="79"/>
  <c r="G28" i="79"/>
  <c r="G35" i="79"/>
  <c r="G19" i="79"/>
  <c r="G23" i="79"/>
  <c r="G34" i="79"/>
  <c r="G18" i="79"/>
  <c r="G29" i="79"/>
  <c r="G13" i="79"/>
  <c r="G16" i="79"/>
  <c r="G20" i="79"/>
  <c r="I20" i="79" s="1"/>
  <c r="G26" i="79"/>
  <c r="G21" i="79"/>
  <c r="G27" i="79"/>
  <c r="G30" i="79"/>
  <c r="G14" i="79"/>
  <c r="G25" i="79"/>
  <c r="G36" i="79"/>
  <c r="G24" i="79"/>
  <c r="G31" i="79"/>
  <c r="G10" i="79"/>
  <c r="G37" i="79"/>
  <c r="G32" i="79"/>
  <c r="G15" i="79"/>
  <c r="F36" i="79"/>
  <c r="F32" i="79"/>
  <c r="F24" i="79"/>
  <c r="F20" i="79"/>
  <c r="F10" i="79"/>
  <c r="F14" i="79"/>
  <c r="F12" i="79"/>
  <c r="F35" i="79"/>
  <c r="F31" i="79"/>
  <c r="F27" i="79"/>
  <c r="F23" i="79"/>
  <c r="F19" i="79"/>
  <c r="F17" i="79"/>
  <c r="F13" i="79"/>
  <c r="F28" i="79"/>
  <c r="F38" i="79"/>
  <c r="F34" i="79"/>
  <c r="F30" i="79"/>
  <c r="F26" i="79"/>
  <c r="F22" i="79"/>
  <c r="F18" i="79"/>
  <c r="F11" i="79"/>
  <c r="F9" i="79"/>
  <c r="F37" i="79"/>
  <c r="F33" i="79"/>
  <c r="F29" i="79"/>
  <c r="F25" i="79"/>
  <c r="F21" i="79"/>
  <c r="F16" i="79"/>
  <c r="F15" i="79"/>
  <c r="F8" i="79"/>
  <c r="A16" i="13"/>
  <c r="B16" i="13"/>
  <c r="A8" i="13"/>
  <c r="B8" i="13"/>
  <c r="A9" i="13"/>
  <c r="B9" i="13"/>
  <c r="A10" i="13"/>
  <c r="B10" i="13"/>
  <c r="A11" i="13"/>
  <c r="B11" i="13"/>
  <c r="A12" i="13"/>
  <c r="B12" i="13"/>
  <c r="A13" i="13"/>
  <c r="B13" i="13"/>
  <c r="A14" i="13"/>
  <c r="B14" i="13"/>
  <c r="A15" i="13"/>
  <c r="B15" i="13"/>
  <c r="B7" i="13"/>
  <c r="A7" i="13"/>
  <c r="C40" i="61"/>
  <c r="C38" i="61"/>
  <c r="B40" i="61"/>
  <c r="B38" i="61"/>
  <c r="C43" i="61"/>
  <c r="B43" i="61"/>
  <c r="G34" i="61"/>
  <c r="B34" i="61"/>
  <c r="C34" i="61"/>
  <c r="G31" i="61"/>
  <c r="C31" i="61"/>
  <c r="B31" i="61"/>
  <c r="G26" i="61"/>
  <c r="C26" i="61"/>
  <c r="B26" i="61"/>
  <c r="C21" i="61"/>
  <c r="B21" i="61"/>
  <c r="C17" i="61"/>
  <c r="B17" i="61"/>
  <c r="G21" i="61"/>
  <c r="G17" i="61"/>
  <c r="G13" i="61"/>
  <c r="C13" i="61"/>
  <c r="C9" i="61"/>
  <c r="B13" i="61"/>
  <c r="B9" i="61"/>
  <c r="I24" i="79" l="1"/>
  <c r="I32" i="79"/>
  <c r="J32" i="79" s="1"/>
  <c r="K32" i="79" s="1"/>
  <c r="J30" i="80"/>
  <c r="G55" i="61"/>
  <c r="I18" i="79"/>
  <c r="J18" i="79" s="1"/>
  <c r="K18" i="79" s="1"/>
  <c r="I9" i="79"/>
  <c r="J9" i="79" s="1"/>
  <c r="K9" i="79" s="1"/>
  <c r="I29" i="79"/>
  <c r="J29" i="79" s="1"/>
  <c r="K29" i="79" s="1"/>
  <c r="H31" i="61"/>
  <c r="Q11" i="85" s="1"/>
  <c r="S11" i="85" s="1"/>
  <c r="I11" i="85"/>
  <c r="J11" i="85" s="1"/>
  <c r="H17" i="61"/>
  <c r="Q12" i="82" s="1"/>
  <c r="S12" i="82" s="1"/>
  <c r="I12" i="82"/>
  <c r="J12" i="82" s="1"/>
  <c r="I12" i="84"/>
  <c r="J12" i="84" s="1"/>
  <c r="H21" i="61"/>
  <c r="Q12" i="83" s="1"/>
  <c r="S12" i="83" s="1"/>
  <c r="I12" i="83"/>
  <c r="J12" i="83" s="1"/>
  <c r="Q12" i="81"/>
  <c r="I12" i="81"/>
  <c r="J12" i="81" s="1"/>
  <c r="J26" i="81" s="1"/>
  <c r="S28" i="81" s="1"/>
  <c r="H34" i="61"/>
  <c r="Q12" i="86" s="1"/>
  <c r="S12" i="86" s="1"/>
  <c r="I12" i="86"/>
  <c r="J12" i="86" s="1"/>
  <c r="J24" i="79"/>
  <c r="K24" i="79" s="1"/>
  <c r="I12" i="79"/>
  <c r="J12" i="79" s="1"/>
  <c r="K12" i="79" s="1"/>
  <c r="I33" i="79"/>
  <c r="J33" i="79" s="1"/>
  <c r="K33" i="79" s="1"/>
  <c r="J20" i="79"/>
  <c r="K20" i="79" s="1"/>
  <c r="I31" i="79"/>
  <c r="J31" i="79" s="1"/>
  <c r="K31" i="79" s="1"/>
  <c r="I15" i="79"/>
  <c r="J15" i="79" s="1"/>
  <c r="K15" i="79" s="1"/>
  <c r="I14" i="79"/>
  <c r="J14" i="79" s="1"/>
  <c r="K14" i="79" s="1"/>
  <c r="G23" i="85"/>
  <c r="E12" i="13" s="1"/>
  <c r="M9" i="61"/>
  <c r="I26" i="79"/>
  <c r="J26" i="79" s="1"/>
  <c r="K26" i="79" s="1"/>
  <c r="I30" i="79"/>
  <c r="J30" i="79" s="1"/>
  <c r="K30" i="79" s="1"/>
  <c r="I22" i="79"/>
  <c r="J22" i="79" s="1"/>
  <c r="K22" i="79" s="1"/>
  <c r="I8" i="79"/>
  <c r="J8" i="79" s="1"/>
  <c r="K8" i="79" s="1"/>
  <c r="I16" i="79"/>
  <c r="J16" i="79" s="1"/>
  <c r="K16" i="79" s="1"/>
  <c r="I34" i="79"/>
  <c r="J34" i="79" s="1"/>
  <c r="K34" i="79" s="1"/>
  <c r="I38" i="79"/>
  <c r="J38" i="79" s="1"/>
  <c r="K38" i="79" s="1"/>
  <c r="I10" i="79"/>
  <c r="J10" i="79" s="1"/>
  <c r="K10" i="79" s="1"/>
  <c r="I25" i="79"/>
  <c r="J25" i="79" s="1"/>
  <c r="K25" i="79" s="1"/>
  <c r="I21" i="79"/>
  <c r="J21" i="79" s="1"/>
  <c r="K21" i="79" s="1"/>
  <c r="I13" i="79"/>
  <c r="J13" i="79" s="1"/>
  <c r="K13" i="79" s="1"/>
  <c r="I17" i="79"/>
  <c r="J17" i="79" s="1"/>
  <c r="K17" i="79" s="1"/>
  <c r="I37" i="79"/>
  <c r="J37" i="79" s="1"/>
  <c r="K37" i="79" s="1"/>
  <c r="I36" i="79"/>
  <c r="J36" i="79" s="1"/>
  <c r="K36" i="79" s="1"/>
  <c r="I28" i="79"/>
  <c r="J28" i="79" s="1"/>
  <c r="K28" i="79" s="1"/>
  <c r="I11" i="79"/>
  <c r="J11" i="79" s="1"/>
  <c r="K11" i="79" s="1"/>
  <c r="I17" i="61"/>
  <c r="I19" i="79"/>
  <c r="J19" i="79" s="1"/>
  <c r="K19" i="79" s="1"/>
  <c r="I35" i="79"/>
  <c r="J35" i="79" s="1"/>
  <c r="K35" i="79" s="1"/>
  <c r="I27" i="79"/>
  <c r="J27" i="79" s="1"/>
  <c r="K27" i="79" s="1"/>
  <c r="I23" i="79"/>
  <c r="J23" i="79" s="1"/>
  <c r="K23" i="79" s="1"/>
  <c r="I23" i="61"/>
  <c r="I19" i="61"/>
  <c r="I15" i="61"/>
  <c r="I13" i="61"/>
  <c r="I9" i="61"/>
  <c r="D17" i="28"/>
  <c r="E18" i="24"/>
  <c r="G18" i="24"/>
  <c r="D20" i="28"/>
  <c r="G20" i="28"/>
  <c r="D19" i="28"/>
  <c r="G19" i="28"/>
  <c r="G106" i="28"/>
  <c r="E106" i="28"/>
  <c r="D106" i="28"/>
  <c r="C106" i="28"/>
  <c r="G88" i="28"/>
  <c r="G28" i="28"/>
  <c r="E88" i="28"/>
  <c r="D88" i="28"/>
  <c r="C88" i="28"/>
  <c r="D18" i="28"/>
  <c r="G70" i="28"/>
  <c r="E70" i="28"/>
  <c r="D70" i="28"/>
  <c r="C70" i="28"/>
  <c r="U12" i="24"/>
  <c r="U18" i="28"/>
  <c r="U12" i="28"/>
  <c r="M22" i="28"/>
  <c r="T24" i="28"/>
  <c r="W24" i="28"/>
  <c r="U19" i="24"/>
  <c r="M19" i="24"/>
  <c r="G52" i="28"/>
  <c r="O24" i="28"/>
  <c r="E66" i="24"/>
  <c r="E46" i="24"/>
  <c r="D46" i="24"/>
  <c r="D16" i="24"/>
  <c r="E52" i="28"/>
  <c r="F66" i="24"/>
  <c r="D66" i="24"/>
  <c r="C66" i="24"/>
  <c r="F46" i="24"/>
  <c r="C46" i="24"/>
  <c r="D12" i="24"/>
  <c r="G12" i="24"/>
  <c r="G22" i="24"/>
  <c r="D52" i="28"/>
  <c r="D12" i="28"/>
  <c r="L12" i="28"/>
  <c r="T12" i="28"/>
  <c r="W12" i="28"/>
  <c r="H17" i="13"/>
  <c r="C52" i="28"/>
  <c r="T17" i="28"/>
  <c r="W17" i="28"/>
  <c r="G17" i="28"/>
  <c r="G16" i="24"/>
  <c r="L16" i="24"/>
  <c r="O16" i="24"/>
  <c r="L18" i="24"/>
  <c r="L17" i="24"/>
  <c r="O17" i="24"/>
  <c r="G12" i="28"/>
  <c r="T16" i="24"/>
  <c r="O18" i="24"/>
  <c r="O19" i="24"/>
  <c r="W21" i="28"/>
  <c r="W27" i="28"/>
  <c r="W29" i="28"/>
  <c r="W31" i="28"/>
  <c r="T18" i="28"/>
  <c r="W18" i="28"/>
  <c r="G18" i="28"/>
  <c r="G21" i="28"/>
  <c r="G26" i="28"/>
  <c r="G30" i="28"/>
  <c r="G32" i="28"/>
  <c r="D21" i="28"/>
  <c r="L17" i="28"/>
  <c r="O12" i="28"/>
  <c r="L12" i="24"/>
  <c r="G24" i="24"/>
  <c r="G26" i="24"/>
  <c r="G28" i="24"/>
  <c r="O12" i="24"/>
  <c r="O23" i="24"/>
  <c r="O25" i="24"/>
  <c r="O27" i="24"/>
  <c r="T12" i="24"/>
  <c r="W12" i="24"/>
  <c r="L18" i="28"/>
  <c r="O18" i="28"/>
  <c r="O17" i="28"/>
  <c r="L21" i="28"/>
  <c r="O21" i="28"/>
  <c r="T17" i="24"/>
  <c r="W17" i="24"/>
  <c r="T18" i="24"/>
  <c r="W18" i="24"/>
  <c r="W16" i="24"/>
  <c r="W23" i="24"/>
  <c r="W25" i="24"/>
  <c r="W27" i="24"/>
  <c r="O22" i="28"/>
  <c r="O27" i="28"/>
  <c r="O29" i="28"/>
  <c r="O31" i="28"/>
  <c r="W19" i="24"/>
  <c r="I31" i="61"/>
  <c r="S32" i="81" l="1"/>
  <c r="S30" i="81"/>
  <c r="P9" i="61"/>
  <c r="J30" i="83"/>
  <c r="S32" i="83" s="1"/>
  <c r="L13" i="61"/>
  <c r="J30" i="81"/>
  <c r="J27" i="84"/>
  <c r="S29" i="84" s="1"/>
  <c r="J26" i="82"/>
  <c r="S28" i="82" s="1"/>
  <c r="M17" i="61"/>
  <c r="J29" i="86"/>
  <c r="S31" i="86" s="1"/>
  <c r="S33" i="86" s="1"/>
  <c r="M34" i="61"/>
  <c r="M21" i="61"/>
  <c r="G27" i="85"/>
  <c r="G29" i="85" s="1"/>
  <c r="K31" i="61"/>
  <c r="J23" i="85"/>
  <c r="S25" i="85" s="1"/>
  <c r="I35" i="61"/>
  <c r="S12" i="81"/>
  <c r="O9" i="61"/>
  <c r="N9" i="61"/>
  <c r="I34" i="61"/>
  <c r="I21" i="61"/>
  <c r="F11" i="13"/>
  <c r="G11" i="13" s="1"/>
  <c r="F9" i="13"/>
  <c r="G9" i="13" s="1"/>
  <c r="D17" i="13"/>
  <c r="I32" i="61"/>
  <c r="I29" i="61"/>
  <c r="I11" i="61"/>
  <c r="F10" i="13"/>
  <c r="G10" i="13" s="1"/>
  <c r="S29" i="85" l="1"/>
  <c r="S27" i="85"/>
  <c r="S33" i="84"/>
  <c r="S31" i="84"/>
  <c r="S32" i="82"/>
  <c r="S30" i="82"/>
  <c r="J32" i="81"/>
  <c r="G56" i="61"/>
  <c r="L21" i="61"/>
  <c r="J34" i="83"/>
  <c r="O34" i="61"/>
  <c r="S35" i="86"/>
  <c r="P34" i="61" s="1"/>
  <c r="N34" i="61"/>
  <c r="L34" i="61"/>
  <c r="J33" i="86"/>
  <c r="L17" i="61"/>
  <c r="J30" i="82"/>
  <c r="S34" i="83"/>
  <c r="O21" i="61" s="1"/>
  <c r="N21" i="61"/>
  <c r="S36" i="83"/>
  <c r="P21" i="61" s="1"/>
  <c r="L26" i="61"/>
  <c r="J31" i="84"/>
  <c r="O17" i="61"/>
  <c r="P17" i="61"/>
  <c r="N17" i="61"/>
  <c r="L31" i="61"/>
  <c r="J27" i="85"/>
  <c r="G60" i="61" s="1"/>
  <c r="M31" i="61"/>
  <c r="I12" i="13"/>
  <c r="J12" i="13" s="1"/>
  <c r="I15" i="13"/>
  <c r="J15" i="13" s="1"/>
  <c r="I13" i="13"/>
  <c r="J13" i="13" s="1"/>
  <c r="F13" i="13"/>
  <c r="G13" i="13" s="1"/>
  <c r="F12" i="13"/>
  <c r="G12" i="13" s="1"/>
  <c r="D19" i="13"/>
  <c r="D21" i="13" s="1"/>
  <c r="D22" i="13" s="1"/>
  <c r="I9" i="13"/>
  <c r="J9" i="13" s="1"/>
  <c r="I11" i="13"/>
  <c r="J11" i="13" s="1"/>
  <c r="J35" i="86" l="1"/>
  <c r="G61" i="61"/>
  <c r="J33" i="84"/>
  <c r="G59" i="61"/>
  <c r="J36" i="83"/>
  <c r="G58" i="61"/>
  <c r="J32" i="82"/>
  <c r="G57" i="61"/>
  <c r="P26" i="61"/>
  <c r="N26" i="61"/>
  <c r="O26" i="61"/>
  <c r="J29" i="85"/>
  <c r="P31" i="61"/>
  <c r="N31" i="61"/>
  <c r="O31" i="61"/>
  <c r="M13" i="61"/>
  <c r="F8" i="13"/>
  <c r="G8" i="13" s="1"/>
  <c r="I8" i="13"/>
  <c r="J8" i="13" s="1"/>
  <c r="I14" i="13"/>
  <c r="J14" i="13" s="1"/>
  <c r="F14" i="13"/>
  <c r="G14" i="13" s="1"/>
  <c r="I10" i="13"/>
  <c r="J10" i="13" s="1"/>
  <c r="O13" i="61" l="1"/>
  <c r="N13" i="61"/>
  <c r="P13" i="61"/>
  <c r="F7" i="13"/>
  <c r="G7" i="13" s="1"/>
  <c r="E17" i="13"/>
  <c r="I7" i="13"/>
  <c r="J7" i="13" s="1"/>
  <c r="I16" i="13" l="1"/>
  <c r="J16" i="13" s="1"/>
  <c r="I32" i="43"/>
  <c r="K49" i="61"/>
  <c r="I34" i="43"/>
  <c r="F17" i="13" l="1"/>
  <c r="L32" i="43"/>
  <c r="L49" i="61"/>
  <c r="E19" i="13"/>
  <c r="E21" i="13" s="1"/>
  <c r="E22" i="13" s="1"/>
  <c r="I17" i="13"/>
  <c r="M49" i="61"/>
  <c r="L34" i="43" l="1"/>
  <c r="G62" i="61"/>
  <c r="G63" i="61" s="1"/>
  <c r="G17" i="13"/>
  <c r="J17" i="13"/>
  <c r="N49" i="61" l="1"/>
  <c r="N52" i="61" l="1"/>
  <c r="O49" i="61"/>
  <c r="A1" i="79" l="1"/>
  <c r="A1" i="73"/>
  <c r="A1" i="13" l="1"/>
  <c r="A1" i="43"/>
  <c r="C17" i="13"/>
  <c r="C19" i="13" s="1"/>
  <c r="C21" i="13" s="1"/>
  <c r="C22" i="13" s="1"/>
</calcChain>
</file>

<file path=xl/comments1.xml><?xml version="1.0" encoding="utf-8"?>
<comments xmlns="http://schemas.openxmlformats.org/spreadsheetml/2006/main">
  <authors>
    <author>Robert D. Tolliver</author>
  </authors>
  <commentList>
    <comment ref="L4" authorId="0">
      <text>
        <r>
          <rPr>
            <b/>
            <sz val="9"/>
            <color indexed="81"/>
            <rFont val="Tahoma"/>
            <family val="2"/>
          </rPr>
          <t>Robert D. Tolliver:</t>
        </r>
        <r>
          <rPr>
            <sz val="9"/>
            <color indexed="81"/>
            <rFont val="Tahoma"/>
            <family val="2"/>
          </rPr>
          <t xml:space="preserve">
Fuel included in kWh revenue Jan-March and not included April-Dec.</t>
        </r>
      </text>
    </comment>
    <comment ref="L22" authorId="0">
      <text>
        <r>
          <rPr>
            <b/>
            <sz val="9"/>
            <color indexed="81"/>
            <rFont val="Tahoma"/>
            <family val="2"/>
          </rPr>
          <t>Robert D. Tolliver:</t>
        </r>
        <r>
          <rPr>
            <sz val="9"/>
            <color indexed="81"/>
            <rFont val="Tahoma"/>
            <family val="2"/>
          </rPr>
          <t xml:space="preserve">
Fuel included in kWh revenue Jan-March and not included April-Dec.</t>
        </r>
      </text>
    </comment>
    <comment ref="F149" authorId="0">
      <text>
        <r>
          <rPr>
            <b/>
            <sz val="9"/>
            <color indexed="81"/>
            <rFont val="Tahoma"/>
            <family val="2"/>
          </rPr>
          <t>Robert D. Tolliver:</t>
        </r>
        <r>
          <rPr>
            <sz val="9"/>
            <color indexed="81"/>
            <rFont val="Tahoma"/>
            <family val="2"/>
          </rPr>
          <t xml:space="preserve">
Fuel included in kWh revenue Jan-March and not included April-Dec.</t>
        </r>
      </text>
    </comment>
  </commentList>
</comments>
</file>

<file path=xl/sharedStrings.xml><?xml version="1.0" encoding="utf-8"?>
<sst xmlns="http://schemas.openxmlformats.org/spreadsheetml/2006/main" count="1235" uniqueCount="245">
  <si>
    <t>Proposed Rate</t>
  </si>
  <si>
    <t>Billing</t>
  </si>
  <si>
    <t>Calculated</t>
  </si>
  <si>
    <t>Description</t>
  </si>
  <si>
    <t>Units</t>
  </si>
  <si>
    <t>Rate</t>
  </si>
  <si>
    <t>Billings</t>
  </si>
  <si>
    <t>Energy Charge</t>
  </si>
  <si>
    <t>kWh</t>
  </si>
  <si>
    <t>Customer Months</t>
  </si>
  <si>
    <t>Customer Charge</t>
  </si>
  <si>
    <t>Per kWh</t>
  </si>
  <si>
    <t>Per Customer</t>
  </si>
  <si>
    <t>Difference</t>
  </si>
  <si>
    <t>Customer Class</t>
  </si>
  <si>
    <t>Current  Rate Calculated Billings</t>
  </si>
  <si>
    <t>Lights</t>
  </si>
  <si>
    <t>Per Light</t>
  </si>
  <si>
    <t>Minimum Bills</t>
  </si>
  <si>
    <t>Revenue Per Books</t>
  </si>
  <si>
    <t>Percentage Difference</t>
  </si>
  <si>
    <t>All Kwh's</t>
  </si>
  <si>
    <t>Percent Change</t>
  </si>
  <si>
    <t>All kWh</t>
  </si>
  <si>
    <t>Cust</t>
  </si>
  <si>
    <t>MO-YR</t>
  </si>
  <si>
    <t>Percent Difference</t>
  </si>
  <si>
    <t>Distribution Demand</t>
  </si>
  <si>
    <t>Residential Service</t>
  </si>
  <si>
    <t>All Cust. Months</t>
  </si>
  <si>
    <t>Test Year Rate</t>
  </si>
  <si>
    <t>Purchased Power Demand</t>
  </si>
  <si>
    <t>Purchased Power Energy</t>
  </si>
  <si>
    <t>Test Year Rate Calculated Billings</t>
  </si>
  <si>
    <t>Facility Charge</t>
  </si>
  <si>
    <t>Billing Total</t>
  </si>
  <si>
    <t>Total Rate 11</t>
  </si>
  <si>
    <t>Total Rate 10 &amp; 13</t>
  </si>
  <si>
    <t xml:space="preserve">No. Consumers </t>
  </si>
  <si>
    <t>On Peak</t>
  </si>
  <si>
    <t>Off Peak</t>
  </si>
  <si>
    <t>All Months</t>
  </si>
  <si>
    <t>Revenue</t>
  </si>
  <si>
    <t>Cost Based Rate @ 7% ROR</t>
  </si>
  <si>
    <t>All Customers</t>
  </si>
  <si>
    <t>kWh Sold</t>
  </si>
  <si>
    <t>kWh Revenue</t>
  </si>
  <si>
    <t>Service Revenue</t>
  </si>
  <si>
    <t>Cost Based Rates - 7% ROR</t>
  </si>
  <si>
    <t xml:space="preserve">Purchased Power Energy </t>
  </si>
  <si>
    <t>On Peak Energy</t>
  </si>
  <si>
    <t>Off Peak Energy</t>
  </si>
  <si>
    <t>Cost Based TOU Rates - 7% ROR</t>
  </si>
  <si>
    <t>Present and Proposed Rates</t>
  </si>
  <si>
    <t>Rate Class</t>
  </si>
  <si>
    <t>Rates</t>
  </si>
  <si>
    <t xml:space="preserve">Billing  </t>
  </si>
  <si>
    <t>Present</t>
  </si>
  <si>
    <t>Proposed</t>
  </si>
  <si>
    <t>Increase</t>
  </si>
  <si>
    <t>Classification</t>
  </si>
  <si>
    <t>Code</t>
  </si>
  <si>
    <t>Unit</t>
  </si>
  <si>
    <t>$</t>
  </si>
  <si>
    <t>%</t>
  </si>
  <si>
    <t>TOTAL</t>
  </si>
  <si>
    <t>Intermountain Rural Electric Association</t>
  </si>
  <si>
    <t>Service $</t>
  </si>
  <si>
    <t>Energy $</t>
  </si>
  <si>
    <t>Residential - Overhead A02</t>
  </si>
  <si>
    <t>Residential - Underground A03</t>
  </si>
  <si>
    <t>Residential TOU - Overhead A02T</t>
  </si>
  <si>
    <t>Residential TOU - Underground A03T</t>
  </si>
  <si>
    <t>Residential TOU Service</t>
  </si>
  <si>
    <t>On Peak Kwh - Rural</t>
  </si>
  <si>
    <t>Off Peak Kwh - Rural</t>
  </si>
  <si>
    <t>On Peak Kwh - City</t>
  </si>
  <si>
    <t>Off Peak Kwh - City</t>
  </si>
  <si>
    <t>Residential TOU - City Overhead CS2T</t>
  </si>
  <si>
    <t>Residential TOU - City Underground CS3T</t>
  </si>
  <si>
    <t>Total Rate Revenue</t>
  </si>
  <si>
    <t>Rate Code</t>
  </si>
  <si>
    <t>A02 &amp; A03</t>
  </si>
  <si>
    <t>A02T, A03T, C02T, C03T</t>
  </si>
  <si>
    <t>Total</t>
  </si>
  <si>
    <t>Avg Incr/(Decr) Per Customer Per Month</t>
  </si>
  <si>
    <t>Revenues</t>
  </si>
  <si>
    <t xml:space="preserve">Present </t>
  </si>
  <si>
    <t>Proposed Rates</t>
  </si>
  <si>
    <t>Avg Incr/(Decr) Per Light Per Month</t>
  </si>
  <si>
    <t>Avg Bill</t>
  </si>
  <si>
    <t>FAC</t>
  </si>
  <si>
    <t>Customers</t>
  </si>
  <si>
    <t>per Customer</t>
  </si>
  <si>
    <t>Demand Charge</t>
  </si>
  <si>
    <t>kW</t>
  </si>
  <si>
    <t>Per kW</t>
  </si>
  <si>
    <t>Other</t>
  </si>
  <si>
    <t>ES</t>
  </si>
  <si>
    <t>Annual</t>
  </si>
  <si>
    <t>Monthly</t>
  </si>
  <si>
    <t>Reported Total</t>
  </si>
  <si>
    <t xml:space="preserve">Test Year </t>
  </si>
  <si>
    <t>Test Year</t>
  </si>
  <si>
    <t>Present Rate</t>
  </si>
  <si>
    <t>Difference from Present Rates</t>
  </si>
  <si>
    <t>Percent Change from Present Rates</t>
  </si>
  <si>
    <t>Incr (Decr)</t>
  </si>
  <si>
    <t>Over Pres</t>
  </si>
  <si>
    <t>Customer</t>
  </si>
  <si>
    <t>Energy</t>
  </si>
  <si>
    <t>#</t>
  </si>
  <si>
    <t xml:space="preserve">Energy </t>
  </si>
  <si>
    <t xml:space="preserve">Customer </t>
  </si>
  <si>
    <t>Present Base Rates</t>
  </si>
  <si>
    <t>Proposed Base Rates</t>
  </si>
  <si>
    <t>Jan</t>
  </si>
  <si>
    <t>Feb</t>
  </si>
  <si>
    <t>Mar</t>
  </si>
  <si>
    <t>May</t>
  </si>
  <si>
    <t>Aug</t>
  </si>
  <si>
    <t>Oct</t>
  </si>
  <si>
    <t>Nov</t>
  </si>
  <si>
    <t>Dec</t>
  </si>
  <si>
    <t>All Hours</t>
  </si>
  <si>
    <t>NCP</t>
  </si>
  <si>
    <t>Contract</t>
  </si>
  <si>
    <t>KWH</t>
  </si>
  <si>
    <t xml:space="preserve">Residential </t>
  </si>
  <si>
    <t>List of Rate Schedules</t>
  </si>
  <si>
    <t>Reconciliation of Actual vs. Calculated Billings</t>
  </si>
  <si>
    <t>Cumberland Valley Electric</t>
  </si>
  <si>
    <t>R</t>
  </si>
  <si>
    <t>C1</t>
  </si>
  <si>
    <t>C2</t>
  </si>
  <si>
    <t>E1</t>
  </si>
  <si>
    <t>L1</t>
  </si>
  <si>
    <t>IB</t>
  </si>
  <si>
    <t>Sch I - Residential, Schools &amp; Churches</t>
  </si>
  <si>
    <t>Sch VII - Inclining Block Rate</t>
  </si>
  <si>
    <t>Sch II - Small Commercial  Small Power</t>
  </si>
  <si>
    <t>Sch III - All 3Phase Schools &amp; Churches</t>
  </si>
  <si>
    <t>Sch IV-A - Large Power 50-2500 kW</t>
  </si>
  <si>
    <t>Sch VI - Outdoor Lighting - Security Lights</t>
  </si>
  <si>
    <t>S</t>
  </si>
  <si>
    <t>TOD</t>
  </si>
  <si>
    <t>Sch I - Res TOD</t>
  </si>
  <si>
    <t>reserved</t>
  </si>
  <si>
    <t>x</t>
  </si>
  <si>
    <t>All Members</t>
  </si>
  <si>
    <t>Prepay Members</t>
  </si>
  <si>
    <t>1st Block</t>
  </si>
  <si>
    <t>2nd Block</t>
  </si>
  <si>
    <t>Block 1</t>
  </si>
  <si>
    <t>Block 2</t>
  </si>
  <si>
    <t>Block 3</t>
  </si>
  <si>
    <t>Billing Determinants</t>
  </si>
  <si>
    <t>Not</t>
  </si>
  <si>
    <t>Included</t>
  </si>
  <si>
    <t>Cust Charge</t>
  </si>
  <si>
    <t>No</t>
  </si>
  <si>
    <t>Demand</t>
  </si>
  <si>
    <t>KVA</t>
  </si>
  <si>
    <t>Fuel</t>
  </si>
  <si>
    <t>Enviro</t>
  </si>
  <si>
    <t>Device</t>
  </si>
  <si>
    <t xml:space="preserve">Device </t>
  </si>
  <si>
    <t>RATE</t>
  </si>
  <si>
    <t>MONTH</t>
  </si>
  <si>
    <t># of ACCTS</t>
  </si>
  <si>
    <t>Steps</t>
  </si>
  <si>
    <t>Charge/Rev</t>
  </si>
  <si>
    <t>Min Up</t>
  </si>
  <si>
    <t>Quantity</t>
  </si>
  <si>
    <t>April</t>
  </si>
  <si>
    <t>June</t>
  </si>
  <si>
    <t>July</t>
  </si>
  <si>
    <t>Sept</t>
  </si>
  <si>
    <t>On-kWh</t>
  </si>
  <si>
    <t>Off-kWh</t>
  </si>
  <si>
    <t>On Fuel</t>
  </si>
  <si>
    <t>Off Fuel</t>
  </si>
  <si>
    <t>Cust Chg</t>
  </si>
  <si>
    <t>First 3000</t>
  </si>
  <si>
    <t>Over 3000</t>
  </si>
  <si>
    <t xml:space="preserve">Demand </t>
  </si>
  <si>
    <t># of Accts</t>
  </si>
  <si>
    <t>Charge</t>
  </si>
  <si>
    <t>First 200</t>
  </si>
  <si>
    <t>Next 300</t>
  </si>
  <si>
    <t>Over 500</t>
  </si>
  <si>
    <t>Type</t>
  </si>
  <si>
    <t>Rate S Security Light Only</t>
  </si>
  <si>
    <t>Rev</t>
  </si>
  <si>
    <t>kwh</t>
  </si>
  <si>
    <t>001 - 175W MV</t>
  </si>
  <si>
    <t>002 - 100W Sod Open B</t>
  </si>
  <si>
    <t>003 - 100W Sod Dir Flood</t>
  </si>
  <si>
    <t>004 - 175W MH Dir</t>
  </si>
  <si>
    <t>005 - 400W Sod Cobra</t>
  </si>
  <si>
    <t>006 - 400W Sod Dir</t>
  </si>
  <si>
    <t>008 - LED Open Bottom 6200 L</t>
  </si>
  <si>
    <t>009 - LED Cobra Head 13,650 L</t>
  </si>
  <si>
    <t>010 - LED Dir 18,800 L</t>
  </si>
  <si>
    <t>5 - 400W MH Dir</t>
  </si>
  <si>
    <t>Totals</t>
  </si>
  <si>
    <t>R1</t>
  </si>
  <si>
    <t>PREPD</t>
  </si>
  <si>
    <t>Count</t>
  </si>
  <si>
    <t>Total kWh</t>
  </si>
  <si>
    <t>Min Bill</t>
  </si>
  <si>
    <t>AVG</t>
  </si>
  <si>
    <t>KW</t>
  </si>
  <si>
    <t>Rate Movement from Current to Cost-Based</t>
  </si>
  <si>
    <t>Rate R</t>
  </si>
  <si>
    <t>CostBased</t>
  </si>
  <si>
    <t>GAP Move</t>
  </si>
  <si>
    <t>New</t>
  </si>
  <si>
    <t>Current</t>
  </si>
  <si>
    <t>Variance</t>
  </si>
  <si>
    <t>Various</t>
  </si>
  <si>
    <t>REVENUE</t>
  </si>
  <si>
    <t>unrounded; will be rounded in Proposed Rate column</t>
  </si>
  <si>
    <t>Total Lighting</t>
  </si>
  <si>
    <t>TOTAL SYSTEM REVENUE</t>
  </si>
  <si>
    <t xml:space="preserve">Total </t>
  </si>
  <si>
    <t>Total Device</t>
  </si>
  <si>
    <t>Target Increase:</t>
  </si>
  <si>
    <t>Avg</t>
  </si>
  <si>
    <t>Customer Charge ($ per month)</t>
  </si>
  <si>
    <t>Prepay Fee ($ per month)</t>
  </si>
  <si>
    <t>Energy Charge ($ per kWh)</t>
  </si>
  <si>
    <t>Demand Charge ($ per kW)</t>
  </si>
  <si>
    <t>Energy Charge On Peak ($per kWh)</t>
  </si>
  <si>
    <t>Energy Charge Off Peak ($ per kWh)</t>
  </si>
  <si>
    <t>Energy Charge 1st 3000 ($ per kWh)</t>
  </si>
  <si>
    <t>Energy Charge &gt;3000 ($ per kWh)</t>
  </si>
  <si>
    <t>Energy Charge 1st 200 ($ per kWh)</t>
  </si>
  <si>
    <t>Energy Charge Next 300 ($ per kWh)</t>
  </si>
  <si>
    <t>Energy Charge 500+ ($ per kWh)</t>
  </si>
  <si>
    <t>Rate R Customer&gt;</t>
  </si>
  <si>
    <t>Rate R Energy&gt;</t>
  </si>
  <si>
    <t>FAC Base Rate Change</t>
  </si>
  <si>
    <t>Actual Over(Under):</t>
  </si>
  <si>
    <r>
      <t>Monthly</t>
    </r>
    <r>
      <rPr>
        <b/>
        <i/>
        <sz val="14"/>
        <rFont val="Times New Roman"/>
        <family val="1"/>
      </rPr>
      <t xml:space="preserve"> Base Rate</t>
    </r>
    <r>
      <rPr>
        <b/>
        <sz val="14"/>
        <rFont val="Times New Roman"/>
        <family val="1"/>
      </rPr>
      <t xml:space="preserve"> Increase by KWH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</si>
</sst>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00"/>
    <numFmt numFmtId="166" formatCode="&quot;$&quot;#,##0.00000"/>
    <numFmt numFmtId="167" formatCode="0.0%"/>
    <numFmt numFmtId="168" formatCode="0.000%"/>
    <numFmt numFmtId="169" formatCode="_(* #,##0_);_(* \(#,##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&quot;$&quot;#,##0.00"/>
    <numFmt numFmtId="175" formatCode="0.000000"/>
    <numFmt numFmtId="176" formatCode="[$-409]mmmm\-yy;@"/>
    <numFmt numFmtId="178" formatCode="0.000"/>
    <numFmt numFmtId="179" formatCode="#,##0.00000"/>
    <numFmt numFmtId="180" formatCode="_(* #,##0.000_);_(* \(#,##0.000\);_(* &quot;-&quot;_);_(@_)"/>
    <numFmt numFmtId="181" formatCode="0.00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i/>
      <u/>
      <sz val="12"/>
      <name val="Times New Roman"/>
      <family val="1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2"/>
      <color rgb="FF000099"/>
      <name val="Times New Roman"/>
      <family val="1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7030A0"/>
      <name val="Times New Roman"/>
      <family val="1"/>
    </font>
    <font>
      <sz val="10"/>
      <color rgb="FF0000CC"/>
      <name val="Arial"/>
      <family val="2"/>
    </font>
    <font>
      <u/>
      <sz val="12"/>
      <name val="Times New Roman"/>
      <family val="1"/>
    </font>
    <font>
      <u val="singleAccounting"/>
      <sz val="12"/>
      <name val="Times New Roman"/>
      <family val="1"/>
    </font>
    <font>
      <sz val="10"/>
      <color rgb="FF7030A0"/>
      <name val="Arial"/>
      <family val="2"/>
    </font>
    <font>
      <b/>
      <i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3">
    <xf numFmtId="0" fontId="0" fillId="0" borderId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8" fillId="0" borderId="0"/>
    <xf numFmtId="0" fontId="11" fillId="0" borderId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7" fillId="0" borderId="2" xfId="0" applyFont="1" applyBorder="1" applyAlignment="1">
      <alignment wrapText="1"/>
    </xf>
    <xf numFmtId="0" fontId="6" fillId="0" borderId="2" xfId="0" applyFont="1" applyBorder="1"/>
    <xf numFmtId="41" fontId="6" fillId="0" borderId="0" xfId="0" applyNumberFormat="1" applyFont="1"/>
    <xf numFmtId="44" fontId="6" fillId="0" borderId="0" xfId="4" applyNumberFormat="1" applyFont="1"/>
    <xf numFmtId="44" fontId="6" fillId="0" borderId="0" xfId="0" applyNumberFormat="1" applyFont="1"/>
    <xf numFmtId="164" fontId="6" fillId="0" borderId="0" xfId="0" applyNumberFormat="1" applyFont="1"/>
    <xf numFmtId="0" fontId="7" fillId="0" borderId="2" xfId="0" applyFont="1" applyBorder="1"/>
    <xf numFmtId="41" fontId="7" fillId="0" borderId="2" xfId="0" applyNumberFormat="1" applyFont="1" applyBorder="1"/>
    <xf numFmtId="169" fontId="6" fillId="0" borderId="0" xfId="1" applyNumberFormat="1" applyFont="1"/>
    <xf numFmtId="165" fontId="6" fillId="0" borderId="0" xfId="0" applyNumberFormat="1" applyFont="1"/>
    <xf numFmtId="0" fontId="7" fillId="0" borderId="0" xfId="0" applyFont="1"/>
    <xf numFmtId="44" fontId="6" fillId="0" borderId="0" xfId="0" applyNumberFormat="1" applyFont="1" applyBorder="1"/>
    <xf numFmtId="164" fontId="6" fillId="0" borderId="0" xfId="0" applyNumberFormat="1" applyFont="1" applyBorder="1"/>
    <xf numFmtId="0" fontId="6" fillId="0" borderId="0" xfId="0" applyFont="1" applyBorder="1"/>
    <xf numFmtId="41" fontId="6" fillId="0" borderId="2" xfId="0" applyNumberFormat="1" applyFont="1" applyBorder="1"/>
    <xf numFmtId="166" fontId="6" fillId="0" borderId="0" xfId="0" applyNumberFormat="1" applyFont="1"/>
    <xf numFmtId="169" fontId="6" fillId="0" borderId="0" xfId="0" applyNumberFormat="1" applyFont="1"/>
    <xf numFmtId="0" fontId="7" fillId="0" borderId="0" xfId="0" applyFont="1" applyBorder="1"/>
    <xf numFmtId="43" fontId="6" fillId="0" borderId="0" xfId="0" applyNumberFormat="1" applyFont="1" applyBorder="1"/>
    <xf numFmtId="172" fontId="6" fillId="0" borderId="0" xfId="0" applyNumberFormat="1" applyFont="1"/>
    <xf numFmtId="43" fontId="6" fillId="0" borderId="0" xfId="0" applyNumberFormat="1" applyFont="1"/>
    <xf numFmtId="164" fontId="6" fillId="0" borderId="0" xfId="9" applyNumberFormat="1" applyFont="1"/>
    <xf numFmtId="10" fontId="6" fillId="0" borderId="0" xfId="9" applyNumberFormat="1" applyFont="1" applyBorder="1"/>
    <xf numFmtId="164" fontId="6" fillId="0" borderId="3" xfId="0" applyNumberFormat="1" applyFont="1" applyBorder="1"/>
    <xf numFmtId="10" fontId="6" fillId="0" borderId="0" xfId="9" applyNumberFormat="1" applyFont="1"/>
    <xf numFmtId="43" fontId="6" fillId="0" borderId="0" xfId="1" applyFont="1"/>
    <xf numFmtId="173" fontId="6" fillId="0" borderId="0" xfId="0" applyNumberFormat="1" applyFont="1"/>
    <xf numFmtId="166" fontId="6" fillId="0" borderId="2" xfId="0" applyNumberFormat="1" applyFont="1" applyBorder="1"/>
    <xf numFmtId="0" fontId="6" fillId="0" borderId="0" xfId="0" applyFont="1" applyFill="1"/>
    <xf numFmtId="0" fontId="5" fillId="0" borderId="2" xfId="0" applyFont="1" applyBorder="1"/>
    <xf numFmtId="0" fontId="5" fillId="0" borderId="2" xfId="0" applyFont="1" applyBorder="1" applyAlignment="1">
      <alignment horizontal="right" wrapText="1"/>
    </xf>
    <xf numFmtId="164" fontId="6" fillId="0" borderId="0" xfId="4" applyNumberFormat="1" applyFont="1"/>
    <xf numFmtId="169" fontId="6" fillId="0" borderId="2" xfId="1" applyNumberFormat="1" applyFont="1" applyBorder="1" applyAlignment="1">
      <alignment horizontal="right"/>
    </xf>
    <xf numFmtId="41" fontId="6" fillId="0" borderId="0" xfId="0" applyNumberFormat="1" applyFont="1" applyBorder="1"/>
    <xf numFmtId="166" fontId="6" fillId="0" borderId="0" xfId="0" applyNumberFormat="1" applyFont="1" applyBorder="1"/>
    <xf numFmtId="44" fontId="6" fillId="0" borderId="0" xfId="4" applyFont="1" applyBorder="1"/>
    <xf numFmtId="43" fontId="6" fillId="0" borderId="0" xfId="1" applyFont="1" applyBorder="1"/>
    <xf numFmtId="164" fontId="6" fillId="0" borderId="0" xfId="4" applyNumberFormat="1" applyFont="1" applyBorder="1" applyAlignment="1">
      <alignment horizontal="right"/>
    </xf>
    <xf numFmtId="0" fontId="5" fillId="0" borderId="0" xfId="0" applyFont="1" applyBorder="1"/>
    <xf numFmtId="44" fontId="6" fillId="0" borderId="0" xfId="4" applyNumberFormat="1" applyFont="1" applyBorder="1"/>
    <xf numFmtId="169" fontId="6" fillId="0" borderId="0" xfId="1" applyNumberFormat="1" applyFont="1" applyBorder="1"/>
    <xf numFmtId="169" fontId="6" fillId="0" borderId="2" xfId="1" applyNumberFormat="1" applyFont="1" applyBorder="1"/>
    <xf numFmtId="0" fontId="6" fillId="0" borderId="0" xfId="0" applyFont="1" applyFill="1" applyBorder="1"/>
    <xf numFmtId="41" fontId="6" fillId="0" borderId="0" xfId="0" applyNumberFormat="1" applyFont="1" applyBorder="1" applyAlignment="1">
      <alignment horizontal="right"/>
    </xf>
    <xf numFmtId="164" fontId="6" fillId="0" borderId="0" xfId="4" applyNumberFormat="1" applyFont="1" applyBorder="1"/>
    <xf numFmtId="169" fontId="6" fillId="0" borderId="0" xfId="1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69" fontId="6" fillId="0" borderId="0" xfId="1" applyNumberFormat="1" applyFont="1" applyAlignment="1">
      <alignment horizontal="right"/>
    </xf>
    <xf numFmtId="17" fontId="6" fillId="0" borderId="0" xfId="0" applyNumberFormat="1" applyFont="1" applyBorder="1"/>
    <xf numFmtId="169" fontId="6" fillId="0" borderId="0" xfId="0" applyNumberFormat="1" applyFont="1" applyBorder="1"/>
    <xf numFmtId="0" fontId="6" fillId="0" borderId="0" xfId="0" applyFont="1" applyFill="1" applyBorder="1" applyAlignment="1">
      <alignment horizontal="left"/>
    </xf>
    <xf numFmtId="44" fontId="6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/>
    <xf numFmtId="0" fontId="6" fillId="0" borderId="1" xfId="0" applyFont="1" applyFill="1" applyBorder="1"/>
    <xf numFmtId="0" fontId="5" fillId="0" borderId="1" xfId="0" applyFont="1" applyFill="1" applyBorder="1" applyAlignment="1">
      <alignment horizontal="right"/>
    </xf>
    <xf numFmtId="41" fontId="6" fillId="0" borderId="0" xfId="0" applyNumberFormat="1" applyFont="1" applyFill="1"/>
    <xf numFmtId="164" fontId="6" fillId="0" borderId="0" xfId="0" applyNumberFormat="1" applyFont="1" applyFill="1"/>
    <xf numFmtId="169" fontId="6" fillId="0" borderId="0" xfId="1" applyNumberFormat="1" applyFont="1" applyFill="1"/>
    <xf numFmtId="164" fontId="6" fillId="0" borderId="0" xfId="0" applyNumberFormat="1" applyFont="1" applyFill="1" applyBorder="1"/>
    <xf numFmtId="169" fontId="6" fillId="0" borderId="0" xfId="1" applyNumberFormat="1" applyFont="1" applyFill="1" applyBorder="1"/>
    <xf numFmtId="166" fontId="6" fillId="0" borderId="0" xfId="0" applyNumberFormat="1" applyFont="1" applyFill="1"/>
    <xf numFmtId="164" fontId="6" fillId="0" borderId="0" xfId="9" applyNumberFormat="1" applyFont="1" applyFill="1"/>
    <xf numFmtId="10" fontId="6" fillId="0" borderId="0" xfId="9" applyNumberFormat="1" applyFont="1" applyFill="1" applyBorder="1"/>
    <xf numFmtId="164" fontId="6" fillId="0" borderId="0" xfId="9" applyNumberFormat="1" applyFont="1" applyFill="1" applyBorder="1"/>
    <xf numFmtId="168" fontId="6" fillId="0" borderId="0" xfId="9" applyNumberFormat="1" applyFont="1" applyFill="1" applyBorder="1"/>
    <xf numFmtId="44" fontId="6" fillId="0" borderId="0" xfId="4" applyFont="1"/>
    <xf numFmtId="173" fontId="6" fillId="0" borderId="0" xfId="4" applyNumberFormat="1" applyFont="1" applyBorder="1"/>
    <xf numFmtId="173" fontId="6" fillId="0" borderId="0" xfId="4" applyNumberFormat="1" applyFont="1"/>
    <xf numFmtId="175" fontId="6" fillId="0" borderId="0" xfId="0" applyNumberFormat="1" applyFont="1" applyBorder="1"/>
    <xf numFmtId="164" fontId="6" fillId="0" borderId="0" xfId="1" applyNumberFormat="1" applyFont="1"/>
    <xf numFmtId="164" fontId="6" fillId="0" borderId="0" xfId="4" applyNumberFormat="1" applyFont="1" applyFill="1" applyBorder="1"/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/>
    <xf numFmtId="169" fontId="6" fillId="0" borderId="2" xfId="0" applyNumberFormat="1" applyFont="1" applyBorder="1"/>
    <xf numFmtId="166" fontId="6" fillId="0" borderId="0" xfId="0" applyNumberFormat="1" applyFont="1" applyFill="1" applyBorder="1"/>
    <xf numFmtId="41" fontId="6" fillId="0" borderId="3" xfId="0" applyNumberFormat="1" applyFont="1" applyFill="1" applyBorder="1"/>
    <xf numFmtId="164" fontId="6" fillId="0" borderId="3" xfId="0" applyNumberFormat="1" applyFont="1" applyFill="1" applyBorder="1"/>
    <xf numFmtId="10" fontId="6" fillId="0" borderId="3" xfId="9" applyNumberFormat="1" applyFont="1" applyFill="1" applyBorder="1"/>
    <xf numFmtId="164" fontId="6" fillId="0" borderId="3" xfId="4" applyNumberFormat="1" applyFont="1" applyFill="1" applyBorder="1"/>
    <xf numFmtId="8" fontId="6" fillId="0" borderId="0" xfId="0" applyNumberFormat="1" applyFont="1"/>
    <xf numFmtId="2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169" fontId="6" fillId="0" borderId="0" xfId="1" applyNumberFormat="1" applyFont="1" applyFill="1" applyBorder="1" applyAlignment="1">
      <alignment horizontal="right"/>
    </xf>
    <xf numFmtId="169" fontId="6" fillId="0" borderId="0" xfId="1" applyNumberFormat="1" applyFont="1" applyFill="1" applyAlignment="1">
      <alignment horizontal="right"/>
    </xf>
    <xf numFmtId="0" fontId="5" fillId="0" borderId="0" xfId="0" applyFont="1" applyBorder="1" applyAlignment="1">
      <alignment horizontal="left"/>
    </xf>
    <xf numFmtId="1" fontId="6" fillId="0" borderId="0" xfId="0" applyNumberFormat="1" applyFont="1"/>
    <xf numFmtId="170" fontId="6" fillId="0" borderId="0" xfId="1" applyNumberFormat="1" applyFont="1" applyBorder="1" applyAlignment="1">
      <alignment horizontal="right"/>
    </xf>
    <xf numFmtId="44" fontId="6" fillId="0" borderId="0" xfId="4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174" fontId="6" fillId="0" borderId="0" xfId="0" applyNumberFormat="1" applyFont="1"/>
    <xf numFmtId="171" fontId="6" fillId="0" borderId="2" xfId="1" applyNumberFormat="1" applyFont="1" applyBorder="1"/>
    <xf numFmtId="1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44" fontId="6" fillId="0" borderId="0" xfId="4" applyFont="1" applyFill="1"/>
    <xf numFmtId="169" fontId="6" fillId="0" borderId="0" xfId="9" applyNumberFormat="1" applyFont="1"/>
    <xf numFmtId="169" fontId="6" fillId="0" borderId="0" xfId="0" applyNumberFormat="1" applyFont="1" applyFill="1" applyBorder="1" applyAlignment="1">
      <alignment horizontal="left"/>
    </xf>
    <xf numFmtId="10" fontId="6" fillId="0" borderId="0" xfId="9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/>
    <xf numFmtId="1" fontId="6" fillId="0" borderId="2" xfId="0" applyNumberFormat="1" applyFont="1" applyFill="1" applyBorder="1" applyAlignment="1">
      <alignment horizontal="right"/>
    </xf>
    <xf numFmtId="1" fontId="6" fillId="0" borderId="2" xfId="0" applyNumberFormat="1" applyFont="1" applyFill="1" applyBorder="1"/>
    <xf numFmtId="171" fontId="6" fillId="0" borderId="0" xfId="1" applyNumberFormat="1" applyFont="1" applyBorder="1"/>
    <xf numFmtId="171" fontId="6" fillId="0" borderId="0" xfId="1" applyNumberFormat="1" applyFont="1"/>
    <xf numFmtId="0" fontId="5" fillId="0" borderId="0" xfId="0" applyFont="1" applyFill="1" applyBorder="1" applyAlignment="1">
      <alignment horizontal="right"/>
    </xf>
    <xf numFmtId="41" fontId="6" fillId="0" borderId="0" xfId="0" applyNumberFormat="1" applyFont="1" applyFill="1" applyBorder="1"/>
    <xf numFmtId="44" fontId="6" fillId="0" borderId="0" xfId="0" applyNumberFormat="1" applyFont="1" applyFill="1" applyBorder="1"/>
    <xf numFmtId="0" fontId="5" fillId="0" borderId="0" xfId="0" applyFont="1" applyFill="1" applyBorder="1"/>
    <xf numFmtId="41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5" fillId="0" borderId="0" xfId="0" quotePrefix="1" applyFont="1" applyFill="1" applyBorder="1"/>
    <xf numFmtId="169" fontId="6" fillId="0" borderId="0" xfId="0" applyNumberFormat="1" applyFont="1" applyFill="1" applyBorder="1"/>
    <xf numFmtId="0" fontId="9" fillId="0" borderId="0" xfId="0" applyFont="1"/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4" fontId="6" fillId="0" borderId="0" xfId="5" applyNumberFormat="1" applyFont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1" fontId="6" fillId="0" borderId="0" xfId="0" applyNumberFormat="1" applyFont="1" applyFill="1" applyAlignment="1">
      <alignment horizontal="right"/>
    </xf>
    <xf numFmtId="164" fontId="6" fillId="0" borderId="0" xfId="4" applyNumberFormat="1" applyFont="1" applyFill="1" applyAlignment="1">
      <alignment horizontal="right"/>
    </xf>
    <xf numFmtId="164" fontId="6" fillId="0" borderId="0" xfId="4" applyNumberFormat="1" applyFont="1" applyFill="1"/>
    <xf numFmtId="10" fontId="6" fillId="0" borderId="0" xfId="9" applyNumberFormat="1" applyFont="1" applyFill="1"/>
    <xf numFmtId="41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Border="1"/>
    <xf numFmtId="2" fontId="6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44" fontId="6" fillId="0" borderId="0" xfId="4" applyFont="1" applyFill="1" applyBorder="1"/>
    <xf numFmtId="44" fontId="6" fillId="0" borderId="2" xfId="4" applyFont="1" applyBorder="1"/>
    <xf numFmtId="44" fontId="6" fillId="0" borderId="0" xfId="4" applyNumberFormat="1" applyFont="1" applyFill="1"/>
    <xf numFmtId="44" fontId="6" fillId="0" borderId="0" xfId="4" applyNumberFormat="1" applyFont="1" applyFill="1" applyBorder="1"/>
    <xf numFmtId="44" fontId="6" fillId="0" borderId="2" xfId="4" applyNumberFormat="1" applyFont="1" applyBorder="1"/>
    <xf numFmtId="44" fontId="6" fillId="0" borderId="2" xfId="4" applyNumberFormat="1" applyFont="1" applyFill="1" applyBorder="1"/>
    <xf numFmtId="0" fontId="5" fillId="0" borderId="0" xfId="0" applyFont="1" applyAlignment="1">
      <alignment horizontal="left"/>
    </xf>
    <xf numFmtId="44" fontId="6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Fill="1"/>
    <xf numFmtId="44" fontId="6" fillId="0" borderId="0" xfId="4" applyFont="1" applyAlignment="1">
      <alignment horizontal="center"/>
    </xf>
    <xf numFmtId="9" fontId="6" fillId="0" borderId="0" xfId="9" applyFont="1"/>
    <xf numFmtId="0" fontId="6" fillId="0" borderId="0" xfId="8" applyFont="1"/>
    <xf numFmtId="0" fontId="6" fillId="0" borderId="0" xfId="8" applyFont="1" applyFill="1"/>
    <xf numFmtId="10" fontId="6" fillId="0" borderId="0" xfId="12" applyNumberFormat="1" applyFont="1"/>
    <xf numFmtId="0" fontId="9" fillId="0" borderId="0" xfId="8" applyFont="1"/>
    <xf numFmtId="0" fontId="5" fillId="0" borderId="0" xfId="8" applyFont="1" applyAlignment="1">
      <alignment horizontal="right"/>
    </xf>
    <xf numFmtId="0" fontId="5" fillId="0" borderId="0" xfId="8" applyFont="1"/>
    <xf numFmtId="0" fontId="5" fillId="0" borderId="0" xfId="8" applyFont="1" applyAlignment="1">
      <alignment horizontal="center"/>
    </xf>
    <xf numFmtId="0" fontId="5" fillId="0" borderId="0" xfId="8" applyFont="1" applyFill="1" applyAlignment="1">
      <alignment horizontal="right"/>
    </xf>
    <xf numFmtId="0" fontId="5" fillId="0" borderId="2" xfId="8" applyFont="1" applyBorder="1"/>
    <xf numFmtId="0" fontId="5" fillId="0" borderId="2" xfId="8" applyFont="1" applyBorder="1" applyAlignment="1">
      <alignment horizontal="right"/>
    </xf>
    <xf numFmtId="0" fontId="6" fillId="0" borderId="0" xfId="7" applyFont="1" applyFill="1"/>
    <xf numFmtId="43" fontId="6" fillId="0" borderId="0" xfId="3" applyFont="1"/>
    <xf numFmtId="164" fontId="6" fillId="0" borderId="0" xfId="8" applyNumberFormat="1" applyFont="1" applyFill="1"/>
    <xf numFmtId="171" fontId="6" fillId="0" borderId="0" xfId="3" applyNumberFormat="1" applyFont="1"/>
    <xf numFmtId="0" fontId="6" fillId="2" borderId="0" xfId="7" applyFont="1" applyFill="1"/>
    <xf numFmtId="0" fontId="6" fillId="2" borderId="0" xfId="8" applyFont="1" applyFill="1"/>
    <xf numFmtId="164" fontId="6" fillId="2" borderId="0" xfId="5" applyNumberFormat="1" applyFont="1" applyFill="1"/>
    <xf numFmtId="0" fontId="6" fillId="0" borderId="0" xfId="8" applyFont="1" applyAlignment="1">
      <alignment horizontal="center"/>
    </xf>
    <xf numFmtId="167" fontId="6" fillId="0" borderId="0" xfId="12" applyNumberFormat="1" applyFont="1"/>
    <xf numFmtId="0" fontId="6" fillId="0" borderId="3" xfId="8" applyFont="1" applyBorder="1" applyAlignment="1">
      <alignment vertical="center"/>
    </xf>
    <xf numFmtId="164" fontId="6" fillId="0" borderId="3" xfId="8" applyNumberFormat="1" applyFont="1" applyBorder="1" applyAlignment="1">
      <alignment vertical="center"/>
    </xf>
    <xf numFmtId="164" fontId="6" fillId="0" borderId="3" xfId="8" applyNumberFormat="1" applyFont="1" applyFill="1" applyBorder="1" applyAlignment="1">
      <alignment vertical="center"/>
    </xf>
    <xf numFmtId="167" fontId="6" fillId="0" borderId="3" xfId="12" applyNumberFormat="1" applyFont="1" applyBorder="1" applyAlignment="1">
      <alignment vertical="center"/>
    </xf>
    <xf numFmtId="0" fontId="6" fillId="0" borderId="0" xfId="8" applyFont="1" applyAlignment="1">
      <alignment vertical="center"/>
    </xf>
    <xf numFmtId="41" fontId="7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167" fontId="6" fillId="0" borderId="0" xfId="8" applyNumberFormat="1" applyFont="1" applyFill="1"/>
    <xf numFmtId="164" fontId="6" fillId="0" borderId="0" xfId="8" applyNumberFormat="1" applyFont="1"/>
    <xf numFmtId="5" fontId="6" fillId="0" borderId="0" xfId="4" applyNumberFormat="1" applyFont="1" applyFill="1"/>
    <xf numFmtId="5" fontId="6" fillId="2" borderId="0" xfId="4" applyNumberFormat="1" applyFont="1" applyFill="1"/>
    <xf numFmtId="174" fontId="6" fillId="0" borderId="0" xfId="0" applyNumberFormat="1" applyFont="1" applyBorder="1"/>
    <xf numFmtId="0" fontId="6" fillId="0" borderId="0" xfId="1" applyNumberFormat="1" applyFont="1" applyFill="1" applyAlignment="1">
      <alignment horizontal="center"/>
    </xf>
    <xf numFmtId="0" fontId="6" fillId="0" borderId="0" xfId="11" applyNumberFormat="1" applyFont="1" applyFill="1" applyAlignment="1">
      <alignment horizontal="center"/>
    </xf>
    <xf numFmtId="0" fontId="6" fillId="2" borderId="0" xfId="11" applyNumberFormat="1" applyFont="1" applyFill="1" applyAlignment="1">
      <alignment horizontal="center"/>
    </xf>
    <xf numFmtId="10" fontId="6" fillId="2" borderId="0" xfId="11" applyNumberFormat="1" applyFont="1" applyFill="1" applyAlignment="1">
      <alignment horizontal="center"/>
    </xf>
    <xf numFmtId="0" fontId="6" fillId="0" borderId="3" xfId="8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6" fillId="0" borderId="5" xfId="0" applyFont="1" applyBorder="1"/>
    <xf numFmtId="164" fontId="6" fillId="0" borderId="5" xfId="0" applyNumberFormat="1" applyFont="1" applyBorder="1"/>
    <xf numFmtId="164" fontId="6" fillId="0" borderId="5" xfId="0" applyNumberFormat="1" applyFont="1" applyFill="1" applyBorder="1"/>
    <xf numFmtId="44" fontId="6" fillId="0" borderId="5" xfId="0" applyNumberFormat="1" applyFont="1" applyBorder="1"/>
    <xf numFmtId="164" fontId="6" fillId="0" borderId="5" xfId="9" applyNumberFormat="1" applyFont="1" applyBorder="1"/>
    <xf numFmtId="10" fontId="6" fillId="0" borderId="5" xfId="9" applyNumberFormat="1" applyFont="1" applyBorder="1"/>
    <xf numFmtId="0" fontId="7" fillId="0" borderId="0" xfId="0" applyFont="1" applyFill="1" applyAlignment="1">
      <alignment horizontal="right"/>
    </xf>
    <xf numFmtId="41" fontId="7" fillId="0" borderId="0" xfId="0" applyNumberFormat="1" applyFont="1" applyFill="1" applyAlignment="1">
      <alignment horizontal="right"/>
    </xf>
    <xf numFmtId="44" fontId="7" fillId="0" borderId="0" xfId="4" applyFont="1" applyFill="1"/>
    <xf numFmtId="169" fontId="6" fillId="0" borderId="5" xfId="1" applyNumberFormat="1" applyFont="1" applyBorder="1"/>
    <xf numFmtId="0" fontId="5" fillId="0" borderId="0" xfId="0" applyFont="1" applyBorder="1" applyAlignment="1"/>
    <xf numFmtId="0" fontId="5" fillId="0" borderId="0" xfId="0" applyFont="1" applyFill="1" applyBorder="1" applyAlignment="1"/>
    <xf numFmtId="164" fontId="6" fillId="0" borderId="0" xfId="5" applyNumberFormat="1" applyFont="1" applyFill="1"/>
    <xf numFmtId="41" fontId="5" fillId="0" borderId="0" xfId="0" applyNumberFormat="1" applyFont="1" applyBorder="1" applyAlignment="1">
      <alignment horizontal="right" wrapText="1"/>
    </xf>
    <xf numFmtId="164" fontId="6" fillId="0" borderId="0" xfId="9" applyNumberFormat="1" applyFont="1" applyBorder="1"/>
    <xf numFmtId="0" fontId="7" fillId="0" borderId="2" xfId="0" applyFont="1" applyBorder="1" applyAlignment="1">
      <alignment horizontal="right" wrapText="1"/>
    </xf>
    <xf numFmtId="41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44" fontId="6" fillId="0" borderId="0" xfId="4" applyNumberFormat="1" applyFont="1" applyAlignment="1">
      <alignment horizontal="right"/>
    </xf>
    <xf numFmtId="174" fontId="6" fillId="0" borderId="0" xfId="0" applyNumberFormat="1" applyFont="1" applyBorder="1" applyAlignment="1">
      <alignment horizontal="right"/>
    </xf>
    <xf numFmtId="41" fontId="6" fillId="0" borderId="0" xfId="0" applyNumberFormat="1" applyFont="1" applyAlignment="1">
      <alignment horizontal="right"/>
    </xf>
    <xf numFmtId="0" fontId="5" fillId="0" borderId="0" xfId="8" applyFont="1" applyFill="1"/>
    <xf numFmtId="0" fontId="5" fillId="0" borderId="2" xfId="8" applyFont="1" applyFill="1" applyBorder="1" applyAlignment="1">
      <alignment horizontal="right"/>
    </xf>
    <xf numFmtId="167" fontId="6" fillId="0" borderId="0" xfId="9" applyNumberFormat="1" applyFont="1" applyFill="1"/>
    <xf numFmtId="169" fontId="5" fillId="0" borderId="0" xfId="0" applyNumberFormat="1" applyFont="1" applyBorder="1" applyAlignment="1">
      <alignment horizontal="right" wrapText="1"/>
    </xf>
    <xf numFmtId="0" fontId="6" fillId="0" borderId="0" xfId="8" applyFont="1" applyAlignment="1">
      <alignment horizontal="right"/>
    </xf>
    <xf numFmtId="0" fontId="6" fillId="0" borderId="0" xfId="8" applyFont="1" applyBorder="1" applyAlignment="1">
      <alignment vertical="center"/>
    </xf>
    <xf numFmtId="0" fontId="6" fillId="0" borderId="0" xfId="8" applyFont="1" applyBorder="1" applyAlignment="1">
      <alignment horizontal="center" vertical="center"/>
    </xf>
    <xf numFmtId="164" fontId="6" fillId="0" borderId="0" xfId="8" applyNumberFormat="1" applyFont="1" applyBorder="1" applyAlignment="1">
      <alignment vertical="center"/>
    </xf>
    <xf numFmtId="164" fontId="6" fillId="0" borderId="0" xfId="8" applyNumberFormat="1" applyFont="1" applyFill="1" applyBorder="1" applyAlignment="1">
      <alignment vertical="center"/>
    </xf>
    <xf numFmtId="167" fontId="6" fillId="0" borderId="0" xfId="12" applyNumberFormat="1" applyFont="1" applyBorder="1" applyAlignment="1">
      <alignment vertical="center"/>
    </xf>
    <xf numFmtId="9" fontId="6" fillId="0" borderId="0" xfId="9" applyNumberFormat="1" applyFont="1"/>
    <xf numFmtId="7" fontId="6" fillId="0" borderId="0" xfId="4" applyNumberFormat="1" applyFont="1" applyFill="1"/>
    <xf numFmtId="169" fontId="0" fillId="0" borderId="0" xfId="1" applyNumberFormat="1" applyFont="1"/>
    <xf numFmtId="0" fontId="1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Alignment="1">
      <alignment horizontal="center"/>
    </xf>
    <xf numFmtId="0" fontId="6" fillId="0" borderId="0" xfId="8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8" applyFont="1" applyFill="1" applyAlignment="1">
      <alignment horizontal="center"/>
    </xf>
    <xf numFmtId="0" fontId="6" fillId="0" borderId="0" xfId="8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164" fontId="6" fillId="0" borderId="0" xfId="4" applyNumberFormat="1" applyFont="1" applyFill="1" applyBorder="1" applyAlignment="1">
      <alignment horizontal="right"/>
    </xf>
    <xf numFmtId="169" fontId="12" fillId="0" borderId="0" xfId="1" applyNumberFormat="1" applyFont="1" applyFill="1"/>
    <xf numFmtId="0" fontId="9" fillId="0" borderId="0" xfId="15" applyFont="1"/>
    <xf numFmtId="0" fontId="4" fillId="0" borderId="0" xfId="15" applyAlignment="1">
      <alignment horizontal="center"/>
    </xf>
    <xf numFmtId="0" fontId="4" fillId="0" borderId="0" xfId="15"/>
    <xf numFmtId="0" fontId="9" fillId="0" borderId="0" xfId="15" applyFont="1" applyAlignment="1">
      <alignment horizontal="left"/>
    </xf>
    <xf numFmtId="0" fontId="13" fillId="0" borderId="7" xfId="15" applyFont="1" applyBorder="1" applyAlignment="1">
      <alignment horizontal="center" vertical="center"/>
    </xf>
    <xf numFmtId="0" fontId="13" fillId="0" borderId="8" xfId="15" applyFont="1" applyBorder="1" applyAlignment="1">
      <alignment horizontal="center" vertical="center"/>
    </xf>
    <xf numFmtId="0" fontId="13" fillId="0" borderId="28" xfId="15" applyFont="1" applyBorder="1" applyAlignment="1">
      <alignment horizontal="center" vertical="center"/>
    </xf>
    <xf numFmtId="0" fontId="13" fillId="0" borderId="29" xfId="15" applyFont="1" applyBorder="1" applyAlignment="1">
      <alignment horizontal="center" vertical="center"/>
    </xf>
    <xf numFmtId="0" fontId="13" fillId="0" borderId="30" xfId="15" applyFont="1" applyBorder="1" applyAlignment="1">
      <alignment horizontal="center" vertical="center"/>
    </xf>
    <xf numFmtId="0" fontId="13" fillId="0" borderId="30" xfId="15" applyFont="1" applyFill="1" applyBorder="1" applyAlignment="1">
      <alignment horizontal="center" vertical="center"/>
    </xf>
    <xf numFmtId="0" fontId="13" fillId="0" borderId="31" xfId="15" applyFont="1" applyFill="1" applyBorder="1" applyAlignment="1">
      <alignment horizontal="center" vertical="center"/>
    </xf>
    <xf numFmtId="0" fontId="13" fillId="0" borderId="0" xfId="15" applyFont="1"/>
    <xf numFmtId="0" fontId="13" fillId="0" borderId="9" xfId="15" applyFont="1" applyBorder="1" applyAlignment="1">
      <alignment horizontal="center" vertical="center"/>
    </xf>
    <xf numFmtId="0" fontId="13" fillId="0" borderId="10" xfId="15" applyFont="1" applyBorder="1" applyAlignment="1">
      <alignment horizontal="center" vertical="center"/>
    </xf>
    <xf numFmtId="44" fontId="17" fillId="0" borderId="10" xfId="15" applyNumberFormat="1" applyFont="1" applyBorder="1" applyAlignment="1">
      <alignment horizontal="center" vertical="center"/>
    </xf>
    <xf numFmtId="0" fontId="17" fillId="0" borderId="10" xfId="15" applyFont="1" applyBorder="1" applyAlignment="1">
      <alignment horizontal="center" vertical="center"/>
    </xf>
    <xf numFmtId="0" fontId="13" fillId="0" borderId="10" xfId="15" applyFont="1" applyFill="1" applyBorder="1" applyAlignment="1">
      <alignment horizontal="center" vertical="center"/>
    </xf>
    <xf numFmtId="0" fontId="13" fillId="0" borderId="32" xfId="15" applyFont="1" applyFill="1" applyBorder="1" applyAlignment="1">
      <alignment horizontal="center" vertical="center"/>
    </xf>
    <xf numFmtId="0" fontId="4" fillId="0" borderId="11" xfId="15" applyBorder="1" applyAlignment="1">
      <alignment horizontal="center"/>
    </xf>
    <xf numFmtId="169" fontId="0" fillId="0" borderId="12" xfId="16" applyNumberFormat="1" applyFont="1" applyBorder="1"/>
    <xf numFmtId="44" fontId="4" fillId="0" borderId="13" xfId="15" applyNumberFormat="1" applyFont="1" applyBorder="1"/>
    <xf numFmtId="44" fontId="4" fillId="0" borderId="0" xfId="15" applyNumberFormat="1" applyFont="1" applyBorder="1"/>
    <xf numFmtId="44" fontId="4" fillId="0" borderId="5" xfId="15" applyNumberFormat="1" applyFont="1" applyBorder="1"/>
    <xf numFmtId="44" fontId="4" fillId="0" borderId="13" xfId="17" applyFont="1" applyBorder="1"/>
    <xf numFmtId="44" fontId="4" fillId="0" borderId="5" xfId="17" applyNumberFormat="1" applyFont="1" applyBorder="1"/>
    <xf numFmtId="44" fontId="4" fillId="0" borderId="13" xfId="17" applyNumberFormat="1" applyFont="1" applyBorder="1"/>
    <xf numFmtId="167" fontId="4" fillId="0" borderId="14" xfId="18" applyNumberFormat="1" applyFont="1" applyBorder="1"/>
    <xf numFmtId="0" fontId="4" fillId="0" borderId="9" xfId="15" applyBorder="1" applyAlignment="1">
      <alignment horizontal="center"/>
    </xf>
    <xf numFmtId="44" fontId="4" fillId="0" borderId="15" xfId="15" applyNumberFormat="1" applyFont="1" applyBorder="1"/>
    <xf numFmtId="44" fontId="4" fillId="0" borderId="18" xfId="15" applyNumberFormat="1" applyFont="1" applyBorder="1"/>
    <xf numFmtId="44" fontId="4" fillId="0" borderId="16" xfId="15" applyNumberFormat="1" applyFont="1" applyBorder="1"/>
    <xf numFmtId="44" fontId="4" fillId="0" borderId="15" xfId="17" applyFont="1" applyBorder="1"/>
    <xf numFmtId="44" fontId="4" fillId="0" borderId="16" xfId="17" applyNumberFormat="1" applyFont="1" applyBorder="1"/>
    <xf numFmtId="44" fontId="4" fillId="0" borderId="15" xfId="17" applyNumberFormat="1" applyFont="1" applyBorder="1"/>
    <xf numFmtId="167" fontId="4" fillId="0" borderId="17" xfId="18" applyNumberFormat="1" applyFont="1" applyBorder="1"/>
    <xf numFmtId="169" fontId="4" fillId="0" borderId="15" xfId="1" applyNumberFormat="1" applyFont="1" applyBorder="1"/>
    <xf numFmtId="173" fontId="17" fillId="0" borderId="10" xfId="4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/>
    <xf numFmtId="0" fontId="5" fillId="0" borderId="2" xfId="8" applyFont="1" applyBorder="1" applyAlignment="1">
      <alignment horizontal="center"/>
    </xf>
    <xf numFmtId="43" fontId="6" fillId="0" borderId="0" xfId="1" applyFont="1" applyFill="1"/>
    <xf numFmtId="43" fontId="6" fillId="0" borderId="0" xfId="3" applyFont="1" applyFill="1"/>
    <xf numFmtId="171" fontId="6" fillId="0" borderId="0" xfId="3" applyNumberFormat="1" applyFont="1" applyFill="1"/>
    <xf numFmtId="0" fontId="5" fillId="0" borderId="0" xfId="0" applyFont="1" applyFill="1" applyBorder="1" applyAlignment="1">
      <alignment horizontal="center"/>
    </xf>
    <xf numFmtId="43" fontId="16" fillId="0" borderId="0" xfId="3" applyFont="1" applyFill="1"/>
    <xf numFmtId="171" fontId="16" fillId="0" borderId="0" xfId="3" applyNumberFormat="1" applyFont="1" applyFill="1"/>
    <xf numFmtId="0" fontId="13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5" xfId="0" applyBorder="1" applyAlignment="1">
      <alignment horizontal="center"/>
    </xf>
    <xf numFmtId="178" fontId="0" fillId="0" borderId="30" xfId="0" applyNumberForma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178" fontId="13" fillId="0" borderId="30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16" fontId="4" fillId="0" borderId="30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13" fillId="0" borderId="30" xfId="0" applyNumberFormat="1" applyFont="1" applyBorder="1" applyAlignment="1">
      <alignment horizontal="center"/>
    </xf>
    <xf numFmtId="0" fontId="13" fillId="0" borderId="30" xfId="0" applyFont="1" applyBorder="1"/>
    <xf numFmtId="3" fontId="0" fillId="0" borderId="30" xfId="0" applyNumberFormat="1" applyBorder="1"/>
    <xf numFmtId="3" fontId="13" fillId="0" borderId="30" xfId="0" applyNumberFormat="1" applyFont="1" applyBorder="1"/>
    <xf numFmtId="0" fontId="0" fillId="0" borderId="30" xfId="0" applyBorder="1"/>
    <xf numFmtId="3" fontId="0" fillId="0" borderId="0" xfId="0" applyNumberFormat="1"/>
    <xf numFmtId="3" fontId="13" fillId="0" borderId="33" xfId="0" applyNumberFormat="1" applyFon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0" fillId="3" borderId="30" xfId="0" applyNumberFormat="1" applyFill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3" fontId="13" fillId="0" borderId="0" xfId="0" applyNumberFormat="1" applyFont="1" applyBorder="1"/>
    <xf numFmtId="0" fontId="13" fillId="4" borderId="0" xfId="0" applyFont="1" applyFill="1" applyBorder="1" applyAlignment="1">
      <alignment horizontal="center"/>
    </xf>
    <xf numFmtId="0" fontId="13" fillId="4" borderId="0" xfId="0" applyFont="1" applyFill="1" applyBorder="1"/>
    <xf numFmtId="3" fontId="13" fillId="4" borderId="0" xfId="0" applyNumberFormat="1" applyFont="1" applyFill="1" applyBorder="1"/>
    <xf numFmtId="0" fontId="0" fillId="4" borderId="0" xfId="0" applyFill="1"/>
    <xf numFmtId="0" fontId="4" fillId="0" borderId="30" xfId="0" applyFont="1" applyBorder="1"/>
    <xf numFmtId="0" fontId="20" fillId="0" borderId="36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" fontId="0" fillId="0" borderId="30" xfId="0" applyNumberFormat="1" applyBorder="1" applyAlignment="1">
      <alignment horizontal="center"/>
    </xf>
    <xf numFmtId="4" fontId="0" fillId="0" borderId="30" xfId="0" applyNumberFormat="1" applyBorder="1"/>
    <xf numFmtId="3" fontId="13" fillId="3" borderId="30" xfId="0" applyNumberFormat="1" applyFont="1" applyFill="1" applyBorder="1"/>
    <xf numFmtId="0" fontId="15" fillId="0" borderId="30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5" fillId="0" borderId="0" xfId="0" applyFont="1" applyAlignment="1">
      <alignment horizontal="center"/>
    </xf>
    <xf numFmtId="3" fontId="0" fillId="0" borderId="33" xfId="0" applyNumberForma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0" fontId="5" fillId="0" borderId="5" xfId="0" applyFont="1" applyFill="1" applyBorder="1"/>
    <xf numFmtId="41" fontId="7" fillId="0" borderId="0" xfId="0" applyNumberFormat="1" applyFont="1" applyFill="1" applyBorder="1" applyAlignment="1">
      <alignment horizontal="right"/>
    </xf>
    <xf numFmtId="179" fontId="0" fillId="0" borderId="30" xfId="0" applyNumberFormat="1" applyBorder="1"/>
    <xf numFmtId="0" fontId="6" fillId="0" borderId="0" xfId="0" applyFont="1" applyFill="1" applyAlignment="1">
      <alignment horizontal="right"/>
    </xf>
    <xf numFmtId="169" fontId="6" fillId="0" borderId="4" xfId="1" applyNumberFormat="1" applyFont="1" applyFill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3" fontId="6" fillId="0" borderId="0" xfId="8" applyNumberFormat="1" applyFont="1"/>
    <xf numFmtId="9" fontId="6" fillId="0" borderId="0" xfId="8" applyNumberFormat="1" applyFont="1"/>
    <xf numFmtId="10" fontId="6" fillId="0" borderId="0" xfId="11" applyNumberFormat="1" applyFont="1" applyFill="1"/>
    <xf numFmtId="10" fontId="6" fillId="0" borderId="0" xfId="11" applyNumberFormat="1" applyFont="1"/>
    <xf numFmtId="10" fontId="6" fillId="2" borderId="0" xfId="11" applyNumberFormat="1" applyFont="1" applyFill="1"/>
    <xf numFmtId="10" fontId="6" fillId="0" borderId="3" xfId="12" applyNumberFormat="1" applyFont="1" applyBorder="1" applyAlignment="1">
      <alignment vertical="center"/>
    </xf>
    <xf numFmtId="2" fontId="5" fillId="0" borderId="0" xfId="8" applyNumberFormat="1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41" fontId="23" fillId="0" borderId="0" xfId="0" applyNumberFormat="1" applyFont="1" applyBorder="1"/>
    <xf numFmtId="0" fontId="4" fillId="0" borderId="0" xfId="15" applyAlignment="1">
      <alignment vertical="center"/>
    </xf>
    <xf numFmtId="0" fontId="4" fillId="0" borderId="37" xfId="15" applyBorder="1" applyAlignment="1">
      <alignment horizontal="center" vertical="center"/>
    </xf>
    <xf numFmtId="169" fontId="0" fillId="0" borderId="38" xfId="16" applyNumberFormat="1" applyFont="1" applyBorder="1" applyAlignment="1">
      <alignment vertical="center"/>
    </xf>
    <xf numFmtId="44" fontId="4" fillId="0" borderId="39" xfId="15" applyNumberFormat="1" applyFont="1" applyBorder="1" applyAlignment="1">
      <alignment vertical="center"/>
    </xf>
    <xf numFmtId="44" fontId="4" fillId="0" borderId="40" xfId="15" applyNumberFormat="1" applyFont="1" applyBorder="1" applyAlignment="1">
      <alignment vertical="center"/>
    </xf>
    <xf numFmtId="44" fontId="4" fillId="0" borderId="41" xfId="15" applyNumberFormat="1" applyFont="1" applyBorder="1" applyAlignment="1">
      <alignment vertical="center"/>
    </xf>
    <xf numFmtId="44" fontId="4" fillId="0" borderId="39" xfId="17" applyFont="1" applyBorder="1" applyAlignment="1">
      <alignment vertical="center"/>
    </xf>
    <xf numFmtId="44" fontId="4" fillId="0" borderId="41" xfId="17" applyNumberFormat="1" applyFont="1" applyBorder="1" applyAlignment="1">
      <alignment vertical="center"/>
    </xf>
    <xf numFmtId="44" fontId="4" fillId="0" borderId="39" xfId="17" applyNumberFormat="1" applyFont="1" applyBorder="1" applyAlignment="1">
      <alignment vertical="center"/>
    </xf>
    <xf numFmtId="167" fontId="4" fillId="0" borderId="42" xfId="18" applyNumberFormat="1" applyFont="1" applyBorder="1" applyAlignment="1">
      <alignment vertical="center"/>
    </xf>
    <xf numFmtId="169" fontId="7" fillId="0" borderId="0" xfId="1" applyNumberFormat="1" applyFont="1"/>
    <xf numFmtId="0" fontId="7" fillId="0" borderId="0" xfId="0" applyFont="1" applyBorder="1" applyAlignment="1">
      <alignment horizontal="right"/>
    </xf>
    <xf numFmtId="169" fontId="7" fillId="0" borderId="0" xfId="0" applyNumberFormat="1" applyFont="1" applyBorder="1"/>
    <xf numFmtId="0" fontId="0" fillId="5" borderId="0" xfId="0" applyFill="1"/>
    <xf numFmtId="3" fontId="4" fillId="0" borderId="30" xfId="0" applyNumberFormat="1" applyFont="1" applyBorder="1"/>
    <xf numFmtId="3" fontId="0" fillId="0" borderId="30" xfId="0" applyNumberFormat="1" applyFill="1" applyBorder="1"/>
    <xf numFmtId="43" fontId="4" fillId="0" borderId="0" xfId="1" applyFont="1"/>
    <xf numFmtId="3" fontId="0" fillId="0" borderId="4" xfId="0" applyNumberFormat="1" applyBorder="1"/>
    <xf numFmtId="0" fontId="0" fillId="0" borderId="4" xfId="0" applyBorder="1"/>
    <xf numFmtId="178" fontId="0" fillId="7" borderId="30" xfId="0" applyNumberFormat="1" applyFill="1" applyBorder="1" applyAlignment="1">
      <alignment horizontal="center"/>
    </xf>
    <xf numFmtId="0" fontId="13" fillId="7" borderId="30" xfId="0" applyFont="1" applyFill="1" applyBorder="1" applyAlignment="1">
      <alignment horizontal="center"/>
    </xf>
    <xf numFmtId="3" fontId="0" fillId="7" borderId="30" xfId="0" applyNumberFormat="1" applyFill="1" applyBorder="1"/>
    <xf numFmtId="3" fontId="13" fillId="7" borderId="30" xfId="0" applyNumberFormat="1" applyFont="1" applyFill="1" applyBorder="1"/>
    <xf numFmtId="0" fontId="13" fillId="7" borderId="0" xfId="0" applyFont="1" applyFill="1" applyBorder="1" applyAlignment="1">
      <alignment horizontal="center"/>
    </xf>
    <xf numFmtId="169" fontId="0" fillId="7" borderId="0" xfId="1" applyNumberFormat="1" applyFont="1" applyFill="1"/>
    <xf numFmtId="169" fontId="0" fillId="7" borderId="4" xfId="1" applyNumberFormat="1" applyFont="1" applyFill="1" applyBorder="1"/>
    <xf numFmtId="0" fontId="24" fillId="7" borderId="0" xfId="0" applyFont="1" applyFill="1"/>
    <xf numFmtId="0" fontId="25" fillId="0" borderId="0" xfId="8" applyFont="1"/>
    <xf numFmtId="174" fontId="6" fillId="0" borderId="0" xfId="1" applyNumberFormat="1" applyFont="1" applyFill="1"/>
    <xf numFmtId="43" fontId="6" fillId="0" borderId="0" xfId="16" applyFont="1" applyFill="1"/>
    <xf numFmtId="9" fontId="6" fillId="0" borderId="30" xfId="9" applyFont="1" applyFill="1" applyBorder="1"/>
    <xf numFmtId="164" fontId="6" fillId="0" borderId="4" xfId="0" applyNumberFormat="1" applyFont="1" applyFill="1" applyBorder="1"/>
    <xf numFmtId="41" fontId="6" fillId="0" borderId="4" xfId="0" applyNumberFormat="1" applyFont="1" applyFill="1" applyBorder="1" applyAlignment="1">
      <alignment horizontal="right"/>
    </xf>
    <xf numFmtId="169" fontId="26" fillId="0" borderId="0" xfId="1" applyNumberFormat="1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171" fontId="0" fillId="0" borderId="0" xfId="1" applyNumberFormat="1" applyFont="1"/>
    <xf numFmtId="171" fontId="7" fillId="0" borderId="0" xfId="0" applyNumberFormat="1" applyFont="1" applyBorder="1"/>
    <xf numFmtId="174" fontId="16" fillId="0" borderId="0" xfId="1" applyNumberFormat="1" applyFont="1" applyFill="1"/>
    <xf numFmtId="3" fontId="0" fillId="0" borderId="0" xfId="0" applyNumberFormat="1" applyFill="1" applyBorder="1"/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13" xfId="0" applyFont="1" applyFill="1" applyBorder="1" applyAlignment="1">
      <alignment horizontal="right"/>
    </xf>
    <xf numFmtId="3" fontId="27" fillId="0" borderId="0" xfId="0" applyNumberFormat="1" applyFont="1"/>
    <xf numFmtId="0" fontId="13" fillId="0" borderId="0" xfId="0" applyFont="1" applyFill="1" applyBorder="1" applyAlignment="1">
      <alignment horizontal="right"/>
    </xf>
    <xf numFmtId="3" fontId="13" fillId="0" borderId="0" xfId="1" applyNumberFormat="1" applyFont="1" applyBorder="1"/>
    <xf numFmtId="1" fontId="4" fillId="0" borderId="0" xfId="0" applyNumberFormat="1" applyFont="1" applyFill="1"/>
    <xf numFmtId="164" fontId="6" fillId="0" borderId="0" xfId="8" applyNumberFormat="1" applyFont="1" applyAlignment="1">
      <alignment horizontal="right"/>
    </xf>
    <xf numFmtId="169" fontId="16" fillId="6" borderId="0" xfId="1" applyNumberFormat="1" applyFont="1" applyFill="1"/>
    <xf numFmtId="167" fontId="6" fillId="0" borderId="0" xfId="9" applyNumberFormat="1" applyFont="1"/>
    <xf numFmtId="164" fontId="6" fillId="0" borderId="0" xfId="4" applyNumberFormat="1" applyFont="1" applyAlignment="1">
      <alignment horizontal="right"/>
    </xf>
    <xf numFmtId="10" fontId="6" fillId="0" borderId="0" xfId="9" applyNumberFormat="1" applyFont="1" applyAlignment="1">
      <alignment horizontal="right"/>
    </xf>
    <xf numFmtId="44" fontId="6" fillId="0" borderId="0" xfId="4" applyFont="1" applyAlignment="1">
      <alignment horizontal="right"/>
    </xf>
    <xf numFmtId="173" fontId="6" fillId="0" borderId="0" xfId="4" applyNumberFormat="1" applyFont="1" applyAlignment="1">
      <alignment horizontal="right"/>
    </xf>
    <xf numFmtId="0" fontId="25" fillId="0" borderId="0" xfId="8" applyFont="1" applyAlignment="1">
      <alignment horizontal="right"/>
    </xf>
    <xf numFmtId="10" fontId="6" fillId="0" borderId="0" xfId="8" applyNumberFormat="1" applyFont="1"/>
    <xf numFmtId="0" fontId="7" fillId="0" borderId="0" xfId="0" applyFont="1" applyAlignment="1">
      <alignment horizontal="right"/>
    </xf>
    <xf numFmtId="169" fontId="7" fillId="0" borderId="0" xfId="0" applyNumberFormat="1" applyFont="1"/>
    <xf numFmtId="169" fontId="7" fillId="0" borderId="0" xfId="1" applyNumberFormat="1" applyFont="1" applyAlignment="1">
      <alignment horizontal="right"/>
    </xf>
    <xf numFmtId="164" fontId="6" fillId="0" borderId="4" xfId="4" applyNumberFormat="1" applyFont="1" applyFill="1" applyBorder="1"/>
    <xf numFmtId="0" fontId="6" fillId="0" borderId="2" xfId="8" applyFont="1" applyBorder="1"/>
    <xf numFmtId="0" fontId="6" fillId="0" borderId="2" xfId="8" applyFont="1" applyFill="1" applyBorder="1"/>
    <xf numFmtId="0" fontId="6" fillId="0" borderId="4" xfId="8" applyFont="1" applyBorder="1"/>
    <xf numFmtId="181" fontId="16" fillId="0" borderId="0" xfId="8" applyNumberFormat="1" applyFont="1"/>
    <xf numFmtId="169" fontId="6" fillId="0" borderId="2" xfId="1" applyNumberFormat="1" applyFont="1" applyFill="1" applyBorder="1"/>
    <xf numFmtId="0" fontId="6" fillId="0" borderId="4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" xfId="8" applyFont="1" applyBorder="1" applyAlignment="1">
      <alignment horizontal="center"/>
    </xf>
    <xf numFmtId="0" fontId="5" fillId="6" borderId="2" xfId="8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24" xfId="15" applyFont="1" applyBorder="1" applyAlignment="1">
      <alignment horizontal="center" vertical="center"/>
    </xf>
    <xf numFmtId="0" fontId="13" fillId="0" borderId="25" xfId="15" applyFont="1" applyBorder="1" applyAlignment="1">
      <alignment horizontal="center" vertical="center"/>
    </xf>
    <xf numFmtId="0" fontId="13" fillId="0" borderId="26" xfId="15" applyFont="1" applyBorder="1" applyAlignment="1">
      <alignment horizontal="center" vertical="center"/>
    </xf>
    <xf numFmtId="0" fontId="13" fillId="0" borderId="26" xfId="15" applyFont="1" applyFill="1" applyBorder="1" applyAlignment="1">
      <alignment horizontal="center" vertical="center"/>
    </xf>
    <xf numFmtId="0" fontId="13" fillId="0" borderId="27" xfId="15" applyFont="1" applyFill="1" applyBorder="1" applyAlignment="1">
      <alignment horizontal="center" vertical="center"/>
    </xf>
    <xf numFmtId="0" fontId="20" fillId="0" borderId="3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5" xfId="0" applyFont="1" applyBorder="1" applyAlignment="1">
      <alignment horizontal="center"/>
    </xf>
  </cellXfs>
  <cellStyles count="23">
    <cellStyle name="Comma" xfId="1" builtinId="3"/>
    <cellStyle name="Comma 2" xfId="2"/>
    <cellStyle name="Comma 3" xfId="3"/>
    <cellStyle name="Comma 3 2" xfId="16"/>
    <cellStyle name="Comma 4" xfId="14"/>
    <cellStyle name="Currency" xfId="4" builtinId="4"/>
    <cellStyle name="Currency 2" xfId="5"/>
    <cellStyle name="Currency 2 2" xfId="17"/>
    <cellStyle name="Currency 3" xfId="6"/>
    <cellStyle name="Currency 4" xfId="21"/>
    <cellStyle name="Normal" xfId="0" builtinId="0"/>
    <cellStyle name="Normal 2" xfId="7"/>
    <cellStyle name="Normal 2 2" xfId="15"/>
    <cellStyle name="Normal 3" xfId="8"/>
    <cellStyle name="Normal 4" xfId="13"/>
    <cellStyle name="Normal 5" xfId="20"/>
    <cellStyle name="Percent" xfId="9" builtinId="5"/>
    <cellStyle name="Percent 2" xfId="10"/>
    <cellStyle name="Percent 2 2" xfId="11"/>
    <cellStyle name="Percent 3" xfId="12"/>
    <cellStyle name="Percent 3 2" xfId="18"/>
    <cellStyle name="Percent 4" xfId="19"/>
    <cellStyle name="Percent 5" xfId="22"/>
  </cellStyles>
  <dxfs count="0"/>
  <tableStyles count="0" defaultTableStyle="TableStyleMedium9" defaultPivotStyle="PivotStyleLight16"/>
  <colors>
    <mruColors>
      <color rgb="FF000099"/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85"/>
  <sheetViews>
    <sheetView view="pageBreakPreview" zoomScale="85" zoomScaleNormal="85" zoomScaleSheetLayoutView="85" workbookViewId="0">
      <selection activeCell="Y26" sqref="Y26"/>
    </sheetView>
  </sheetViews>
  <sheetFormatPr defaultRowHeight="15.75" x14ac:dyDescent="0.25"/>
  <cols>
    <col min="1" max="1" width="4.7109375" style="2" customWidth="1"/>
    <col min="2" max="2" width="14.7109375" style="2" bestFit="1" customWidth="1"/>
    <col min="3" max="3" width="16.85546875" style="2" customWidth="1"/>
    <col min="4" max="5" width="15" style="2" bestFit="1" customWidth="1"/>
    <col min="6" max="6" width="18.140625" style="2" bestFit="1" customWidth="1"/>
    <col min="7" max="7" width="18" style="2" bestFit="1" customWidth="1"/>
    <col min="8" max="8" width="5.7109375" style="2" customWidth="1"/>
    <col min="9" max="9" width="15.140625" style="2" hidden="1" customWidth="1"/>
    <col min="10" max="10" width="4.7109375" style="2" hidden="1" customWidth="1"/>
    <col min="11" max="11" width="21.85546875" style="2" hidden="1" customWidth="1"/>
    <col min="12" max="12" width="15.140625" style="2" hidden="1" customWidth="1"/>
    <col min="13" max="13" width="14" style="2" hidden="1" customWidth="1"/>
    <col min="14" max="14" width="13.42578125" style="2" hidden="1" customWidth="1"/>
    <col min="15" max="15" width="15.7109375" style="2" hidden="1" customWidth="1"/>
    <col min="16" max="16" width="5.85546875" style="2" hidden="1" customWidth="1"/>
    <col min="17" max="17" width="13" style="2" hidden="1" customWidth="1"/>
    <col min="18" max="18" width="15.5703125" style="2" hidden="1" customWidth="1"/>
    <col min="19" max="19" width="22.7109375" style="2" hidden="1" customWidth="1"/>
    <col min="20" max="20" width="14.42578125" style="2" hidden="1" customWidth="1"/>
    <col min="21" max="21" width="12.7109375" style="2" hidden="1" customWidth="1"/>
    <col min="22" max="22" width="2.85546875" style="2" hidden="1" customWidth="1"/>
    <col min="23" max="23" width="17.85546875" style="2" hidden="1" customWidth="1"/>
    <col min="24" max="16384" width="9.140625" style="2"/>
  </cols>
  <sheetData>
    <row r="1" spans="1:23" x14ac:dyDescent="0.25">
      <c r="A1" s="1" t="s">
        <v>66</v>
      </c>
      <c r="I1" s="1"/>
      <c r="Q1" s="1"/>
    </row>
    <row r="2" spans="1:23" x14ac:dyDescent="0.25">
      <c r="A2" s="34" t="s">
        <v>28</v>
      </c>
      <c r="I2" s="34"/>
      <c r="Q2" s="34"/>
    </row>
    <row r="3" spans="1:23" ht="16.5" thickBot="1" x14ac:dyDescent="0.3">
      <c r="A3" s="34" t="s">
        <v>82</v>
      </c>
      <c r="B3" s="34"/>
      <c r="C3" s="34"/>
      <c r="I3" s="34"/>
      <c r="J3" s="34"/>
      <c r="K3" s="34"/>
      <c r="Q3" s="34"/>
    </row>
    <row r="4" spans="1:23" x14ac:dyDescent="0.25">
      <c r="A4" s="34"/>
      <c r="B4" s="34"/>
      <c r="C4" s="34"/>
      <c r="D4" s="414" t="s">
        <v>30</v>
      </c>
      <c r="E4" s="415"/>
      <c r="F4" s="415"/>
      <c r="G4" s="416"/>
      <c r="L4" s="421" t="s">
        <v>43</v>
      </c>
      <c r="M4" s="422"/>
      <c r="N4" s="422"/>
      <c r="O4" s="423"/>
      <c r="T4" s="421" t="s">
        <v>0</v>
      </c>
      <c r="U4" s="422"/>
      <c r="V4" s="422"/>
      <c r="W4" s="423"/>
    </row>
    <row r="5" spans="1:23" ht="16.5" thickBot="1" x14ac:dyDescent="0.3">
      <c r="A5" s="57"/>
      <c r="B5" s="109"/>
      <c r="C5" s="60"/>
      <c r="D5" s="417"/>
      <c r="E5" s="418"/>
      <c r="F5" s="418"/>
      <c r="G5" s="419"/>
      <c r="I5" s="3"/>
      <c r="J5" s="3"/>
      <c r="K5" s="3"/>
      <c r="L5" s="424"/>
      <c r="M5" s="420"/>
      <c r="N5" s="420"/>
      <c r="O5" s="425"/>
      <c r="Q5" s="3"/>
      <c r="R5" s="3"/>
      <c r="S5" s="3"/>
      <c r="T5" s="424"/>
      <c r="U5" s="420"/>
      <c r="V5" s="420"/>
      <c r="W5" s="425"/>
    </row>
    <row r="6" spans="1:23" x14ac:dyDescent="0.25">
      <c r="A6" s="4"/>
      <c r="B6" s="4"/>
      <c r="C6" s="4"/>
      <c r="D6" s="4" t="s">
        <v>1</v>
      </c>
      <c r="E6" s="4"/>
      <c r="F6" s="4"/>
      <c r="G6" s="4" t="s">
        <v>2</v>
      </c>
      <c r="I6" s="4"/>
      <c r="J6" s="4"/>
      <c r="K6" s="4"/>
      <c r="L6" s="4" t="s">
        <v>1</v>
      </c>
      <c r="M6" s="4"/>
      <c r="N6" s="4"/>
      <c r="O6" s="4" t="s">
        <v>2</v>
      </c>
      <c r="Q6" s="4"/>
      <c r="R6" s="4"/>
      <c r="S6" s="4"/>
      <c r="T6" s="4" t="s">
        <v>1</v>
      </c>
      <c r="U6" s="4"/>
      <c r="V6" s="4"/>
      <c r="W6" s="4" t="s">
        <v>2</v>
      </c>
    </row>
    <row r="7" spans="1:23" ht="16.5" thickBot="1" x14ac:dyDescent="0.3">
      <c r="A7" s="5"/>
      <c r="B7" s="5"/>
      <c r="C7" s="5"/>
      <c r="D7" s="5" t="s">
        <v>4</v>
      </c>
      <c r="E7" s="420" t="s">
        <v>5</v>
      </c>
      <c r="F7" s="420"/>
      <c r="G7" s="5" t="s">
        <v>6</v>
      </c>
      <c r="I7" s="5"/>
      <c r="J7" s="5"/>
      <c r="K7" s="5"/>
      <c r="L7" s="5" t="s">
        <v>4</v>
      </c>
      <c r="M7" s="420" t="s">
        <v>5</v>
      </c>
      <c r="N7" s="420"/>
      <c r="O7" s="5" t="s">
        <v>6</v>
      </c>
      <c r="Q7" s="5"/>
      <c r="R7" s="5"/>
      <c r="S7" s="5"/>
      <c r="T7" s="5" t="s">
        <v>4</v>
      </c>
      <c r="U7" s="420" t="s">
        <v>5</v>
      </c>
      <c r="V7" s="420"/>
      <c r="W7" s="5" t="s">
        <v>6</v>
      </c>
    </row>
    <row r="10" spans="1:23" x14ac:dyDescent="0.25">
      <c r="A10" s="1" t="s">
        <v>34</v>
      </c>
      <c r="I10" s="1" t="s">
        <v>10</v>
      </c>
      <c r="Q10" s="1" t="s">
        <v>10</v>
      </c>
    </row>
    <row r="11" spans="1:23" ht="31.5" x14ac:dyDescent="0.25">
      <c r="D11" s="6" t="s">
        <v>9</v>
      </c>
      <c r="E11" s="6" t="s">
        <v>12</v>
      </c>
      <c r="L11" s="6" t="s">
        <v>9</v>
      </c>
      <c r="M11" s="6" t="s">
        <v>12</v>
      </c>
      <c r="T11" s="6" t="s">
        <v>9</v>
      </c>
      <c r="U11" s="6" t="s">
        <v>12</v>
      </c>
    </row>
    <row r="12" spans="1:23" x14ac:dyDescent="0.25">
      <c r="B12" s="2" t="s">
        <v>44</v>
      </c>
      <c r="D12" s="39">
        <f>C46+C66</f>
        <v>878829</v>
      </c>
      <c r="E12" s="45">
        <v>0</v>
      </c>
      <c r="F12" s="19"/>
      <c r="G12" s="18">
        <f>D12*E12</f>
        <v>0</v>
      </c>
      <c r="J12" s="2" t="s">
        <v>29</v>
      </c>
      <c r="L12" s="39">
        <f>D12</f>
        <v>878829</v>
      </c>
      <c r="M12" s="45">
        <v>28.14</v>
      </c>
      <c r="N12" s="19"/>
      <c r="O12" s="18">
        <f>L12*M12</f>
        <v>24730248.059999999</v>
      </c>
      <c r="R12" s="2" t="s">
        <v>9</v>
      </c>
      <c r="T12" s="8">
        <f>L12</f>
        <v>878829</v>
      </c>
      <c r="U12" s="45" t="e">
        <f>#REF!</f>
        <v>#REF!</v>
      </c>
      <c r="W12" s="11" t="e">
        <f>T12*U12</f>
        <v>#REF!</v>
      </c>
    </row>
    <row r="13" spans="1:23" x14ac:dyDescent="0.25">
      <c r="D13" s="97"/>
      <c r="G13" s="11"/>
      <c r="O13" s="11"/>
      <c r="W13" s="11"/>
    </row>
    <row r="14" spans="1:23" x14ac:dyDescent="0.25">
      <c r="A14" s="1" t="s">
        <v>7</v>
      </c>
      <c r="D14" s="8"/>
      <c r="G14" s="11"/>
      <c r="I14" s="1" t="s">
        <v>7</v>
      </c>
      <c r="L14" s="8"/>
      <c r="O14" s="11"/>
      <c r="Q14" s="1" t="s">
        <v>7</v>
      </c>
      <c r="T14" s="8"/>
      <c r="W14" s="11"/>
    </row>
    <row r="15" spans="1:23" x14ac:dyDescent="0.25">
      <c r="D15" s="13" t="s">
        <v>8</v>
      </c>
      <c r="E15" s="12" t="s">
        <v>11</v>
      </c>
      <c r="G15" s="11"/>
      <c r="L15" s="13" t="s">
        <v>8</v>
      </c>
      <c r="M15" s="12" t="s">
        <v>11</v>
      </c>
      <c r="O15" s="11"/>
      <c r="T15" s="13" t="s">
        <v>8</v>
      </c>
      <c r="U15" s="12" t="s">
        <v>11</v>
      </c>
      <c r="W15" s="11"/>
    </row>
    <row r="16" spans="1:23" x14ac:dyDescent="0.25">
      <c r="B16" s="2" t="s">
        <v>23</v>
      </c>
      <c r="D16" s="39">
        <f>D46+D66</f>
        <v>822412365</v>
      </c>
      <c r="E16" s="40">
        <v>0.11964</v>
      </c>
      <c r="F16" s="19"/>
      <c r="G16" s="41">
        <f>D16*E16</f>
        <v>98393415.3486</v>
      </c>
      <c r="J16" s="2" t="s">
        <v>32</v>
      </c>
      <c r="L16" s="39">
        <f>D18</f>
        <v>4587729</v>
      </c>
      <c r="M16" s="76">
        <v>3.0599472934085808E-2</v>
      </c>
      <c r="N16" s="19"/>
      <c r="O16" s="18">
        <f>L16*M16</f>
        <v>140382.08936442054</v>
      </c>
      <c r="R16" s="2" t="s">
        <v>32</v>
      </c>
      <c r="T16" s="39">
        <f>L18</f>
        <v>4587729</v>
      </c>
      <c r="U16" s="76">
        <v>0</v>
      </c>
      <c r="V16" s="19"/>
      <c r="W16" s="18">
        <f>T16*U16</f>
        <v>0</v>
      </c>
    </row>
    <row r="17" spans="1:23" x14ac:dyDescent="0.25">
      <c r="B17" s="19"/>
      <c r="C17" s="19"/>
      <c r="D17" s="39"/>
      <c r="E17" s="40"/>
      <c r="F17" s="19"/>
      <c r="G17" s="42"/>
      <c r="J17" s="19" t="s">
        <v>31</v>
      </c>
      <c r="K17" s="19"/>
      <c r="L17" s="39">
        <f>L16</f>
        <v>4587729</v>
      </c>
      <c r="M17" s="114">
        <v>4.7909326518313644E-2</v>
      </c>
      <c r="N17" s="19"/>
      <c r="O17" s="46">
        <f>L17*M17</f>
        <v>219795.00663853655</v>
      </c>
      <c r="R17" s="19" t="s">
        <v>31</v>
      </c>
      <c r="S17" s="19"/>
      <c r="T17" s="39">
        <f>T16</f>
        <v>4587729</v>
      </c>
      <c r="U17" s="114">
        <v>0</v>
      </c>
      <c r="V17" s="19"/>
      <c r="W17" s="46">
        <f>T17*U17</f>
        <v>0</v>
      </c>
    </row>
    <row r="18" spans="1:23" x14ac:dyDescent="0.25">
      <c r="B18" s="2" t="s">
        <v>18</v>
      </c>
      <c r="C18" s="23"/>
      <c r="D18" s="39">
        <v>4587729</v>
      </c>
      <c r="E18" s="40">
        <f>E16</f>
        <v>0.11964</v>
      </c>
      <c r="F18" s="19"/>
      <c r="G18" s="41">
        <f>D18*E18</f>
        <v>548875.89755999995</v>
      </c>
      <c r="J18" s="7" t="s">
        <v>27</v>
      </c>
      <c r="K18" s="7"/>
      <c r="L18" s="20">
        <f>L16</f>
        <v>4587729</v>
      </c>
      <c r="M18" s="102">
        <v>1.994013128609894E-2</v>
      </c>
      <c r="N18" s="7"/>
      <c r="O18" s="47">
        <f>L18*M18</f>
        <v>91479.918565043408</v>
      </c>
      <c r="R18" s="7" t="s">
        <v>27</v>
      </c>
      <c r="S18" s="7"/>
      <c r="T18" s="20">
        <f>T16</f>
        <v>4587729</v>
      </c>
      <c r="U18" s="102">
        <v>0</v>
      </c>
      <c r="V18" s="7"/>
      <c r="W18" s="47">
        <f>T18*U18</f>
        <v>0</v>
      </c>
    </row>
    <row r="19" spans="1:23" x14ac:dyDescent="0.25">
      <c r="A19" s="1"/>
      <c r="G19" s="18"/>
      <c r="K19" s="23"/>
      <c r="L19" s="39"/>
      <c r="M19" s="76">
        <f>SUM(M16:M18)</f>
        <v>9.8448930738498391E-2</v>
      </c>
      <c r="N19" s="19"/>
      <c r="O19" s="18">
        <f>SUM(O16:O18)</f>
        <v>451657.01456800051</v>
      </c>
      <c r="S19" s="23"/>
      <c r="T19" s="39"/>
      <c r="U19" s="76">
        <f>SUM(U16:U18)</f>
        <v>0</v>
      </c>
      <c r="V19" s="19"/>
      <c r="W19" s="18">
        <f>SUM(W16:W18)</f>
        <v>0</v>
      </c>
    </row>
    <row r="20" spans="1:23" x14ac:dyDescent="0.25">
      <c r="A20" s="1"/>
      <c r="E20" s="90"/>
      <c r="G20" s="18"/>
      <c r="H20" s="15"/>
      <c r="P20" s="15"/>
    </row>
    <row r="21" spans="1:23" x14ac:dyDescent="0.25">
      <c r="A21" s="1"/>
      <c r="G21" s="18"/>
      <c r="H21" s="18"/>
      <c r="I21" s="1"/>
      <c r="L21" s="8"/>
      <c r="M21" s="101"/>
      <c r="O21" s="18"/>
      <c r="P21" s="18"/>
      <c r="Q21" s="1"/>
      <c r="T21" s="8"/>
      <c r="U21" s="101"/>
      <c r="W21" s="18"/>
    </row>
    <row r="22" spans="1:23" ht="16.5" thickBot="1" x14ac:dyDescent="0.3">
      <c r="A22" s="1" t="s">
        <v>80</v>
      </c>
      <c r="G22" s="29">
        <f>G12+G16+G18</f>
        <v>98942291.246160001</v>
      </c>
      <c r="H22" s="18"/>
      <c r="I22" s="1"/>
      <c r="L22" s="8"/>
      <c r="M22" s="21"/>
      <c r="O22" s="18"/>
      <c r="P22" s="18"/>
      <c r="Q22" s="1"/>
      <c r="T22" s="8"/>
      <c r="U22" s="21"/>
      <c r="W22" s="18"/>
    </row>
    <row r="23" spans="1:23" ht="17.25" thickTop="1" thickBot="1" x14ac:dyDescent="0.3">
      <c r="A23" s="1"/>
      <c r="B23" s="1"/>
      <c r="G23" s="18"/>
      <c r="H23" s="18"/>
      <c r="I23" s="1" t="s">
        <v>37</v>
      </c>
      <c r="O23" s="29">
        <f>O12+O19+O21</f>
        <v>25181905.074568</v>
      </c>
      <c r="P23" s="18"/>
      <c r="Q23" s="1" t="s">
        <v>37</v>
      </c>
      <c r="W23" s="29" t="e">
        <f>W12+W19+W21</f>
        <v>#REF!</v>
      </c>
    </row>
    <row r="24" spans="1:23" ht="16.5" thickTop="1" x14ac:dyDescent="0.25">
      <c r="A24" s="44" t="s">
        <v>19</v>
      </c>
      <c r="B24" s="10"/>
      <c r="G24" s="11">
        <f>E46+F46+E66+F66</f>
        <v>99247908.379999995</v>
      </c>
      <c r="I24" s="1"/>
      <c r="J24" s="1"/>
      <c r="O24" s="17"/>
      <c r="Q24" s="1"/>
      <c r="R24" s="1"/>
      <c r="W24" s="17"/>
    </row>
    <row r="25" spans="1:23" x14ac:dyDescent="0.25">
      <c r="A25" s="10"/>
      <c r="B25" s="11"/>
      <c r="G25" s="10"/>
      <c r="I25" s="44" t="s">
        <v>13</v>
      </c>
      <c r="J25" s="10"/>
      <c r="O25" s="27">
        <f>O23-G22</f>
        <v>-73760386.171591997</v>
      </c>
      <c r="Q25" s="44" t="s">
        <v>13</v>
      </c>
      <c r="R25" s="10"/>
      <c r="W25" s="27" t="e">
        <f>W23-G22</f>
        <v>#REF!</v>
      </c>
    </row>
    <row r="26" spans="1:23" x14ac:dyDescent="0.25">
      <c r="A26" s="44" t="s">
        <v>13</v>
      </c>
      <c r="B26" s="10"/>
      <c r="G26" s="27">
        <f>G22-G24</f>
        <v>-305617.13383999467</v>
      </c>
      <c r="H26" s="15"/>
      <c r="I26" s="10"/>
      <c r="J26" s="27"/>
      <c r="O26" s="11"/>
      <c r="P26" s="15"/>
      <c r="Q26" s="10"/>
      <c r="R26" s="27"/>
      <c r="W26" s="11"/>
    </row>
    <row r="27" spans="1:23" x14ac:dyDescent="0.25">
      <c r="A27" s="10"/>
      <c r="B27" s="27"/>
      <c r="G27" s="11"/>
      <c r="I27" s="44" t="s">
        <v>26</v>
      </c>
      <c r="J27" s="11"/>
      <c r="O27" s="28">
        <f>O25/G24</f>
        <v>-0.74319335667184572</v>
      </c>
      <c r="Q27" s="44" t="s">
        <v>26</v>
      </c>
      <c r="R27" s="11"/>
      <c r="W27" s="28" t="e">
        <f>W25/G22</f>
        <v>#REF!</v>
      </c>
    </row>
    <row r="28" spans="1:23" x14ac:dyDescent="0.25">
      <c r="A28" s="44" t="s">
        <v>26</v>
      </c>
      <c r="B28" s="11"/>
      <c r="G28" s="28">
        <f>G26/G24</f>
        <v>-3.0793307267479031E-3</v>
      </c>
    </row>
    <row r="29" spans="1:23" x14ac:dyDescent="0.25">
      <c r="I29" s="1"/>
      <c r="O29" s="18"/>
      <c r="W29" s="11"/>
    </row>
    <row r="30" spans="1:23" x14ac:dyDescent="0.25">
      <c r="E30" s="11"/>
    </row>
    <row r="31" spans="1:23" x14ac:dyDescent="0.25">
      <c r="B31" s="19"/>
      <c r="C31" s="53" t="s">
        <v>69</v>
      </c>
      <c r="D31" s="53"/>
      <c r="E31" s="53"/>
      <c r="F31" s="53"/>
      <c r="G31" s="53"/>
      <c r="H31" s="53"/>
      <c r="I31" s="53"/>
      <c r="R31" s="53"/>
    </row>
    <row r="32" spans="1:23" x14ac:dyDescent="0.25">
      <c r="B32" s="19"/>
      <c r="C32" s="53"/>
      <c r="D32" s="53"/>
      <c r="E32" s="52"/>
      <c r="F32" s="53"/>
      <c r="G32" s="53"/>
      <c r="H32" s="53"/>
      <c r="I32" s="53"/>
      <c r="R32" s="82"/>
      <c r="S32" s="53"/>
    </row>
    <row r="33" spans="1:19" x14ac:dyDescent="0.25">
      <c r="A33" s="11"/>
      <c r="B33" s="19"/>
      <c r="C33" s="53" t="s">
        <v>38</v>
      </c>
      <c r="D33" s="53" t="s">
        <v>45</v>
      </c>
      <c r="E33" s="53" t="s">
        <v>67</v>
      </c>
      <c r="F33" s="53" t="s">
        <v>68</v>
      </c>
      <c r="H33" s="53"/>
      <c r="I33" s="53"/>
      <c r="R33" s="82"/>
      <c r="S33" s="53"/>
    </row>
    <row r="34" spans="1:19" x14ac:dyDescent="0.25">
      <c r="A34" s="11"/>
      <c r="B34" s="135">
        <v>40544</v>
      </c>
      <c r="C34" s="53">
        <v>40453</v>
      </c>
      <c r="D34" s="53">
        <v>47254873</v>
      </c>
      <c r="F34" s="91">
        <v>5708372.1200000001</v>
      </c>
      <c r="G34" s="91"/>
      <c r="H34" s="53"/>
      <c r="I34" s="103"/>
      <c r="R34" s="53"/>
      <c r="S34" s="53"/>
    </row>
    <row r="35" spans="1:19" x14ac:dyDescent="0.25">
      <c r="A35" s="11"/>
      <c r="B35" s="135">
        <v>40575</v>
      </c>
      <c r="C35" s="53">
        <v>40440</v>
      </c>
      <c r="D35" s="53">
        <v>44903940</v>
      </c>
      <c r="F35" s="91">
        <v>5426631.7800000003</v>
      </c>
      <c r="G35" s="91"/>
      <c r="H35" s="53"/>
      <c r="I35" s="103"/>
      <c r="R35" s="53"/>
      <c r="S35" s="53"/>
    </row>
    <row r="36" spans="1:19" x14ac:dyDescent="0.25">
      <c r="A36" s="10"/>
      <c r="B36" s="135">
        <v>40603</v>
      </c>
      <c r="C36" s="53">
        <v>40430</v>
      </c>
      <c r="D36" s="53">
        <v>37832486</v>
      </c>
      <c r="F36" s="91">
        <v>4587610.34</v>
      </c>
      <c r="G36" s="91"/>
      <c r="H36" s="53"/>
      <c r="I36" s="103"/>
      <c r="R36" s="53"/>
      <c r="S36" s="53"/>
    </row>
    <row r="37" spans="1:19" x14ac:dyDescent="0.25">
      <c r="A37" s="27"/>
      <c r="B37" s="135">
        <v>40634</v>
      </c>
      <c r="C37" s="53">
        <v>40432</v>
      </c>
      <c r="D37" s="53">
        <v>36808941</v>
      </c>
      <c r="F37" s="91">
        <v>4463624.74</v>
      </c>
      <c r="G37" s="91"/>
      <c r="H37" s="53"/>
      <c r="I37" s="103"/>
      <c r="R37" s="53"/>
      <c r="S37" s="53"/>
    </row>
    <row r="38" spans="1:19" x14ac:dyDescent="0.25">
      <c r="A38" s="11"/>
      <c r="B38" s="135">
        <v>40664</v>
      </c>
      <c r="C38" s="53">
        <v>40421</v>
      </c>
      <c r="D38" s="53">
        <v>31736684</v>
      </c>
      <c r="F38" s="91">
        <v>3860643.03</v>
      </c>
      <c r="G38" s="91"/>
      <c r="H38" s="53"/>
      <c r="I38" s="103"/>
      <c r="R38" s="53"/>
      <c r="S38" s="53"/>
    </row>
    <row r="39" spans="1:19" x14ac:dyDescent="0.25">
      <c r="A39" s="28"/>
      <c r="B39" s="135">
        <v>40695</v>
      </c>
      <c r="C39" s="53">
        <v>40422</v>
      </c>
      <c r="D39" s="53">
        <v>30238497</v>
      </c>
      <c r="F39" s="91">
        <v>3678583.0100000002</v>
      </c>
      <c r="G39" s="91"/>
      <c r="H39" s="53"/>
      <c r="I39" s="103"/>
      <c r="R39" s="53"/>
      <c r="S39" s="53"/>
    </row>
    <row r="40" spans="1:19" x14ac:dyDescent="0.25">
      <c r="B40" s="135">
        <v>40725</v>
      </c>
      <c r="C40" s="53">
        <v>40485</v>
      </c>
      <c r="D40" s="53">
        <v>30153828</v>
      </c>
      <c r="F40" s="91">
        <v>3667109.75</v>
      </c>
      <c r="G40" s="91"/>
      <c r="H40" s="53"/>
      <c r="I40" s="103"/>
      <c r="R40" s="53"/>
      <c r="S40" s="53"/>
    </row>
    <row r="41" spans="1:19" x14ac:dyDescent="0.25">
      <c r="B41" s="135">
        <v>40756</v>
      </c>
      <c r="C41" s="53">
        <v>40486</v>
      </c>
      <c r="D41" s="53">
        <v>27740784</v>
      </c>
      <c r="F41" s="91">
        <v>3383060.9699999997</v>
      </c>
      <c r="G41" s="91"/>
      <c r="H41" s="53"/>
      <c r="I41" s="103"/>
      <c r="R41" s="53"/>
      <c r="S41" s="53"/>
    </row>
    <row r="42" spans="1:19" x14ac:dyDescent="0.25">
      <c r="B42" s="135">
        <v>40422</v>
      </c>
      <c r="C42" s="53">
        <v>40415</v>
      </c>
      <c r="D42" s="53">
        <v>30072287</v>
      </c>
      <c r="F42" s="91">
        <v>3656481.8000000003</v>
      </c>
      <c r="G42" s="91"/>
      <c r="H42" s="53"/>
      <c r="I42" s="103"/>
      <c r="R42" s="53"/>
      <c r="S42" s="53"/>
    </row>
    <row r="43" spans="1:19" x14ac:dyDescent="0.25">
      <c r="B43" s="135">
        <v>40452</v>
      </c>
      <c r="C43" s="53">
        <v>40462</v>
      </c>
      <c r="D43" s="53">
        <v>27603624</v>
      </c>
      <c r="F43" s="91">
        <v>3366388.23</v>
      </c>
      <c r="G43" s="91"/>
      <c r="H43" s="53"/>
      <c r="I43" s="103"/>
      <c r="R43" s="53"/>
      <c r="S43" s="53"/>
    </row>
    <row r="44" spans="1:19" ht="16.5" customHeight="1" x14ac:dyDescent="0.25">
      <c r="B44" s="135">
        <v>40483</v>
      </c>
      <c r="C44" s="53">
        <v>40451</v>
      </c>
      <c r="D44" s="53">
        <v>32012599</v>
      </c>
      <c r="F44" s="91">
        <v>3891371.3200000003</v>
      </c>
      <c r="G44" s="91"/>
      <c r="H44" s="53"/>
      <c r="I44" s="103"/>
      <c r="R44" s="53"/>
      <c r="S44" s="53"/>
    </row>
    <row r="45" spans="1:19" x14ac:dyDescent="0.25">
      <c r="B45" s="135">
        <v>40513</v>
      </c>
      <c r="C45" s="81">
        <v>40449</v>
      </c>
      <c r="D45" s="81">
        <v>40242704</v>
      </c>
      <c r="E45" s="7"/>
      <c r="F45" s="136">
        <v>4872298.49</v>
      </c>
      <c r="G45" s="91"/>
      <c r="H45" s="53"/>
      <c r="I45" s="103"/>
      <c r="R45" s="53"/>
      <c r="S45" s="53"/>
    </row>
    <row r="46" spans="1:19" x14ac:dyDescent="0.25">
      <c r="B46" s="19"/>
      <c r="C46" s="53">
        <f>SUM(C34:C45)</f>
        <v>485346</v>
      </c>
      <c r="D46" s="53">
        <f>SUM(D34:D45)</f>
        <v>416601247</v>
      </c>
      <c r="E46" s="99">
        <f>SUM(E34:E45)</f>
        <v>0</v>
      </c>
      <c r="F46" s="99">
        <f>SUM(F34:F45)</f>
        <v>50562175.579999998</v>
      </c>
      <c r="G46" s="91"/>
      <c r="H46" s="53"/>
      <c r="I46" s="103"/>
      <c r="R46" s="53"/>
      <c r="S46" s="53"/>
    </row>
    <row r="47" spans="1:19" x14ac:dyDescent="0.25">
      <c r="B47" s="19"/>
      <c r="C47" s="53"/>
      <c r="D47" s="53"/>
      <c r="F47" s="53"/>
      <c r="G47" s="53"/>
      <c r="H47" s="53"/>
      <c r="I47" s="53"/>
      <c r="R47" s="53"/>
      <c r="S47" s="53"/>
    </row>
    <row r="48" spans="1:19" x14ac:dyDescent="0.25">
      <c r="B48" s="19"/>
      <c r="C48" s="53"/>
      <c r="D48" s="53"/>
      <c r="F48" s="53"/>
      <c r="G48" s="53"/>
      <c r="H48" s="53"/>
      <c r="I48" s="53"/>
      <c r="R48" s="53"/>
      <c r="S48" s="53"/>
    </row>
    <row r="49" spans="2:19" x14ac:dyDescent="0.25">
      <c r="B49" s="19"/>
      <c r="H49" s="19"/>
      <c r="I49" s="19"/>
      <c r="R49" s="19"/>
      <c r="S49" s="19"/>
    </row>
    <row r="50" spans="2:19" x14ac:dyDescent="0.25">
      <c r="B50" s="19"/>
      <c r="H50" s="19"/>
      <c r="I50" s="19"/>
      <c r="R50" s="19"/>
      <c r="S50" s="19"/>
    </row>
    <row r="51" spans="2:19" x14ac:dyDescent="0.25">
      <c r="B51" s="19"/>
      <c r="C51" s="53" t="s">
        <v>70</v>
      </c>
      <c r="D51" s="53"/>
      <c r="F51" s="53"/>
      <c r="G51" s="53"/>
      <c r="H51" s="53"/>
      <c r="I51" s="53"/>
      <c r="R51" s="53"/>
      <c r="S51" s="53"/>
    </row>
    <row r="52" spans="2:19" x14ac:dyDescent="0.25">
      <c r="B52" s="19"/>
      <c r="C52" s="53"/>
      <c r="D52" s="53"/>
      <c r="E52" s="52"/>
      <c r="F52" s="53"/>
      <c r="G52" s="53"/>
      <c r="H52" s="53"/>
      <c r="I52" s="53"/>
      <c r="R52" s="82"/>
      <c r="S52" s="53"/>
    </row>
    <row r="53" spans="2:19" x14ac:dyDescent="0.25">
      <c r="B53" s="19"/>
      <c r="C53" s="53" t="s">
        <v>38</v>
      </c>
      <c r="D53" s="53" t="s">
        <v>45</v>
      </c>
      <c r="E53" s="53" t="s">
        <v>67</v>
      </c>
      <c r="F53" s="53" t="s">
        <v>68</v>
      </c>
      <c r="H53" s="53"/>
      <c r="I53" s="53"/>
      <c r="R53" s="82"/>
      <c r="S53" s="53"/>
    </row>
    <row r="54" spans="2:19" x14ac:dyDescent="0.25">
      <c r="B54" s="135">
        <v>40544</v>
      </c>
      <c r="C54" s="53">
        <v>32711</v>
      </c>
      <c r="D54" s="110">
        <v>38739095</v>
      </c>
      <c r="E54" s="111"/>
      <c r="F54" s="53">
        <v>4642858.4400000004</v>
      </c>
      <c r="G54" s="53"/>
      <c r="H54" s="101"/>
      <c r="I54" s="91"/>
      <c r="R54" s="53"/>
      <c r="S54" s="53"/>
    </row>
    <row r="55" spans="2:19" x14ac:dyDescent="0.25">
      <c r="B55" s="135">
        <v>40575</v>
      </c>
      <c r="C55" s="53">
        <v>32658</v>
      </c>
      <c r="D55" s="110">
        <v>33796946</v>
      </c>
      <c r="E55" s="111"/>
      <c r="F55" s="53">
        <v>4051304.51</v>
      </c>
      <c r="G55" s="53"/>
      <c r="H55" s="101"/>
      <c r="I55" s="91"/>
      <c r="R55" s="53"/>
      <c r="S55" s="53"/>
    </row>
    <row r="56" spans="2:19" x14ac:dyDescent="0.25">
      <c r="B56" s="135">
        <v>40603</v>
      </c>
      <c r="C56" s="53">
        <v>32654</v>
      </c>
      <c r="D56" s="110">
        <v>29219051</v>
      </c>
      <c r="E56" s="111"/>
      <c r="F56" s="53">
        <v>3506038.41</v>
      </c>
      <c r="G56" s="53"/>
      <c r="H56" s="101"/>
      <c r="I56" s="91"/>
      <c r="R56" s="53"/>
      <c r="S56" s="53"/>
    </row>
    <row r="57" spans="2:19" x14ac:dyDescent="0.25">
      <c r="B57" s="135">
        <v>40634</v>
      </c>
      <c r="C57" s="53">
        <v>32666</v>
      </c>
      <c r="D57" s="110">
        <v>29963026</v>
      </c>
      <c r="E57" s="111"/>
      <c r="F57" s="53">
        <v>3595041.32</v>
      </c>
      <c r="G57" s="53"/>
      <c r="H57" s="101"/>
      <c r="I57" s="91"/>
      <c r="R57" s="53"/>
      <c r="S57" s="53"/>
    </row>
    <row r="58" spans="2:19" x14ac:dyDescent="0.25">
      <c r="B58" s="135">
        <v>40664</v>
      </c>
      <c r="C58" s="53">
        <v>32663</v>
      </c>
      <c r="D58" s="110">
        <v>27226378</v>
      </c>
      <c r="E58" s="111"/>
      <c r="F58" s="53">
        <v>3269294.02</v>
      </c>
      <c r="G58" s="53"/>
      <c r="H58" s="101"/>
      <c r="I58" s="91"/>
      <c r="R58" s="53"/>
      <c r="S58" s="53"/>
    </row>
    <row r="59" spans="2:19" x14ac:dyDescent="0.25">
      <c r="B59" s="135">
        <v>40695</v>
      </c>
      <c r="C59" s="53">
        <v>32674</v>
      </c>
      <c r="D59" s="110">
        <v>29585978</v>
      </c>
      <c r="E59" s="111"/>
      <c r="F59" s="53">
        <v>3553380.98</v>
      </c>
      <c r="G59" s="53"/>
      <c r="H59" s="101"/>
      <c r="I59" s="91"/>
      <c r="R59" s="53"/>
      <c r="S59" s="53"/>
    </row>
    <row r="60" spans="2:19" x14ac:dyDescent="0.25">
      <c r="B60" s="135">
        <v>40725</v>
      </c>
      <c r="C60" s="53">
        <v>32708</v>
      </c>
      <c r="D60" s="110">
        <v>40545480</v>
      </c>
      <c r="E60" s="111"/>
      <c r="F60" s="53">
        <v>4862924.8499999996</v>
      </c>
      <c r="G60" s="53"/>
      <c r="H60" s="101"/>
      <c r="I60" s="91"/>
      <c r="R60" s="53"/>
      <c r="S60" s="53"/>
    </row>
    <row r="61" spans="2:19" x14ac:dyDescent="0.25">
      <c r="B61" s="135">
        <v>40756</v>
      </c>
      <c r="C61" s="53">
        <v>32723</v>
      </c>
      <c r="D61" s="110">
        <v>42893395</v>
      </c>
      <c r="E61" s="111"/>
      <c r="F61" s="53">
        <v>5143921.6100000003</v>
      </c>
      <c r="G61" s="53"/>
      <c r="H61" s="101"/>
      <c r="I61" s="91"/>
      <c r="R61" s="53"/>
      <c r="S61" s="53"/>
    </row>
    <row r="62" spans="2:19" x14ac:dyDescent="0.25">
      <c r="B62" s="135">
        <v>40422</v>
      </c>
      <c r="C62" s="53">
        <v>32970</v>
      </c>
      <c r="D62" s="110">
        <v>41034418</v>
      </c>
      <c r="E62" s="111"/>
      <c r="F62" s="53">
        <v>4921012.88</v>
      </c>
      <c r="G62" s="53"/>
      <c r="H62" s="101"/>
      <c r="I62" s="91"/>
      <c r="R62" s="53"/>
      <c r="S62" s="53"/>
    </row>
    <row r="63" spans="2:19" x14ac:dyDescent="0.25">
      <c r="B63" s="135">
        <v>40452</v>
      </c>
      <c r="C63" s="53">
        <v>32979</v>
      </c>
      <c r="D63" s="110">
        <v>30703514</v>
      </c>
      <c r="E63" s="111"/>
      <c r="F63" s="53">
        <v>3686879.15</v>
      </c>
      <c r="G63" s="53"/>
      <c r="H63" s="101"/>
      <c r="I63" s="91"/>
      <c r="R63" s="53"/>
      <c r="S63" s="53"/>
    </row>
    <row r="64" spans="2:19" x14ac:dyDescent="0.25">
      <c r="B64" s="135">
        <v>40483</v>
      </c>
      <c r="C64" s="53">
        <v>33022</v>
      </c>
      <c r="D64" s="110">
        <v>28826499</v>
      </c>
      <c r="E64" s="111"/>
      <c r="F64" s="53">
        <v>3461400.44</v>
      </c>
      <c r="G64" s="53"/>
      <c r="H64" s="101"/>
      <c r="I64" s="91"/>
      <c r="R64" s="53"/>
      <c r="S64" s="53"/>
    </row>
    <row r="65" spans="2:19" x14ac:dyDescent="0.25">
      <c r="B65" s="135">
        <v>40513</v>
      </c>
      <c r="C65" s="81">
        <v>33055</v>
      </c>
      <c r="D65" s="112">
        <v>33277338</v>
      </c>
      <c r="E65" s="113"/>
      <c r="F65" s="81">
        <v>3991676.19</v>
      </c>
      <c r="G65" s="53"/>
      <c r="H65" s="101"/>
      <c r="I65" s="91"/>
      <c r="R65" s="53"/>
      <c r="S65" s="53"/>
    </row>
    <row r="66" spans="2:19" x14ac:dyDescent="0.25">
      <c r="B66" s="19"/>
      <c r="C66" s="53">
        <f>SUM(C54:C65)</f>
        <v>393483</v>
      </c>
      <c r="D66" s="103">
        <f>SUM(D54:D65)</f>
        <v>405811118</v>
      </c>
      <c r="E66" s="99">
        <f>SUM(E54:E65)</f>
        <v>0</v>
      </c>
      <c r="F66" s="99">
        <f>SUM(F54:F65)</f>
        <v>48685732.799999997</v>
      </c>
      <c r="G66" s="99"/>
      <c r="H66" s="53"/>
      <c r="I66" s="53"/>
      <c r="R66" s="53"/>
      <c r="S66" s="53"/>
    </row>
    <row r="67" spans="2:19" x14ac:dyDescent="0.25">
      <c r="B67" s="19"/>
      <c r="C67" s="53"/>
      <c r="D67" s="53"/>
      <c r="F67" s="53"/>
      <c r="G67" s="53"/>
      <c r="H67" s="53"/>
      <c r="I67" s="53"/>
      <c r="R67" s="53"/>
      <c r="S67" s="53"/>
    </row>
    <row r="68" spans="2:19" x14ac:dyDescent="0.25">
      <c r="B68" s="19"/>
      <c r="C68" s="53"/>
      <c r="D68" s="103"/>
      <c r="F68" s="53"/>
      <c r="G68" s="53"/>
      <c r="H68" s="53"/>
      <c r="I68" s="53"/>
      <c r="R68" s="53"/>
      <c r="S68" s="53"/>
    </row>
    <row r="71" spans="2:19" x14ac:dyDescent="0.25">
      <c r="B71" s="19"/>
      <c r="C71" s="53"/>
      <c r="D71" s="53"/>
      <c r="E71" s="19"/>
      <c r="F71" s="19"/>
      <c r="G71" s="19"/>
    </row>
    <row r="72" spans="2:19" x14ac:dyDescent="0.25">
      <c r="B72" s="19"/>
      <c r="C72" s="55"/>
      <c r="D72" s="78"/>
      <c r="E72" s="83"/>
      <c r="F72" s="19"/>
      <c r="G72" s="19"/>
    </row>
    <row r="73" spans="2:19" x14ac:dyDescent="0.25">
      <c r="B73" s="19"/>
      <c r="C73" s="55"/>
      <c r="D73" s="78"/>
      <c r="E73" s="83"/>
      <c r="F73" s="19"/>
      <c r="G73" s="19"/>
    </row>
    <row r="74" spans="2:19" x14ac:dyDescent="0.25">
      <c r="B74" s="19"/>
      <c r="C74" s="55"/>
      <c r="D74" s="78"/>
      <c r="E74" s="83"/>
      <c r="F74" s="19"/>
      <c r="G74" s="19"/>
    </row>
    <row r="75" spans="2:19" x14ac:dyDescent="0.25">
      <c r="B75" s="19"/>
      <c r="C75" s="55"/>
      <c r="D75" s="78"/>
      <c r="E75" s="83"/>
      <c r="F75" s="19"/>
      <c r="G75" s="19"/>
      <c r="J75" s="19"/>
    </row>
    <row r="76" spans="2:19" x14ac:dyDescent="0.25">
      <c r="B76" s="19"/>
      <c r="C76" s="55"/>
      <c r="D76" s="78"/>
      <c r="E76" s="83"/>
      <c r="F76" s="19"/>
      <c r="G76" s="19"/>
      <c r="J76" s="19"/>
    </row>
    <row r="77" spans="2:19" x14ac:dyDescent="0.25">
      <c r="B77" s="19"/>
      <c r="C77" s="55"/>
      <c r="D77" s="78"/>
      <c r="E77" s="83"/>
      <c r="F77" s="19"/>
      <c r="G77" s="19"/>
      <c r="J77" s="19"/>
    </row>
    <row r="78" spans="2:19" x14ac:dyDescent="0.25">
      <c r="B78" s="19"/>
      <c r="C78" s="55"/>
      <c r="D78" s="78"/>
      <c r="E78" s="83"/>
      <c r="F78" s="19"/>
      <c r="G78" s="19"/>
      <c r="J78" s="19"/>
    </row>
    <row r="79" spans="2:19" x14ac:dyDescent="0.25">
      <c r="B79" s="19"/>
      <c r="C79" s="55"/>
      <c r="D79" s="78"/>
      <c r="E79" s="83"/>
      <c r="F79" s="19"/>
      <c r="G79" s="19"/>
      <c r="J79" s="19"/>
    </row>
    <row r="80" spans="2:19" x14ac:dyDescent="0.25">
      <c r="B80" s="19"/>
      <c r="C80" s="55"/>
      <c r="D80" s="78"/>
      <c r="E80" s="83"/>
      <c r="F80" s="19"/>
      <c r="G80" s="19"/>
      <c r="J80" s="19"/>
    </row>
    <row r="81" spans="2:10" x14ac:dyDescent="0.25">
      <c r="B81" s="19"/>
      <c r="C81" s="55"/>
      <c r="D81" s="78"/>
      <c r="E81" s="83"/>
      <c r="F81" s="19"/>
      <c r="G81" s="19"/>
      <c r="J81" s="19"/>
    </row>
    <row r="82" spans="2:10" x14ac:dyDescent="0.25">
      <c r="B82" s="19"/>
      <c r="C82" s="55"/>
      <c r="D82" s="78"/>
      <c r="E82" s="83"/>
      <c r="F82" s="19"/>
      <c r="G82" s="19"/>
      <c r="J82" s="19"/>
    </row>
    <row r="83" spans="2:10" x14ac:dyDescent="0.25">
      <c r="B83" s="19"/>
      <c r="C83" s="55"/>
      <c r="D83" s="78"/>
      <c r="E83" s="83"/>
      <c r="F83" s="19"/>
      <c r="G83" s="19"/>
      <c r="J83" s="19"/>
    </row>
    <row r="84" spans="2:10" x14ac:dyDescent="0.25">
      <c r="B84" s="19"/>
      <c r="C84" s="19"/>
      <c r="D84" s="78"/>
      <c r="E84" s="19"/>
      <c r="F84" s="19"/>
      <c r="G84" s="19"/>
      <c r="J84" s="19"/>
    </row>
    <row r="85" spans="2:10" x14ac:dyDescent="0.25">
      <c r="B85" s="19"/>
      <c r="C85" s="19"/>
      <c r="D85" s="19"/>
      <c r="E85" s="19"/>
      <c r="F85" s="19"/>
      <c r="G85" s="19"/>
      <c r="J85" s="19"/>
    </row>
  </sheetData>
  <mergeCells count="6">
    <mergeCell ref="D4:G5"/>
    <mergeCell ref="E7:F7"/>
    <mergeCell ref="T4:W5"/>
    <mergeCell ref="U7:V7"/>
    <mergeCell ref="L4:O5"/>
    <mergeCell ref="M7:N7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0"/>
  <sheetViews>
    <sheetView view="pageBreakPreview" topLeftCell="A16" zoomScale="75" zoomScaleNormal="85" zoomScaleSheetLayoutView="75" workbookViewId="0">
      <selection activeCell="H15" sqref="H15"/>
    </sheetView>
  </sheetViews>
  <sheetFormatPr defaultRowHeight="15.75" x14ac:dyDescent="0.25"/>
  <cols>
    <col min="1" max="1" width="4.7109375" style="2" customWidth="1"/>
    <col min="2" max="2" width="16.42578125" style="2" customWidth="1"/>
    <col min="3" max="3" width="2.5703125" style="2" customWidth="1"/>
    <col min="4" max="4" width="12.7109375" style="2" bestFit="1" customWidth="1"/>
    <col min="5" max="5" width="14.5703125" style="2" bestFit="1" customWidth="1"/>
    <col min="6" max="6" width="3.140625" style="2" customWidth="1"/>
    <col min="7" max="7" width="15" style="2" customWidth="1"/>
    <col min="8" max="8" width="3" style="2" customWidth="1"/>
    <col min="9" max="10" width="14.42578125" style="2" customWidth="1"/>
    <col min="11" max="11" width="2" style="2" customWidth="1"/>
    <col min="12" max="12" width="2.85546875" style="2" customWidth="1"/>
    <col min="13" max="13" width="9.85546875" style="2" customWidth="1"/>
    <col min="14" max="14" width="18.28515625" style="2" customWidth="1"/>
    <col min="15" max="15" width="3.42578125" style="2" customWidth="1"/>
    <col min="16" max="16" width="12.7109375" style="2" bestFit="1" customWidth="1"/>
    <col min="17" max="17" width="14.5703125" style="2" bestFit="1" customWidth="1"/>
    <col min="18" max="18" width="4.28515625" style="2" customWidth="1"/>
    <col min="19" max="19" width="15.5703125" style="2" customWidth="1"/>
    <col min="20" max="16384" width="9.140625" style="2"/>
  </cols>
  <sheetData>
    <row r="1" spans="1:19" x14ac:dyDescent="0.25">
      <c r="A1" s="1" t="str">
        <f>'Present and Proposed Rates'!B1</f>
        <v>Cumberland Valley Electric</v>
      </c>
      <c r="N1" s="1"/>
    </row>
    <row r="2" spans="1:19" x14ac:dyDescent="0.25">
      <c r="A2" s="59" t="str">
        <f>List!B12</f>
        <v>Sch IV-A - Large Power 50-2500 kW</v>
      </c>
      <c r="N2" s="34"/>
      <c r="O2" s="34"/>
      <c r="P2" s="34"/>
      <c r="Q2" s="34"/>
      <c r="R2" s="34"/>
      <c r="S2" s="34"/>
    </row>
    <row r="3" spans="1:19" ht="16.5" thickBot="1" x14ac:dyDescent="0.3">
      <c r="A3" s="231" t="str">
        <f>List!C12</f>
        <v>L1</v>
      </c>
      <c r="B3" s="34"/>
      <c r="C3" s="34"/>
      <c r="N3" s="34"/>
      <c r="O3" s="34"/>
      <c r="P3" s="34"/>
      <c r="Q3" s="34"/>
      <c r="R3" s="34"/>
      <c r="S3" s="34"/>
    </row>
    <row r="4" spans="1:19" x14ac:dyDescent="0.25">
      <c r="A4" s="34"/>
      <c r="B4" s="34"/>
      <c r="C4" s="34"/>
      <c r="D4" s="414" t="s">
        <v>30</v>
      </c>
      <c r="E4" s="415"/>
      <c r="F4" s="415"/>
      <c r="G4" s="416"/>
      <c r="H4" s="282"/>
      <c r="I4" s="414" t="s">
        <v>104</v>
      </c>
      <c r="J4" s="416"/>
      <c r="K4" s="189"/>
      <c r="L4" s="282"/>
      <c r="M4" s="34"/>
      <c r="N4" s="34"/>
      <c r="O4" s="34"/>
      <c r="P4" s="414" t="s">
        <v>88</v>
      </c>
      <c r="Q4" s="415"/>
      <c r="R4" s="415"/>
      <c r="S4" s="416"/>
    </row>
    <row r="5" spans="1:19" ht="16.5" thickBot="1" x14ac:dyDescent="0.3">
      <c r="A5" s="57"/>
      <c r="B5" s="109"/>
      <c r="C5" s="282"/>
      <c r="D5" s="417"/>
      <c r="E5" s="418"/>
      <c r="F5" s="418"/>
      <c r="G5" s="419"/>
      <c r="H5" s="282"/>
      <c r="I5" s="417"/>
      <c r="J5" s="419"/>
      <c r="K5" s="189"/>
      <c r="L5" s="282"/>
      <c r="M5" s="57"/>
      <c r="N5" s="109"/>
      <c r="O5" s="282"/>
      <c r="P5" s="417"/>
      <c r="Q5" s="418"/>
      <c r="R5" s="418"/>
      <c r="S5" s="419"/>
    </row>
    <row r="6" spans="1:19" x14ac:dyDescent="0.25">
      <c r="A6" s="4"/>
      <c r="B6" s="4"/>
      <c r="C6" s="4"/>
      <c r="D6" s="4" t="s">
        <v>1</v>
      </c>
      <c r="E6" s="4"/>
      <c r="F6" s="4"/>
      <c r="G6" s="4" t="s">
        <v>2</v>
      </c>
      <c r="H6" s="4"/>
      <c r="I6" s="4"/>
      <c r="J6" s="4" t="s">
        <v>2</v>
      </c>
      <c r="K6" s="189"/>
      <c r="L6" s="4"/>
      <c r="M6" s="4"/>
      <c r="N6" s="4"/>
      <c r="O6" s="4"/>
      <c r="P6" s="4" t="s">
        <v>1</v>
      </c>
      <c r="Q6" s="4"/>
      <c r="R6" s="4"/>
      <c r="S6" s="4" t="s">
        <v>2</v>
      </c>
    </row>
    <row r="7" spans="1:19" ht="16.5" thickBot="1" x14ac:dyDescent="0.3">
      <c r="A7" s="5"/>
      <c r="B7" s="5"/>
      <c r="C7" s="5"/>
      <c r="D7" s="5" t="s">
        <v>4</v>
      </c>
      <c r="E7" s="420" t="s">
        <v>5</v>
      </c>
      <c r="F7" s="420"/>
      <c r="G7" s="5" t="s">
        <v>6</v>
      </c>
      <c r="H7" s="5"/>
      <c r="I7" s="5" t="s">
        <v>5</v>
      </c>
      <c r="J7" s="5" t="s">
        <v>6</v>
      </c>
      <c r="K7" s="188"/>
      <c r="L7" s="5"/>
      <c r="M7" s="5"/>
      <c r="N7" s="5"/>
      <c r="O7" s="5"/>
      <c r="P7" s="5" t="s">
        <v>4</v>
      </c>
      <c r="Q7" s="420" t="s">
        <v>5</v>
      </c>
      <c r="R7" s="420"/>
      <c r="S7" s="5" t="s">
        <v>6</v>
      </c>
    </row>
    <row r="8" spans="1:19" x14ac:dyDescent="0.25">
      <c r="K8" s="189"/>
    </row>
    <row r="9" spans="1:19" x14ac:dyDescent="0.25">
      <c r="K9" s="189"/>
    </row>
    <row r="10" spans="1:19" x14ac:dyDescent="0.25">
      <c r="A10" s="155" t="s">
        <v>10</v>
      </c>
      <c r="K10" s="189"/>
      <c r="M10" s="155" t="s">
        <v>10</v>
      </c>
    </row>
    <row r="11" spans="1:19" x14ac:dyDescent="0.25">
      <c r="D11" s="204" t="s">
        <v>92</v>
      </c>
      <c r="E11" s="204" t="s">
        <v>93</v>
      </c>
      <c r="I11" s="204" t="s">
        <v>93</v>
      </c>
      <c r="K11" s="189"/>
      <c r="P11" s="204" t="s">
        <v>92</v>
      </c>
      <c r="Q11" s="204" t="s">
        <v>93</v>
      </c>
    </row>
    <row r="12" spans="1:19" x14ac:dyDescent="0.25">
      <c r="B12" s="2" t="s">
        <v>103</v>
      </c>
      <c r="D12" s="39">
        <f>'Billing Determ'!C144</f>
        <v>782</v>
      </c>
      <c r="E12" s="9">
        <f>'Present and Proposed Rates'!F34</f>
        <v>65</v>
      </c>
      <c r="G12" s="11">
        <f>D12*E12</f>
        <v>50830</v>
      </c>
      <c r="H12" s="11"/>
      <c r="I12" s="208">
        <f>'Present and Proposed Rates'!G34</f>
        <v>65</v>
      </c>
      <c r="J12" s="11">
        <f>I12*D12</f>
        <v>50830</v>
      </c>
      <c r="K12" s="190"/>
      <c r="L12" s="11"/>
      <c r="N12" s="2" t="s">
        <v>99</v>
      </c>
      <c r="P12" s="39">
        <f>D12</f>
        <v>782</v>
      </c>
      <c r="Q12" s="9">
        <f>'Present and Proposed Rates'!H34</f>
        <v>65</v>
      </c>
      <c r="S12" s="11">
        <f>P12*Q12</f>
        <v>50830</v>
      </c>
    </row>
    <row r="13" spans="1:19" x14ac:dyDescent="0.25">
      <c r="D13" s="39"/>
      <c r="E13" s="9"/>
      <c r="G13" s="11"/>
      <c r="H13" s="11"/>
      <c r="I13" s="208"/>
      <c r="J13" s="11"/>
      <c r="K13" s="190"/>
      <c r="L13" s="11"/>
      <c r="P13" s="39"/>
      <c r="Q13" s="9"/>
      <c r="S13" s="11"/>
    </row>
    <row r="14" spans="1:19" x14ac:dyDescent="0.25">
      <c r="D14" s="8"/>
      <c r="G14" s="11"/>
      <c r="H14" s="11"/>
      <c r="I14" s="52"/>
      <c r="J14" s="11"/>
      <c r="K14" s="190"/>
      <c r="L14" s="11"/>
      <c r="P14" s="8"/>
      <c r="S14" s="11"/>
    </row>
    <row r="15" spans="1:19" x14ac:dyDescent="0.25">
      <c r="A15" s="1" t="s">
        <v>7</v>
      </c>
      <c r="D15" s="8"/>
      <c r="G15" s="11"/>
      <c r="H15" s="11"/>
      <c r="I15" s="52"/>
      <c r="J15" s="11"/>
      <c r="K15" s="190"/>
      <c r="L15" s="11"/>
      <c r="M15" s="1" t="s">
        <v>7</v>
      </c>
      <c r="P15" s="210"/>
      <c r="Q15" s="52"/>
      <c r="S15" s="11"/>
    </row>
    <row r="16" spans="1:19" x14ac:dyDescent="0.25">
      <c r="D16" s="205" t="s">
        <v>8</v>
      </c>
      <c r="E16" s="206" t="s">
        <v>11</v>
      </c>
      <c r="G16" s="11"/>
      <c r="H16" s="11"/>
      <c r="I16" s="206" t="s">
        <v>11</v>
      </c>
      <c r="J16" s="11"/>
      <c r="K16" s="190"/>
      <c r="L16" s="11"/>
      <c r="P16" s="205" t="s">
        <v>8</v>
      </c>
      <c r="Q16" s="206" t="s">
        <v>11</v>
      </c>
      <c r="S16" s="11"/>
    </row>
    <row r="17" spans="1:22" x14ac:dyDescent="0.25">
      <c r="B17" s="2" t="s">
        <v>124</v>
      </c>
      <c r="D17" s="39">
        <f>'Billing Determ'!D144</f>
        <v>80510446</v>
      </c>
      <c r="E17" s="40">
        <f>'Present and Proposed Rates'!F35</f>
        <v>5.8290000000000002E-2</v>
      </c>
      <c r="F17" s="19"/>
      <c r="G17" s="18">
        <f>D17*E17</f>
        <v>4692953.8973399997</v>
      </c>
      <c r="H17" s="18"/>
      <c r="I17" s="207">
        <f>'Present and Proposed Rates'!G35</f>
        <v>5.67E-2</v>
      </c>
      <c r="J17" s="11">
        <f>I17*D17</f>
        <v>4564942.2882000003</v>
      </c>
      <c r="K17" s="190"/>
      <c r="L17" s="18"/>
      <c r="N17" s="2" t="s">
        <v>124</v>
      </c>
      <c r="P17" s="39">
        <f>D17</f>
        <v>80510446</v>
      </c>
      <c r="Q17" s="40">
        <f>'Present and Proposed Rates'!H35</f>
        <v>5.67E-2</v>
      </c>
      <c r="R17" s="19"/>
      <c r="S17" s="18">
        <f>P17*Q17</f>
        <v>4564942.2882000003</v>
      </c>
    </row>
    <row r="18" spans="1:22" x14ac:dyDescent="0.25">
      <c r="A18" s="1"/>
      <c r="B18" s="23"/>
      <c r="C18" s="360" t="s">
        <v>228</v>
      </c>
      <c r="D18" s="406">
        <f>D17/D12</f>
        <v>102954.53452685422</v>
      </c>
      <c r="E18" s="19"/>
      <c r="F18" s="19"/>
      <c r="G18" s="19"/>
      <c r="H18" s="19"/>
      <c r="I18" s="19"/>
      <c r="J18" s="19"/>
      <c r="K18" s="18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x14ac:dyDescent="0.25">
      <c r="A19" s="1" t="s">
        <v>94</v>
      </c>
      <c r="B19" s="19"/>
      <c r="C19" s="19"/>
      <c r="D19" s="49"/>
      <c r="E19" s="207"/>
      <c r="F19" s="19"/>
      <c r="G19" s="18"/>
      <c r="H19" s="18"/>
      <c r="I19" s="207"/>
      <c r="J19" s="18"/>
      <c r="K19" s="190"/>
      <c r="L19" s="18"/>
      <c r="M19" s="1" t="s">
        <v>94</v>
      </c>
      <c r="N19" s="19"/>
      <c r="O19" s="19"/>
      <c r="P19" s="39"/>
      <c r="Q19" s="40"/>
      <c r="R19" s="19"/>
      <c r="S19" s="18"/>
    </row>
    <row r="20" spans="1:22" x14ac:dyDescent="0.25">
      <c r="A20" s="1"/>
      <c r="C20" s="19"/>
      <c r="D20" s="205" t="s">
        <v>95</v>
      </c>
      <c r="E20" s="206" t="s">
        <v>96</v>
      </c>
      <c r="F20" s="19"/>
      <c r="G20" s="18"/>
      <c r="H20" s="18"/>
      <c r="I20" s="206" t="s">
        <v>96</v>
      </c>
      <c r="J20" s="18"/>
      <c r="K20" s="190"/>
      <c r="L20" s="18"/>
      <c r="M20" s="1"/>
      <c r="O20" s="19"/>
      <c r="P20" s="205" t="s">
        <v>95</v>
      </c>
      <c r="Q20" s="206" t="s">
        <v>96</v>
      </c>
      <c r="R20" s="19"/>
      <c r="S20" s="18"/>
    </row>
    <row r="21" spans="1:22" x14ac:dyDescent="0.25">
      <c r="A21" s="1"/>
      <c r="B21" s="19" t="s">
        <v>125</v>
      </c>
      <c r="C21" s="19"/>
      <c r="D21" s="348">
        <f>'Billing Determ'!I144/'L1'!E21</f>
        <v>252472.99289099529</v>
      </c>
      <c r="E21" s="180">
        <f>'Present and Proposed Rates'!F36</f>
        <v>4.22</v>
      </c>
      <c r="F21" s="19"/>
      <c r="G21" s="18">
        <f>D21*E21</f>
        <v>1065436.03</v>
      </c>
      <c r="H21" s="18"/>
      <c r="I21" s="209">
        <f>'Present and Proposed Rates'!G36</f>
        <v>4.22</v>
      </c>
      <c r="J21" s="11">
        <f>I21*D21</f>
        <v>1065436.03</v>
      </c>
      <c r="K21" s="198"/>
      <c r="L21" s="18"/>
      <c r="M21" s="1"/>
      <c r="N21" s="19" t="s">
        <v>125</v>
      </c>
      <c r="O21" s="19"/>
      <c r="P21" s="39">
        <f>D21</f>
        <v>252472.99289099529</v>
      </c>
      <c r="Q21" s="180">
        <f>'Present and Proposed Rates'!H36</f>
        <v>4.22</v>
      </c>
      <c r="R21" s="19"/>
      <c r="S21" s="18">
        <f>P21*Q21</f>
        <v>1065436.03</v>
      </c>
    </row>
    <row r="22" spans="1:22" x14ac:dyDescent="0.25">
      <c r="A22" s="1"/>
      <c r="B22" s="59"/>
      <c r="C22" s="59"/>
      <c r="D22" s="59"/>
      <c r="E22" s="59"/>
      <c r="F22" s="59"/>
      <c r="G22" s="59"/>
      <c r="H22" s="59"/>
      <c r="I22" s="59"/>
      <c r="J22" s="59"/>
      <c r="K22" s="333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1:22" x14ac:dyDescent="0.25">
      <c r="A23" s="1" t="s">
        <v>97</v>
      </c>
      <c r="B23" s="59"/>
      <c r="C23" s="147"/>
      <c r="D23" s="65"/>
      <c r="E23" s="70"/>
      <c r="F23" s="34"/>
      <c r="G23" s="18"/>
      <c r="H23" s="18"/>
      <c r="I23" s="18"/>
      <c r="J23" s="18"/>
      <c r="K23" s="191"/>
      <c r="L23" s="68"/>
      <c r="M23" s="1" t="s">
        <v>97</v>
      </c>
      <c r="N23" s="59"/>
      <c r="O23" s="147"/>
      <c r="P23" s="65"/>
      <c r="Q23" s="70"/>
      <c r="R23" s="34"/>
      <c r="S23" s="18"/>
    </row>
    <row r="24" spans="1:22" x14ac:dyDescent="0.25">
      <c r="A24" s="1"/>
      <c r="B24" s="34" t="s">
        <v>91</v>
      </c>
      <c r="C24" s="147"/>
      <c r="D24" s="65"/>
      <c r="E24" s="70"/>
      <c r="F24" s="34"/>
      <c r="G24" s="18">
        <f>'Billing Determ'!L144</f>
        <v>-347218.89999999997</v>
      </c>
      <c r="H24" s="18"/>
      <c r="I24" s="18"/>
      <c r="J24" s="18">
        <f>G24</f>
        <v>-347218.89999999997</v>
      </c>
      <c r="K24" s="191"/>
      <c r="L24" s="68"/>
      <c r="M24" s="1"/>
      <c r="N24" s="34" t="s">
        <v>91</v>
      </c>
      <c r="O24" s="147"/>
      <c r="P24" s="65"/>
      <c r="Q24" s="70"/>
      <c r="R24" s="34"/>
      <c r="S24" s="18">
        <f>G24</f>
        <v>-347218.89999999997</v>
      </c>
    </row>
    <row r="25" spans="1:22" x14ac:dyDescent="0.25">
      <c r="A25" s="1"/>
      <c r="B25" s="34" t="s">
        <v>98</v>
      </c>
      <c r="C25" s="147"/>
      <c r="D25" s="65"/>
      <c r="E25" s="70"/>
      <c r="F25" s="34"/>
      <c r="G25" s="68">
        <f>'Billing Determ'!N144</f>
        <v>594338.12</v>
      </c>
      <c r="H25" s="68"/>
      <c r="I25" s="68"/>
      <c r="J25" s="18">
        <f>G25</f>
        <v>594338.12</v>
      </c>
      <c r="K25" s="191"/>
      <c r="L25" s="68"/>
      <c r="M25" s="1"/>
      <c r="N25" s="34" t="s">
        <v>98</v>
      </c>
      <c r="O25" s="147"/>
      <c r="P25" s="65"/>
      <c r="Q25" s="70"/>
      <c r="R25" s="34"/>
      <c r="S25" s="18">
        <f>G25</f>
        <v>594338.12</v>
      </c>
    </row>
    <row r="26" spans="1:22" x14ac:dyDescent="0.25">
      <c r="B26" s="19" t="s">
        <v>210</v>
      </c>
      <c r="C26" s="19"/>
      <c r="D26" s="39"/>
      <c r="E26" s="40"/>
      <c r="F26" s="19"/>
      <c r="G26" s="50">
        <f>'Billing Determ'!K144</f>
        <v>9284.7900000000009</v>
      </c>
      <c r="H26" s="50"/>
      <c r="I26" s="50"/>
      <c r="J26" s="50">
        <f>G26</f>
        <v>9284.7900000000009</v>
      </c>
      <c r="K26" s="190"/>
      <c r="L26" s="50"/>
      <c r="M26" s="155"/>
      <c r="N26" s="2" t="str">
        <f>B26</f>
        <v>Min Bill</v>
      </c>
      <c r="S26" s="11">
        <f>G26</f>
        <v>9284.7900000000009</v>
      </c>
    </row>
    <row r="27" spans="1:22" x14ac:dyDescent="0.25">
      <c r="B27" s="19"/>
      <c r="C27" s="19"/>
      <c r="D27" s="39"/>
      <c r="E27" s="40"/>
      <c r="F27" s="19"/>
      <c r="G27" s="50"/>
      <c r="H27" s="50"/>
      <c r="I27" s="50"/>
      <c r="J27" s="50"/>
      <c r="K27" s="190"/>
      <c r="L27" s="50"/>
      <c r="M27" s="155"/>
      <c r="S27" s="11"/>
    </row>
    <row r="28" spans="1:22" x14ac:dyDescent="0.25">
      <c r="A28" s="1"/>
      <c r="D28" s="30"/>
      <c r="G28" s="18"/>
      <c r="H28" s="18"/>
      <c r="I28" s="18"/>
      <c r="J28" s="18"/>
      <c r="K28" s="190"/>
      <c r="L28" s="18"/>
      <c r="M28" s="1"/>
      <c r="S28" s="18"/>
    </row>
    <row r="29" spans="1:22" ht="16.5" thickBot="1" x14ac:dyDescent="0.3">
      <c r="A29" s="1" t="s">
        <v>80</v>
      </c>
      <c r="G29" s="29">
        <f>SUM(G12:G27)</f>
        <v>6065623.9373399997</v>
      </c>
      <c r="H29" s="18"/>
      <c r="I29" s="18"/>
      <c r="J29" s="29">
        <f>SUM(J12:J27)</f>
        <v>5937612.3282000003</v>
      </c>
      <c r="K29" s="190"/>
      <c r="L29" s="18"/>
      <c r="M29" s="1" t="s">
        <v>80</v>
      </c>
      <c r="S29" s="29">
        <f>SUM(S12:S27)</f>
        <v>5937612.3282000003</v>
      </c>
    </row>
    <row r="30" spans="1:22" ht="16.5" thickTop="1" x14ac:dyDescent="0.25">
      <c r="A30" s="1"/>
      <c r="B30" s="1"/>
      <c r="G30" s="18"/>
      <c r="H30" s="18"/>
      <c r="I30" s="18"/>
      <c r="J30" s="18"/>
      <c r="K30" s="190"/>
      <c r="L30" s="18"/>
      <c r="M30" s="1"/>
      <c r="N30" s="1"/>
      <c r="S30" s="18"/>
    </row>
    <row r="31" spans="1:22" x14ac:dyDescent="0.25">
      <c r="A31" s="44" t="s">
        <v>19</v>
      </c>
      <c r="B31" s="10"/>
      <c r="G31" s="11">
        <f>'Billing Determ'!G144+'Billing Determ'!I144+'Billing Determ'!J144+'Billing Determ'!O144*0+SUM('Billing Determ'!L132:L143)</f>
        <v>6058039.3999999994</v>
      </c>
      <c r="H31" s="11"/>
      <c r="I31" s="11"/>
      <c r="J31" s="11"/>
      <c r="K31" s="192"/>
      <c r="L31" s="11"/>
      <c r="M31" s="119" t="s">
        <v>105</v>
      </c>
      <c r="N31" s="10"/>
      <c r="S31" s="37">
        <f>S29-J29</f>
        <v>0</v>
      </c>
    </row>
    <row r="32" spans="1:22" x14ac:dyDescent="0.25">
      <c r="A32" s="10"/>
      <c r="B32" s="10"/>
      <c r="G32" s="10"/>
      <c r="H32" s="10"/>
      <c r="I32" s="10"/>
      <c r="J32" s="10"/>
      <c r="K32" s="193"/>
      <c r="L32" s="10"/>
      <c r="M32" s="48"/>
      <c r="N32" s="10"/>
      <c r="S32" s="10"/>
    </row>
    <row r="33" spans="1:19" x14ac:dyDescent="0.25">
      <c r="A33" s="44" t="s">
        <v>13</v>
      </c>
      <c r="B33" s="10"/>
      <c r="G33" s="27">
        <f>G29-G31</f>
        <v>7584.5373400002718</v>
      </c>
      <c r="H33" s="27"/>
      <c r="I33" s="27"/>
      <c r="J33" s="27">
        <f>J29-G29</f>
        <v>-128011.60913999937</v>
      </c>
      <c r="K33" s="190"/>
      <c r="L33" s="27"/>
      <c r="M33" s="119" t="s">
        <v>106</v>
      </c>
      <c r="N33" s="10"/>
      <c r="S33" s="149">
        <f>S31/J29</f>
        <v>0</v>
      </c>
    </row>
    <row r="34" spans="1:19" x14ac:dyDescent="0.25">
      <c r="A34" s="10"/>
      <c r="B34" s="10"/>
      <c r="G34" s="11"/>
      <c r="H34" s="11"/>
      <c r="I34" s="11"/>
      <c r="J34" s="11"/>
      <c r="K34" s="194"/>
      <c r="L34" s="11"/>
      <c r="M34" s="34"/>
      <c r="N34" s="10"/>
      <c r="S34" s="11"/>
    </row>
    <row r="35" spans="1:19" x14ac:dyDescent="0.25">
      <c r="A35" s="44" t="s">
        <v>26</v>
      </c>
      <c r="B35" s="10"/>
      <c r="G35" s="28">
        <f>G33/G31</f>
        <v>1.2519788729007395E-3</v>
      </c>
      <c r="H35" s="28"/>
      <c r="I35" s="28"/>
      <c r="J35" s="28">
        <f>J33/G31</f>
        <v>-2.1130864408045843E-2</v>
      </c>
      <c r="K35" s="190"/>
      <c r="L35" s="28"/>
      <c r="M35" s="59" t="s">
        <v>85</v>
      </c>
      <c r="N35" s="10"/>
      <c r="S35" s="50">
        <f>S31/P12</f>
        <v>0</v>
      </c>
    </row>
    <row r="36" spans="1:19" x14ac:dyDescent="0.25">
      <c r="A36" s="44"/>
      <c r="B36" s="10"/>
      <c r="G36" s="28"/>
      <c r="H36" s="28"/>
      <c r="I36" s="28"/>
      <c r="J36" s="28"/>
      <c r="K36" s="28"/>
      <c r="L36" s="28"/>
      <c r="M36" s="44"/>
      <c r="N36" s="10"/>
      <c r="S36" s="28"/>
    </row>
    <row r="37" spans="1:19" x14ac:dyDescent="0.25">
      <c r="A37" s="44"/>
      <c r="B37" s="10"/>
      <c r="G37" s="203"/>
      <c r="H37" s="28"/>
      <c r="I37" s="28"/>
      <c r="J37" s="28"/>
      <c r="K37" s="28"/>
      <c r="L37" s="28"/>
      <c r="M37" s="44"/>
      <c r="N37" s="10"/>
      <c r="S37" s="28"/>
    </row>
    <row r="38" spans="1:19" x14ac:dyDescent="0.25">
      <c r="A38" s="44"/>
      <c r="B38" s="10"/>
      <c r="G38" s="203"/>
      <c r="H38" s="28"/>
      <c r="I38" s="28"/>
      <c r="J38" s="203"/>
      <c r="K38" s="28"/>
      <c r="L38" s="28"/>
      <c r="M38" s="44"/>
      <c r="N38" s="10"/>
      <c r="S38" s="28"/>
    </row>
    <row r="39" spans="1:19" x14ac:dyDescent="0.25">
      <c r="A39" s="44"/>
      <c r="B39" s="10"/>
      <c r="G39" s="203"/>
      <c r="H39" s="28"/>
      <c r="I39" s="28"/>
      <c r="J39" s="28"/>
      <c r="K39" s="28"/>
      <c r="L39" s="28"/>
      <c r="M39" s="44"/>
      <c r="N39" s="10"/>
      <c r="S39" s="28"/>
    </row>
    <row r="40" spans="1:19" x14ac:dyDescent="0.25">
      <c r="A40" s="44"/>
      <c r="B40" s="10"/>
      <c r="G40" s="28"/>
      <c r="H40" s="28"/>
      <c r="I40" s="28"/>
      <c r="J40" s="28"/>
      <c r="K40" s="28"/>
      <c r="L40" s="28"/>
      <c r="M40" s="44"/>
      <c r="N40" s="10"/>
      <c r="S40" s="28"/>
    </row>
    <row r="41" spans="1:19" x14ac:dyDescent="0.25">
      <c r="A41" s="44"/>
      <c r="B41" s="10"/>
      <c r="G41" s="28"/>
      <c r="H41" s="28"/>
      <c r="I41" s="28"/>
      <c r="J41" s="28"/>
      <c r="K41" s="28"/>
      <c r="L41" s="28"/>
      <c r="M41" s="44"/>
      <c r="N41" s="10"/>
      <c r="S41" s="28"/>
    </row>
    <row r="42" spans="1:19" ht="18.75" customHeight="1" x14ac:dyDescent="0.25">
      <c r="A42" s="44"/>
      <c r="B42" s="11"/>
      <c r="G42" s="28"/>
      <c r="H42" s="28"/>
      <c r="I42" s="28"/>
      <c r="J42" s="28"/>
      <c r="K42" s="28"/>
      <c r="L42" s="28"/>
      <c r="N42" s="34"/>
    </row>
    <row r="43" spans="1:19" x14ac:dyDescent="0.25">
      <c r="E43" s="11"/>
      <c r="N43" s="34"/>
    </row>
    <row r="57" ht="16.5" customHeight="1" x14ac:dyDescent="0.25"/>
    <row r="90" ht="15" customHeight="1" x14ac:dyDescent="0.25"/>
    <row r="136" spans="2:14" x14ac:dyDescent="0.25">
      <c r="N136" s="53"/>
    </row>
    <row r="137" spans="2:14" x14ac:dyDescent="0.25">
      <c r="B137" s="19"/>
      <c r="C137" s="53"/>
      <c r="D137" s="53"/>
      <c r="E137" s="19"/>
      <c r="F137" s="19"/>
      <c r="G137" s="19"/>
      <c r="H137" s="19"/>
      <c r="I137" s="19"/>
      <c r="J137" s="19"/>
      <c r="K137" s="19"/>
      <c r="L137" s="19"/>
      <c r="N137" s="53"/>
    </row>
    <row r="138" spans="2:14" x14ac:dyDescent="0.25">
      <c r="B138" s="19"/>
      <c r="C138" s="55"/>
      <c r="D138" s="78"/>
      <c r="E138" s="83"/>
      <c r="F138" s="19"/>
      <c r="G138" s="19"/>
      <c r="H138" s="19"/>
      <c r="I138" s="19"/>
      <c r="J138" s="19"/>
      <c r="K138" s="19"/>
      <c r="L138" s="19"/>
      <c r="N138" s="53"/>
    </row>
    <row r="139" spans="2:14" x14ac:dyDescent="0.25">
      <c r="B139" s="19"/>
      <c r="C139" s="55"/>
      <c r="D139" s="78"/>
      <c r="E139" s="83"/>
      <c r="F139" s="19"/>
      <c r="G139" s="19"/>
      <c r="H139" s="19"/>
      <c r="I139" s="19"/>
      <c r="J139" s="19"/>
      <c r="K139" s="19"/>
      <c r="L139" s="19"/>
      <c r="N139" s="53"/>
    </row>
    <row r="140" spans="2:14" x14ac:dyDescent="0.25">
      <c r="B140" s="19"/>
      <c r="C140" s="55"/>
      <c r="D140" s="78"/>
      <c r="E140" s="83"/>
      <c r="F140" s="19"/>
      <c r="G140" s="19"/>
      <c r="H140" s="19"/>
      <c r="I140" s="19"/>
      <c r="J140" s="19"/>
      <c r="K140" s="19"/>
      <c r="L140" s="19"/>
      <c r="N140" s="53"/>
    </row>
  </sheetData>
  <mergeCells count="5">
    <mergeCell ref="D4:G5"/>
    <mergeCell ref="I4:J5"/>
    <mergeCell ref="P4:S5"/>
    <mergeCell ref="E7:F7"/>
    <mergeCell ref="Q7:R7"/>
  </mergeCells>
  <pageMargins left="0.75" right="0.75" top="1" bottom="1" header="0.5" footer="0.5"/>
  <pageSetup scale="67" orientation="landscape" r:id="rId1"/>
  <headerFooter alignWithMargins="0">
    <oddFooter>&amp;RExhibit JW-9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0"/>
  <sheetViews>
    <sheetView view="pageBreakPreview" topLeftCell="A16" zoomScale="75" zoomScaleNormal="100" zoomScaleSheetLayoutView="75" workbookViewId="0">
      <selection activeCell="H15" sqref="H15"/>
    </sheetView>
  </sheetViews>
  <sheetFormatPr defaultRowHeight="15.75" x14ac:dyDescent="0.25"/>
  <cols>
    <col min="1" max="2" width="4.28515625" style="2" customWidth="1"/>
    <col min="3" max="3" width="32.140625" style="2" bestFit="1" customWidth="1"/>
    <col min="4" max="4" width="2.42578125" style="2" customWidth="1"/>
    <col min="5" max="5" width="15.85546875" style="2" customWidth="1"/>
    <col min="6" max="6" width="3" style="2" customWidth="1"/>
    <col min="7" max="7" width="10.42578125" style="2" bestFit="1" customWidth="1"/>
    <col min="8" max="8" width="10.85546875" style="2" bestFit="1" customWidth="1"/>
    <col min="9" max="9" width="18.85546875" style="2" customWidth="1"/>
    <col min="10" max="10" width="3.28515625" style="2" customWidth="1"/>
    <col min="11" max="11" width="10.85546875" style="2" bestFit="1" customWidth="1"/>
    <col min="12" max="12" width="15.28515625" style="2" customWidth="1"/>
    <col min="13" max="13" width="2" style="2" customWidth="1"/>
    <col min="14" max="14" width="2.7109375" style="2" customWidth="1"/>
    <col min="15" max="15" width="16.5703125" style="2" customWidth="1"/>
    <col min="16" max="16" width="15.140625" style="2" customWidth="1"/>
    <col min="17" max="17" width="7.5703125" style="2" customWidth="1"/>
    <col min="18" max="18" width="15.28515625" style="2" customWidth="1"/>
    <col min="19" max="19" width="2.7109375" style="2" customWidth="1"/>
    <col min="20" max="20" width="16.7109375" style="2" customWidth="1"/>
    <col min="21" max="21" width="9.140625" style="2"/>
    <col min="22" max="23" width="6.7109375" style="2" customWidth="1"/>
    <col min="24" max="24" width="27.5703125" style="2" customWidth="1"/>
    <col min="25" max="25" width="11.7109375" style="2" customWidth="1"/>
    <col min="26" max="26" width="13" style="2" customWidth="1"/>
    <col min="27" max="27" width="10.5703125" style="2" customWidth="1"/>
    <col min="28" max="28" width="2.7109375" style="2" customWidth="1"/>
    <col min="29" max="29" width="16.7109375" style="2" customWidth="1"/>
    <col min="30" max="16384" width="9.140625" style="2"/>
  </cols>
  <sheetData>
    <row r="1" spans="1:29" x14ac:dyDescent="0.25">
      <c r="A1" s="1" t="str">
        <f>List!A1</f>
        <v>Cumberland Valley Electric</v>
      </c>
      <c r="B1" s="1"/>
      <c r="C1" s="1"/>
      <c r="D1" s="1"/>
      <c r="E1" s="34"/>
      <c r="F1" s="34"/>
      <c r="G1" s="34"/>
      <c r="H1" s="34"/>
      <c r="I1" s="34"/>
      <c r="J1" s="34"/>
      <c r="K1" s="34"/>
      <c r="L1" s="34"/>
      <c r="N1" s="34"/>
      <c r="O1" s="34"/>
      <c r="P1" s="34"/>
      <c r="Q1" s="34"/>
      <c r="R1" s="34"/>
      <c r="S1" s="48"/>
      <c r="T1" s="48"/>
      <c r="U1" s="19"/>
      <c r="V1" s="48"/>
      <c r="W1" s="48"/>
      <c r="X1" s="48"/>
      <c r="Y1" s="48"/>
      <c r="Z1" s="48"/>
      <c r="AA1" s="48"/>
      <c r="AB1" s="48"/>
      <c r="AC1" s="48"/>
    </row>
    <row r="2" spans="1:29" x14ac:dyDescent="0.25">
      <c r="A2" s="59" t="str">
        <f>List!B13</f>
        <v>Sch VI - Outdoor Lighting - Security Lights</v>
      </c>
      <c r="B2" s="59"/>
      <c r="C2" s="59"/>
      <c r="D2" s="59"/>
      <c r="E2" s="34"/>
      <c r="F2" s="34"/>
      <c r="G2" s="34"/>
      <c r="H2" s="34"/>
      <c r="I2" s="34"/>
      <c r="J2" s="34"/>
      <c r="K2" s="34"/>
      <c r="L2" s="34"/>
      <c r="N2" s="34"/>
      <c r="O2" s="34"/>
      <c r="P2" s="34"/>
      <c r="Q2" s="34"/>
      <c r="R2" s="34"/>
      <c r="S2" s="48"/>
      <c r="T2" s="48"/>
      <c r="U2" s="19"/>
      <c r="V2" s="48"/>
      <c r="W2" s="48"/>
      <c r="X2" s="48"/>
      <c r="Y2" s="48"/>
      <c r="Z2" s="48"/>
      <c r="AA2" s="48"/>
      <c r="AB2" s="48"/>
      <c r="AC2" s="48"/>
    </row>
    <row r="3" spans="1:29" ht="16.5" thickBot="1" x14ac:dyDescent="0.3">
      <c r="A3" s="59" t="str">
        <f>List!C13</f>
        <v>S</v>
      </c>
      <c r="B3" s="59"/>
      <c r="C3" s="59"/>
      <c r="D3" s="59"/>
      <c r="E3" s="34"/>
      <c r="F3" s="34"/>
      <c r="G3" s="34"/>
      <c r="H3" s="34"/>
      <c r="I3" s="34"/>
      <c r="J3" s="34"/>
      <c r="K3" s="34"/>
      <c r="L3" s="34"/>
      <c r="N3" s="34"/>
      <c r="O3" s="34"/>
      <c r="P3" s="34"/>
      <c r="Q3" s="34"/>
      <c r="R3" s="34"/>
      <c r="S3" s="48"/>
      <c r="T3" s="48"/>
      <c r="U3" s="19"/>
      <c r="V3" s="48"/>
      <c r="W3" s="48"/>
      <c r="X3" s="48"/>
      <c r="Y3" s="48"/>
      <c r="Z3" s="48"/>
      <c r="AA3" s="48"/>
      <c r="AB3" s="48"/>
      <c r="AC3" s="48"/>
    </row>
    <row r="4" spans="1:29" x14ac:dyDescent="0.25">
      <c r="A4" s="34"/>
      <c r="B4" s="34"/>
      <c r="C4" s="34"/>
      <c r="D4" s="34"/>
      <c r="E4" s="34"/>
      <c r="F4" s="34"/>
      <c r="G4" s="421" t="s">
        <v>30</v>
      </c>
      <c r="H4" s="422"/>
      <c r="I4" s="423"/>
      <c r="J4" s="3"/>
      <c r="K4" s="414" t="s">
        <v>104</v>
      </c>
      <c r="L4" s="416"/>
      <c r="M4" s="189"/>
      <c r="N4" s="3"/>
      <c r="O4" s="421" t="s">
        <v>88</v>
      </c>
      <c r="P4" s="422"/>
      <c r="Q4" s="422"/>
      <c r="R4" s="423"/>
      <c r="S4" s="199"/>
      <c r="T4" s="199"/>
      <c r="U4" s="19"/>
      <c r="V4" s="48"/>
      <c r="W4" s="48"/>
      <c r="X4" s="48"/>
      <c r="Y4" s="48"/>
      <c r="Z4" s="428"/>
      <c r="AA4" s="428"/>
      <c r="AB4" s="428"/>
      <c r="AC4" s="428"/>
    </row>
    <row r="5" spans="1:29" ht="16.5" thickBot="1" x14ac:dyDescent="0.3">
      <c r="A5" s="34"/>
      <c r="B5" s="34"/>
      <c r="C5" s="34"/>
      <c r="D5" s="34"/>
      <c r="E5" s="34"/>
      <c r="F5" s="34"/>
      <c r="G5" s="424"/>
      <c r="H5" s="420"/>
      <c r="I5" s="425"/>
      <c r="J5" s="3"/>
      <c r="K5" s="417"/>
      <c r="L5" s="419"/>
      <c r="M5" s="189"/>
      <c r="N5" s="3"/>
      <c r="O5" s="424"/>
      <c r="P5" s="420"/>
      <c r="Q5" s="420"/>
      <c r="R5" s="425"/>
      <c r="S5" s="199"/>
      <c r="T5" s="199"/>
      <c r="U5" s="19"/>
      <c r="V5" s="60"/>
      <c r="W5" s="60"/>
      <c r="X5" s="60"/>
      <c r="Y5" s="60"/>
      <c r="Z5" s="428"/>
      <c r="AA5" s="428"/>
      <c r="AB5" s="428"/>
      <c r="AC5" s="428"/>
    </row>
    <row r="6" spans="1:29" x14ac:dyDescent="0.25">
      <c r="A6" s="34"/>
      <c r="B6" s="34"/>
      <c r="C6" s="34"/>
      <c r="D6" s="34"/>
      <c r="E6" s="34"/>
      <c r="F6" s="34"/>
      <c r="G6" s="61" t="s">
        <v>1</v>
      </c>
      <c r="H6" s="61"/>
      <c r="I6" s="61" t="s">
        <v>2</v>
      </c>
      <c r="J6" s="61"/>
      <c r="K6" s="4"/>
      <c r="L6" s="4" t="s">
        <v>2</v>
      </c>
      <c r="M6" s="189"/>
      <c r="N6" s="61"/>
      <c r="O6" s="61" t="s">
        <v>1</v>
      </c>
      <c r="P6" s="61"/>
      <c r="Q6" s="61"/>
      <c r="R6" s="61" t="s">
        <v>2</v>
      </c>
      <c r="S6" s="116"/>
      <c r="T6" s="116"/>
      <c r="U6" s="19"/>
      <c r="V6" s="116"/>
      <c r="W6" s="116"/>
      <c r="X6" s="116"/>
      <c r="Y6" s="116"/>
      <c r="Z6" s="116"/>
      <c r="AA6" s="116"/>
      <c r="AB6" s="116"/>
      <c r="AC6" s="116"/>
    </row>
    <row r="7" spans="1:29" ht="16.5" thickBot="1" x14ac:dyDescent="0.3">
      <c r="A7" s="62" t="s">
        <v>3</v>
      </c>
      <c r="B7" s="62"/>
      <c r="C7" s="62"/>
      <c r="D7" s="62"/>
      <c r="E7" s="63"/>
      <c r="F7" s="63"/>
      <c r="G7" s="64" t="s">
        <v>4</v>
      </c>
      <c r="H7" s="64" t="s">
        <v>5</v>
      </c>
      <c r="I7" s="64" t="s">
        <v>6</v>
      </c>
      <c r="J7" s="63"/>
      <c r="K7" s="5" t="s">
        <v>5</v>
      </c>
      <c r="L7" s="5" t="s">
        <v>6</v>
      </c>
      <c r="M7" s="188"/>
      <c r="N7" s="116"/>
      <c r="O7" s="64" t="s">
        <v>4</v>
      </c>
      <c r="P7" s="64" t="s">
        <v>5</v>
      </c>
      <c r="Q7" s="64"/>
      <c r="R7" s="64" t="s">
        <v>6</v>
      </c>
      <c r="S7" s="200"/>
      <c r="T7" s="116"/>
      <c r="U7" s="19"/>
      <c r="V7" s="116"/>
      <c r="W7" s="116"/>
      <c r="X7" s="116"/>
      <c r="Y7" s="116"/>
      <c r="Z7" s="116"/>
      <c r="AA7" s="429"/>
      <c r="AB7" s="429"/>
      <c r="AC7" s="116"/>
    </row>
    <row r="8" spans="1:29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189"/>
      <c r="N8" s="34"/>
      <c r="O8" s="34"/>
      <c r="P8" s="34"/>
      <c r="Q8" s="34"/>
      <c r="R8" s="34"/>
      <c r="S8" s="48"/>
      <c r="T8" s="48"/>
      <c r="U8" s="19"/>
      <c r="V8" s="48"/>
      <c r="W8" s="48"/>
      <c r="X8" s="48"/>
      <c r="Y8" s="48"/>
      <c r="Z8" s="48"/>
      <c r="AA8" s="48"/>
      <c r="AB8" s="48"/>
      <c r="AC8" s="48"/>
    </row>
    <row r="9" spans="1:29" x14ac:dyDescent="0.25">
      <c r="A9" s="59" t="s">
        <v>16</v>
      </c>
      <c r="B9" s="59"/>
      <c r="C9" s="59"/>
      <c r="D9" s="59"/>
      <c r="E9" s="34"/>
      <c r="F9" s="34"/>
      <c r="G9" s="196" t="s">
        <v>99</v>
      </c>
      <c r="H9" s="195"/>
      <c r="I9" s="58"/>
      <c r="J9" s="58"/>
      <c r="K9" s="58"/>
      <c r="L9" s="58"/>
      <c r="M9" s="189"/>
      <c r="N9" s="58"/>
      <c r="O9" s="196" t="s">
        <v>99</v>
      </c>
      <c r="P9" s="195"/>
      <c r="Q9" s="195"/>
      <c r="R9" s="58"/>
      <c r="S9" s="48"/>
      <c r="T9" s="118"/>
      <c r="U9" s="19"/>
      <c r="V9" s="119"/>
      <c r="W9" s="48"/>
      <c r="X9" s="48"/>
      <c r="Y9" s="48"/>
      <c r="Z9" s="117"/>
      <c r="AA9" s="48"/>
      <c r="AB9" s="48"/>
      <c r="AC9" s="118"/>
    </row>
    <row r="10" spans="1:29" ht="18" x14ac:dyDescent="0.4">
      <c r="A10" s="34"/>
      <c r="B10" s="34"/>
      <c r="C10" s="34"/>
      <c r="D10" s="336"/>
      <c r="E10" s="382" t="s">
        <v>209</v>
      </c>
      <c r="F10" s="34"/>
      <c r="G10" s="174" t="s">
        <v>16</v>
      </c>
      <c r="H10" s="175" t="s">
        <v>17</v>
      </c>
      <c r="I10" s="58"/>
      <c r="J10" s="58"/>
      <c r="K10" s="235" t="s">
        <v>17</v>
      </c>
      <c r="L10" s="58"/>
      <c r="M10" s="190"/>
      <c r="N10" s="58"/>
      <c r="O10" s="174" t="s">
        <v>16</v>
      </c>
      <c r="P10" s="175" t="s">
        <v>17</v>
      </c>
      <c r="Q10" s="234"/>
      <c r="R10" s="58"/>
      <c r="S10" s="48"/>
      <c r="T10" s="118"/>
      <c r="U10" s="19"/>
      <c r="V10" s="48"/>
      <c r="W10" s="48"/>
      <c r="X10" s="48"/>
      <c r="Y10" s="104"/>
      <c r="Z10" s="120"/>
      <c r="AA10" s="121"/>
      <c r="AB10" s="48"/>
      <c r="AC10" s="118"/>
    </row>
    <row r="11" spans="1:29" x14ac:dyDescent="0.25">
      <c r="A11" s="34"/>
      <c r="B11" s="34"/>
      <c r="C11" s="34"/>
      <c r="D11" s="34"/>
      <c r="E11" s="67"/>
      <c r="F11" s="34"/>
      <c r="G11" s="334"/>
      <c r="H11" s="234"/>
      <c r="I11" s="58"/>
      <c r="J11" s="58"/>
      <c r="K11" s="104"/>
      <c r="L11" s="58"/>
      <c r="M11" s="190"/>
      <c r="N11" s="58"/>
      <c r="O11" s="334"/>
      <c r="P11" s="234"/>
      <c r="Q11" s="234"/>
      <c r="R11" s="58"/>
      <c r="S11" s="48"/>
      <c r="T11" s="118"/>
      <c r="U11" s="19"/>
      <c r="V11" s="48"/>
      <c r="W11" s="48"/>
      <c r="X11" s="48"/>
      <c r="Y11" s="104"/>
      <c r="Z11" s="120"/>
      <c r="AA11" s="121"/>
      <c r="AB11" s="48"/>
      <c r="AC11" s="118"/>
    </row>
    <row r="12" spans="1:29" x14ac:dyDescent="0.25">
      <c r="A12" s="34"/>
      <c r="B12" s="34"/>
      <c r="C12" s="2" t="s">
        <v>195</v>
      </c>
      <c r="E12" s="67">
        <v>4190900</v>
      </c>
      <c r="F12" s="34"/>
      <c r="G12" s="67">
        <v>60036</v>
      </c>
      <c r="H12" s="104">
        <v>9.14</v>
      </c>
      <c r="I12" s="66">
        <f>H12*G12</f>
        <v>548729.04</v>
      </c>
      <c r="J12" s="58"/>
      <c r="K12" s="104">
        <v>9.0299999999999994</v>
      </c>
      <c r="L12" s="66">
        <f>K12*G12</f>
        <v>542125.07999999996</v>
      </c>
      <c r="M12" s="190"/>
      <c r="N12" s="58"/>
      <c r="O12" s="134">
        <f>G12</f>
        <v>60036</v>
      </c>
      <c r="P12" s="104">
        <f>K12</f>
        <v>9.0299999999999994</v>
      </c>
      <c r="Q12" s="234"/>
      <c r="R12" s="66">
        <f>P12*O12</f>
        <v>542125.07999999996</v>
      </c>
      <c r="S12" s="48"/>
      <c r="T12" s="118"/>
      <c r="U12" s="19"/>
      <c r="V12" s="48"/>
      <c r="W12" s="48"/>
      <c r="X12" s="48"/>
      <c r="Y12" s="104"/>
      <c r="Z12" s="120"/>
      <c r="AA12" s="121"/>
      <c r="AB12" s="48"/>
      <c r="AC12" s="118"/>
    </row>
    <row r="13" spans="1:29" x14ac:dyDescent="0.25">
      <c r="A13" s="34"/>
      <c r="B13" s="34"/>
      <c r="C13" s="2" t="s">
        <v>196</v>
      </c>
      <c r="E13" s="67">
        <v>1020600</v>
      </c>
      <c r="F13" s="34"/>
      <c r="G13" s="67">
        <v>14636</v>
      </c>
      <c r="H13" s="104">
        <v>9.16</v>
      </c>
      <c r="I13" s="66">
        <f t="shared" ref="I13:I21" si="0">H13*G13</f>
        <v>134065.76</v>
      </c>
      <c r="J13" s="58"/>
      <c r="K13" s="104">
        <v>9.0500000000000007</v>
      </c>
      <c r="L13" s="66">
        <f t="shared" ref="L13:L21" si="1">K13*G13</f>
        <v>132455.80000000002</v>
      </c>
      <c r="M13" s="190"/>
      <c r="N13" s="58"/>
      <c r="O13" s="134">
        <f t="shared" ref="O13:O21" si="2">G13</f>
        <v>14636</v>
      </c>
      <c r="P13" s="104">
        <f t="shared" ref="P13:P21" si="3">K13</f>
        <v>9.0500000000000007</v>
      </c>
      <c r="Q13" s="234"/>
      <c r="R13" s="66">
        <f t="shared" ref="R13:R21" si="4">P13*O13</f>
        <v>132455.80000000002</v>
      </c>
      <c r="S13" s="48"/>
      <c r="T13" s="118"/>
      <c r="U13" s="19"/>
      <c r="V13" s="48"/>
      <c r="W13" s="48"/>
      <c r="X13" s="48"/>
      <c r="Y13" s="104"/>
      <c r="Z13" s="120"/>
      <c r="AA13" s="121"/>
      <c r="AB13" s="48"/>
      <c r="AC13" s="118"/>
    </row>
    <row r="14" spans="1:29" x14ac:dyDescent="0.25">
      <c r="A14" s="34"/>
      <c r="B14" s="34"/>
      <c r="C14" s="2" t="s">
        <v>197</v>
      </c>
      <c r="E14" s="67">
        <v>51940</v>
      </c>
      <c r="F14" s="34"/>
      <c r="G14" s="67">
        <v>742</v>
      </c>
      <c r="H14" s="104">
        <v>11.15</v>
      </c>
      <c r="I14" s="66">
        <f t="shared" si="0"/>
        <v>8273.3000000000011</v>
      </c>
      <c r="J14" s="58"/>
      <c r="K14" s="104">
        <v>11.04</v>
      </c>
      <c r="L14" s="66">
        <f t="shared" si="1"/>
        <v>8191.6799999999994</v>
      </c>
      <c r="M14" s="190"/>
      <c r="N14" s="58"/>
      <c r="O14" s="134">
        <f t="shared" si="2"/>
        <v>742</v>
      </c>
      <c r="P14" s="104">
        <f t="shared" si="3"/>
        <v>11.04</v>
      </c>
      <c r="Q14" s="234"/>
      <c r="R14" s="66">
        <f t="shared" si="4"/>
        <v>8191.6799999999994</v>
      </c>
      <c r="S14" s="48"/>
      <c r="T14" s="118"/>
      <c r="U14" s="19"/>
      <c r="V14" s="48"/>
      <c r="W14" s="48"/>
      <c r="X14" s="48"/>
      <c r="Y14" s="104"/>
      <c r="Z14" s="120"/>
      <c r="AA14" s="121"/>
      <c r="AB14" s="48"/>
      <c r="AC14" s="118"/>
    </row>
    <row r="15" spans="1:29" x14ac:dyDescent="0.25">
      <c r="A15" s="34"/>
      <c r="B15" s="34"/>
      <c r="C15" s="2" t="s">
        <v>198</v>
      </c>
      <c r="E15" s="67">
        <v>50470</v>
      </c>
      <c r="F15" s="34"/>
      <c r="G15" s="67">
        <v>730</v>
      </c>
      <c r="H15" s="104">
        <v>9.14</v>
      </c>
      <c r="I15" s="66">
        <f t="shared" si="0"/>
        <v>6672.2000000000007</v>
      </c>
      <c r="J15" s="58"/>
      <c r="K15" s="104">
        <v>9.0299999999999994</v>
      </c>
      <c r="L15" s="66">
        <f t="shared" si="1"/>
        <v>6591.9</v>
      </c>
      <c r="M15" s="190"/>
      <c r="N15" s="58"/>
      <c r="O15" s="134">
        <f t="shared" si="2"/>
        <v>730</v>
      </c>
      <c r="P15" s="104">
        <f t="shared" si="3"/>
        <v>9.0299999999999994</v>
      </c>
      <c r="Q15" s="234"/>
      <c r="R15" s="66">
        <f t="shared" si="4"/>
        <v>6591.9</v>
      </c>
      <c r="S15" s="48"/>
      <c r="T15" s="118"/>
      <c r="U15" s="19"/>
      <c r="V15" s="48"/>
      <c r="W15" s="48"/>
      <c r="X15" s="48"/>
      <c r="Y15" s="104"/>
      <c r="Z15" s="120"/>
      <c r="AA15" s="121"/>
      <c r="AB15" s="48"/>
      <c r="AC15" s="118"/>
    </row>
    <row r="16" spans="1:29" x14ac:dyDescent="0.25">
      <c r="A16" s="34"/>
      <c r="B16" s="34"/>
      <c r="C16" s="2" t="s">
        <v>199</v>
      </c>
      <c r="E16" s="67">
        <v>1569820</v>
      </c>
      <c r="F16" s="34"/>
      <c r="G16" s="67">
        <v>11249</v>
      </c>
      <c r="H16" s="104">
        <v>17.649999999999999</v>
      </c>
      <c r="I16" s="66">
        <f t="shared" si="0"/>
        <v>198544.84999999998</v>
      </c>
      <c r="J16" s="58"/>
      <c r="K16" s="104">
        <v>17.43</v>
      </c>
      <c r="L16" s="66">
        <f t="shared" si="1"/>
        <v>196070.07</v>
      </c>
      <c r="M16" s="190"/>
      <c r="N16" s="58"/>
      <c r="O16" s="134">
        <f t="shared" si="2"/>
        <v>11249</v>
      </c>
      <c r="P16" s="104">
        <f t="shared" si="3"/>
        <v>17.43</v>
      </c>
      <c r="Q16" s="234"/>
      <c r="R16" s="66">
        <f t="shared" si="4"/>
        <v>196070.07</v>
      </c>
      <c r="S16" s="48"/>
      <c r="T16" s="118"/>
      <c r="U16" s="19"/>
      <c r="V16" s="48"/>
      <c r="W16" s="48"/>
      <c r="X16" s="48"/>
      <c r="Y16" s="104"/>
      <c r="Z16" s="120"/>
      <c r="AA16" s="121"/>
      <c r="AB16" s="48"/>
      <c r="AC16" s="118"/>
    </row>
    <row r="17" spans="1:29" x14ac:dyDescent="0.25">
      <c r="A17" s="34"/>
      <c r="B17" s="34"/>
      <c r="C17" s="2" t="s">
        <v>200</v>
      </c>
      <c r="E17" s="67">
        <v>462840</v>
      </c>
      <c r="F17" s="34"/>
      <c r="G17" s="67">
        <v>3328</v>
      </c>
      <c r="H17" s="104">
        <v>17.649999999999999</v>
      </c>
      <c r="I17" s="66">
        <f t="shared" si="0"/>
        <v>58739.199999999997</v>
      </c>
      <c r="J17" s="58"/>
      <c r="K17" s="104">
        <v>17.43</v>
      </c>
      <c r="L17" s="66">
        <f t="shared" si="1"/>
        <v>58007.040000000001</v>
      </c>
      <c r="M17" s="190"/>
      <c r="N17" s="58"/>
      <c r="O17" s="134">
        <f t="shared" si="2"/>
        <v>3328</v>
      </c>
      <c r="P17" s="104">
        <f t="shared" si="3"/>
        <v>17.43</v>
      </c>
      <c r="Q17" s="234"/>
      <c r="R17" s="66">
        <f t="shared" si="4"/>
        <v>58007.040000000001</v>
      </c>
      <c r="S17" s="48"/>
      <c r="T17" s="118"/>
      <c r="U17" s="19"/>
      <c r="V17" s="48"/>
      <c r="W17" s="48"/>
      <c r="X17" s="48"/>
      <c r="Y17" s="104"/>
      <c r="Z17" s="120"/>
      <c r="AA17" s="121"/>
      <c r="AB17" s="48"/>
      <c r="AC17" s="118"/>
    </row>
    <row r="18" spans="1:29" ht="18" customHeight="1" x14ac:dyDescent="0.25">
      <c r="A18" s="34"/>
      <c r="B18" s="34"/>
      <c r="C18" s="2" t="s">
        <v>201</v>
      </c>
      <c r="E18" s="67">
        <v>679992</v>
      </c>
      <c r="F18" s="34"/>
      <c r="G18" s="67">
        <v>28454</v>
      </c>
      <c r="H18" s="104">
        <v>8.98</v>
      </c>
      <c r="I18" s="66">
        <f t="shared" si="0"/>
        <v>255516.92</v>
      </c>
      <c r="J18" s="58"/>
      <c r="K18" s="104">
        <v>8.94</v>
      </c>
      <c r="L18" s="66">
        <f t="shared" si="1"/>
        <v>254378.75999999998</v>
      </c>
      <c r="M18" s="190"/>
      <c r="N18" s="58"/>
      <c r="O18" s="134">
        <f t="shared" si="2"/>
        <v>28454</v>
      </c>
      <c r="P18" s="104">
        <f t="shared" si="3"/>
        <v>8.94</v>
      </c>
      <c r="Q18" s="234"/>
      <c r="R18" s="66">
        <f t="shared" si="4"/>
        <v>254378.75999999998</v>
      </c>
      <c r="S18" s="48"/>
      <c r="T18" s="118"/>
      <c r="U18" s="19"/>
      <c r="V18" s="48"/>
      <c r="W18" s="48"/>
      <c r="X18" s="48"/>
      <c r="Y18" s="104"/>
      <c r="Z18" s="120"/>
      <c r="AA18" s="121"/>
      <c r="AB18" s="48"/>
      <c r="AC18" s="118"/>
    </row>
    <row r="19" spans="1:29" ht="18" customHeight="1" x14ac:dyDescent="0.25">
      <c r="A19" s="34"/>
      <c r="B19" s="34"/>
      <c r="C19" s="2" t="s">
        <v>202</v>
      </c>
      <c r="E19" s="67">
        <v>706608</v>
      </c>
      <c r="F19" s="34"/>
      <c r="G19" s="67">
        <v>12658</v>
      </c>
      <c r="H19" s="104">
        <v>15.27</v>
      </c>
      <c r="I19" s="66">
        <f t="shared" si="0"/>
        <v>193287.66</v>
      </c>
      <c r="J19" s="58"/>
      <c r="K19" s="104">
        <v>15.18</v>
      </c>
      <c r="L19" s="66">
        <f t="shared" si="1"/>
        <v>192148.44</v>
      </c>
      <c r="M19" s="190"/>
      <c r="N19" s="58"/>
      <c r="O19" s="134">
        <f t="shared" si="2"/>
        <v>12658</v>
      </c>
      <c r="P19" s="104">
        <f t="shared" si="3"/>
        <v>15.18</v>
      </c>
      <c r="Q19" s="234"/>
      <c r="R19" s="66">
        <f t="shared" si="4"/>
        <v>192148.44</v>
      </c>
      <c r="S19" s="48"/>
      <c r="T19" s="118"/>
      <c r="U19" s="19"/>
      <c r="V19" s="48"/>
      <c r="W19" s="48"/>
      <c r="X19" s="48"/>
      <c r="Y19" s="104"/>
      <c r="Z19" s="120"/>
      <c r="AA19" s="121"/>
      <c r="AB19" s="48"/>
      <c r="AC19" s="118"/>
    </row>
    <row r="20" spans="1:29" ht="18" customHeight="1" x14ac:dyDescent="0.25">
      <c r="A20" s="34"/>
      <c r="B20" s="34"/>
      <c r="C20" s="2" t="s">
        <v>203</v>
      </c>
      <c r="E20" s="67">
        <v>2156</v>
      </c>
      <c r="F20" s="34"/>
      <c r="G20" s="67">
        <v>28</v>
      </c>
      <c r="H20" s="104">
        <v>18.73</v>
      </c>
      <c r="I20" s="66">
        <f t="shared" si="0"/>
        <v>524.44000000000005</v>
      </c>
      <c r="J20" s="58"/>
      <c r="K20" s="104">
        <v>18.61</v>
      </c>
      <c r="L20" s="66">
        <f t="shared" si="1"/>
        <v>521.07999999999993</v>
      </c>
      <c r="M20" s="190"/>
      <c r="N20" s="58"/>
      <c r="O20" s="134">
        <f t="shared" si="2"/>
        <v>28</v>
      </c>
      <c r="P20" s="104">
        <f t="shared" si="3"/>
        <v>18.61</v>
      </c>
      <c r="Q20" s="234"/>
      <c r="R20" s="66">
        <f t="shared" si="4"/>
        <v>521.07999999999993</v>
      </c>
      <c r="S20" s="48"/>
      <c r="T20" s="118"/>
      <c r="U20" s="19"/>
      <c r="V20" s="48"/>
      <c r="W20" s="48"/>
      <c r="X20" s="48"/>
      <c r="Y20" s="104"/>
      <c r="Z20" s="120"/>
      <c r="AA20" s="121"/>
      <c r="AB20" s="48"/>
      <c r="AC20" s="118"/>
    </row>
    <row r="21" spans="1:29" ht="18" customHeight="1" x14ac:dyDescent="0.25">
      <c r="A21" s="34"/>
      <c r="B21" s="34"/>
      <c r="C21" s="2" t="s">
        <v>204</v>
      </c>
      <c r="E21" s="67">
        <v>1207780</v>
      </c>
      <c r="F21" s="34"/>
      <c r="G21" s="67">
        <v>8664</v>
      </c>
      <c r="H21" s="104">
        <v>17.649999999999999</v>
      </c>
      <c r="I21" s="66">
        <f t="shared" si="0"/>
        <v>152919.59999999998</v>
      </c>
      <c r="J21" s="58"/>
      <c r="K21" s="104">
        <v>17.43</v>
      </c>
      <c r="L21" s="66">
        <f t="shared" si="1"/>
        <v>151013.51999999999</v>
      </c>
      <c r="M21" s="190"/>
      <c r="N21" s="58"/>
      <c r="O21" s="134">
        <f t="shared" si="2"/>
        <v>8664</v>
      </c>
      <c r="P21" s="104">
        <f t="shared" si="3"/>
        <v>17.43</v>
      </c>
      <c r="Q21" s="234"/>
      <c r="R21" s="66">
        <f t="shared" si="4"/>
        <v>151013.51999999999</v>
      </c>
      <c r="S21" s="48"/>
      <c r="T21" s="118"/>
      <c r="U21" s="19"/>
      <c r="V21" s="48"/>
      <c r="W21" s="48"/>
      <c r="X21" s="48"/>
      <c r="Y21" s="104"/>
      <c r="Z21" s="120"/>
      <c r="AA21" s="121"/>
      <c r="AB21" s="48"/>
      <c r="AC21" s="118"/>
    </row>
    <row r="22" spans="1:29" x14ac:dyDescent="0.25">
      <c r="A22" s="34"/>
      <c r="B22" s="34"/>
      <c r="C22" s="336" t="s">
        <v>84</v>
      </c>
      <c r="E22" s="337">
        <f>SUM(E12:E21)</f>
        <v>9943106</v>
      </c>
      <c r="F22" s="34"/>
      <c r="G22" s="381">
        <f>SUM(G12:G21)</f>
        <v>140525</v>
      </c>
      <c r="H22" s="104"/>
      <c r="I22" s="380">
        <f>SUM(I12:I21)</f>
        <v>1557272.9699999997</v>
      </c>
      <c r="J22" s="58"/>
      <c r="K22" s="104"/>
      <c r="L22" s="380">
        <f>SUM(L12:L21)</f>
        <v>1541503.37</v>
      </c>
      <c r="M22" s="190"/>
      <c r="N22" s="58"/>
      <c r="O22" s="381">
        <f>SUM(O12:O21)</f>
        <v>140525</v>
      </c>
      <c r="P22" s="104"/>
      <c r="Q22" s="234"/>
      <c r="R22" s="380">
        <f>SUM(R12:R21)</f>
        <v>1541503.37</v>
      </c>
      <c r="S22" s="48"/>
      <c r="T22" s="118"/>
      <c r="U22" s="19"/>
      <c r="V22" s="48"/>
      <c r="W22" s="48"/>
      <c r="X22" s="48"/>
      <c r="Y22" s="104"/>
      <c r="Z22" s="120"/>
      <c r="AA22" s="121"/>
      <c r="AB22" s="48"/>
      <c r="AC22" s="118"/>
    </row>
    <row r="23" spans="1:29" x14ac:dyDescent="0.25">
      <c r="A23" s="34"/>
      <c r="B23" s="34"/>
      <c r="C23" s="34"/>
      <c r="D23" s="34"/>
      <c r="E23" s="69"/>
      <c r="F23" s="34"/>
      <c r="G23" s="334"/>
      <c r="H23" s="234"/>
      <c r="I23" s="58"/>
      <c r="J23" s="58"/>
      <c r="K23" s="104"/>
      <c r="L23" s="383"/>
      <c r="M23" s="190"/>
      <c r="N23" s="58"/>
      <c r="O23" s="334"/>
      <c r="P23" s="234"/>
      <c r="Q23" s="234"/>
      <c r="S23" s="48"/>
      <c r="T23" s="118"/>
      <c r="U23" s="19"/>
      <c r="V23" s="48"/>
      <c r="W23" s="48"/>
      <c r="X23" s="48"/>
      <c r="Y23" s="104"/>
      <c r="Z23" s="120"/>
      <c r="AA23" s="121"/>
      <c r="AB23" s="48"/>
      <c r="AC23" s="118"/>
    </row>
    <row r="24" spans="1:29" x14ac:dyDescent="0.25">
      <c r="A24" s="1"/>
      <c r="C24" s="34" t="s">
        <v>91</v>
      </c>
      <c r="D24" s="65"/>
      <c r="E24" s="70"/>
      <c r="F24" s="18"/>
      <c r="G24" s="18"/>
      <c r="I24" s="68">
        <f>'Billing Determ'!F164</f>
        <v>-815.27999999999986</v>
      </c>
      <c r="J24" s="1"/>
      <c r="K24" s="34"/>
      <c r="L24" s="66">
        <f>I24</f>
        <v>-815.27999999999986</v>
      </c>
      <c r="M24" s="191"/>
      <c r="N24" s="70"/>
      <c r="O24" s="134" t="str">
        <f>C24</f>
        <v>FAC</v>
      </c>
      <c r="P24" s="18"/>
      <c r="R24" s="11">
        <f>I24</f>
        <v>-815.27999999999986</v>
      </c>
    </row>
    <row r="25" spans="1:29" x14ac:dyDescent="0.25">
      <c r="A25" s="1"/>
      <c r="C25" s="34" t="s">
        <v>98</v>
      </c>
      <c r="D25" s="65"/>
      <c r="E25" s="70"/>
      <c r="F25" s="68"/>
      <c r="G25" s="18"/>
      <c r="I25" s="68">
        <f>'Billing Determ'!G164</f>
        <v>2086.96</v>
      </c>
      <c r="J25" s="1"/>
      <c r="K25" s="34"/>
      <c r="L25" s="66">
        <f t="shared" ref="L25" si="5">I25</f>
        <v>2086.96</v>
      </c>
      <c r="M25" s="191"/>
      <c r="N25" s="70"/>
      <c r="O25" s="134" t="str">
        <f>C25</f>
        <v>ES</v>
      </c>
      <c r="P25" s="18"/>
      <c r="R25" s="11">
        <f>I25</f>
        <v>2086.96</v>
      </c>
    </row>
    <row r="26" spans="1:29" x14ac:dyDescent="0.25">
      <c r="A26" s="1"/>
      <c r="C26" s="34"/>
      <c r="D26" s="65"/>
      <c r="E26" s="70"/>
      <c r="F26" s="68"/>
      <c r="G26" s="18"/>
      <c r="I26" s="68"/>
      <c r="J26" s="1"/>
      <c r="K26" s="34"/>
      <c r="L26" s="66"/>
      <c r="M26" s="191"/>
      <c r="N26" s="70"/>
      <c r="O26" s="134"/>
      <c r="P26" s="18"/>
      <c r="R26" s="11"/>
    </row>
    <row r="27" spans="1:29" x14ac:dyDescent="0.25">
      <c r="A27" s="1"/>
      <c r="C27" s="34"/>
      <c r="D27" s="65"/>
      <c r="E27" s="70"/>
      <c r="F27" s="68"/>
      <c r="G27" s="18"/>
      <c r="I27" s="68"/>
      <c r="J27" s="1"/>
      <c r="K27" s="34"/>
      <c r="L27" s="66"/>
      <c r="M27" s="191"/>
      <c r="N27" s="70"/>
      <c r="O27" s="134"/>
      <c r="P27" s="18"/>
      <c r="R27" s="11"/>
    </row>
    <row r="28" spans="1:29" ht="16.5" thickBot="1" x14ac:dyDescent="0.3">
      <c r="A28" s="1" t="s">
        <v>80</v>
      </c>
      <c r="B28" s="1"/>
      <c r="C28" s="1"/>
      <c r="D28" s="1"/>
      <c r="E28" s="34"/>
      <c r="F28" s="34"/>
      <c r="G28" s="34"/>
      <c r="H28" s="34"/>
      <c r="I28" s="89">
        <f>I22+I24+I25</f>
        <v>1558544.6499999997</v>
      </c>
      <c r="J28" s="80"/>
      <c r="K28" s="80"/>
      <c r="L28" s="89">
        <f>L22+L24+L25</f>
        <v>1542775.05</v>
      </c>
      <c r="M28" s="190"/>
      <c r="N28" s="80"/>
      <c r="O28" s="1" t="s">
        <v>80</v>
      </c>
      <c r="P28" s="34"/>
      <c r="Q28" s="34"/>
      <c r="R28" s="89">
        <f>R22+R24+R25</f>
        <v>1542775.05</v>
      </c>
      <c r="S28" s="48"/>
      <c r="T28" s="80"/>
      <c r="U28" s="19"/>
      <c r="V28" s="119"/>
      <c r="W28" s="48"/>
      <c r="X28" s="48"/>
      <c r="Y28" s="48"/>
      <c r="Z28" s="48"/>
      <c r="AA28" s="48"/>
      <c r="AB28" s="48"/>
      <c r="AC28" s="80"/>
    </row>
    <row r="29" spans="1:29" ht="16.5" thickTop="1" x14ac:dyDescent="0.25">
      <c r="A29" s="59"/>
      <c r="B29" s="59"/>
      <c r="C29" s="59"/>
      <c r="D29" s="59"/>
      <c r="E29" s="34"/>
      <c r="F29" s="34"/>
      <c r="G29" s="34"/>
      <c r="H29" s="34"/>
      <c r="I29" s="68"/>
      <c r="J29" s="68"/>
      <c r="K29" s="68"/>
      <c r="L29" s="68"/>
      <c r="M29" s="190"/>
      <c r="N29" s="68"/>
      <c r="O29" s="1"/>
      <c r="P29" s="34"/>
      <c r="Q29" s="34"/>
      <c r="R29" s="18"/>
      <c r="S29" s="48"/>
      <c r="T29" s="68"/>
      <c r="U29" s="19"/>
      <c r="V29" s="119"/>
      <c r="W29" s="48"/>
      <c r="X29" s="48"/>
      <c r="Y29" s="48"/>
      <c r="Z29" s="48"/>
      <c r="AA29" s="48"/>
      <c r="AB29" s="48"/>
      <c r="AC29" s="68"/>
    </row>
    <row r="30" spans="1:29" x14ac:dyDescent="0.25">
      <c r="A30" s="44" t="s">
        <v>19</v>
      </c>
      <c r="B30" s="44"/>
      <c r="C30" s="44"/>
      <c r="D30" s="44"/>
      <c r="E30" s="34"/>
      <c r="F30" s="34"/>
      <c r="G30" s="69"/>
      <c r="H30" s="34"/>
      <c r="I30" s="66">
        <f>'Billing Determ'!O19+'Billing Determ'!O37+'Billing Determ'!O56+'Billing Determ'!O75+'Billing Determ'!O92+'Billing Determ'!O110+'Billing Determ'!O127+'Billing Determ'!O144+'Billing Determ'!E164+'Billing Determ'!F164+'Billing Determ'!G164</f>
        <v>1543986.1279999998</v>
      </c>
      <c r="J30" s="66"/>
      <c r="K30" s="66"/>
      <c r="L30" s="66"/>
      <c r="M30" s="190"/>
      <c r="N30" s="66"/>
      <c r="O30" s="119" t="s">
        <v>105</v>
      </c>
      <c r="P30" s="34"/>
      <c r="Q30" s="34"/>
      <c r="R30" s="37">
        <f>R28-L28</f>
        <v>0</v>
      </c>
      <c r="S30" s="48"/>
      <c r="T30" s="73"/>
      <c r="U30" s="19"/>
      <c r="V30" s="44"/>
      <c r="W30" s="48"/>
      <c r="X30" s="48"/>
      <c r="Y30" s="48"/>
      <c r="Z30" s="73"/>
      <c r="AA30" s="48"/>
      <c r="AB30" s="48"/>
      <c r="AC30" s="73"/>
    </row>
    <row r="31" spans="1:29" x14ac:dyDescent="0.25">
      <c r="A31" s="10"/>
      <c r="B31" s="10"/>
      <c r="C31" s="10"/>
      <c r="D31" s="10"/>
      <c r="E31" s="34"/>
      <c r="F31" s="34"/>
      <c r="G31" s="48"/>
      <c r="H31" s="34"/>
      <c r="I31" s="58"/>
      <c r="J31" s="58"/>
      <c r="K31" s="58"/>
      <c r="L31" s="58"/>
      <c r="M31" s="190"/>
      <c r="N31" s="58"/>
      <c r="O31" s="48"/>
      <c r="P31" s="34"/>
      <c r="Q31" s="34"/>
      <c r="R31" s="10"/>
      <c r="S31" s="48"/>
      <c r="T31" s="68"/>
      <c r="U31" s="19"/>
      <c r="V31" s="17"/>
      <c r="W31" s="48"/>
      <c r="X31" s="48"/>
      <c r="Y31" s="48"/>
      <c r="Z31" s="68"/>
      <c r="AA31" s="48"/>
      <c r="AB31" s="48"/>
      <c r="AC31" s="68"/>
    </row>
    <row r="32" spans="1:29" x14ac:dyDescent="0.25">
      <c r="A32" s="44" t="s">
        <v>13</v>
      </c>
      <c r="B32" s="44"/>
      <c r="C32" s="44"/>
      <c r="D32" s="44"/>
      <c r="E32" s="34"/>
      <c r="F32" s="34"/>
      <c r="G32" s="73"/>
      <c r="H32" s="34"/>
      <c r="I32" s="71">
        <f>I28-I30</f>
        <v>14558.521999999881</v>
      </c>
      <c r="J32" s="71"/>
      <c r="K32" s="71"/>
      <c r="L32" s="71">
        <f>L28-I28</f>
        <v>-15769.599999999627</v>
      </c>
      <c r="M32" s="190"/>
      <c r="N32" s="71"/>
      <c r="O32" s="119" t="s">
        <v>106</v>
      </c>
      <c r="P32" s="34"/>
      <c r="Q32" s="34"/>
      <c r="R32" s="149">
        <f>R30/L28</f>
        <v>0</v>
      </c>
      <c r="S32" s="48"/>
      <c r="T32" s="74"/>
      <c r="U32" s="19"/>
      <c r="V32" s="44"/>
      <c r="W32" s="48"/>
      <c r="X32" s="48"/>
      <c r="Y32" s="48"/>
      <c r="Z32" s="74"/>
      <c r="AA32" s="48"/>
      <c r="AB32" s="48"/>
      <c r="AC32" s="74"/>
    </row>
    <row r="33" spans="1:29" x14ac:dyDescent="0.25">
      <c r="A33" s="10"/>
      <c r="B33" s="10"/>
      <c r="C33" s="10"/>
      <c r="D33" s="10"/>
      <c r="E33" s="34"/>
      <c r="F33" s="34"/>
      <c r="G33" s="68"/>
      <c r="H33" s="34"/>
      <c r="I33" s="66"/>
      <c r="J33" s="66"/>
      <c r="K33" s="66"/>
      <c r="L33" s="66"/>
      <c r="M33" s="190"/>
      <c r="N33" s="66"/>
      <c r="O33" s="34"/>
      <c r="P33" s="34"/>
      <c r="Q33" s="34"/>
      <c r="R33" s="11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x14ac:dyDescent="0.25">
      <c r="A34" s="44" t="s">
        <v>26</v>
      </c>
      <c r="B34" s="44"/>
      <c r="C34" s="44"/>
      <c r="D34" s="44"/>
      <c r="E34" s="34"/>
      <c r="F34" s="34"/>
      <c r="G34" s="74"/>
      <c r="H34" s="34"/>
      <c r="I34" s="72">
        <f>(I28-I30)/I30</f>
        <v>9.4291792756313435E-3</v>
      </c>
      <c r="J34" s="74"/>
      <c r="K34" s="74"/>
      <c r="L34" s="28">
        <f>L32/I30</f>
        <v>-1.0213563265899776E-2</v>
      </c>
      <c r="M34" s="190"/>
      <c r="N34" s="74"/>
      <c r="O34" s="59" t="s">
        <v>89</v>
      </c>
      <c r="P34" s="34"/>
      <c r="Q34" s="34"/>
      <c r="R34" s="50">
        <f>R30/O22</f>
        <v>0</v>
      </c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x14ac:dyDescent="0.25">
      <c r="A35" s="11"/>
      <c r="B35" s="11"/>
      <c r="C35" s="11"/>
      <c r="D35" s="11"/>
      <c r="E35" s="34"/>
      <c r="F35" s="34"/>
      <c r="G35" s="34"/>
      <c r="H35" s="34"/>
      <c r="I35" s="68"/>
      <c r="J35" s="68"/>
      <c r="K35" s="68"/>
      <c r="L35" s="68"/>
      <c r="N35" s="68"/>
      <c r="O35" s="34"/>
      <c r="P35" s="34"/>
      <c r="Q35" s="34"/>
      <c r="R35" s="68"/>
      <c r="S35" s="48"/>
      <c r="T35" s="42"/>
      <c r="U35" s="19"/>
      <c r="V35" s="68"/>
      <c r="W35" s="68"/>
      <c r="X35" s="68"/>
      <c r="Y35" s="48"/>
      <c r="Z35" s="48"/>
      <c r="AA35" s="48"/>
      <c r="AB35" s="48"/>
      <c r="AC35" s="42"/>
    </row>
    <row r="36" spans="1:29" x14ac:dyDescent="0.25">
      <c r="A36" s="34"/>
      <c r="B36" s="34"/>
      <c r="C36" s="34"/>
      <c r="D36" s="34"/>
      <c r="E36" s="34"/>
      <c r="F36" s="34"/>
      <c r="G36" s="34"/>
      <c r="H36" s="34"/>
      <c r="I36" s="68"/>
      <c r="J36" s="68"/>
      <c r="K36" s="68"/>
      <c r="L36" s="68"/>
      <c r="M36" s="68"/>
      <c r="N36" s="68"/>
      <c r="O36" s="67"/>
      <c r="P36" s="70"/>
      <c r="Q36" s="70"/>
      <c r="R36" s="68"/>
      <c r="S36" s="48"/>
      <c r="T36" s="68"/>
      <c r="U36" s="19"/>
      <c r="V36" s="48"/>
      <c r="W36" s="122"/>
      <c r="X36" s="48"/>
      <c r="Y36" s="123"/>
      <c r="Z36" s="117"/>
      <c r="AA36" s="85"/>
      <c r="AB36" s="48"/>
      <c r="AC36" s="68"/>
    </row>
    <row r="37" spans="1:29" x14ac:dyDescent="0.25">
      <c r="A37" s="34"/>
      <c r="B37" s="34"/>
      <c r="C37" s="34"/>
      <c r="D37" s="34"/>
      <c r="E37" s="34"/>
      <c r="F37" s="34"/>
      <c r="G37" s="34"/>
      <c r="H37" s="34"/>
      <c r="I37" s="68"/>
      <c r="J37" s="68"/>
      <c r="K37" s="68"/>
      <c r="L37" s="68"/>
      <c r="M37" s="68"/>
      <c r="N37" s="68"/>
      <c r="O37" s="67"/>
      <c r="P37" s="70"/>
      <c r="Q37" s="70"/>
      <c r="R37" s="68"/>
      <c r="S37" s="48"/>
      <c r="T37" s="68"/>
      <c r="U37" s="19"/>
      <c r="V37" s="48"/>
      <c r="W37" s="122"/>
      <c r="X37" s="48"/>
      <c r="Y37" s="123"/>
      <c r="Z37" s="117"/>
      <c r="AA37" s="85"/>
      <c r="AB37" s="48"/>
      <c r="AC37" s="68"/>
    </row>
    <row r="38" spans="1:29" ht="15" customHeight="1" x14ac:dyDescent="0.25">
      <c r="E38" s="34"/>
      <c r="F38" s="34"/>
      <c r="G38" s="34"/>
      <c r="H38" s="34"/>
      <c r="I38" s="10"/>
      <c r="J38" s="10"/>
      <c r="K38" s="10"/>
      <c r="L38" s="10"/>
      <c r="N38" s="10"/>
      <c r="R38" s="10"/>
      <c r="V38" s="10"/>
      <c r="W38" s="10"/>
      <c r="X38" s="10"/>
    </row>
    <row r="39" spans="1:29" x14ac:dyDescent="0.25">
      <c r="E39" s="34"/>
      <c r="F39" s="34"/>
      <c r="G39" s="34"/>
      <c r="H39" s="34"/>
      <c r="I39" s="10"/>
      <c r="J39" s="10"/>
      <c r="K39" s="10"/>
      <c r="L39" s="10"/>
      <c r="N39" s="10"/>
      <c r="R39" s="10"/>
      <c r="T39" s="26"/>
      <c r="V39" s="11"/>
      <c r="W39" s="11"/>
      <c r="X39" s="19"/>
      <c r="Y39" s="19"/>
      <c r="Z39" s="53"/>
      <c r="AC39" s="26"/>
    </row>
    <row r="40" spans="1:29" x14ac:dyDescent="0.25">
      <c r="F40" s="34"/>
      <c r="G40" s="34"/>
      <c r="H40" s="34"/>
      <c r="I40" s="10"/>
      <c r="J40" s="10"/>
      <c r="K40" s="10"/>
      <c r="L40" s="14"/>
      <c r="N40" s="10"/>
      <c r="R40" s="10"/>
      <c r="V40" s="10"/>
      <c r="W40" s="10"/>
      <c r="X40" s="53"/>
      <c r="Y40" s="53"/>
      <c r="Z40" s="53"/>
    </row>
    <row r="41" spans="1:29" x14ac:dyDescent="0.25">
      <c r="F41" s="34"/>
      <c r="G41" s="34"/>
      <c r="H41" s="34"/>
      <c r="I41" s="10"/>
      <c r="J41" s="10"/>
      <c r="K41" s="10"/>
      <c r="L41" s="14"/>
      <c r="N41" s="10"/>
      <c r="R41" s="10"/>
      <c r="V41" s="27"/>
      <c r="W41" s="27"/>
      <c r="X41" s="55"/>
      <c r="Y41" s="78"/>
      <c r="Z41" s="46"/>
    </row>
    <row r="42" spans="1:29" x14ac:dyDescent="0.25">
      <c r="F42" s="34"/>
      <c r="G42" s="34"/>
      <c r="H42" s="34"/>
      <c r="I42" s="10"/>
      <c r="J42" s="10"/>
      <c r="K42" s="10"/>
      <c r="L42" s="30"/>
      <c r="N42" s="10"/>
      <c r="R42" s="10"/>
      <c r="V42" s="28"/>
      <c r="W42" s="28"/>
      <c r="X42" s="55"/>
      <c r="Y42" s="78"/>
      <c r="Z42" s="46"/>
    </row>
    <row r="43" spans="1:29" x14ac:dyDescent="0.25">
      <c r="I43" s="10"/>
      <c r="J43" s="10"/>
      <c r="K43" s="10"/>
      <c r="L43" s="14"/>
      <c r="N43" s="10"/>
      <c r="R43" s="10"/>
      <c r="X43" s="55"/>
      <c r="Y43" s="78"/>
      <c r="Z43" s="46"/>
    </row>
    <row r="44" spans="1:29" x14ac:dyDescent="0.25">
      <c r="I44" s="10"/>
      <c r="J44" s="10"/>
      <c r="K44" s="10"/>
      <c r="L44" s="14"/>
      <c r="N44" s="10"/>
      <c r="R44" s="10"/>
      <c r="X44" s="55"/>
      <c r="Y44" s="78"/>
      <c r="Z44" s="46"/>
    </row>
    <row r="45" spans="1:29" x14ac:dyDescent="0.25">
      <c r="I45" s="10"/>
      <c r="J45" s="10"/>
      <c r="K45" s="10"/>
      <c r="L45" s="10"/>
      <c r="N45" s="10"/>
      <c r="R45" s="10"/>
      <c r="X45" s="55"/>
      <c r="Y45" s="78"/>
      <c r="Z45" s="46"/>
    </row>
    <row r="46" spans="1:29" x14ac:dyDescent="0.25">
      <c r="I46" s="10"/>
      <c r="J46" s="10"/>
      <c r="K46" s="10"/>
      <c r="L46" s="149"/>
      <c r="N46" s="10"/>
      <c r="R46" s="10"/>
      <c r="X46" s="55"/>
      <c r="Y46" s="78"/>
      <c r="Z46" s="46"/>
    </row>
    <row r="47" spans="1:29" x14ac:dyDescent="0.25">
      <c r="F47" s="148"/>
      <c r="G47" s="93"/>
      <c r="H47" s="46"/>
      <c r="I47" s="10"/>
      <c r="J47" s="10"/>
      <c r="K47" s="10"/>
      <c r="L47" s="10"/>
      <c r="N47" s="10"/>
      <c r="O47" s="93"/>
      <c r="P47" s="46"/>
      <c r="Q47" s="46"/>
      <c r="R47" s="10"/>
      <c r="X47" s="19"/>
      <c r="Y47" s="19"/>
      <c r="Z47" s="46"/>
    </row>
    <row r="48" spans="1:29" x14ac:dyDescent="0.25">
      <c r="F48" s="82"/>
      <c r="G48" s="19"/>
      <c r="H48" s="53"/>
      <c r="I48" s="10"/>
      <c r="J48" s="10"/>
      <c r="K48" s="10"/>
      <c r="L48" s="10"/>
      <c r="N48" s="10"/>
      <c r="O48" s="19"/>
      <c r="P48" s="53"/>
      <c r="Q48" s="53"/>
      <c r="R48" s="10"/>
      <c r="X48" s="19"/>
      <c r="Y48" s="19"/>
      <c r="Z48" s="56"/>
    </row>
    <row r="49" spans="1:18" x14ac:dyDescent="0.25">
      <c r="F49" s="82"/>
      <c r="G49" s="82"/>
      <c r="H49" s="53"/>
      <c r="I49" s="10"/>
      <c r="J49" s="10"/>
      <c r="K49" s="10"/>
      <c r="L49" s="10"/>
      <c r="N49" s="10"/>
      <c r="O49" s="82"/>
      <c r="P49" s="53"/>
      <c r="Q49" s="53"/>
      <c r="R49" s="10"/>
    </row>
    <row r="50" spans="1:18" x14ac:dyDescent="0.25">
      <c r="E50" s="53"/>
      <c r="F50" s="82"/>
      <c r="G50" s="82"/>
      <c r="H50" s="53"/>
      <c r="I50" s="10"/>
      <c r="J50" s="10"/>
      <c r="K50" s="10"/>
      <c r="L50" s="10"/>
      <c r="N50" s="10"/>
      <c r="O50" s="82"/>
      <c r="P50" s="53"/>
      <c r="Q50" s="53"/>
      <c r="R50" s="10"/>
    </row>
    <row r="51" spans="1:18" x14ac:dyDescent="0.25">
      <c r="E51" s="53"/>
      <c r="F51" s="82"/>
      <c r="G51" s="82"/>
      <c r="H51" s="53"/>
      <c r="I51" s="10"/>
      <c r="J51" s="10"/>
      <c r="K51" s="10"/>
      <c r="L51" s="10"/>
      <c r="N51" s="10"/>
      <c r="O51" s="82"/>
      <c r="P51" s="53"/>
      <c r="Q51" s="53"/>
      <c r="R51" s="10"/>
    </row>
    <row r="52" spans="1:18" x14ac:dyDescent="0.25">
      <c r="E52" s="53"/>
      <c r="F52" s="82"/>
      <c r="G52" s="82"/>
      <c r="H52" s="53"/>
      <c r="I52" s="10"/>
      <c r="J52" s="10"/>
      <c r="K52" s="10"/>
      <c r="L52" s="10"/>
      <c r="N52" s="10"/>
      <c r="O52" s="82"/>
      <c r="P52" s="53"/>
      <c r="Q52" s="53"/>
      <c r="R52" s="10"/>
    </row>
    <row r="53" spans="1:18" x14ac:dyDescent="0.25">
      <c r="E53" s="53"/>
      <c r="F53" s="82"/>
      <c r="G53" s="82"/>
      <c r="H53" s="53"/>
      <c r="I53" s="10"/>
      <c r="J53" s="10"/>
      <c r="K53" s="10"/>
      <c r="L53" s="10"/>
      <c r="N53" s="10"/>
      <c r="O53" s="82"/>
      <c r="P53" s="53"/>
      <c r="Q53" s="53"/>
      <c r="R53" s="10"/>
    </row>
    <row r="54" spans="1:18" x14ac:dyDescent="0.25">
      <c r="D54" s="19"/>
      <c r="E54" s="53"/>
      <c r="F54" s="82"/>
      <c r="G54" s="82"/>
      <c r="H54" s="53"/>
      <c r="I54" s="10"/>
      <c r="J54" s="10"/>
      <c r="K54" s="10"/>
      <c r="L54" s="10"/>
      <c r="N54" s="10"/>
      <c r="O54" s="82"/>
      <c r="P54" s="53"/>
      <c r="Q54" s="53"/>
      <c r="R54" s="10"/>
    </row>
    <row r="55" spans="1:18" x14ac:dyDescent="0.25">
      <c r="C55" s="34"/>
      <c r="D55" s="34"/>
      <c r="E55" s="34"/>
      <c r="F55" s="67"/>
      <c r="G55" s="34"/>
      <c r="H55" s="334"/>
      <c r="I55" s="234"/>
      <c r="J55" s="58"/>
      <c r="K55" s="10"/>
      <c r="L55" s="10"/>
      <c r="N55" s="10"/>
      <c r="O55" s="82"/>
      <c r="P55" s="53"/>
      <c r="Q55" s="53"/>
      <c r="R55" s="10"/>
    </row>
    <row r="56" spans="1:18" x14ac:dyDescent="0.25">
      <c r="C56" s="34"/>
      <c r="F56" s="67"/>
      <c r="G56" s="34"/>
      <c r="H56" s="67"/>
      <c r="I56" s="234"/>
      <c r="J56" s="58"/>
      <c r="K56" s="10"/>
      <c r="L56" s="10"/>
      <c r="N56" s="10"/>
      <c r="O56" s="82"/>
      <c r="P56" s="53"/>
      <c r="Q56" s="53"/>
      <c r="R56" s="10"/>
    </row>
    <row r="57" spans="1:18" x14ac:dyDescent="0.25">
      <c r="C57" s="34"/>
      <c r="F57" s="67"/>
      <c r="G57" s="34"/>
      <c r="H57" s="67"/>
      <c r="I57" s="234"/>
      <c r="J57" s="58"/>
      <c r="K57" s="10"/>
      <c r="L57" s="10"/>
      <c r="N57" s="10"/>
      <c r="O57" s="82"/>
      <c r="P57" s="53"/>
      <c r="Q57" s="53"/>
      <c r="R57" s="10"/>
    </row>
    <row r="58" spans="1:18" x14ac:dyDescent="0.25">
      <c r="C58" s="34"/>
      <c r="F58" s="67"/>
      <c r="G58" s="34"/>
      <c r="H58" s="67"/>
      <c r="I58" s="234"/>
      <c r="J58" s="58"/>
      <c r="K58" s="10"/>
      <c r="L58" s="10"/>
      <c r="N58" s="10"/>
      <c r="O58" s="82"/>
      <c r="P58" s="53"/>
      <c r="Q58" s="53"/>
      <c r="R58" s="10"/>
    </row>
    <row r="59" spans="1:18" x14ac:dyDescent="0.25">
      <c r="C59" s="34"/>
      <c r="F59" s="67"/>
      <c r="G59" s="34"/>
      <c r="H59" s="67"/>
      <c r="I59" s="234"/>
      <c r="J59" s="58"/>
      <c r="K59" s="10"/>
      <c r="L59" s="10"/>
      <c r="N59" s="10"/>
      <c r="O59" s="82"/>
      <c r="P59" s="53"/>
      <c r="Q59" s="53"/>
      <c r="R59" s="10"/>
    </row>
    <row r="60" spans="1:18" x14ac:dyDescent="0.25">
      <c r="C60" s="34"/>
      <c r="F60" s="67"/>
      <c r="G60" s="34"/>
      <c r="H60" s="67"/>
      <c r="I60" s="234"/>
      <c r="J60" s="58"/>
      <c r="K60" s="10"/>
      <c r="L60" s="10"/>
      <c r="N60" s="10"/>
      <c r="O60" s="82"/>
      <c r="P60" s="53"/>
      <c r="Q60" s="53"/>
      <c r="R60" s="10"/>
    </row>
    <row r="61" spans="1:18" x14ac:dyDescent="0.25">
      <c r="C61" s="34"/>
      <c r="F61" s="67"/>
      <c r="G61" s="34"/>
      <c r="H61" s="67"/>
      <c r="I61" s="234"/>
      <c r="J61" s="58"/>
      <c r="K61" s="10"/>
      <c r="L61" s="10"/>
      <c r="N61" s="10"/>
      <c r="O61" s="82"/>
      <c r="P61" s="53"/>
      <c r="Q61" s="53"/>
      <c r="R61" s="10"/>
    </row>
    <row r="62" spans="1:18" x14ac:dyDescent="0.25">
      <c r="C62" s="34"/>
      <c r="F62" s="67"/>
      <c r="G62" s="34"/>
      <c r="H62" s="67"/>
      <c r="I62" s="234"/>
      <c r="J62" s="58"/>
      <c r="K62" s="10"/>
      <c r="L62" s="10"/>
      <c r="N62" s="10"/>
      <c r="O62" s="82"/>
      <c r="P62" s="53"/>
      <c r="Q62" s="53"/>
      <c r="R62" s="10"/>
    </row>
    <row r="63" spans="1:18" x14ac:dyDescent="0.25">
      <c r="A63" s="19"/>
      <c r="B63" s="19"/>
      <c r="C63" s="34"/>
      <c r="F63" s="67"/>
      <c r="G63" s="34"/>
      <c r="H63" s="67"/>
      <c r="I63" s="234"/>
      <c r="J63" s="58"/>
      <c r="K63" s="10"/>
      <c r="L63" s="10"/>
      <c r="N63" s="10"/>
      <c r="O63" s="82"/>
      <c r="P63" s="53"/>
      <c r="Q63" s="53"/>
      <c r="R63" s="10"/>
    </row>
    <row r="64" spans="1:18" x14ac:dyDescent="0.25">
      <c r="A64" s="19"/>
      <c r="B64" s="19"/>
      <c r="C64" s="34"/>
      <c r="F64" s="67"/>
      <c r="G64" s="34"/>
      <c r="H64" s="67"/>
      <c r="I64" s="234"/>
      <c r="J64" s="58"/>
      <c r="K64" s="10"/>
      <c r="L64" s="10"/>
      <c r="N64" s="10"/>
      <c r="O64" s="82"/>
      <c r="P64" s="53"/>
      <c r="Q64" s="53"/>
      <c r="R64" s="10"/>
    </row>
    <row r="65" spans="1:18" x14ac:dyDescent="0.25">
      <c r="A65" s="19"/>
      <c r="B65" s="19"/>
      <c r="C65" s="34"/>
      <c r="F65" s="67"/>
      <c r="G65" s="34"/>
      <c r="H65" s="67"/>
      <c r="I65" s="234"/>
      <c r="J65" s="58"/>
      <c r="K65" s="10"/>
      <c r="L65" s="10"/>
      <c r="N65" s="10"/>
      <c r="O65" s="82"/>
      <c r="P65" s="53"/>
      <c r="Q65" s="53"/>
      <c r="R65" s="10"/>
    </row>
    <row r="66" spans="1:18" x14ac:dyDescent="0.25">
      <c r="A66" s="19"/>
      <c r="B66" s="19"/>
      <c r="C66" s="34"/>
      <c r="D66" s="34"/>
      <c r="E66" s="34"/>
      <c r="F66" s="67"/>
      <c r="G66" s="34"/>
      <c r="H66" s="334"/>
      <c r="I66" s="234"/>
      <c r="J66" s="58"/>
      <c r="K66" s="10"/>
      <c r="L66" s="10"/>
      <c r="N66" s="10"/>
      <c r="O66" s="82"/>
      <c r="P66" s="53"/>
      <c r="Q66" s="53"/>
      <c r="R66" s="10"/>
    </row>
    <row r="67" spans="1:18" x14ac:dyDescent="0.25">
      <c r="A67" s="19"/>
      <c r="B67" s="19"/>
      <c r="C67" s="34"/>
      <c r="D67" s="34"/>
      <c r="E67" s="34"/>
      <c r="F67" s="67"/>
      <c r="G67" s="34"/>
      <c r="H67" s="334"/>
      <c r="I67" s="234"/>
      <c r="J67" s="58"/>
      <c r="K67" s="55"/>
      <c r="L67" s="55"/>
      <c r="N67" s="55"/>
      <c r="O67" s="82"/>
      <c r="P67" s="53"/>
      <c r="Q67" s="53"/>
      <c r="R67" s="55"/>
    </row>
    <row r="68" spans="1:18" x14ac:dyDescent="0.25">
      <c r="A68" s="19"/>
      <c r="B68" s="19"/>
      <c r="C68" s="34"/>
      <c r="D68" s="34"/>
      <c r="E68" s="34"/>
      <c r="F68" s="237"/>
      <c r="G68" s="67"/>
      <c r="H68" s="67"/>
      <c r="I68" s="197"/>
      <c r="J68" s="80"/>
      <c r="K68" s="55"/>
      <c r="L68" s="55"/>
      <c r="N68" s="55"/>
      <c r="O68" s="82"/>
      <c r="P68" s="53"/>
      <c r="Q68" s="53"/>
      <c r="R68" s="55"/>
    </row>
    <row r="69" spans="1:18" x14ac:dyDescent="0.25">
      <c r="A69" s="19"/>
      <c r="B69" s="19"/>
      <c r="C69" s="19"/>
      <c r="D69" s="19"/>
      <c r="E69" s="53"/>
      <c r="F69" s="82"/>
      <c r="G69" s="82"/>
      <c r="H69" s="53"/>
      <c r="I69" s="55"/>
      <c r="J69" s="55"/>
      <c r="K69" s="55"/>
      <c r="L69" s="55"/>
      <c r="N69" s="55"/>
      <c r="O69" s="82"/>
      <c r="P69" s="53"/>
      <c r="Q69" s="53"/>
      <c r="R69" s="55"/>
    </row>
    <row r="70" spans="1:18" x14ac:dyDescent="0.25">
      <c r="A70" s="19"/>
      <c r="B70" s="19"/>
      <c r="C70" s="19"/>
      <c r="D70" s="19"/>
      <c r="E70" s="53"/>
      <c r="F70" s="82"/>
      <c r="G70" s="82"/>
      <c r="H70" s="53"/>
      <c r="I70" s="55"/>
      <c r="J70" s="55"/>
      <c r="K70" s="55"/>
      <c r="L70" s="55"/>
      <c r="N70" s="55"/>
      <c r="O70" s="82"/>
      <c r="P70" s="53"/>
      <c r="Q70" s="53"/>
      <c r="R70" s="55"/>
    </row>
    <row r="71" spans="1:18" x14ac:dyDescent="0.25">
      <c r="A71" s="19"/>
      <c r="B71" s="19"/>
      <c r="C71" s="19"/>
      <c r="D71" s="19"/>
      <c r="E71" s="53"/>
      <c r="F71" s="82"/>
      <c r="G71" s="82"/>
      <c r="H71" s="53"/>
      <c r="I71" s="55"/>
      <c r="J71" s="55"/>
      <c r="K71" s="55"/>
      <c r="L71" s="55"/>
      <c r="N71" s="55"/>
      <c r="O71" s="82"/>
      <c r="P71" s="53"/>
      <c r="Q71" s="53"/>
      <c r="R71" s="55"/>
    </row>
    <row r="72" spans="1:18" x14ac:dyDescent="0.25">
      <c r="A72" s="19"/>
      <c r="B72" s="19"/>
      <c r="C72" s="19"/>
      <c r="E72" s="53"/>
      <c r="F72" s="82"/>
      <c r="G72" s="82"/>
      <c r="H72" s="53"/>
      <c r="I72" s="55"/>
      <c r="J72" s="55"/>
      <c r="K72" s="55"/>
      <c r="L72" s="55"/>
      <c r="N72" s="55"/>
      <c r="O72" s="82"/>
      <c r="P72" s="53"/>
      <c r="Q72" s="53"/>
      <c r="R72" s="55"/>
    </row>
    <row r="73" spans="1:18" x14ac:dyDescent="0.25">
      <c r="A73" s="19"/>
      <c r="B73" s="19"/>
      <c r="C73" s="19"/>
      <c r="E73" s="53"/>
      <c r="F73" s="82"/>
      <c r="G73" s="82"/>
      <c r="H73" s="53"/>
      <c r="I73" s="55"/>
      <c r="J73" s="55"/>
      <c r="K73" s="55"/>
      <c r="L73" s="55"/>
      <c r="N73" s="55"/>
      <c r="O73" s="82"/>
      <c r="P73" s="53"/>
      <c r="Q73" s="53"/>
      <c r="R73" s="55"/>
    </row>
    <row r="74" spans="1:18" x14ac:dyDescent="0.25">
      <c r="A74" s="19"/>
      <c r="B74" s="19"/>
      <c r="C74" s="19"/>
      <c r="E74" s="53"/>
      <c r="F74" s="82"/>
      <c r="G74" s="82"/>
      <c r="H74" s="53"/>
      <c r="I74" s="55"/>
      <c r="J74" s="55"/>
      <c r="K74" s="55"/>
      <c r="L74" s="55"/>
      <c r="N74" s="55"/>
      <c r="O74" s="82"/>
      <c r="P74" s="53"/>
      <c r="Q74" s="53"/>
      <c r="R74" s="55"/>
    </row>
    <row r="75" spans="1:18" x14ac:dyDescent="0.25">
      <c r="A75" s="19"/>
      <c r="B75" s="19"/>
      <c r="C75" s="19"/>
      <c r="E75" s="53"/>
      <c r="F75" s="82"/>
      <c r="G75" s="82"/>
      <c r="H75" s="53"/>
      <c r="I75" s="55"/>
      <c r="J75" s="55"/>
      <c r="K75" s="55"/>
      <c r="L75" s="55"/>
      <c r="N75" s="55"/>
      <c r="O75" s="82"/>
      <c r="P75" s="53"/>
      <c r="Q75" s="53"/>
      <c r="R75" s="55"/>
    </row>
    <row r="76" spans="1:18" x14ac:dyDescent="0.25">
      <c r="A76" s="19"/>
      <c r="B76" s="19"/>
      <c r="C76" s="19"/>
      <c r="E76" s="53"/>
      <c r="F76" s="82"/>
      <c r="G76" s="82"/>
      <c r="H76" s="53"/>
      <c r="I76" s="55"/>
      <c r="J76" s="55"/>
      <c r="K76" s="55"/>
      <c r="L76" s="55"/>
      <c r="N76" s="55"/>
      <c r="O76" s="82"/>
      <c r="P76" s="53"/>
      <c r="Q76" s="53"/>
      <c r="R76" s="55"/>
    </row>
    <row r="77" spans="1:18" x14ac:dyDescent="0.25">
      <c r="A77" s="19"/>
      <c r="B77" s="19"/>
      <c r="C77" s="19"/>
      <c r="E77" s="19"/>
      <c r="F77" s="82"/>
      <c r="G77" s="82"/>
      <c r="H77" s="53"/>
      <c r="I77" s="55"/>
      <c r="J77" s="55"/>
      <c r="K77" s="55"/>
      <c r="L77" s="55"/>
      <c r="N77" s="55"/>
      <c r="O77" s="82"/>
      <c r="P77" s="53"/>
      <c r="Q77" s="53"/>
      <c r="R77" s="55"/>
    </row>
    <row r="78" spans="1:18" x14ac:dyDescent="0.25">
      <c r="A78" s="19"/>
      <c r="B78" s="19"/>
      <c r="C78" s="19"/>
      <c r="E78" s="19"/>
      <c r="F78" s="82"/>
      <c r="G78" s="82"/>
      <c r="H78" s="53"/>
      <c r="I78" s="55"/>
      <c r="J78" s="55"/>
      <c r="K78" s="55"/>
      <c r="L78" s="55"/>
      <c r="N78" s="55"/>
      <c r="O78" s="82"/>
      <c r="P78" s="53"/>
      <c r="Q78" s="53"/>
      <c r="R78" s="55"/>
    </row>
    <row r="79" spans="1:18" x14ac:dyDescent="0.25">
      <c r="A79" s="19"/>
      <c r="B79" s="19"/>
      <c r="C79" s="19"/>
      <c r="E79" s="19"/>
      <c r="F79" s="82"/>
      <c r="G79" s="82"/>
      <c r="H79" s="53"/>
      <c r="I79" s="55"/>
      <c r="J79" s="55"/>
      <c r="K79" s="55"/>
      <c r="L79" s="55"/>
      <c r="N79" s="55"/>
      <c r="O79" s="82"/>
      <c r="P79" s="53"/>
      <c r="Q79" s="53"/>
      <c r="R79" s="55"/>
    </row>
    <row r="80" spans="1:18" x14ac:dyDescent="0.25">
      <c r="A80" s="19"/>
      <c r="B80" s="19"/>
      <c r="C80" s="19"/>
      <c r="E80" s="19"/>
      <c r="F80" s="82"/>
      <c r="G80" s="82"/>
      <c r="H80" s="53"/>
      <c r="I80" s="55"/>
      <c r="J80" s="55"/>
      <c r="K80" s="55"/>
      <c r="L80" s="55"/>
      <c r="N80" s="55"/>
      <c r="O80" s="82"/>
      <c r="P80" s="53"/>
      <c r="Q80" s="53"/>
      <c r="R80" s="55"/>
    </row>
    <row r="81" spans="5:18" x14ac:dyDescent="0.25">
      <c r="E81" s="19"/>
      <c r="F81" s="82"/>
      <c r="G81" s="82"/>
      <c r="H81" s="53"/>
      <c r="I81" s="55"/>
      <c r="J81" s="55"/>
      <c r="K81" s="55"/>
      <c r="L81" s="55"/>
      <c r="N81" s="55"/>
      <c r="O81" s="82"/>
      <c r="P81" s="53"/>
      <c r="Q81" s="53"/>
      <c r="R81" s="55"/>
    </row>
    <row r="82" spans="5:18" x14ac:dyDescent="0.25">
      <c r="E82" s="19"/>
      <c r="F82" s="82"/>
      <c r="G82" s="82"/>
      <c r="H82" s="53"/>
      <c r="I82" s="55"/>
      <c r="J82" s="55"/>
      <c r="K82" s="55"/>
      <c r="L82" s="55"/>
      <c r="N82" s="55"/>
      <c r="O82" s="82"/>
      <c r="P82" s="53"/>
      <c r="Q82" s="53"/>
      <c r="R82" s="55"/>
    </row>
    <row r="83" spans="5:18" x14ac:dyDescent="0.25">
      <c r="E83" s="19"/>
      <c r="F83" s="82"/>
      <c r="G83" s="82"/>
      <c r="H83" s="53"/>
      <c r="I83" s="55"/>
      <c r="J83" s="55"/>
      <c r="K83" s="55"/>
      <c r="L83" s="55"/>
      <c r="N83" s="55"/>
      <c r="O83" s="82"/>
      <c r="P83" s="53"/>
      <c r="Q83" s="53"/>
      <c r="R83" s="55"/>
    </row>
    <row r="84" spans="5:18" x14ac:dyDescent="0.25">
      <c r="E84" s="19"/>
      <c r="F84" s="82"/>
      <c r="G84" s="82"/>
      <c r="H84" s="53"/>
      <c r="I84" s="55"/>
      <c r="J84" s="55"/>
      <c r="K84" s="55"/>
      <c r="L84" s="55"/>
      <c r="N84" s="55"/>
      <c r="O84" s="82"/>
      <c r="P84" s="53"/>
      <c r="Q84" s="53"/>
      <c r="R84" s="55"/>
    </row>
    <row r="85" spans="5:18" x14ac:dyDescent="0.25">
      <c r="E85" s="19"/>
      <c r="F85" s="82"/>
      <c r="G85" s="82"/>
      <c r="H85" s="53"/>
      <c r="I85" s="55"/>
      <c r="J85" s="55"/>
      <c r="K85" s="55"/>
      <c r="L85" s="55"/>
      <c r="N85" s="55"/>
      <c r="O85" s="82"/>
      <c r="P85" s="53"/>
      <c r="Q85" s="53"/>
      <c r="R85" s="55"/>
    </row>
    <row r="86" spans="5:18" x14ac:dyDescent="0.25">
      <c r="E86" s="19"/>
      <c r="F86" s="46"/>
      <c r="G86" s="46"/>
      <c r="H86" s="46"/>
      <c r="I86" s="55"/>
      <c r="J86" s="55"/>
      <c r="K86" s="55"/>
      <c r="L86" s="55"/>
      <c r="N86" s="55"/>
      <c r="O86" s="46"/>
      <c r="P86" s="46"/>
      <c r="Q86" s="46"/>
      <c r="R86" s="55"/>
    </row>
    <row r="87" spans="5:18" x14ac:dyDescent="0.25">
      <c r="E87" s="19"/>
      <c r="F87" s="46"/>
      <c r="G87" s="46"/>
      <c r="H87" s="46"/>
      <c r="I87" s="55"/>
      <c r="J87" s="55"/>
      <c r="K87" s="55"/>
      <c r="L87" s="55"/>
      <c r="N87" s="55"/>
      <c r="O87" s="46"/>
      <c r="P87" s="46"/>
      <c r="Q87" s="46"/>
      <c r="R87" s="55"/>
    </row>
    <row r="88" spans="5:18" x14ac:dyDescent="0.25">
      <c r="E88" s="19"/>
      <c r="F88" s="46"/>
      <c r="G88" s="46"/>
      <c r="H88" s="46"/>
      <c r="I88" s="55"/>
      <c r="J88" s="55"/>
      <c r="K88" s="55"/>
      <c r="L88" s="55"/>
      <c r="N88" s="55"/>
      <c r="O88" s="46"/>
      <c r="P88" s="46"/>
      <c r="Q88" s="46"/>
      <c r="R88" s="55"/>
    </row>
    <row r="89" spans="5:18" x14ac:dyDescent="0.25">
      <c r="F89" s="19"/>
      <c r="G89" s="19"/>
      <c r="H89" s="19"/>
      <c r="I89" s="42"/>
      <c r="J89" s="42"/>
      <c r="K89" s="42"/>
      <c r="L89" s="42"/>
      <c r="N89" s="42"/>
      <c r="O89" s="19"/>
      <c r="P89" s="19"/>
      <c r="Q89" s="19"/>
      <c r="R89" s="42"/>
    </row>
    <row r="90" spans="5:18" x14ac:dyDescent="0.25">
      <c r="F90" s="46"/>
      <c r="G90" s="46"/>
      <c r="H90" s="46"/>
      <c r="I90" s="19"/>
      <c r="J90" s="19"/>
      <c r="K90" s="19"/>
      <c r="L90" s="19"/>
      <c r="N90" s="19"/>
      <c r="O90" s="46"/>
      <c r="P90" s="46"/>
      <c r="Q90" s="46"/>
      <c r="R90" s="19"/>
    </row>
    <row r="91" spans="5:18" x14ac:dyDescent="0.25">
      <c r="F91" s="46"/>
      <c r="G91" s="46"/>
      <c r="H91" s="46"/>
      <c r="I91" s="53"/>
      <c r="J91" s="53"/>
      <c r="K91" s="53"/>
      <c r="L91" s="53"/>
      <c r="N91" s="53"/>
      <c r="O91" s="46"/>
      <c r="P91" s="46"/>
      <c r="Q91" s="46"/>
      <c r="R91" s="53"/>
    </row>
    <row r="92" spans="5:18" x14ac:dyDescent="0.25">
      <c r="F92" s="46"/>
      <c r="G92" s="46"/>
      <c r="H92" s="46"/>
      <c r="I92" s="55"/>
      <c r="J92" s="55"/>
      <c r="K92" s="55"/>
      <c r="L92" s="55"/>
      <c r="N92" s="55"/>
      <c r="O92" s="46"/>
      <c r="P92" s="46"/>
      <c r="Q92" s="46"/>
      <c r="R92" s="55"/>
    </row>
    <row r="93" spans="5:18" x14ac:dyDescent="0.25">
      <c r="F93" s="46"/>
      <c r="G93" s="46"/>
      <c r="H93" s="46"/>
      <c r="I93" s="55"/>
      <c r="J93" s="55"/>
      <c r="K93" s="55"/>
      <c r="L93" s="55"/>
      <c r="N93" s="55"/>
      <c r="O93" s="46"/>
      <c r="P93" s="46"/>
      <c r="Q93" s="46"/>
      <c r="R93" s="55"/>
    </row>
    <row r="94" spans="5:18" x14ac:dyDescent="0.25">
      <c r="F94" s="46"/>
      <c r="G94" s="46"/>
      <c r="H94" s="46"/>
      <c r="I94" s="55"/>
      <c r="J94" s="55"/>
      <c r="K94" s="55"/>
      <c r="L94" s="55"/>
      <c r="N94" s="55"/>
      <c r="O94" s="46"/>
      <c r="P94" s="46"/>
      <c r="Q94" s="46"/>
      <c r="R94" s="55"/>
    </row>
    <row r="95" spans="5:18" x14ac:dyDescent="0.25">
      <c r="F95" s="56"/>
      <c r="G95" s="56"/>
      <c r="H95" s="56"/>
      <c r="I95" s="55"/>
      <c r="J95" s="55"/>
      <c r="K95" s="55"/>
      <c r="L95" s="55"/>
      <c r="N95" s="55"/>
      <c r="O95" s="56"/>
      <c r="P95" s="56"/>
      <c r="Q95" s="56"/>
      <c r="R95" s="55"/>
    </row>
    <row r="96" spans="5:18" x14ac:dyDescent="0.25">
      <c r="F96" s="19"/>
      <c r="G96" s="19"/>
      <c r="H96" s="19"/>
      <c r="I96" s="55"/>
      <c r="J96" s="55"/>
      <c r="K96" s="55"/>
      <c r="L96" s="55"/>
      <c r="N96" s="55"/>
      <c r="O96" s="19"/>
      <c r="P96" s="19"/>
      <c r="Q96" s="19"/>
      <c r="R96" s="55"/>
    </row>
    <row r="97" spans="6:18" x14ac:dyDescent="0.25">
      <c r="F97" s="19"/>
      <c r="G97" s="56"/>
      <c r="H97" s="19"/>
      <c r="I97" s="55"/>
      <c r="J97" s="55"/>
      <c r="K97" s="55"/>
      <c r="L97" s="55"/>
      <c r="N97" s="55"/>
      <c r="O97" s="56"/>
      <c r="P97" s="19"/>
      <c r="Q97" s="19"/>
      <c r="R97" s="55"/>
    </row>
    <row r="98" spans="6:18" x14ac:dyDescent="0.25">
      <c r="I98" s="55"/>
      <c r="J98" s="55"/>
      <c r="K98" s="55"/>
      <c r="L98" s="55"/>
      <c r="N98" s="55"/>
      <c r="R98" s="55"/>
    </row>
    <row r="99" spans="6:18" x14ac:dyDescent="0.25">
      <c r="I99" s="55"/>
      <c r="J99" s="55"/>
      <c r="K99" s="55"/>
      <c r="L99" s="55"/>
      <c r="N99" s="55"/>
      <c r="R99" s="55"/>
    </row>
    <row r="100" spans="6:18" x14ac:dyDescent="0.25">
      <c r="I100" s="55"/>
      <c r="J100" s="55"/>
      <c r="K100" s="55"/>
      <c r="L100" s="55"/>
      <c r="N100" s="55"/>
      <c r="R100" s="55"/>
    </row>
    <row r="101" spans="6:18" x14ac:dyDescent="0.25">
      <c r="I101" s="55"/>
      <c r="J101" s="55"/>
      <c r="K101" s="55"/>
      <c r="L101" s="55"/>
      <c r="N101" s="55"/>
      <c r="R101" s="55"/>
    </row>
    <row r="102" spans="6:18" x14ac:dyDescent="0.25">
      <c r="I102" s="55"/>
      <c r="J102" s="55"/>
      <c r="K102" s="55"/>
      <c r="L102" s="55"/>
      <c r="N102" s="55"/>
      <c r="R102" s="55"/>
    </row>
    <row r="103" spans="6:18" x14ac:dyDescent="0.25">
      <c r="I103" s="55"/>
      <c r="J103" s="55"/>
      <c r="K103" s="55"/>
      <c r="L103" s="55"/>
      <c r="N103" s="55"/>
      <c r="R103" s="55"/>
    </row>
    <row r="104" spans="6:18" x14ac:dyDescent="0.25">
      <c r="I104" s="46"/>
      <c r="J104" s="46"/>
      <c r="K104" s="46"/>
      <c r="L104" s="46"/>
      <c r="N104" s="46"/>
      <c r="R104" s="46"/>
    </row>
    <row r="105" spans="6:18" x14ac:dyDescent="0.25">
      <c r="I105" s="46"/>
      <c r="J105" s="46"/>
      <c r="K105" s="46"/>
      <c r="L105" s="46"/>
      <c r="N105" s="46"/>
      <c r="R105" s="46"/>
    </row>
    <row r="106" spans="6:18" x14ac:dyDescent="0.25">
      <c r="I106" s="53"/>
      <c r="J106" s="53"/>
      <c r="K106" s="53"/>
      <c r="L106" s="53"/>
      <c r="N106" s="53"/>
      <c r="R106" s="53"/>
    </row>
    <row r="107" spans="6:18" x14ac:dyDescent="0.25">
      <c r="I107" s="55"/>
      <c r="J107" s="55"/>
      <c r="K107" s="55"/>
      <c r="L107" s="55"/>
      <c r="N107" s="55"/>
      <c r="R107" s="55"/>
    </row>
    <row r="108" spans="6:18" x14ac:dyDescent="0.25">
      <c r="I108" s="55"/>
      <c r="J108" s="55"/>
      <c r="K108" s="55"/>
      <c r="L108" s="55"/>
      <c r="N108" s="55"/>
      <c r="R108" s="55"/>
    </row>
    <row r="109" spans="6:18" x14ac:dyDescent="0.25">
      <c r="I109" s="55"/>
      <c r="J109" s="55"/>
      <c r="K109" s="55"/>
      <c r="L109" s="55"/>
      <c r="N109" s="55"/>
      <c r="R109" s="55"/>
    </row>
    <row r="110" spans="6:18" x14ac:dyDescent="0.25">
      <c r="I110" s="55"/>
      <c r="J110" s="55"/>
      <c r="K110" s="55"/>
      <c r="L110" s="55"/>
      <c r="N110" s="55"/>
      <c r="R110" s="55"/>
    </row>
    <row r="111" spans="6:18" x14ac:dyDescent="0.25">
      <c r="I111" s="55"/>
      <c r="J111" s="55"/>
      <c r="K111" s="55"/>
      <c r="L111" s="55"/>
      <c r="N111" s="55"/>
      <c r="R111" s="55"/>
    </row>
    <row r="112" spans="6:18" x14ac:dyDescent="0.25">
      <c r="I112" s="55"/>
      <c r="J112" s="55"/>
      <c r="K112" s="55"/>
      <c r="L112" s="55"/>
      <c r="N112" s="55"/>
      <c r="R112" s="55"/>
    </row>
    <row r="113" spans="9:18" x14ac:dyDescent="0.25">
      <c r="I113" s="55"/>
      <c r="J113" s="55"/>
      <c r="K113" s="55"/>
      <c r="L113" s="55"/>
      <c r="N113" s="55"/>
      <c r="R113" s="55"/>
    </row>
    <row r="114" spans="9:18" x14ac:dyDescent="0.25">
      <c r="I114" s="55"/>
      <c r="J114" s="55"/>
      <c r="K114" s="55"/>
      <c r="L114" s="55"/>
      <c r="N114" s="55"/>
      <c r="R114" s="55"/>
    </row>
    <row r="115" spans="9:18" x14ac:dyDescent="0.25">
      <c r="I115" s="55"/>
      <c r="J115" s="55"/>
      <c r="K115" s="55"/>
      <c r="L115" s="55"/>
      <c r="N115" s="55"/>
      <c r="R115" s="55"/>
    </row>
    <row r="116" spans="9:18" x14ac:dyDescent="0.25">
      <c r="I116" s="55"/>
      <c r="J116" s="55"/>
      <c r="K116" s="55"/>
      <c r="L116" s="55"/>
      <c r="N116" s="55"/>
      <c r="R116" s="55"/>
    </row>
    <row r="117" spans="9:18" x14ac:dyDescent="0.25">
      <c r="I117" s="55"/>
      <c r="J117" s="55"/>
      <c r="K117" s="55"/>
      <c r="L117" s="55"/>
      <c r="M117" s="19"/>
      <c r="N117" s="55"/>
      <c r="R117" s="55"/>
    </row>
    <row r="118" spans="9:18" x14ac:dyDescent="0.25">
      <c r="I118" s="55"/>
      <c r="J118" s="55"/>
      <c r="K118" s="55"/>
      <c r="L118" s="55"/>
      <c r="M118" s="19"/>
      <c r="N118" s="55"/>
      <c r="R118" s="55"/>
    </row>
    <row r="119" spans="9:18" x14ac:dyDescent="0.25">
      <c r="I119" s="19"/>
      <c r="J119" s="19"/>
      <c r="K119" s="19"/>
      <c r="L119" s="19"/>
      <c r="M119" s="19"/>
      <c r="N119" s="19"/>
      <c r="R119" s="19"/>
    </row>
    <row r="120" spans="9:18" x14ac:dyDescent="0.25">
      <c r="M120" s="19"/>
    </row>
  </sheetData>
  <mergeCells count="5">
    <mergeCell ref="G4:I5"/>
    <mergeCell ref="Z4:AC5"/>
    <mergeCell ref="AA7:AB7"/>
    <mergeCell ref="O4:R5"/>
    <mergeCell ref="K4:L5"/>
  </mergeCells>
  <pageMargins left="0.75" right="0.75" top="1" bottom="1" header="0.5" footer="0.5"/>
  <pageSetup scale="64" orientation="landscape" r:id="rId1"/>
  <headerFooter alignWithMargins="0">
    <oddFooter>&amp;RExhibit JW-9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view="pageBreakPreview" zoomScale="75" zoomScaleNormal="75" zoomScaleSheetLayoutView="75" workbookViewId="0">
      <selection activeCell="H15" sqref="H15"/>
    </sheetView>
  </sheetViews>
  <sheetFormatPr defaultRowHeight="15.75" x14ac:dyDescent="0.25"/>
  <cols>
    <col min="1" max="1" width="40.42578125" style="2" customWidth="1"/>
    <col min="2" max="2" width="15.42578125" style="92" bestFit="1" customWidth="1"/>
    <col min="3" max="3" width="15" style="2" bestFit="1" customWidth="1"/>
    <col min="4" max="4" width="17.140625" style="2" customWidth="1"/>
    <col min="5" max="5" width="19.140625" style="2" customWidth="1"/>
    <col min="6" max="6" width="14.85546875" style="2" customWidth="1"/>
    <col min="7" max="7" width="12.5703125" style="2" bestFit="1" customWidth="1"/>
    <col min="8" max="8" width="19.140625" style="2" hidden="1" customWidth="1"/>
    <col min="9" max="9" width="15.85546875" style="2" hidden="1" customWidth="1"/>
    <col min="10" max="10" width="15.7109375" style="2" hidden="1" customWidth="1"/>
    <col min="11" max="11" width="4.5703125" style="2" customWidth="1"/>
    <col min="12" max="12" width="20" style="2" customWidth="1"/>
    <col min="13" max="13" width="18.140625" style="2" bestFit="1" customWidth="1"/>
    <col min="14" max="14" width="15.140625" style="2" customWidth="1"/>
    <col min="15" max="16" width="9.140625" style="2"/>
    <col min="17" max="17" width="10.7109375" style="2" customWidth="1"/>
    <col min="18" max="16384" width="9.140625" style="2"/>
  </cols>
  <sheetData>
    <row r="1" spans="1:18" ht="18.75" x14ac:dyDescent="0.3">
      <c r="A1" s="124" t="str">
        <f>List!A1</f>
        <v>Cumberland Valley Electric</v>
      </c>
      <c r="B1" s="146"/>
    </row>
    <row r="2" spans="1:18" x14ac:dyDescent="0.25">
      <c r="A2" s="1" t="s">
        <v>130</v>
      </c>
    </row>
    <row r="5" spans="1:18" ht="57" customHeight="1" x14ac:dyDescent="0.25">
      <c r="A5" s="35" t="s">
        <v>14</v>
      </c>
      <c r="B5" s="125" t="s">
        <v>81</v>
      </c>
      <c r="C5" s="36" t="s">
        <v>8</v>
      </c>
      <c r="D5" s="36" t="s">
        <v>19</v>
      </c>
      <c r="E5" s="36" t="s">
        <v>33</v>
      </c>
      <c r="F5" s="36" t="s">
        <v>13</v>
      </c>
      <c r="G5" s="36" t="s">
        <v>20</v>
      </c>
      <c r="H5" s="36" t="s">
        <v>15</v>
      </c>
      <c r="I5" s="36" t="s">
        <v>13</v>
      </c>
      <c r="J5" s="36" t="s">
        <v>20</v>
      </c>
    </row>
    <row r="6" spans="1:18" x14ac:dyDescent="0.25">
      <c r="A6" s="34"/>
      <c r="B6" s="128"/>
    </row>
    <row r="7" spans="1:18" s="34" customFormat="1" x14ac:dyDescent="0.25">
      <c r="A7" s="34" t="str">
        <f>List!B6</f>
        <v>Sch I - Residential, Schools &amp; Churches</v>
      </c>
      <c r="B7" s="128" t="str">
        <f>List!C6</f>
        <v>R</v>
      </c>
      <c r="C7" s="130">
        <f>'R'!D16</f>
        <v>295253522</v>
      </c>
      <c r="D7" s="131">
        <f>'R'!G26</f>
        <v>30074337.220000003</v>
      </c>
      <c r="E7" s="132">
        <f>'R'!G24</f>
        <v>30082808.960000001</v>
      </c>
      <c r="F7" s="132">
        <f t="shared" ref="F7:F14" si="0">E7-D7</f>
        <v>8471.7399999983609</v>
      </c>
      <c r="G7" s="133">
        <f t="shared" ref="G7:G14" si="1">F7/D7</f>
        <v>2.8169332338152058E-4</v>
      </c>
      <c r="H7" s="132">
        <v>0</v>
      </c>
      <c r="I7" s="132">
        <f t="shared" ref="I7:I11" si="2">H7-E7</f>
        <v>-30082808.960000001</v>
      </c>
      <c r="J7" s="133">
        <f t="shared" ref="J7:J17" si="3">I7/E7</f>
        <v>-1</v>
      </c>
      <c r="L7" s="2"/>
      <c r="M7" s="2"/>
      <c r="N7" s="11"/>
      <c r="O7" s="2"/>
      <c r="P7" s="2"/>
      <c r="Q7" s="2"/>
      <c r="R7" s="2"/>
    </row>
    <row r="8" spans="1:18" s="34" customFormat="1" x14ac:dyDescent="0.25">
      <c r="A8" s="34" t="str">
        <f>List!B7</f>
        <v>Sch I - Res TOD</v>
      </c>
      <c r="B8" s="128" t="str">
        <f>List!C7</f>
        <v>TOD</v>
      </c>
      <c r="C8" s="130">
        <f>TOD!D16+TOD!D17</f>
        <v>103542</v>
      </c>
      <c r="D8" s="131">
        <f>TOD!G28</f>
        <v>10494.95</v>
      </c>
      <c r="E8" s="132">
        <f>TOD!G26</f>
        <v>10682.819500000001</v>
      </c>
      <c r="F8" s="132">
        <f t="shared" si="0"/>
        <v>187.8695000000007</v>
      </c>
      <c r="G8" s="133">
        <f t="shared" si="1"/>
        <v>1.7900942834410901E-2</v>
      </c>
      <c r="H8" s="67">
        <v>0</v>
      </c>
      <c r="I8" s="67">
        <f t="shared" si="2"/>
        <v>-10682.819500000001</v>
      </c>
      <c r="J8" s="133">
        <f t="shared" si="3"/>
        <v>-1</v>
      </c>
      <c r="L8" s="2"/>
      <c r="M8" s="2"/>
      <c r="N8" s="2"/>
      <c r="O8" s="2"/>
      <c r="P8" s="2"/>
      <c r="Q8" s="2"/>
      <c r="R8" s="2"/>
    </row>
    <row r="9" spans="1:18" s="34" customFormat="1" x14ac:dyDescent="0.25">
      <c r="A9" s="34" t="str">
        <f>List!B8</f>
        <v>Sch II - Small Commercial  Small Power</v>
      </c>
      <c r="B9" s="128" t="str">
        <f>List!C8</f>
        <v>C1</v>
      </c>
      <c r="C9" s="130">
        <f>'C1'!D16+'C1'!D17</f>
        <v>14497103</v>
      </c>
      <c r="D9" s="131">
        <f>'C1'!G28</f>
        <v>1612359.31</v>
      </c>
      <c r="E9" s="132">
        <f>'C1'!G26</f>
        <v>1611442.3340700001</v>
      </c>
      <c r="F9" s="132">
        <f t="shared" si="0"/>
        <v>-916.97592999995686</v>
      </c>
      <c r="G9" s="133">
        <f t="shared" si="1"/>
        <v>-5.6871686373675403E-4</v>
      </c>
      <c r="H9" s="67">
        <v>0</v>
      </c>
      <c r="I9" s="67">
        <f>H9-E9</f>
        <v>-1611442.3340700001</v>
      </c>
      <c r="J9" s="133">
        <f>I9/E9</f>
        <v>-1</v>
      </c>
      <c r="L9" s="2"/>
      <c r="M9" s="2"/>
      <c r="N9" s="2"/>
      <c r="O9" s="2"/>
      <c r="P9" s="2"/>
      <c r="Q9" s="2"/>
      <c r="R9" s="2"/>
    </row>
    <row r="10" spans="1:18" s="34" customFormat="1" x14ac:dyDescent="0.25">
      <c r="A10" s="34" t="str">
        <f>List!B9</f>
        <v>Sch II - Small Commercial  Small Power</v>
      </c>
      <c r="B10" s="128" t="str">
        <f>List!C9</f>
        <v>C2</v>
      </c>
      <c r="C10" s="134">
        <f>'C2'!D16+'C2'!D17</f>
        <v>9892556</v>
      </c>
      <c r="D10" s="236">
        <f>'C2'!G32</f>
        <v>1179306.5</v>
      </c>
      <c r="E10" s="80">
        <f>'C2'!G30</f>
        <v>1174290.7329600002</v>
      </c>
      <c r="F10" s="80">
        <f t="shared" si="0"/>
        <v>-5015.7670399998315</v>
      </c>
      <c r="G10" s="133">
        <f t="shared" si="1"/>
        <v>-4.253149660414686E-3</v>
      </c>
      <c r="H10" s="69">
        <v>0</v>
      </c>
      <c r="I10" s="69">
        <f t="shared" si="2"/>
        <v>-1174290.7329600002</v>
      </c>
      <c r="J10" s="72">
        <f t="shared" si="3"/>
        <v>-1</v>
      </c>
      <c r="L10" s="2"/>
      <c r="M10" s="2"/>
      <c r="N10" s="2"/>
      <c r="O10" s="2"/>
      <c r="P10" s="2"/>
      <c r="Q10" s="2"/>
      <c r="R10" s="2"/>
    </row>
    <row r="11" spans="1:18" s="34" customFormat="1" x14ac:dyDescent="0.25">
      <c r="A11" s="34" t="str">
        <f>List!B10</f>
        <v>Sch VII - Inclining Block Rate</v>
      </c>
      <c r="B11" s="128" t="str">
        <f>List!C10</f>
        <v>IB</v>
      </c>
      <c r="C11" s="134">
        <f>IB!D16+IB!D17+IB!D18</f>
        <v>11935</v>
      </c>
      <c r="D11" s="236">
        <f>IB!G29</f>
        <v>4044.26</v>
      </c>
      <c r="E11" s="80">
        <f>IB!G27</f>
        <v>4011.16455</v>
      </c>
      <c r="F11" s="80">
        <f t="shared" si="0"/>
        <v>-33.095450000000255</v>
      </c>
      <c r="G11" s="133">
        <f t="shared" si="1"/>
        <v>-8.1833141291608978E-3</v>
      </c>
      <c r="H11" s="69">
        <v>0</v>
      </c>
      <c r="I11" s="69">
        <f t="shared" si="2"/>
        <v>-4011.16455</v>
      </c>
      <c r="J11" s="72">
        <f t="shared" si="3"/>
        <v>-1</v>
      </c>
      <c r="L11" s="2"/>
      <c r="M11" s="2"/>
      <c r="N11" s="2"/>
      <c r="O11" s="2"/>
      <c r="P11" s="2"/>
      <c r="Q11" s="2"/>
      <c r="R11" s="2"/>
    </row>
    <row r="12" spans="1:18" s="34" customFormat="1" x14ac:dyDescent="0.25">
      <c r="A12" s="34" t="str">
        <f>List!B11</f>
        <v>Sch III - All 3Phase Schools &amp; Churches</v>
      </c>
      <c r="B12" s="128" t="str">
        <f>List!C11</f>
        <v>E1</v>
      </c>
      <c r="C12" s="130">
        <f>'E1'!D15</f>
        <v>14567275</v>
      </c>
      <c r="D12" s="236">
        <f>'E1'!G25</f>
        <v>1204220.47</v>
      </c>
      <c r="E12" s="80">
        <f>'E1'!G23</f>
        <v>1200224.9157499997</v>
      </c>
      <c r="F12" s="80">
        <f t="shared" si="0"/>
        <v>-3995.5542500002775</v>
      </c>
      <c r="G12" s="133">
        <f t="shared" si="1"/>
        <v>-3.3179590860137743E-3</v>
      </c>
      <c r="H12" s="132">
        <v>0</v>
      </c>
      <c r="I12" s="132">
        <f t="shared" ref="I12:I13" si="4">H12-E12</f>
        <v>-1200224.9157499997</v>
      </c>
      <c r="J12" s="133">
        <f t="shared" ref="J12:J13" si="5">I12/E12</f>
        <v>-1</v>
      </c>
      <c r="L12" s="2"/>
      <c r="M12" s="2"/>
      <c r="N12" s="2"/>
      <c r="O12" s="2"/>
      <c r="P12" s="2"/>
      <c r="Q12" s="2"/>
      <c r="R12" s="2"/>
    </row>
    <row r="13" spans="1:18" s="34" customFormat="1" x14ac:dyDescent="0.25">
      <c r="A13" s="34" t="str">
        <f>List!B12</f>
        <v>Sch IV-A - Large Power 50-2500 kW</v>
      </c>
      <c r="B13" s="128" t="str">
        <f>List!C12</f>
        <v>L1</v>
      </c>
      <c r="C13" s="130">
        <f>'L1'!D17</f>
        <v>80510446</v>
      </c>
      <c r="D13" s="131">
        <f>'L1'!G31</f>
        <v>6058039.3999999994</v>
      </c>
      <c r="E13" s="132">
        <f>'L1'!G29</f>
        <v>6065623.9373399997</v>
      </c>
      <c r="F13" s="132">
        <f t="shared" si="0"/>
        <v>7584.5373400002718</v>
      </c>
      <c r="G13" s="133">
        <f t="shared" si="1"/>
        <v>1.2519788729007395E-3</v>
      </c>
      <c r="H13" s="67">
        <v>0</v>
      </c>
      <c r="I13" s="67">
        <f t="shared" si="4"/>
        <v>-6065623.9373399997</v>
      </c>
      <c r="J13" s="133">
        <f t="shared" si="5"/>
        <v>-1</v>
      </c>
      <c r="L13" s="2"/>
      <c r="M13" s="2"/>
      <c r="N13" s="2"/>
      <c r="O13" s="2"/>
      <c r="P13" s="2"/>
      <c r="Q13" s="2"/>
      <c r="R13" s="2"/>
    </row>
    <row r="14" spans="1:18" s="34" customFormat="1" x14ac:dyDescent="0.25">
      <c r="A14" s="34" t="str">
        <f>List!B13</f>
        <v>Sch VI - Outdoor Lighting - Security Lights</v>
      </c>
      <c r="B14" s="128" t="str">
        <f>List!C13</f>
        <v>S</v>
      </c>
      <c r="C14" s="130">
        <f>S!E22</f>
        <v>9943106</v>
      </c>
      <c r="D14" s="131">
        <f>S!I30</f>
        <v>1543986.1279999998</v>
      </c>
      <c r="E14" s="132">
        <f>S!I28</f>
        <v>1558544.6499999997</v>
      </c>
      <c r="F14" s="132">
        <f t="shared" si="0"/>
        <v>14558.521999999881</v>
      </c>
      <c r="G14" s="133">
        <f t="shared" si="1"/>
        <v>9.4291792756313435E-3</v>
      </c>
      <c r="H14" s="67">
        <v>0</v>
      </c>
      <c r="I14" s="67">
        <f>H14-E14</f>
        <v>-1558544.6499999997</v>
      </c>
      <c r="J14" s="133">
        <f>I14/E14</f>
        <v>-1</v>
      </c>
      <c r="L14" s="2"/>
      <c r="M14" s="2"/>
      <c r="N14" s="2"/>
      <c r="O14" s="2"/>
      <c r="P14" s="2"/>
      <c r="Q14" s="2"/>
      <c r="R14" s="2"/>
    </row>
    <row r="15" spans="1:18" s="34" customFormat="1" hidden="1" x14ac:dyDescent="0.25">
      <c r="A15" s="34" t="str">
        <f>List!B14</f>
        <v>reserved</v>
      </c>
      <c r="B15" s="128" t="str">
        <f>List!C14</f>
        <v>x</v>
      </c>
      <c r="C15" s="134">
        <v>0</v>
      </c>
      <c r="D15" s="236">
        <v>0</v>
      </c>
      <c r="E15" s="80">
        <v>0</v>
      </c>
      <c r="F15" s="80">
        <v>0</v>
      </c>
      <c r="G15" s="133">
        <v>0</v>
      </c>
      <c r="H15" s="69">
        <v>0</v>
      </c>
      <c r="I15" s="69">
        <f t="shared" ref="I15:I16" si="6">H15-E15</f>
        <v>0</v>
      </c>
      <c r="J15" s="72" t="e">
        <f t="shared" ref="J15:J16" si="7">I15/E15</f>
        <v>#DIV/0!</v>
      </c>
      <c r="L15" s="2"/>
      <c r="M15" s="2"/>
      <c r="N15" s="2"/>
      <c r="O15" s="2"/>
      <c r="P15" s="2"/>
      <c r="Q15" s="2"/>
      <c r="R15" s="2"/>
    </row>
    <row r="16" spans="1:18" s="34" customFormat="1" hidden="1" x14ac:dyDescent="0.25">
      <c r="A16" s="34" t="str">
        <f>List!B15</f>
        <v>reserved</v>
      </c>
      <c r="B16" s="128" t="str">
        <f>List!C15</f>
        <v>x</v>
      </c>
      <c r="C16" s="134">
        <v>0</v>
      </c>
      <c r="D16" s="236">
        <v>0</v>
      </c>
      <c r="E16" s="80">
        <v>0</v>
      </c>
      <c r="F16" s="80">
        <v>0</v>
      </c>
      <c r="G16" s="133">
        <v>0</v>
      </c>
      <c r="H16" s="69">
        <v>0</v>
      </c>
      <c r="I16" s="69">
        <f t="shared" si="6"/>
        <v>0</v>
      </c>
      <c r="J16" s="72" t="e">
        <f t="shared" si="7"/>
        <v>#DIV/0!</v>
      </c>
      <c r="L16" s="2"/>
      <c r="M16" s="2"/>
      <c r="N16" s="2"/>
      <c r="O16" s="2"/>
      <c r="P16" s="2"/>
      <c r="Q16" s="2"/>
      <c r="R16" s="2"/>
    </row>
    <row r="17" spans="1:18" s="34" customFormat="1" ht="16.5" thickBot="1" x14ac:dyDescent="0.3">
      <c r="B17" s="128"/>
      <c r="C17" s="86">
        <f>SUM(C7:C16)</f>
        <v>424779485</v>
      </c>
      <c r="D17" s="87">
        <f t="shared" ref="D17:F17" si="8">SUM(D7:D16)</f>
        <v>41686788.237999998</v>
      </c>
      <c r="E17" s="87">
        <f t="shared" si="8"/>
        <v>41707629.514169998</v>
      </c>
      <c r="F17" s="87">
        <f t="shared" si="8"/>
        <v>20841.276169998448</v>
      </c>
      <c r="G17" s="88">
        <f>F17/D17</f>
        <v>4.9994919375919637E-4</v>
      </c>
      <c r="H17" s="89">
        <f>SUM(H7:H16)</f>
        <v>0</v>
      </c>
      <c r="I17" s="87">
        <f>SUM(I7:I16)</f>
        <v>-41707629.514169998</v>
      </c>
      <c r="J17" s="88">
        <f t="shared" si="3"/>
        <v>-1</v>
      </c>
      <c r="L17" s="2"/>
      <c r="M17" s="2"/>
      <c r="N17" s="2"/>
      <c r="O17" s="2"/>
      <c r="P17" s="2"/>
      <c r="Q17" s="2"/>
      <c r="R17" s="2"/>
    </row>
    <row r="18" spans="1:18" ht="16.5" thickTop="1" x14ac:dyDescent="0.25">
      <c r="E18" s="11"/>
      <c r="H18" s="11"/>
    </row>
    <row r="19" spans="1:18" ht="15.75" customHeight="1" x14ac:dyDescent="0.25">
      <c r="B19" s="92" t="s">
        <v>35</v>
      </c>
      <c r="C19" s="67">
        <f>C17</f>
        <v>424779485</v>
      </c>
      <c r="D19" s="14">
        <f>D17</f>
        <v>41686788.237999998</v>
      </c>
      <c r="E19" s="14">
        <f>E17</f>
        <v>41707629.514169998</v>
      </c>
      <c r="H19" s="57"/>
    </row>
    <row r="20" spans="1:18" ht="15.75" customHeight="1" x14ac:dyDescent="0.25">
      <c r="B20" s="92" t="s">
        <v>101</v>
      </c>
      <c r="C20" s="412">
        <v>424777329</v>
      </c>
      <c r="D20" s="47">
        <v>41687371.359999999</v>
      </c>
      <c r="E20" s="47">
        <f>D20</f>
        <v>41687371.359999999</v>
      </c>
      <c r="G20" s="22"/>
      <c r="H20" s="107"/>
    </row>
    <row r="21" spans="1:18" ht="15.75" customHeight="1" x14ac:dyDescent="0.25">
      <c r="B21" s="413" t="s">
        <v>13</v>
      </c>
      <c r="C21" s="14">
        <f>C20-C19</f>
        <v>-2156</v>
      </c>
      <c r="D21" s="14">
        <f>D20-D19</f>
        <v>583.12200000137091</v>
      </c>
      <c r="E21" s="14">
        <f>E20-E19</f>
        <v>-20258.154169999063</v>
      </c>
      <c r="F21" s="22"/>
      <c r="H21" s="108"/>
    </row>
    <row r="22" spans="1:18" ht="15.75" customHeight="1" x14ac:dyDescent="0.25">
      <c r="B22" s="92" t="s">
        <v>13</v>
      </c>
      <c r="C22" s="30">
        <f>C21/C20</f>
        <v>-5.0756004447685575E-6</v>
      </c>
      <c r="D22" s="30">
        <f>D21/D20</f>
        <v>1.3987977197355505E-5</v>
      </c>
      <c r="E22" s="30">
        <f>E21/E20</f>
        <v>-4.8595422328396632E-4</v>
      </c>
      <c r="F22" s="106"/>
      <c r="G22" s="30"/>
      <c r="H22" s="39"/>
      <c r="L22" s="14"/>
    </row>
    <row r="23" spans="1:18" ht="15.75" customHeight="1" x14ac:dyDescent="0.25">
      <c r="C23" s="22"/>
      <c r="D23" s="22"/>
      <c r="F23" s="22"/>
    </row>
    <row r="24" spans="1:18" x14ac:dyDescent="0.25">
      <c r="A24" s="52"/>
      <c r="C24" s="67"/>
      <c r="D24" s="67"/>
      <c r="E24" s="129"/>
      <c r="F24" s="19"/>
      <c r="G24" s="19"/>
      <c r="H24" s="19"/>
      <c r="I24" s="19"/>
      <c r="J24" s="19"/>
    </row>
    <row r="25" spans="1:18" x14ac:dyDescent="0.25">
      <c r="A25" s="44"/>
      <c r="B25" s="3"/>
      <c r="C25" s="202"/>
      <c r="D25" s="214"/>
      <c r="E25" s="100"/>
      <c r="F25" s="100"/>
      <c r="G25" s="100"/>
      <c r="H25" s="100"/>
      <c r="I25" s="100"/>
      <c r="J25" s="100"/>
    </row>
    <row r="26" spans="1:18" x14ac:dyDescent="0.25">
      <c r="C26" s="126"/>
      <c r="D26" s="126"/>
      <c r="E26" s="126"/>
      <c r="F26" s="126"/>
      <c r="G26" s="126"/>
      <c r="H26" s="126"/>
      <c r="I26" s="19"/>
      <c r="J26" s="19"/>
    </row>
    <row r="27" spans="1:18" x14ac:dyDescent="0.25">
      <c r="A27" s="104"/>
      <c r="B27" s="109"/>
      <c r="C27" s="49"/>
      <c r="D27" s="51"/>
      <c r="E27" s="28"/>
      <c r="F27" s="50"/>
      <c r="G27" s="50"/>
      <c r="H27" s="28"/>
      <c r="I27" s="50"/>
      <c r="J27" s="28"/>
    </row>
    <row r="28" spans="1:18" x14ac:dyDescent="0.25">
      <c r="A28" s="104"/>
      <c r="B28" s="109"/>
      <c r="C28" s="49"/>
      <c r="D28" s="43"/>
      <c r="E28" s="69"/>
      <c r="F28" s="80"/>
      <c r="G28" s="72"/>
      <c r="H28" s="69"/>
      <c r="I28" s="80"/>
      <c r="J28" s="72"/>
    </row>
    <row r="29" spans="1:18" x14ac:dyDescent="0.25">
      <c r="A29" s="104"/>
      <c r="B29" s="109"/>
      <c r="C29" s="49"/>
      <c r="D29" s="51"/>
      <c r="E29" s="28"/>
      <c r="F29" s="69"/>
      <c r="G29" s="69"/>
      <c r="H29" s="28"/>
      <c r="I29" s="80"/>
      <c r="J29" s="72"/>
    </row>
    <row r="30" spans="1:18" x14ac:dyDescent="0.25">
      <c r="A30" s="104"/>
      <c r="B30" s="109"/>
      <c r="C30" s="49"/>
      <c r="D30" s="43"/>
      <c r="E30" s="69"/>
      <c r="F30" s="69"/>
      <c r="G30" s="69"/>
      <c r="H30" s="69"/>
      <c r="I30" s="80"/>
      <c r="J30" s="72"/>
    </row>
    <row r="31" spans="1:18" x14ac:dyDescent="0.25">
      <c r="A31" s="104"/>
      <c r="B31" s="109"/>
      <c r="C31" s="49"/>
      <c r="D31" s="51"/>
      <c r="E31" s="28"/>
      <c r="F31" s="69"/>
      <c r="G31" s="69"/>
      <c r="H31" s="28"/>
      <c r="I31" s="80"/>
      <c r="J31" s="72"/>
    </row>
    <row r="32" spans="1:18" x14ac:dyDescent="0.25">
      <c r="A32" s="104"/>
      <c r="B32" s="109"/>
      <c r="C32" s="49"/>
      <c r="D32" s="43"/>
      <c r="E32" s="69"/>
      <c r="F32" s="69"/>
      <c r="G32" s="69"/>
      <c r="H32" s="69"/>
      <c r="I32" s="80"/>
      <c r="J32" s="72"/>
    </row>
    <row r="33" spans="1:10" x14ac:dyDescent="0.25">
      <c r="A33" s="104"/>
      <c r="B33" s="109"/>
      <c r="C33" s="51"/>
      <c r="D33" s="51"/>
      <c r="E33" s="28"/>
      <c r="F33" s="69"/>
      <c r="G33" s="69"/>
      <c r="H33" s="28"/>
      <c r="I33" s="80"/>
      <c r="J33" s="72"/>
    </row>
    <row r="34" spans="1:10" x14ac:dyDescent="0.25">
      <c r="A34" s="53"/>
      <c r="B34" s="82"/>
      <c r="C34" s="39"/>
      <c r="D34" s="45"/>
      <c r="E34" s="42"/>
      <c r="F34" s="46"/>
      <c r="G34" s="46"/>
      <c r="H34" s="42"/>
      <c r="I34" s="18"/>
      <c r="J34" s="28"/>
    </row>
    <row r="35" spans="1:10" x14ac:dyDescent="0.25">
      <c r="A35" s="52"/>
      <c r="C35" s="8"/>
      <c r="D35" s="51"/>
      <c r="E35" s="28"/>
      <c r="F35" s="14"/>
      <c r="G35" s="14"/>
      <c r="H35" s="28"/>
    </row>
    <row r="36" spans="1:10" x14ac:dyDescent="0.25">
      <c r="C36" s="8"/>
      <c r="E36" s="31"/>
      <c r="F36" s="26"/>
      <c r="H36" s="79"/>
    </row>
    <row r="37" spans="1:10" x14ac:dyDescent="0.25">
      <c r="C37" s="8"/>
      <c r="F37" s="8"/>
      <c r="G37" s="8"/>
    </row>
    <row r="39" spans="1:10" x14ac:dyDescent="0.25">
      <c r="G39" s="30"/>
    </row>
    <row r="41" spans="1:10" x14ac:dyDescent="0.25">
      <c r="A41" s="52"/>
      <c r="C41" s="75"/>
    </row>
    <row r="42" spans="1:10" x14ac:dyDescent="0.25">
      <c r="A42" s="52"/>
    </row>
  </sheetData>
  <phoneticPr fontId="0" type="noConversion"/>
  <pageMargins left="0.75" right="0.35" top="1" bottom="1" header="0.5" footer="0.5"/>
  <pageSetup scale="92" orientation="landscape" r:id="rId1"/>
  <headerFooter alignWithMargins="0">
    <oddFooter>&amp;RExhibit JW-9
Page &amp;P of &amp;N</oddFooter>
  </headerFooter>
  <ignoredErrors>
    <ignoredError sqref="G1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view="pageBreakPreview" zoomScale="60" zoomScaleNormal="100" workbookViewId="0">
      <selection activeCell="O32" sqref="O32"/>
    </sheetView>
  </sheetViews>
  <sheetFormatPr defaultRowHeight="12.75" x14ac:dyDescent="0.2"/>
  <cols>
    <col min="1" max="1" width="3.42578125" style="240" customWidth="1"/>
    <col min="2" max="2" width="5.28515625" style="239" customWidth="1"/>
    <col min="3" max="4" width="9.140625" style="240"/>
    <col min="5" max="5" width="10.28515625" style="240" bestFit="1" customWidth="1"/>
    <col min="6" max="6" width="9.140625" style="240"/>
    <col min="7" max="7" width="10.5703125" style="240" customWidth="1"/>
    <col min="8" max="8" width="10.28515625" style="240" bestFit="1" customWidth="1"/>
    <col min="9" max="9" width="9.140625" style="240"/>
    <col min="10" max="10" width="8.28515625" style="240" bestFit="1" customWidth="1"/>
    <col min="11" max="11" width="7.7109375" style="240" customWidth="1"/>
    <col min="12" max="16384" width="9.140625" style="240"/>
  </cols>
  <sheetData>
    <row r="1" spans="1:11" ht="18.75" x14ac:dyDescent="0.3">
      <c r="A1" s="238" t="str">
        <f>'Present and Proposed Rates'!B1</f>
        <v>Cumberland Valley Electric</v>
      </c>
    </row>
    <row r="2" spans="1:11" ht="19.5" x14ac:dyDescent="0.35">
      <c r="A2" s="153" t="s">
        <v>244</v>
      </c>
      <c r="H2" s="241"/>
    </row>
    <row r="3" spans="1:11" ht="18.75" x14ac:dyDescent="0.3">
      <c r="A3" s="238" t="s">
        <v>128</v>
      </c>
    </row>
    <row r="4" spans="1:11" ht="13.5" thickBot="1" x14ac:dyDescent="0.25"/>
    <row r="5" spans="1:11" ht="21" customHeight="1" thickTop="1" x14ac:dyDescent="0.2">
      <c r="B5" s="242"/>
      <c r="C5" s="243" t="s">
        <v>100</v>
      </c>
      <c r="D5" s="430" t="s">
        <v>114</v>
      </c>
      <c r="E5" s="430"/>
      <c r="F5" s="431"/>
      <c r="G5" s="432" t="s">
        <v>115</v>
      </c>
      <c r="H5" s="430"/>
      <c r="I5" s="431"/>
      <c r="J5" s="433" t="s">
        <v>59</v>
      </c>
      <c r="K5" s="434"/>
    </row>
    <row r="6" spans="1:11" ht="23.25" customHeight="1" x14ac:dyDescent="0.2">
      <c r="B6" s="244" t="s">
        <v>111</v>
      </c>
      <c r="C6" s="245" t="s">
        <v>8</v>
      </c>
      <c r="D6" s="246" t="s">
        <v>109</v>
      </c>
      <c r="E6" s="246" t="s">
        <v>112</v>
      </c>
      <c r="F6" s="246" t="s">
        <v>84</v>
      </c>
      <c r="G6" s="246" t="s">
        <v>113</v>
      </c>
      <c r="H6" s="246" t="s">
        <v>110</v>
      </c>
      <c r="I6" s="246" t="s">
        <v>84</v>
      </c>
      <c r="J6" s="247" t="s">
        <v>63</v>
      </c>
      <c r="K6" s="248" t="s">
        <v>64</v>
      </c>
    </row>
    <row r="7" spans="1:11" s="249" customFormat="1" ht="18" customHeight="1" thickBot="1" x14ac:dyDescent="0.25">
      <c r="B7" s="250"/>
      <c r="C7" s="251"/>
      <c r="D7" s="252">
        <f>'Present and Proposed Rates'!G9</f>
        <v>12</v>
      </c>
      <c r="E7" s="274">
        <f>'Present and Proposed Rates'!G11</f>
        <v>8.3409999999999998E-2</v>
      </c>
      <c r="F7" s="253"/>
      <c r="G7" s="252">
        <f>'Present and Proposed Rates'!H9</f>
        <v>17</v>
      </c>
      <c r="H7" s="274">
        <f>'Present and Proposed Rates'!H11</f>
        <v>8.2030000000000006E-2</v>
      </c>
      <c r="I7" s="251"/>
      <c r="J7" s="254"/>
      <c r="K7" s="255"/>
    </row>
    <row r="8" spans="1:11" ht="13.5" thickTop="1" x14ac:dyDescent="0.2">
      <c r="B8" s="256">
        <v>1</v>
      </c>
      <c r="C8" s="257">
        <v>0</v>
      </c>
      <c r="D8" s="258">
        <f>D$7</f>
        <v>12</v>
      </c>
      <c r="E8" s="259">
        <f>$E$7*C8</f>
        <v>0</v>
      </c>
      <c r="F8" s="260">
        <f>E8+D8</f>
        <v>12</v>
      </c>
      <c r="G8" s="261">
        <f>$G$7</f>
        <v>17</v>
      </c>
      <c r="H8" s="259">
        <f>$H$7*C8</f>
        <v>0</v>
      </c>
      <c r="I8" s="262">
        <f>G8+H8</f>
        <v>17</v>
      </c>
      <c r="J8" s="263">
        <f t="shared" ref="J8:J38" si="0">I8-F8</f>
        <v>5</v>
      </c>
      <c r="K8" s="264">
        <f t="shared" ref="K8:K38" si="1">J8/F8</f>
        <v>0.41666666666666669</v>
      </c>
    </row>
    <row r="9" spans="1:11" x14ac:dyDescent="0.2">
      <c r="B9" s="256">
        <v>2</v>
      </c>
      <c r="C9" s="257">
        <f t="shared" ref="C9:C38" si="2">C8+100</f>
        <v>100</v>
      </c>
      <c r="D9" s="258">
        <f t="shared" ref="D9:D12" si="3">D$7</f>
        <v>12</v>
      </c>
      <c r="E9" s="259">
        <f t="shared" ref="E9" si="4">$E$7*C9</f>
        <v>8.3409999999999993</v>
      </c>
      <c r="F9" s="260">
        <f t="shared" ref="F9" si="5">E9+D9</f>
        <v>20.341000000000001</v>
      </c>
      <c r="G9" s="261">
        <f t="shared" ref="G9:G12" si="6">$G$7</f>
        <v>17</v>
      </c>
      <c r="H9" s="259">
        <f t="shared" ref="H9" si="7">$H$7*C9</f>
        <v>8.2030000000000012</v>
      </c>
      <c r="I9" s="262">
        <f t="shared" ref="I9" si="8">G9+H9</f>
        <v>25.203000000000003</v>
      </c>
      <c r="J9" s="263">
        <f t="shared" si="0"/>
        <v>4.8620000000000019</v>
      </c>
      <c r="K9" s="264">
        <f t="shared" si="1"/>
        <v>0.23902463005751937</v>
      </c>
    </row>
    <row r="10" spans="1:11" x14ac:dyDescent="0.2">
      <c r="B10" s="256">
        <v>2</v>
      </c>
      <c r="C10" s="257">
        <f t="shared" si="2"/>
        <v>200</v>
      </c>
      <c r="D10" s="258">
        <f t="shared" si="3"/>
        <v>12</v>
      </c>
      <c r="E10" s="259">
        <f t="shared" ref="E10:E12" si="9">$E$7*C10</f>
        <v>16.681999999999999</v>
      </c>
      <c r="F10" s="260">
        <f t="shared" ref="F10:F12" si="10">E10+D10</f>
        <v>28.681999999999999</v>
      </c>
      <c r="G10" s="261">
        <f t="shared" si="6"/>
        <v>17</v>
      </c>
      <c r="H10" s="259">
        <f t="shared" ref="H10:H12" si="11">$H$7*C10</f>
        <v>16.406000000000002</v>
      </c>
      <c r="I10" s="262">
        <f t="shared" ref="I10:I12" si="12">G10+H10</f>
        <v>33.406000000000006</v>
      </c>
      <c r="J10" s="263">
        <f t="shared" ref="J10:J12" si="13">I10-F10</f>
        <v>4.7240000000000073</v>
      </c>
      <c r="K10" s="264">
        <f t="shared" ref="K10:K12" si="14">J10/F10</f>
        <v>0.16470260093438419</v>
      </c>
    </row>
    <row r="11" spans="1:11" x14ac:dyDescent="0.2">
      <c r="B11" s="256">
        <v>3</v>
      </c>
      <c r="C11" s="257">
        <f t="shared" si="2"/>
        <v>300</v>
      </c>
      <c r="D11" s="258">
        <f t="shared" si="3"/>
        <v>12</v>
      </c>
      <c r="E11" s="259">
        <f t="shared" si="9"/>
        <v>25.023</v>
      </c>
      <c r="F11" s="260">
        <f t="shared" si="10"/>
        <v>37.022999999999996</v>
      </c>
      <c r="G11" s="261">
        <f t="shared" si="6"/>
        <v>17</v>
      </c>
      <c r="H11" s="259">
        <f t="shared" si="11"/>
        <v>24.609000000000002</v>
      </c>
      <c r="I11" s="262">
        <f t="shared" si="12"/>
        <v>41.609000000000002</v>
      </c>
      <c r="J11" s="263">
        <f t="shared" si="13"/>
        <v>4.5860000000000056</v>
      </c>
      <c r="K11" s="264">
        <f t="shared" si="14"/>
        <v>0.12386894633065948</v>
      </c>
    </row>
    <row r="12" spans="1:11" x14ac:dyDescent="0.2">
      <c r="B12" s="256">
        <v>4</v>
      </c>
      <c r="C12" s="257">
        <f t="shared" si="2"/>
        <v>400</v>
      </c>
      <c r="D12" s="258">
        <f t="shared" si="3"/>
        <v>12</v>
      </c>
      <c r="E12" s="259">
        <f t="shared" si="9"/>
        <v>33.363999999999997</v>
      </c>
      <c r="F12" s="260">
        <f t="shared" si="10"/>
        <v>45.363999999999997</v>
      </c>
      <c r="G12" s="261">
        <f t="shared" si="6"/>
        <v>17</v>
      </c>
      <c r="H12" s="259">
        <f t="shared" si="11"/>
        <v>32.812000000000005</v>
      </c>
      <c r="I12" s="262">
        <f t="shared" si="12"/>
        <v>49.812000000000005</v>
      </c>
      <c r="J12" s="263">
        <f t="shared" si="13"/>
        <v>4.4480000000000075</v>
      </c>
      <c r="K12" s="264">
        <f t="shared" si="14"/>
        <v>9.8051318225906181E-2</v>
      </c>
    </row>
    <row r="13" spans="1:11" x14ac:dyDescent="0.2">
      <c r="B13" s="256">
        <v>2</v>
      </c>
      <c r="C13" s="257">
        <f t="shared" si="2"/>
        <v>500</v>
      </c>
      <c r="D13" s="258">
        <f t="shared" ref="D13:D39" si="15">D$7</f>
        <v>12</v>
      </c>
      <c r="E13" s="259">
        <f t="shared" ref="E13:E38" si="16">$E$7*C13</f>
        <v>41.704999999999998</v>
      </c>
      <c r="F13" s="260">
        <f t="shared" ref="F13:F38" si="17">E13+D13</f>
        <v>53.704999999999998</v>
      </c>
      <c r="G13" s="261">
        <f t="shared" ref="G13:G39" si="18">$G$7</f>
        <v>17</v>
      </c>
      <c r="H13" s="259">
        <f t="shared" ref="H13:H38" si="19">$H$7*C13</f>
        <v>41.015000000000001</v>
      </c>
      <c r="I13" s="262">
        <f t="shared" ref="I13:I38" si="20">G13+H13</f>
        <v>58.015000000000001</v>
      </c>
      <c r="J13" s="263">
        <f t="shared" si="0"/>
        <v>4.3100000000000023</v>
      </c>
      <c r="K13" s="264">
        <f t="shared" si="1"/>
        <v>8.0253235266734987E-2</v>
      </c>
    </row>
    <row r="14" spans="1:11" x14ac:dyDescent="0.2">
      <c r="B14" s="256">
        <v>3</v>
      </c>
      <c r="C14" s="257">
        <f t="shared" si="2"/>
        <v>600</v>
      </c>
      <c r="D14" s="258">
        <f t="shared" si="15"/>
        <v>12</v>
      </c>
      <c r="E14" s="259">
        <f t="shared" si="16"/>
        <v>50.045999999999999</v>
      </c>
      <c r="F14" s="260">
        <f t="shared" si="17"/>
        <v>62.045999999999999</v>
      </c>
      <c r="G14" s="261">
        <f t="shared" si="18"/>
        <v>17</v>
      </c>
      <c r="H14" s="259">
        <f t="shared" si="19"/>
        <v>49.218000000000004</v>
      </c>
      <c r="I14" s="262">
        <f t="shared" si="20"/>
        <v>66.218000000000004</v>
      </c>
      <c r="J14" s="263">
        <f t="shared" si="0"/>
        <v>4.1720000000000041</v>
      </c>
      <c r="K14" s="264">
        <f t="shared" si="1"/>
        <v>6.7240434516326664E-2</v>
      </c>
    </row>
    <row r="15" spans="1:11" x14ac:dyDescent="0.2">
      <c r="B15" s="256">
        <v>4</v>
      </c>
      <c r="C15" s="257">
        <f t="shared" si="2"/>
        <v>700</v>
      </c>
      <c r="D15" s="258">
        <f t="shared" si="15"/>
        <v>12</v>
      </c>
      <c r="E15" s="259">
        <f t="shared" si="16"/>
        <v>58.387</v>
      </c>
      <c r="F15" s="260">
        <f t="shared" si="17"/>
        <v>70.387</v>
      </c>
      <c r="G15" s="261">
        <f t="shared" si="18"/>
        <v>17</v>
      </c>
      <c r="H15" s="259">
        <f t="shared" si="19"/>
        <v>57.421000000000006</v>
      </c>
      <c r="I15" s="262">
        <f t="shared" si="20"/>
        <v>74.421000000000006</v>
      </c>
      <c r="J15" s="263">
        <f t="shared" si="0"/>
        <v>4.034000000000006</v>
      </c>
      <c r="K15" s="264">
        <f t="shared" si="1"/>
        <v>5.7311719493656585E-2</v>
      </c>
    </row>
    <row r="16" spans="1:11" x14ac:dyDescent="0.2">
      <c r="B16" s="256">
        <v>5</v>
      </c>
      <c r="C16" s="257">
        <f t="shared" si="2"/>
        <v>800</v>
      </c>
      <c r="D16" s="258">
        <f t="shared" si="15"/>
        <v>12</v>
      </c>
      <c r="E16" s="259">
        <f t="shared" si="16"/>
        <v>66.727999999999994</v>
      </c>
      <c r="F16" s="260">
        <f t="shared" si="17"/>
        <v>78.727999999999994</v>
      </c>
      <c r="G16" s="261">
        <f t="shared" si="18"/>
        <v>17</v>
      </c>
      <c r="H16" s="259">
        <f t="shared" si="19"/>
        <v>65.624000000000009</v>
      </c>
      <c r="I16" s="262">
        <f t="shared" si="20"/>
        <v>82.624000000000009</v>
      </c>
      <c r="J16" s="263">
        <f t="shared" si="0"/>
        <v>3.896000000000015</v>
      </c>
      <c r="K16" s="264">
        <f t="shared" si="1"/>
        <v>4.9486840768214808E-2</v>
      </c>
    </row>
    <row r="17" spans="2:11" x14ac:dyDescent="0.2">
      <c r="B17" s="256">
        <v>6</v>
      </c>
      <c r="C17" s="257">
        <f t="shared" si="2"/>
        <v>900</v>
      </c>
      <c r="D17" s="258">
        <f t="shared" si="15"/>
        <v>12</v>
      </c>
      <c r="E17" s="259">
        <f t="shared" si="16"/>
        <v>75.069000000000003</v>
      </c>
      <c r="F17" s="260">
        <f t="shared" si="17"/>
        <v>87.069000000000003</v>
      </c>
      <c r="G17" s="261">
        <f t="shared" si="18"/>
        <v>17</v>
      </c>
      <c r="H17" s="259">
        <f t="shared" si="19"/>
        <v>73.826999999999998</v>
      </c>
      <c r="I17" s="262">
        <f t="shared" si="20"/>
        <v>90.826999999999998</v>
      </c>
      <c r="J17" s="263">
        <f t="shared" si="0"/>
        <v>3.7579999999999956</v>
      </c>
      <c r="K17" s="264">
        <f t="shared" si="1"/>
        <v>4.3161171025278749E-2</v>
      </c>
    </row>
    <row r="18" spans="2:11" x14ac:dyDescent="0.2">
      <c r="B18" s="256">
        <v>7</v>
      </c>
      <c r="C18" s="257">
        <f t="shared" si="2"/>
        <v>1000</v>
      </c>
      <c r="D18" s="258">
        <f t="shared" si="15"/>
        <v>12</v>
      </c>
      <c r="E18" s="259">
        <f t="shared" si="16"/>
        <v>83.41</v>
      </c>
      <c r="F18" s="260">
        <f t="shared" si="17"/>
        <v>95.41</v>
      </c>
      <c r="G18" s="261">
        <f t="shared" si="18"/>
        <v>17</v>
      </c>
      <c r="H18" s="259">
        <f t="shared" si="19"/>
        <v>82.03</v>
      </c>
      <c r="I18" s="262">
        <f t="shared" si="20"/>
        <v>99.03</v>
      </c>
      <c r="J18" s="263">
        <f t="shared" si="0"/>
        <v>3.6200000000000045</v>
      </c>
      <c r="K18" s="264">
        <f t="shared" si="1"/>
        <v>3.7941515564406295E-2</v>
      </c>
    </row>
    <row r="19" spans="2:11" x14ac:dyDescent="0.2">
      <c r="B19" s="256">
        <v>8</v>
      </c>
      <c r="C19" s="257">
        <f t="shared" si="2"/>
        <v>1100</v>
      </c>
      <c r="D19" s="258">
        <f t="shared" si="15"/>
        <v>12</v>
      </c>
      <c r="E19" s="259">
        <f t="shared" si="16"/>
        <v>91.751000000000005</v>
      </c>
      <c r="F19" s="260">
        <f t="shared" si="17"/>
        <v>103.751</v>
      </c>
      <c r="G19" s="261">
        <f t="shared" si="18"/>
        <v>17</v>
      </c>
      <c r="H19" s="259">
        <f t="shared" si="19"/>
        <v>90.233000000000004</v>
      </c>
      <c r="I19" s="262">
        <f t="shared" si="20"/>
        <v>107.233</v>
      </c>
      <c r="J19" s="263">
        <f t="shared" si="0"/>
        <v>3.4819999999999993</v>
      </c>
      <c r="K19" s="264">
        <f t="shared" si="1"/>
        <v>3.3561122302435631E-2</v>
      </c>
    </row>
    <row r="20" spans="2:11" x14ac:dyDescent="0.2">
      <c r="B20" s="256">
        <v>9</v>
      </c>
      <c r="C20" s="257">
        <f t="shared" si="2"/>
        <v>1200</v>
      </c>
      <c r="D20" s="258">
        <f t="shared" si="15"/>
        <v>12</v>
      </c>
      <c r="E20" s="259">
        <f t="shared" si="16"/>
        <v>100.092</v>
      </c>
      <c r="F20" s="260">
        <f t="shared" si="17"/>
        <v>112.092</v>
      </c>
      <c r="G20" s="261">
        <f t="shared" si="18"/>
        <v>17</v>
      </c>
      <c r="H20" s="259">
        <f t="shared" si="19"/>
        <v>98.436000000000007</v>
      </c>
      <c r="I20" s="262">
        <f t="shared" si="20"/>
        <v>115.43600000000001</v>
      </c>
      <c r="J20" s="263">
        <f t="shared" si="0"/>
        <v>3.3440000000000083</v>
      </c>
      <c r="K20" s="264">
        <f t="shared" si="1"/>
        <v>2.9832637476358781E-2</v>
      </c>
    </row>
    <row r="21" spans="2:11" x14ac:dyDescent="0.2">
      <c r="B21" s="256">
        <v>10</v>
      </c>
      <c r="C21" s="257">
        <f t="shared" si="2"/>
        <v>1300</v>
      </c>
      <c r="D21" s="258">
        <f t="shared" si="15"/>
        <v>12</v>
      </c>
      <c r="E21" s="259">
        <f t="shared" si="16"/>
        <v>108.43299999999999</v>
      </c>
      <c r="F21" s="260">
        <f t="shared" si="17"/>
        <v>120.43299999999999</v>
      </c>
      <c r="G21" s="261">
        <f t="shared" si="18"/>
        <v>17</v>
      </c>
      <c r="H21" s="259">
        <f t="shared" si="19"/>
        <v>106.63900000000001</v>
      </c>
      <c r="I21" s="262">
        <f t="shared" si="20"/>
        <v>123.63900000000001</v>
      </c>
      <c r="J21" s="263">
        <f t="shared" si="0"/>
        <v>3.2060000000000173</v>
      </c>
      <c r="K21" s="264">
        <f t="shared" si="1"/>
        <v>2.662061062997698E-2</v>
      </c>
    </row>
    <row r="22" spans="2:11" x14ac:dyDescent="0.2">
      <c r="B22" s="256">
        <v>11</v>
      </c>
      <c r="C22" s="257">
        <f t="shared" si="2"/>
        <v>1400</v>
      </c>
      <c r="D22" s="258">
        <f t="shared" si="15"/>
        <v>12</v>
      </c>
      <c r="E22" s="259">
        <f t="shared" si="16"/>
        <v>116.774</v>
      </c>
      <c r="F22" s="260">
        <f t="shared" si="17"/>
        <v>128.774</v>
      </c>
      <c r="G22" s="261">
        <f t="shared" si="18"/>
        <v>17</v>
      </c>
      <c r="H22" s="259">
        <f t="shared" si="19"/>
        <v>114.84200000000001</v>
      </c>
      <c r="I22" s="262">
        <f t="shared" si="20"/>
        <v>131.84200000000001</v>
      </c>
      <c r="J22" s="263">
        <f t="shared" si="0"/>
        <v>3.0680000000000121</v>
      </c>
      <c r="K22" s="264">
        <f t="shared" si="1"/>
        <v>2.3824685107242238E-2</v>
      </c>
    </row>
    <row r="23" spans="2:11" x14ac:dyDescent="0.2">
      <c r="B23" s="256">
        <v>12</v>
      </c>
      <c r="C23" s="257">
        <f t="shared" si="2"/>
        <v>1500</v>
      </c>
      <c r="D23" s="258">
        <f t="shared" si="15"/>
        <v>12</v>
      </c>
      <c r="E23" s="259">
        <f t="shared" si="16"/>
        <v>125.11499999999999</v>
      </c>
      <c r="F23" s="260">
        <f t="shared" si="17"/>
        <v>137.11500000000001</v>
      </c>
      <c r="G23" s="261">
        <f t="shared" si="18"/>
        <v>17</v>
      </c>
      <c r="H23" s="259">
        <f t="shared" si="19"/>
        <v>123.045</v>
      </c>
      <c r="I23" s="262">
        <f t="shared" si="20"/>
        <v>140.04500000000002</v>
      </c>
      <c r="J23" s="263">
        <f t="shared" si="0"/>
        <v>2.9300000000000068</v>
      </c>
      <c r="K23" s="264">
        <f t="shared" si="1"/>
        <v>2.1368923895999755E-2</v>
      </c>
    </row>
    <row r="24" spans="2:11" x14ac:dyDescent="0.2">
      <c r="B24" s="256">
        <v>13</v>
      </c>
      <c r="C24" s="257">
        <f t="shared" si="2"/>
        <v>1600</v>
      </c>
      <c r="D24" s="258">
        <f t="shared" si="15"/>
        <v>12</v>
      </c>
      <c r="E24" s="259">
        <f t="shared" si="16"/>
        <v>133.45599999999999</v>
      </c>
      <c r="F24" s="260">
        <f t="shared" si="17"/>
        <v>145.45599999999999</v>
      </c>
      <c r="G24" s="261">
        <f t="shared" si="18"/>
        <v>17</v>
      </c>
      <c r="H24" s="259">
        <f t="shared" si="19"/>
        <v>131.24800000000002</v>
      </c>
      <c r="I24" s="262">
        <f t="shared" si="20"/>
        <v>148.24800000000002</v>
      </c>
      <c r="J24" s="263">
        <f t="shared" si="0"/>
        <v>2.79200000000003</v>
      </c>
      <c r="K24" s="264">
        <f t="shared" si="1"/>
        <v>1.9194808051919688E-2</v>
      </c>
    </row>
    <row r="25" spans="2:11" x14ac:dyDescent="0.2">
      <c r="B25" s="256">
        <v>14</v>
      </c>
      <c r="C25" s="257">
        <f t="shared" si="2"/>
        <v>1700</v>
      </c>
      <c r="D25" s="258">
        <f t="shared" si="15"/>
        <v>12</v>
      </c>
      <c r="E25" s="259">
        <f t="shared" si="16"/>
        <v>141.797</v>
      </c>
      <c r="F25" s="260">
        <f t="shared" si="17"/>
        <v>153.797</v>
      </c>
      <c r="G25" s="261">
        <f t="shared" si="18"/>
        <v>17</v>
      </c>
      <c r="H25" s="259">
        <f t="shared" si="19"/>
        <v>139.45100000000002</v>
      </c>
      <c r="I25" s="262">
        <f t="shared" si="20"/>
        <v>156.45100000000002</v>
      </c>
      <c r="J25" s="263">
        <f t="shared" si="0"/>
        <v>2.6540000000000248</v>
      </c>
      <c r="K25" s="264">
        <f t="shared" si="1"/>
        <v>1.725651345604937E-2</v>
      </c>
    </row>
    <row r="26" spans="2:11" x14ac:dyDescent="0.2">
      <c r="B26" s="256">
        <v>15</v>
      </c>
      <c r="C26" s="257">
        <f t="shared" si="2"/>
        <v>1800</v>
      </c>
      <c r="D26" s="258">
        <f t="shared" si="15"/>
        <v>12</v>
      </c>
      <c r="E26" s="259">
        <f t="shared" si="16"/>
        <v>150.13800000000001</v>
      </c>
      <c r="F26" s="260">
        <f t="shared" si="17"/>
        <v>162.13800000000001</v>
      </c>
      <c r="G26" s="261">
        <f t="shared" si="18"/>
        <v>17</v>
      </c>
      <c r="H26" s="259">
        <f t="shared" si="19"/>
        <v>147.654</v>
      </c>
      <c r="I26" s="262">
        <f t="shared" si="20"/>
        <v>164.654</v>
      </c>
      <c r="J26" s="263">
        <f t="shared" si="0"/>
        <v>2.5159999999999911</v>
      </c>
      <c r="K26" s="264">
        <f t="shared" si="1"/>
        <v>1.5517645462507192E-2</v>
      </c>
    </row>
    <row r="27" spans="2:11" x14ac:dyDescent="0.2">
      <c r="B27" s="256">
        <v>16</v>
      </c>
      <c r="C27" s="257">
        <f t="shared" si="2"/>
        <v>1900</v>
      </c>
      <c r="D27" s="258">
        <f t="shared" si="15"/>
        <v>12</v>
      </c>
      <c r="E27" s="259">
        <f t="shared" si="16"/>
        <v>158.47899999999998</v>
      </c>
      <c r="F27" s="260">
        <f t="shared" si="17"/>
        <v>170.47899999999998</v>
      </c>
      <c r="G27" s="261">
        <f t="shared" si="18"/>
        <v>17</v>
      </c>
      <c r="H27" s="259">
        <f t="shared" si="19"/>
        <v>155.857</v>
      </c>
      <c r="I27" s="262">
        <f t="shared" si="20"/>
        <v>172.857</v>
      </c>
      <c r="J27" s="263">
        <f t="shared" si="0"/>
        <v>2.3780000000000143</v>
      </c>
      <c r="K27" s="264">
        <f t="shared" si="1"/>
        <v>1.3948932126537665E-2</v>
      </c>
    </row>
    <row r="28" spans="2:11" x14ac:dyDescent="0.2">
      <c r="B28" s="256">
        <v>17</v>
      </c>
      <c r="C28" s="257">
        <f t="shared" si="2"/>
        <v>2000</v>
      </c>
      <c r="D28" s="258">
        <f t="shared" si="15"/>
        <v>12</v>
      </c>
      <c r="E28" s="259">
        <f t="shared" si="16"/>
        <v>166.82</v>
      </c>
      <c r="F28" s="260">
        <f t="shared" si="17"/>
        <v>178.82</v>
      </c>
      <c r="G28" s="261">
        <f t="shared" si="18"/>
        <v>17</v>
      </c>
      <c r="H28" s="259">
        <f t="shared" si="19"/>
        <v>164.06</v>
      </c>
      <c r="I28" s="262">
        <f t="shared" si="20"/>
        <v>181.06</v>
      </c>
      <c r="J28" s="263">
        <f t="shared" si="0"/>
        <v>2.2400000000000091</v>
      </c>
      <c r="K28" s="264">
        <f t="shared" si="1"/>
        <v>1.2526563024270267E-2</v>
      </c>
    </row>
    <row r="29" spans="2:11" x14ac:dyDescent="0.2">
      <c r="B29" s="256">
        <v>18</v>
      </c>
      <c r="C29" s="257">
        <f t="shared" si="2"/>
        <v>2100</v>
      </c>
      <c r="D29" s="258">
        <f t="shared" si="15"/>
        <v>12</v>
      </c>
      <c r="E29" s="259">
        <f t="shared" si="16"/>
        <v>175.161</v>
      </c>
      <c r="F29" s="260">
        <f t="shared" si="17"/>
        <v>187.161</v>
      </c>
      <c r="G29" s="261">
        <f t="shared" si="18"/>
        <v>17</v>
      </c>
      <c r="H29" s="259">
        <f t="shared" si="19"/>
        <v>172.26300000000001</v>
      </c>
      <c r="I29" s="262">
        <f t="shared" si="20"/>
        <v>189.26300000000001</v>
      </c>
      <c r="J29" s="263">
        <f t="shared" si="0"/>
        <v>2.1020000000000039</v>
      </c>
      <c r="K29" s="264">
        <f t="shared" si="1"/>
        <v>1.123097226452094E-2</v>
      </c>
    </row>
    <row r="30" spans="2:11" x14ac:dyDescent="0.2">
      <c r="B30" s="256">
        <v>19</v>
      </c>
      <c r="C30" s="257">
        <f t="shared" si="2"/>
        <v>2200</v>
      </c>
      <c r="D30" s="258">
        <f t="shared" si="15"/>
        <v>12</v>
      </c>
      <c r="E30" s="259">
        <f t="shared" si="16"/>
        <v>183.50200000000001</v>
      </c>
      <c r="F30" s="260">
        <f t="shared" si="17"/>
        <v>195.50200000000001</v>
      </c>
      <c r="G30" s="261">
        <f t="shared" si="18"/>
        <v>17</v>
      </c>
      <c r="H30" s="259">
        <f t="shared" si="19"/>
        <v>180.46600000000001</v>
      </c>
      <c r="I30" s="262">
        <f t="shared" si="20"/>
        <v>197.46600000000001</v>
      </c>
      <c r="J30" s="263">
        <f t="shared" si="0"/>
        <v>1.9639999999999986</v>
      </c>
      <c r="K30" s="264">
        <f t="shared" si="1"/>
        <v>1.004593303393315E-2</v>
      </c>
    </row>
    <row r="31" spans="2:11" x14ac:dyDescent="0.2">
      <c r="B31" s="256">
        <v>20</v>
      </c>
      <c r="C31" s="257">
        <f t="shared" si="2"/>
        <v>2300</v>
      </c>
      <c r="D31" s="258">
        <f t="shared" si="15"/>
        <v>12</v>
      </c>
      <c r="E31" s="259">
        <f t="shared" si="16"/>
        <v>191.84299999999999</v>
      </c>
      <c r="F31" s="260">
        <f t="shared" si="17"/>
        <v>203.84299999999999</v>
      </c>
      <c r="G31" s="261">
        <f t="shared" si="18"/>
        <v>17</v>
      </c>
      <c r="H31" s="259">
        <f t="shared" si="19"/>
        <v>188.66900000000001</v>
      </c>
      <c r="I31" s="262">
        <f t="shared" si="20"/>
        <v>205.66900000000001</v>
      </c>
      <c r="J31" s="263">
        <f t="shared" si="0"/>
        <v>1.8260000000000218</v>
      </c>
      <c r="K31" s="264">
        <f t="shared" si="1"/>
        <v>8.9578744425858232E-3</v>
      </c>
    </row>
    <row r="32" spans="2:11" x14ac:dyDescent="0.2">
      <c r="B32" s="256">
        <v>21</v>
      </c>
      <c r="C32" s="257">
        <f t="shared" si="2"/>
        <v>2400</v>
      </c>
      <c r="D32" s="258">
        <f t="shared" si="15"/>
        <v>12</v>
      </c>
      <c r="E32" s="259">
        <f t="shared" si="16"/>
        <v>200.184</v>
      </c>
      <c r="F32" s="260">
        <f t="shared" si="17"/>
        <v>212.184</v>
      </c>
      <c r="G32" s="261">
        <f t="shared" si="18"/>
        <v>17</v>
      </c>
      <c r="H32" s="259">
        <f t="shared" si="19"/>
        <v>196.87200000000001</v>
      </c>
      <c r="I32" s="262">
        <f t="shared" si="20"/>
        <v>213.87200000000001</v>
      </c>
      <c r="J32" s="263">
        <f t="shared" si="0"/>
        <v>1.6880000000000166</v>
      </c>
      <c r="K32" s="264">
        <f t="shared" si="1"/>
        <v>7.9553594993025702E-3</v>
      </c>
    </row>
    <row r="33" spans="2:11" x14ac:dyDescent="0.2">
      <c r="B33" s="256">
        <v>22</v>
      </c>
      <c r="C33" s="257">
        <f t="shared" si="2"/>
        <v>2500</v>
      </c>
      <c r="D33" s="258">
        <f t="shared" si="15"/>
        <v>12</v>
      </c>
      <c r="E33" s="259">
        <f t="shared" si="16"/>
        <v>208.52500000000001</v>
      </c>
      <c r="F33" s="260">
        <f t="shared" si="17"/>
        <v>220.52500000000001</v>
      </c>
      <c r="G33" s="261">
        <f t="shared" si="18"/>
        <v>17</v>
      </c>
      <c r="H33" s="259">
        <f t="shared" si="19"/>
        <v>205.07500000000002</v>
      </c>
      <c r="I33" s="262">
        <f t="shared" si="20"/>
        <v>222.07500000000002</v>
      </c>
      <c r="J33" s="263">
        <f t="shared" si="0"/>
        <v>1.5500000000000114</v>
      </c>
      <c r="K33" s="264">
        <f t="shared" si="1"/>
        <v>7.0286815553792601E-3</v>
      </c>
    </row>
    <row r="34" spans="2:11" x14ac:dyDescent="0.2">
      <c r="B34" s="256">
        <v>23</v>
      </c>
      <c r="C34" s="257">
        <f t="shared" si="2"/>
        <v>2600</v>
      </c>
      <c r="D34" s="258">
        <f t="shared" si="15"/>
        <v>12</v>
      </c>
      <c r="E34" s="259">
        <f t="shared" si="16"/>
        <v>216.86599999999999</v>
      </c>
      <c r="F34" s="260">
        <f t="shared" si="17"/>
        <v>228.86599999999999</v>
      </c>
      <c r="G34" s="261">
        <f t="shared" si="18"/>
        <v>17</v>
      </c>
      <c r="H34" s="259">
        <f t="shared" si="19"/>
        <v>213.27800000000002</v>
      </c>
      <c r="I34" s="262">
        <f t="shared" si="20"/>
        <v>230.27800000000002</v>
      </c>
      <c r="J34" s="263">
        <f t="shared" si="0"/>
        <v>1.4120000000000346</v>
      </c>
      <c r="K34" s="264">
        <f t="shared" si="1"/>
        <v>6.1695489937344762E-3</v>
      </c>
    </row>
    <row r="35" spans="2:11" x14ac:dyDescent="0.2">
      <c r="B35" s="256">
        <v>24</v>
      </c>
      <c r="C35" s="257">
        <f t="shared" si="2"/>
        <v>2700</v>
      </c>
      <c r="D35" s="258">
        <f t="shared" si="15"/>
        <v>12</v>
      </c>
      <c r="E35" s="259">
        <f t="shared" si="16"/>
        <v>225.20699999999999</v>
      </c>
      <c r="F35" s="260">
        <f t="shared" si="17"/>
        <v>237.20699999999999</v>
      </c>
      <c r="G35" s="261">
        <f t="shared" si="18"/>
        <v>17</v>
      </c>
      <c r="H35" s="259">
        <f t="shared" si="19"/>
        <v>221.48100000000002</v>
      </c>
      <c r="I35" s="262">
        <f t="shared" si="20"/>
        <v>238.48100000000002</v>
      </c>
      <c r="J35" s="263">
        <f t="shared" si="0"/>
        <v>1.2740000000000293</v>
      </c>
      <c r="K35" s="264">
        <f t="shared" si="1"/>
        <v>5.3708364424322613E-3</v>
      </c>
    </row>
    <row r="36" spans="2:11" x14ac:dyDescent="0.2">
      <c r="B36" s="256">
        <v>25</v>
      </c>
      <c r="C36" s="257">
        <f t="shared" si="2"/>
        <v>2800</v>
      </c>
      <c r="D36" s="258">
        <f t="shared" si="15"/>
        <v>12</v>
      </c>
      <c r="E36" s="259">
        <f t="shared" si="16"/>
        <v>233.548</v>
      </c>
      <c r="F36" s="260">
        <f t="shared" si="17"/>
        <v>245.548</v>
      </c>
      <c r="G36" s="261">
        <f t="shared" si="18"/>
        <v>17</v>
      </c>
      <c r="H36" s="259">
        <f t="shared" si="19"/>
        <v>229.68400000000003</v>
      </c>
      <c r="I36" s="262">
        <f t="shared" si="20"/>
        <v>246.68400000000003</v>
      </c>
      <c r="J36" s="263">
        <f t="shared" si="0"/>
        <v>1.1360000000000241</v>
      </c>
      <c r="K36" s="264">
        <f t="shared" si="1"/>
        <v>4.6263866942513237E-3</v>
      </c>
    </row>
    <row r="37" spans="2:11" x14ac:dyDescent="0.2">
      <c r="B37" s="256">
        <v>26</v>
      </c>
      <c r="C37" s="257">
        <f t="shared" si="2"/>
        <v>2900</v>
      </c>
      <c r="D37" s="258">
        <f t="shared" si="15"/>
        <v>12</v>
      </c>
      <c r="E37" s="259">
        <f t="shared" si="16"/>
        <v>241.88899999999998</v>
      </c>
      <c r="F37" s="260">
        <f t="shared" si="17"/>
        <v>253.88899999999998</v>
      </c>
      <c r="G37" s="261">
        <f t="shared" si="18"/>
        <v>17</v>
      </c>
      <c r="H37" s="259">
        <f t="shared" si="19"/>
        <v>237.88700000000003</v>
      </c>
      <c r="I37" s="262">
        <f t="shared" si="20"/>
        <v>254.88700000000003</v>
      </c>
      <c r="J37" s="263">
        <f t="shared" si="0"/>
        <v>0.99800000000004729</v>
      </c>
      <c r="K37" s="264">
        <f t="shared" si="1"/>
        <v>3.9308516713998931E-3</v>
      </c>
    </row>
    <row r="38" spans="2:11" ht="13.5" thickBot="1" x14ac:dyDescent="0.25">
      <c r="B38" s="265">
        <v>27</v>
      </c>
      <c r="C38" s="273">
        <f t="shared" si="2"/>
        <v>3000</v>
      </c>
      <c r="D38" s="266">
        <f t="shared" si="15"/>
        <v>12</v>
      </c>
      <c r="E38" s="267">
        <f t="shared" si="16"/>
        <v>250.23</v>
      </c>
      <c r="F38" s="268">
        <f t="shared" si="17"/>
        <v>262.23</v>
      </c>
      <c r="G38" s="269">
        <f t="shared" si="18"/>
        <v>17</v>
      </c>
      <c r="H38" s="267">
        <f t="shared" si="19"/>
        <v>246.09</v>
      </c>
      <c r="I38" s="270">
        <f t="shared" si="20"/>
        <v>263.09000000000003</v>
      </c>
      <c r="J38" s="271">
        <f t="shared" si="0"/>
        <v>0.86000000000001364</v>
      </c>
      <c r="K38" s="272">
        <f t="shared" si="1"/>
        <v>3.2795637417534743E-3</v>
      </c>
    </row>
    <row r="39" spans="2:11" s="349" customFormat="1" ht="21.75" customHeight="1" thickTop="1" thickBot="1" x14ac:dyDescent="0.25">
      <c r="B39" s="350" t="s">
        <v>211</v>
      </c>
      <c r="C39" s="351">
        <f>'R'!D16/('R'!D11+'R'!D12)</f>
        <v>1111.1076397382296</v>
      </c>
      <c r="D39" s="352">
        <f t="shared" si="15"/>
        <v>12</v>
      </c>
      <c r="E39" s="353">
        <f t="shared" ref="E39" si="21">$E$7*C39</f>
        <v>92.677488230565729</v>
      </c>
      <c r="F39" s="354">
        <f t="shared" ref="F39" si="22">E39+D39</f>
        <v>104.67748823056573</v>
      </c>
      <c r="G39" s="355">
        <f t="shared" si="18"/>
        <v>17</v>
      </c>
      <c r="H39" s="353">
        <f t="shared" ref="H39" si="23">$H$7*C39</f>
        <v>91.144159687726983</v>
      </c>
      <c r="I39" s="356">
        <f t="shared" ref="I39" si="24">G39+H39</f>
        <v>108.14415968772698</v>
      </c>
      <c r="J39" s="357">
        <f t="shared" ref="J39" si="25">I39-F39</f>
        <v>3.4666714571612545</v>
      </c>
      <c r="K39" s="358">
        <f t="shared" ref="K39" si="26">J39/F39</f>
        <v>3.3117640820015296E-2</v>
      </c>
    </row>
    <row r="40" spans="2:11" ht="13.5" thickTop="1" x14ac:dyDescent="0.2"/>
  </sheetData>
  <mergeCells count="3">
    <mergeCell ref="D5:F5"/>
    <mergeCell ref="G5:I5"/>
    <mergeCell ref="J5:K5"/>
  </mergeCells>
  <printOptions horizontalCentered="1"/>
  <pageMargins left="1" right="0.75" top="0.75" bottom="0.75" header="0.3" footer="0.3"/>
  <pageSetup scale="95" fitToHeight="2" orientation="portrait" r:id="rId1"/>
  <headerFooter>
    <oddFooter>&amp;RExhibit JW-9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2:AA189"/>
  <sheetViews>
    <sheetView topLeftCell="H138" zoomScale="75" zoomScaleNormal="75" workbookViewId="0">
      <selection activeCell="Q161" sqref="Q161"/>
    </sheetView>
  </sheetViews>
  <sheetFormatPr defaultRowHeight="12.75" x14ac:dyDescent="0.2"/>
  <cols>
    <col min="1" max="1" width="26.28515625" bestFit="1" customWidth="1"/>
    <col min="3" max="3" width="12" bestFit="1" customWidth="1"/>
    <col min="4" max="4" width="15.42578125" bestFit="1" customWidth="1"/>
    <col min="5" max="5" width="12.7109375" bestFit="1" customWidth="1"/>
    <col min="6" max="6" width="12.5703125" bestFit="1" customWidth="1"/>
    <col min="7" max="7" width="13.85546875" bestFit="1" customWidth="1"/>
    <col min="8" max="8" width="11" bestFit="1" customWidth="1"/>
    <col min="9" max="9" width="12" customWidth="1"/>
    <col min="10" max="10" width="14" bestFit="1" customWidth="1"/>
    <col min="11" max="11" width="10.5703125" bestFit="1" customWidth="1"/>
    <col min="12" max="12" width="14.85546875" customWidth="1"/>
    <col min="13" max="13" width="11" bestFit="1" customWidth="1"/>
    <col min="14" max="14" width="12.5703125" bestFit="1" customWidth="1"/>
    <col min="15" max="15" width="12.140625" bestFit="1" customWidth="1"/>
    <col min="16" max="16" width="12.5703125" bestFit="1" customWidth="1"/>
    <col min="17" max="17" width="10.5703125" bestFit="1" customWidth="1"/>
    <col min="18" max="18" width="12.5703125" customWidth="1"/>
    <col min="21" max="21" width="15.5703125" customWidth="1"/>
    <col min="22" max="22" width="11.5703125" bestFit="1" customWidth="1"/>
    <col min="23" max="23" width="12.7109375" bestFit="1" customWidth="1"/>
    <col min="24" max="24" width="14.85546875" bestFit="1" customWidth="1"/>
    <col min="26" max="26" width="12.42578125" customWidth="1"/>
    <col min="27" max="27" width="11.42578125" customWidth="1"/>
    <col min="257" max="257" width="26.28515625" bestFit="1" customWidth="1"/>
    <col min="259" max="259" width="12" bestFit="1" customWidth="1"/>
    <col min="260" max="260" width="11.140625" bestFit="1" customWidth="1"/>
    <col min="263" max="263" width="10.140625" bestFit="1" customWidth="1"/>
    <col min="513" max="513" width="26.28515625" bestFit="1" customWidth="1"/>
    <col min="515" max="515" width="12" bestFit="1" customWidth="1"/>
    <col min="516" max="516" width="11.140625" bestFit="1" customWidth="1"/>
    <col min="519" max="519" width="10.140625" bestFit="1" customWidth="1"/>
    <col min="769" max="769" width="26.28515625" bestFit="1" customWidth="1"/>
    <col min="771" max="771" width="12" bestFit="1" customWidth="1"/>
    <col min="772" max="772" width="11.140625" bestFit="1" customWidth="1"/>
    <col min="775" max="775" width="10.140625" bestFit="1" customWidth="1"/>
    <col min="1025" max="1025" width="26.28515625" bestFit="1" customWidth="1"/>
    <col min="1027" max="1027" width="12" bestFit="1" customWidth="1"/>
    <col min="1028" max="1028" width="11.140625" bestFit="1" customWidth="1"/>
    <col min="1031" max="1031" width="10.140625" bestFit="1" customWidth="1"/>
    <col min="1281" max="1281" width="26.28515625" bestFit="1" customWidth="1"/>
    <col min="1283" max="1283" width="12" bestFit="1" customWidth="1"/>
    <col min="1284" max="1284" width="11.140625" bestFit="1" customWidth="1"/>
    <col min="1287" max="1287" width="10.140625" bestFit="1" customWidth="1"/>
    <col min="1537" max="1537" width="26.28515625" bestFit="1" customWidth="1"/>
    <col min="1539" max="1539" width="12" bestFit="1" customWidth="1"/>
    <col min="1540" max="1540" width="11.140625" bestFit="1" customWidth="1"/>
    <col min="1543" max="1543" width="10.140625" bestFit="1" customWidth="1"/>
    <col min="1793" max="1793" width="26.28515625" bestFit="1" customWidth="1"/>
    <col min="1795" max="1795" width="12" bestFit="1" customWidth="1"/>
    <col min="1796" max="1796" width="11.140625" bestFit="1" customWidth="1"/>
    <col min="1799" max="1799" width="10.140625" bestFit="1" customWidth="1"/>
    <col min="2049" max="2049" width="26.28515625" bestFit="1" customWidth="1"/>
    <col min="2051" max="2051" width="12" bestFit="1" customWidth="1"/>
    <col min="2052" max="2052" width="11.140625" bestFit="1" customWidth="1"/>
    <col min="2055" max="2055" width="10.140625" bestFit="1" customWidth="1"/>
    <col min="2305" max="2305" width="26.28515625" bestFit="1" customWidth="1"/>
    <col min="2307" max="2307" width="12" bestFit="1" customWidth="1"/>
    <col min="2308" max="2308" width="11.140625" bestFit="1" customWidth="1"/>
    <col min="2311" max="2311" width="10.140625" bestFit="1" customWidth="1"/>
    <col min="2561" max="2561" width="26.28515625" bestFit="1" customWidth="1"/>
    <col min="2563" max="2563" width="12" bestFit="1" customWidth="1"/>
    <col min="2564" max="2564" width="11.140625" bestFit="1" customWidth="1"/>
    <col min="2567" max="2567" width="10.140625" bestFit="1" customWidth="1"/>
    <col min="2817" max="2817" width="26.28515625" bestFit="1" customWidth="1"/>
    <col min="2819" max="2819" width="12" bestFit="1" customWidth="1"/>
    <col min="2820" max="2820" width="11.140625" bestFit="1" customWidth="1"/>
    <col min="2823" max="2823" width="10.140625" bestFit="1" customWidth="1"/>
    <col min="3073" max="3073" width="26.28515625" bestFit="1" customWidth="1"/>
    <col min="3075" max="3075" width="12" bestFit="1" customWidth="1"/>
    <col min="3076" max="3076" width="11.140625" bestFit="1" customWidth="1"/>
    <col min="3079" max="3079" width="10.140625" bestFit="1" customWidth="1"/>
    <col min="3329" max="3329" width="26.28515625" bestFit="1" customWidth="1"/>
    <col min="3331" max="3331" width="12" bestFit="1" customWidth="1"/>
    <col min="3332" max="3332" width="11.140625" bestFit="1" customWidth="1"/>
    <col min="3335" max="3335" width="10.140625" bestFit="1" customWidth="1"/>
    <col min="3585" max="3585" width="26.28515625" bestFit="1" customWidth="1"/>
    <col min="3587" max="3587" width="12" bestFit="1" customWidth="1"/>
    <col min="3588" max="3588" width="11.140625" bestFit="1" customWidth="1"/>
    <col min="3591" max="3591" width="10.140625" bestFit="1" customWidth="1"/>
    <col min="3841" max="3841" width="26.28515625" bestFit="1" customWidth="1"/>
    <col min="3843" max="3843" width="12" bestFit="1" customWidth="1"/>
    <col min="3844" max="3844" width="11.140625" bestFit="1" customWidth="1"/>
    <col min="3847" max="3847" width="10.140625" bestFit="1" customWidth="1"/>
    <col min="4097" max="4097" width="26.28515625" bestFit="1" customWidth="1"/>
    <col min="4099" max="4099" width="12" bestFit="1" customWidth="1"/>
    <col min="4100" max="4100" width="11.140625" bestFit="1" customWidth="1"/>
    <col min="4103" max="4103" width="10.140625" bestFit="1" customWidth="1"/>
    <col min="4353" max="4353" width="26.28515625" bestFit="1" customWidth="1"/>
    <col min="4355" max="4355" width="12" bestFit="1" customWidth="1"/>
    <col min="4356" max="4356" width="11.140625" bestFit="1" customWidth="1"/>
    <col min="4359" max="4359" width="10.140625" bestFit="1" customWidth="1"/>
    <col min="4609" max="4609" width="26.28515625" bestFit="1" customWidth="1"/>
    <col min="4611" max="4611" width="12" bestFit="1" customWidth="1"/>
    <col min="4612" max="4612" width="11.140625" bestFit="1" customWidth="1"/>
    <col min="4615" max="4615" width="10.140625" bestFit="1" customWidth="1"/>
    <col min="4865" max="4865" width="26.28515625" bestFit="1" customWidth="1"/>
    <col min="4867" max="4867" width="12" bestFit="1" customWidth="1"/>
    <col min="4868" max="4868" width="11.140625" bestFit="1" customWidth="1"/>
    <col min="4871" max="4871" width="10.140625" bestFit="1" customWidth="1"/>
    <col min="5121" max="5121" width="26.28515625" bestFit="1" customWidth="1"/>
    <col min="5123" max="5123" width="12" bestFit="1" customWidth="1"/>
    <col min="5124" max="5124" width="11.140625" bestFit="1" customWidth="1"/>
    <col min="5127" max="5127" width="10.140625" bestFit="1" customWidth="1"/>
    <col min="5377" max="5377" width="26.28515625" bestFit="1" customWidth="1"/>
    <col min="5379" max="5379" width="12" bestFit="1" customWidth="1"/>
    <col min="5380" max="5380" width="11.140625" bestFit="1" customWidth="1"/>
    <col min="5383" max="5383" width="10.140625" bestFit="1" customWidth="1"/>
    <col min="5633" max="5633" width="26.28515625" bestFit="1" customWidth="1"/>
    <col min="5635" max="5635" width="12" bestFit="1" customWidth="1"/>
    <col min="5636" max="5636" width="11.140625" bestFit="1" customWidth="1"/>
    <col min="5639" max="5639" width="10.140625" bestFit="1" customWidth="1"/>
    <col min="5889" max="5889" width="26.28515625" bestFit="1" customWidth="1"/>
    <col min="5891" max="5891" width="12" bestFit="1" customWidth="1"/>
    <col min="5892" max="5892" width="11.140625" bestFit="1" customWidth="1"/>
    <col min="5895" max="5895" width="10.140625" bestFit="1" customWidth="1"/>
    <col min="6145" max="6145" width="26.28515625" bestFit="1" customWidth="1"/>
    <col min="6147" max="6147" width="12" bestFit="1" customWidth="1"/>
    <col min="6148" max="6148" width="11.140625" bestFit="1" customWidth="1"/>
    <col min="6151" max="6151" width="10.140625" bestFit="1" customWidth="1"/>
    <col min="6401" max="6401" width="26.28515625" bestFit="1" customWidth="1"/>
    <col min="6403" max="6403" width="12" bestFit="1" customWidth="1"/>
    <col min="6404" max="6404" width="11.140625" bestFit="1" customWidth="1"/>
    <col min="6407" max="6407" width="10.140625" bestFit="1" customWidth="1"/>
    <col min="6657" max="6657" width="26.28515625" bestFit="1" customWidth="1"/>
    <col min="6659" max="6659" width="12" bestFit="1" customWidth="1"/>
    <col min="6660" max="6660" width="11.140625" bestFit="1" customWidth="1"/>
    <col min="6663" max="6663" width="10.140625" bestFit="1" customWidth="1"/>
    <col min="6913" max="6913" width="26.28515625" bestFit="1" customWidth="1"/>
    <col min="6915" max="6915" width="12" bestFit="1" customWidth="1"/>
    <col min="6916" max="6916" width="11.140625" bestFit="1" customWidth="1"/>
    <col min="6919" max="6919" width="10.140625" bestFit="1" customWidth="1"/>
    <col min="7169" max="7169" width="26.28515625" bestFit="1" customWidth="1"/>
    <col min="7171" max="7171" width="12" bestFit="1" customWidth="1"/>
    <col min="7172" max="7172" width="11.140625" bestFit="1" customWidth="1"/>
    <col min="7175" max="7175" width="10.140625" bestFit="1" customWidth="1"/>
    <col min="7425" max="7425" width="26.28515625" bestFit="1" customWidth="1"/>
    <col min="7427" max="7427" width="12" bestFit="1" customWidth="1"/>
    <col min="7428" max="7428" width="11.140625" bestFit="1" customWidth="1"/>
    <col min="7431" max="7431" width="10.140625" bestFit="1" customWidth="1"/>
    <col min="7681" max="7681" width="26.28515625" bestFit="1" customWidth="1"/>
    <col min="7683" max="7683" width="12" bestFit="1" customWidth="1"/>
    <col min="7684" max="7684" width="11.140625" bestFit="1" customWidth="1"/>
    <col min="7687" max="7687" width="10.140625" bestFit="1" customWidth="1"/>
    <col min="7937" max="7937" width="26.28515625" bestFit="1" customWidth="1"/>
    <col min="7939" max="7939" width="12" bestFit="1" customWidth="1"/>
    <col min="7940" max="7940" width="11.140625" bestFit="1" customWidth="1"/>
    <col min="7943" max="7943" width="10.140625" bestFit="1" customWidth="1"/>
    <col min="8193" max="8193" width="26.28515625" bestFit="1" customWidth="1"/>
    <col min="8195" max="8195" width="12" bestFit="1" customWidth="1"/>
    <col min="8196" max="8196" width="11.140625" bestFit="1" customWidth="1"/>
    <col min="8199" max="8199" width="10.140625" bestFit="1" customWidth="1"/>
    <col min="8449" max="8449" width="26.28515625" bestFit="1" customWidth="1"/>
    <col min="8451" max="8451" width="12" bestFit="1" customWidth="1"/>
    <col min="8452" max="8452" width="11.140625" bestFit="1" customWidth="1"/>
    <col min="8455" max="8455" width="10.140625" bestFit="1" customWidth="1"/>
    <col min="8705" max="8705" width="26.28515625" bestFit="1" customWidth="1"/>
    <col min="8707" max="8707" width="12" bestFit="1" customWidth="1"/>
    <col min="8708" max="8708" width="11.140625" bestFit="1" customWidth="1"/>
    <col min="8711" max="8711" width="10.140625" bestFit="1" customWidth="1"/>
    <col min="8961" max="8961" width="26.28515625" bestFit="1" customWidth="1"/>
    <col min="8963" max="8963" width="12" bestFit="1" customWidth="1"/>
    <col min="8964" max="8964" width="11.140625" bestFit="1" customWidth="1"/>
    <col min="8967" max="8967" width="10.140625" bestFit="1" customWidth="1"/>
    <col min="9217" max="9217" width="26.28515625" bestFit="1" customWidth="1"/>
    <col min="9219" max="9219" width="12" bestFit="1" customWidth="1"/>
    <col min="9220" max="9220" width="11.140625" bestFit="1" customWidth="1"/>
    <col min="9223" max="9223" width="10.140625" bestFit="1" customWidth="1"/>
    <col min="9473" max="9473" width="26.28515625" bestFit="1" customWidth="1"/>
    <col min="9475" max="9475" width="12" bestFit="1" customWidth="1"/>
    <col min="9476" max="9476" width="11.140625" bestFit="1" customWidth="1"/>
    <col min="9479" max="9479" width="10.140625" bestFit="1" customWidth="1"/>
    <col min="9729" max="9729" width="26.28515625" bestFit="1" customWidth="1"/>
    <col min="9731" max="9731" width="12" bestFit="1" customWidth="1"/>
    <col min="9732" max="9732" width="11.140625" bestFit="1" customWidth="1"/>
    <col min="9735" max="9735" width="10.140625" bestFit="1" customWidth="1"/>
    <col min="9985" max="9985" width="26.28515625" bestFit="1" customWidth="1"/>
    <col min="9987" max="9987" width="12" bestFit="1" customWidth="1"/>
    <col min="9988" max="9988" width="11.140625" bestFit="1" customWidth="1"/>
    <col min="9991" max="9991" width="10.140625" bestFit="1" customWidth="1"/>
    <col min="10241" max="10241" width="26.28515625" bestFit="1" customWidth="1"/>
    <col min="10243" max="10243" width="12" bestFit="1" customWidth="1"/>
    <col min="10244" max="10244" width="11.140625" bestFit="1" customWidth="1"/>
    <col min="10247" max="10247" width="10.140625" bestFit="1" customWidth="1"/>
    <col min="10497" max="10497" width="26.28515625" bestFit="1" customWidth="1"/>
    <col min="10499" max="10499" width="12" bestFit="1" customWidth="1"/>
    <col min="10500" max="10500" width="11.140625" bestFit="1" customWidth="1"/>
    <col min="10503" max="10503" width="10.140625" bestFit="1" customWidth="1"/>
    <col min="10753" max="10753" width="26.28515625" bestFit="1" customWidth="1"/>
    <col min="10755" max="10755" width="12" bestFit="1" customWidth="1"/>
    <col min="10756" max="10756" width="11.140625" bestFit="1" customWidth="1"/>
    <col min="10759" max="10759" width="10.140625" bestFit="1" customWidth="1"/>
    <col min="11009" max="11009" width="26.28515625" bestFit="1" customWidth="1"/>
    <col min="11011" max="11011" width="12" bestFit="1" customWidth="1"/>
    <col min="11012" max="11012" width="11.140625" bestFit="1" customWidth="1"/>
    <col min="11015" max="11015" width="10.140625" bestFit="1" customWidth="1"/>
    <col min="11265" max="11265" width="26.28515625" bestFit="1" customWidth="1"/>
    <col min="11267" max="11267" width="12" bestFit="1" customWidth="1"/>
    <col min="11268" max="11268" width="11.140625" bestFit="1" customWidth="1"/>
    <col min="11271" max="11271" width="10.140625" bestFit="1" customWidth="1"/>
    <col min="11521" max="11521" width="26.28515625" bestFit="1" customWidth="1"/>
    <col min="11523" max="11523" width="12" bestFit="1" customWidth="1"/>
    <col min="11524" max="11524" width="11.140625" bestFit="1" customWidth="1"/>
    <col min="11527" max="11527" width="10.140625" bestFit="1" customWidth="1"/>
    <col min="11777" max="11777" width="26.28515625" bestFit="1" customWidth="1"/>
    <col min="11779" max="11779" width="12" bestFit="1" customWidth="1"/>
    <col min="11780" max="11780" width="11.140625" bestFit="1" customWidth="1"/>
    <col min="11783" max="11783" width="10.140625" bestFit="1" customWidth="1"/>
    <col min="12033" max="12033" width="26.28515625" bestFit="1" customWidth="1"/>
    <col min="12035" max="12035" width="12" bestFit="1" customWidth="1"/>
    <col min="12036" max="12036" width="11.140625" bestFit="1" customWidth="1"/>
    <col min="12039" max="12039" width="10.140625" bestFit="1" customWidth="1"/>
    <col min="12289" max="12289" width="26.28515625" bestFit="1" customWidth="1"/>
    <col min="12291" max="12291" width="12" bestFit="1" customWidth="1"/>
    <col min="12292" max="12292" width="11.140625" bestFit="1" customWidth="1"/>
    <col min="12295" max="12295" width="10.140625" bestFit="1" customWidth="1"/>
    <col min="12545" max="12545" width="26.28515625" bestFit="1" customWidth="1"/>
    <col min="12547" max="12547" width="12" bestFit="1" customWidth="1"/>
    <col min="12548" max="12548" width="11.140625" bestFit="1" customWidth="1"/>
    <col min="12551" max="12551" width="10.140625" bestFit="1" customWidth="1"/>
    <col min="12801" max="12801" width="26.28515625" bestFit="1" customWidth="1"/>
    <col min="12803" max="12803" width="12" bestFit="1" customWidth="1"/>
    <col min="12804" max="12804" width="11.140625" bestFit="1" customWidth="1"/>
    <col min="12807" max="12807" width="10.140625" bestFit="1" customWidth="1"/>
    <col min="13057" max="13057" width="26.28515625" bestFit="1" customWidth="1"/>
    <col min="13059" max="13059" width="12" bestFit="1" customWidth="1"/>
    <col min="13060" max="13060" width="11.140625" bestFit="1" customWidth="1"/>
    <col min="13063" max="13063" width="10.140625" bestFit="1" customWidth="1"/>
    <col min="13313" max="13313" width="26.28515625" bestFit="1" customWidth="1"/>
    <col min="13315" max="13315" width="12" bestFit="1" customWidth="1"/>
    <col min="13316" max="13316" width="11.140625" bestFit="1" customWidth="1"/>
    <col min="13319" max="13319" width="10.140625" bestFit="1" customWidth="1"/>
    <col min="13569" max="13569" width="26.28515625" bestFit="1" customWidth="1"/>
    <col min="13571" max="13571" width="12" bestFit="1" customWidth="1"/>
    <col min="13572" max="13572" width="11.140625" bestFit="1" customWidth="1"/>
    <col min="13575" max="13575" width="10.140625" bestFit="1" customWidth="1"/>
    <col min="13825" max="13825" width="26.28515625" bestFit="1" customWidth="1"/>
    <col min="13827" max="13827" width="12" bestFit="1" customWidth="1"/>
    <col min="13828" max="13828" width="11.140625" bestFit="1" customWidth="1"/>
    <col min="13831" max="13831" width="10.140625" bestFit="1" customWidth="1"/>
    <col min="14081" max="14081" width="26.28515625" bestFit="1" customWidth="1"/>
    <col min="14083" max="14083" width="12" bestFit="1" customWidth="1"/>
    <col min="14084" max="14084" width="11.140625" bestFit="1" customWidth="1"/>
    <col min="14087" max="14087" width="10.140625" bestFit="1" customWidth="1"/>
    <col min="14337" max="14337" width="26.28515625" bestFit="1" customWidth="1"/>
    <col min="14339" max="14339" width="12" bestFit="1" customWidth="1"/>
    <col min="14340" max="14340" width="11.140625" bestFit="1" customWidth="1"/>
    <col min="14343" max="14343" width="10.140625" bestFit="1" customWidth="1"/>
    <col min="14593" max="14593" width="26.28515625" bestFit="1" customWidth="1"/>
    <col min="14595" max="14595" width="12" bestFit="1" customWidth="1"/>
    <col min="14596" max="14596" width="11.140625" bestFit="1" customWidth="1"/>
    <col min="14599" max="14599" width="10.140625" bestFit="1" customWidth="1"/>
    <col min="14849" max="14849" width="26.28515625" bestFit="1" customWidth="1"/>
    <col min="14851" max="14851" width="12" bestFit="1" customWidth="1"/>
    <col min="14852" max="14852" width="11.140625" bestFit="1" customWidth="1"/>
    <col min="14855" max="14855" width="10.140625" bestFit="1" customWidth="1"/>
    <col min="15105" max="15105" width="26.28515625" bestFit="1" customWidth="1"/>
    <col min="15107" max="15107" width="12" bestFit="1" customWidth="1"/>
    <col min="15108" max="15108" width="11.140625" bestFit="1" customWidth="1"/>
    <col min="15111" max="15111" width="10.140625" bestFit="1" customWidth="1"/>
    <col min="15361" max="15361" width="26.28515625" bestFit="1" customWidth="1"/>
    <col min="15363" max="15363" width="12" bestFit="1" customWidth="1"/>
    <col min="15364" max="15364" width="11.140625" bestFit="1" customWidth="1"/>
    <col min="15367" max="15367" width="10.140625" bestFit="1" customWidth="1"/>
    <col min="15617" max="15617" width="26.28515625" bestFit="1" customWidth="1"/>
    <col min="15619" max="15619" width="12" bestFit="1" customWidth="1"/>
    <col min="15620" max="15620" width="11.140625" bestFit="1" customWidth="1"/>
    <col min="15623" max="15623" width="10.140625" bestFit="1" customWidth="1"/>
    <col min="15873" max="15873" width="26.28515625" bestFit="1" customWidth="1"/>
    <col min="15875" max="15875" width="12" bestFit="1" customWidth="1"/>
    <col min="15876" max="15876" width="11.140625" bestFit="1" customWidth="1"/>
    <col min="15879" max="15879" width="10.140625" bestFit="1" customWidth="1"/>
    <col min="16129" max="16129" width="26.28515625" bestFit="1" customWidth="1"/>
    <col min="16131" max="16131" width="12" bestFit="1" customWidth="1"/>
    <col min="16132" max="16132" width="11.140625" bestFit="1" customWidth="1"/>
    <col min="16135" max="16135" width="10.140625" bestFit="1" customWidth="1"/>
  </cols>
  <sheetData>
    <row r="2" spans="1:27" x14ac:dyDescent="0.2">
      <c r="V2" s="225"/>
      <c r="W2" s="225"/>
      <c r="X2" s="225"/>
    </row>
    <row r="3" spans="1:27" x14ac:dyDescent="0.2">
      <c r="A3" s="285" t="s">
        <v>131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7"/>
      <c r="N3" s="287"/>
      <c r="O3" s="288"/>
      <c r="P3" s="289"/>
      <c r="Q3" s="290"/>
      <c r="R3" s="362"/>
      <c r="AA3" s="225"/>
    </row>
    <row r="4" spans="1:27" x14ac:dyDescent="0.2">
      <c r="A4" s="286" t="s">
        <v>156</v>
      </c>
      <c r="B4" s="286"/>
      <c r="C4" s="286"/>
      <c r="D4" s="286"/>
      <c r="E4" s="286"/>
      <c r="F4" s="286"/>
      <c r="G4" s="286"/>
      <c r="H4" s="286"/>
      <c r="I4" s="291" t="s">
        <v>157</v>
      </c>
      <c r="J4" s="286" t="s">
        <v>157</v>
      </c>
      <c r="K4" s="286" t="s">
        <v>158</v>
      </c>
      <c r="L4" s="292" t="s">
        <v>158</v>
      </c>
      <c r="M4" s="293"/>
      <c r="N4" s="287" t="s">
        <v>158</v>
      </c>
      <c r="O4" s="294" t="s">
        <v>157</v>
      </c>
      <c r="P4" s="294" t="s">
        <v>157</v>
      </c>
      <c r="Q4" s="294"/>
      <c r="R4" s="362"/>
    </row>
    <row r="5" spans="1:27" x14ac:dyDescent="0.2">
      <c r="A5" s="285"/>
      <c r="B5" s="285">
        <v>2019</v>
      </c>
      <c r="C5" s="285" t="s">
        <v>182</v>
      </c>
      <c r="D5" s="285"/>
      <c r="E5" s="285" t="s">
        <v>160</v>
      </c>
      <c r="F5" s="285" t="s">
        <v>160</v>
      </c>
      <c r="G5" s="285" t="s">
        <v>127</v>
      </c>
      <c r="H5" s="285"/>
      <c r="I5" s="295" t="s">
        <v>161</v>
      </c>
      <c r="J5" s="285" t="s">
        <v>109</v>
      </c>
      <c r="K5" s="285" t="s">
        <v>162</v>
      </c>
      <c r="L5" s="296" t="s">
        <v>163</v>
      </c>
      <c r="M5" s="297"/>
      <c r="N5" s="294" t="s">
        <v>164</v>
      </c>
      <c r="O5" s="294" t="s">
        <v>165</v>
      </c>
      <c r="P5" s="294" t="s">
        <v>166</v>
      </c>
      <c r="Q5" s="294" t="s">
        <v>165</v>
      </c>
      <c r="R5" s="362"/>
      <c r="X5" s="224" t="s">
        <v>65</v>
      </c>
    </row>
    <row r="6" spans="1:27" x14ac:dyDescent="0.2">
      <c r="A6" s="292" t="s">
        <v>167</v>
      </c>
      <c r="B6" s="285" t="s">
        <v>168</v>
      </c>
      <c r="C6" s="285" t="s">
        <v>169</v>
      </c>
      <c r="D6" s="285" t="s">
        <v>127</v>
      </c>
      <c r="E6" s="285" t="s">
        <v>170</v>
      </c>
      <c r="F6" s="285" t="s">
        <v>170</v>
      </c>
      <c r="G6" s="285" t="s">
        <v>42</v>
      </c>
      <c r="H6" s="285"/>
      <c r="I6" s="295" t="s">
        <v>42</v>
      </c>
      <c r="J6" s="285" t="s">
        <v>171</v>
      </c>
      <c r="K6" s="285" t="s">
        <v>172</v>
      </c>
      <c r="L6" s="296" t="s">
        <v>42</v>
      </c>
      <c r="M6" s="297"/>
      <c r="N6" s="294" t="s">
        <v>42</v>
      </c>
      <c r="O6" s="294" t="s">
        <v>42</v>
      </c>
      <c r="P6" s="294" t="s">
        <v>127</v>
      </c>
      <c r="Q6" s="294" t="s">
        <v>173</v>
      </c>
      <c r="R6" s="362"/>
      <c r="T6" s="347" t="s">
        <v>208</v>
      </c>
      <c r="U6" s="347" t="s">
        <v>127</v>
      </c>
      <c r="V6" s="347"/>
      <c r="X6" s="224" t="s">
        <v>221</v>
      </c>
    </row>
    <row r="7" spans="1:27" x14ac:dyDescent="0.2">
      <c r="A7" s="292" t="s">
        <v>206</v>
      </c>
      <c r="B7" s="298" t="s">
        <v>116</v>
      </c>
      <c r="C7" s="299">
        <v>21198</v>
      </c>
      <c r="D7" s="299">
        <v>30862407</v>
      </c>
      <c r="E7" s="286"/>
      <c r="F7" s="286"/>
      <c r="G7" s="330">
        <v>2968883.31</v>
      </c>
      <c r="H7" s="299"/>
      <c r="I7" s="286"/>
      <c r="J7" s="299">
        <v>254352</v>
      </c>
      <c r="K7" s="299"/>
      <c r="L7" s="299">
        <v>26973.43</v>
      </c>
      <c r="M7" s="326"/>
      <c r="N7" s="326">
        <v>349859.11</v>
      </c>
      <c r="O7" s="299">
        <v>106598.35</v>
      </c>
      <c r="P7" s="326">
        <v>688416</v>
      </c>
      <c r="Q7" s="307">
        <v>10061</v>
      </c>
      <c r="R7" s="362"/>
      <c r="T7" s="305">
        <f>C7+C25</f>
        <v>22144</v>
      </c>
      <c r="U7" s="305">
        <f>D7+D25</f>
        <v>32463936</v>
      </c>
      <c r="X7" s="391">
        <f t="shared" ref="X7:X18" si="0">G7+I7+J7+K7+L7</f>
        <v>3250208.74</v>
      </c>
      <c r="AA7" s="305"/>
    </row>
    <row r="8" spans="1:27" x14ac:dyDescent="0.2">
      <c r="A8" s="286"/>
      <c r="B8" s="298" t="s">
        <v>117</v>
      </c>
      <c r="C8" s="299">
        <v>21178</v>
      </c>
      <c r="D8" s="299">
        <v>28515151</v>
      </c>
      <c r="E8" s="286"/>
      <c r="F8" s="286"/>
      <c r="G8" s="330">
        <v>2684493.72</v>
      </c>
      <c r="H8" s="299"/>
      <c r="I8" s="286"/>
      <c r="J8" s="299">
        <v>254148</v>
      </c>
      <c r="K8" s="299"/>
      <c r="L8" s="299">
        <v>-142032.47</v>
      </c>
      <c r="M8" s="326"/>
      <c r="N8" s="326">
        <v>263998.96000000002</v>
      </c>
      <c r="O8" s="299">
        <v>106479.28</v>
      </c>
      <c r="P8" s="326">
        <v>684152</v>
      </c>
      <c r="Q8" s="307">
        <v>10043</v>
      </c>
      <c r="R8" s="362"/>
      <c r="T8" s="305">
        <f t="shared" ref="T8:U8" si="1">C8+C26</f>
        <v>22120</v>
      </c>
      <c r="U8" s="305">
        <f t="shared" si="1"/>
        <v>29924902</v>
      </c>
      <c r="X8" s="391">
        <f t="shared" si="0"/>
        <v>2796609.25</v>
      </c>
      <c r="AA8" s="305"/>
    </row>
    <row r="9" spans="1:27" x14ac:dyDescent="0.2">
      <c r="A9" s="286"/>
      <c r="B9" s="298" t="s">
        <v>118</v>
      </c>
      <c r="C9" s="299">
        <v>21177</v>
      </c>
      <c r="D9" s="299">
        <v>25629209</v>
      </c>
      <c r="E9" s="286"/>
      <c r="F9" s="286"/>
      <c r="G9" s="330">
        <v>2366332.58</v>
      </c>
      <c r="H9" s="299"/>
      <c r="I9" s="286"/>
      <c r="J9" s="299">
        <v>254106</v>
      </c>
      <c r="K9" s="299"/>
      <c r="L9" s="299">
        <v>-94929.07</v>
      </c>
      <c r="M9" s="326"/>
      <c r="N9" s="326">
        <v>190002.17</v>
      </c>
      <c r="O9" s="299">
        <v>106397.75999999999</v>
      </c>
      <c r="P9" s="326">
        <v>681768</v>
      </c>
      <c r="Q9" s="307">
        <v>10056</v>
      </c>
      <c r="R9" s="362"/>
      <c r="T9" s="305">
        <f t="shared" ref="T9:U9" si="2">C9+C27</f>
        <v>22142</v>
      </c>
      <c r="U9" s="305">
        <f t="shared" si="2"/>
        <v>26962201</v>
      </c>
      <c r="X9" s="391">
        <f t="shared" si="0"/>
        <v>2525509.5100000002</v>
      </c>
      <c r="AA9" s="305"/>
    </row>
    <row r="10" spans="1:27" x14ac:dyDescent="0.2">
      <c r="A10" s="286"/>
      <c r="B10" s="298" t="s">
        <v>174</v>
      </c>
      <c r="C10" s="299">
        <v>21125</v>
      </c>
      <c r="D10" s="299">
        <v>16855641</v>
      </c>
      <c r="E10" s="286"/>
      <c r="F10" s="286"/>
      <c r="G10" s="299">
        <v>1564311.6</v>
      </c>
      <c r="H10" s="299"/>
      <c r="I10" s="286"/>
      <c r="J10" s="299">
        <v>253500</v>
      </c>
      <c r="K10" s="299"/>
      <c r="L10" s="299">
        <v>-78371.759999999995</v>
      </c>
      <c r="M10" s="326"/>
      <c r="N10" s="326">
        <v>133128.66</v>
      </c>
      <c r="O10" s="299">
        <v>106707.55</v>
      </c>
      <c r="P10" s="326">
        <v>681974</v>
      </c>
      <c r="Q10" s="307">
        <v>10053</v>
      </c>
      <c r="R10" s="362"/>
      <c r="T10" s="305">
        <f t="shared" ref="T10:U10" si="3">C10+C28</f>
        <v>22091</v>
      </c>
      <c r="U10" s="305">
        <f t="shared" si="3"/>
        <v>17685882</v>
      </c>
      <c r="X10" s="391">
        <f t="shared" si="0"/>
        <v>1739439.84</v>
      </c>
      <c r="AA10" s="305"/>
    </row>
    <row r="11" spans="1:27" x14ac:dyDescent="0.2">
      <c r="A11" s="286"/>
      <c r="B11" s="298" t="s">
        <v>119</v>
      </c>
      <c r="C11" s="299">
        <v>21157</v>
      </c>
      <c r="D11" s="299">
        <v>17751408</v>
      </c>
      <c r="E11" s="286"/>
      <c r="F11" s="286"/>
      <c r="G11" s="299">
        <v>1686673.63</v>
      </c>
      <c r="H11" s="299"/>
      <c r="I11" s="286"/>
      <c r="J11" s="299">
        <v>253884</v>
      </c>
      <c r="K11" s="299"/>
      <c r="L11" s="299">
        <v>-61959.83</v>
      </c>
      <c r="M11" s="326"/>
      <c r="N11" s="326">
        <v>179706.39</v>
      </c>
      <c r="O11" s="299">
        <v>106740.94</v>
      </c>
      <c r="P11" s="326">
        <v>680871</v>
      </c>
      <c r="Q11" s="307">
        <v>10071</v>
      </c>
      <c r="R11" s="362"/>
      <c r="T11" s="305">
        <f t="shared" ref="T11:U11" si="4">C11+C29</f>
        <v>22125</v>
      </c>
      <c r="U11" s="305">
        <f t="shared" si="4"/>
        <v>18575131</v>
      </c>
      <c r="X11" s="391">
        <f t="shared" si="0"/>
        <v>1878597.7999999998</v>
      </c>
      <c r="AA11" s="305"/>
    </row>
    <row r="12" spans="1:27" x14ac:dyDescent="0.2">
      <c r="A12" s="286"/>
      <c r="B12" s="298" t="s">
        <v>175</v>
      </c>
      <c r="C12" s="299">
        <v>21179</v>
      </c>
      <c r="D12" s="299">
        <v>19098066</v>
      </c>
      <c r="E12" s="286"/>
      <c r="F12" s="286"/>
      <c r="G12" s="299">
        <v>1818133.46</v>
      </c>
      <c r="H12" s="299"/>
      <c r="I12" s="286"/>
      <c r="J12" s="299">
        <v>254148</v>
      </c>
      <c r="K12" s="299"/>
      <c r="L12" s="299">
        <v>-73835.899999999994</v>
      </c>
      <c r="M12" s="326"/>
      <c r="N12" s="326">
        <v>196720.44</v>
      </c>
      <c r="O12" s="299">
        <v>106881.07</v>
      </c>
      <c r="P12" s="326">
        <v>675185</v>
      </c>
      <c r="Q12" s="307">
        <v>10053</v>
      </c>
      <c r="R12" s="362"/>
      <c r="T12" s="305">
        <f t="shared" ref="T12:U12" si="5">C12+C30</f>
        <v>22155</v>
      </c>
      <c r="U12" s="305">
        <f t="shared" si="5"/>
        <v>19955856</v>
      </c>
      <c r="X12" s="391">
        <f t="shared" si="0"/>
        <v>1998445.56</v>
      </c>
      <c r="AA12" s="305"/>
    </row>
    <row r="13" spans="1:27" x14ac:dyDescent="0.2">
      <c r="A13" s="286"/>
      <c r="B13" s="298" t="s">
        <v>176</v>
      </c>
      <c r="C13" s="299">
        <v>21173</v>
      </c>
      <c r="D13" s="299">
        <v>23455880</v>
      </c>
      <c r="E13" s="286"/>
      <c r="F13" s="286"/>
      <c r="G13" s="299">
        <v>2266157.79</v>
      </c>
      <c r="H13" s="299"/>
      <c r="I13" s="286"/>
      <c r="J13" s="299">
        <v>254076</v>
      </c>
      <c r="K13" s="299"/>
      <c r="L13" s="299">
        <v>-86490.82</v>
      </c>
      <c r="M13" s="326"/>
      <c r="N13" s="326">
        <v>283028.27</v>
      </c>
      <c r="O13" s="299">
        <v>106723.17</v>
      </c>
      <c r="P13" s="326">
        <v>673993</v>
      </c>
      <c r="Q13" s="307">
        <v>10059</v>
      </c>
      <c r="R13" s="362"/>
      <c r="T13" s="305">
        <f t="shared" ref="T13:U13" si="6">C13+C31</f>
        <v>22128</v>
      </c>
      <c r="U13" s="305">
        <f t="shared" si="6"/>
        <v>24466369</v>
      </c>
      <c r="X13" s="391">
        <f t="shared" si="0"/>
        <v>2433742.9700000002</v>
      </c>
      <c r="AA13" s="305"/>
    </row>
    <row r="14" spans="1:27" x14ac:dyDescent="0.2">
      <c r="A14" s="286"/>
      <c r="B14" s="298" t="s">
        <v>120</v>
      </c>
      <c r="C14" s="299">
        <v>21205</v>
      </c>
      <c r="D14" s="299">
        <v>24801521</v>
      </c>
      <c r="E14" s="286"/>
      <c r="F14" s="286"/>
      <c r="G14" s="299">
        <v>2393745.9500000002</v>
      </c>
      <c r="H14" s="299"/>
      <c r="I14" s="286"/>
      <c r="J14" s="299">
        <v>254412</v>
      </c>
      <c r="K14" s="299"/>
      <c r="L14" s="299">
        <v>-118514.95</v>
      </c>
      <c r="M14" s="326"/>
      <c r="N14" s="326">
        <v>286438.52</v>
      </c>
      <c r="O14" s="299">
        <v>107272.43</v>
      </c>
      <c r="P14" s="326">
        <v>672587</v>
      </c>
      <c r="Q14" s="307">
        <v>10100</v>
      </c>
      <c r="R14" s="362"/>
      <c r="T14" s="305">
        <f t="shared" ref="T14:U14" si="7">C14+C32</f>
        <v>22168</v>
      </c>
      <c r="U14" s="305">
        <f t="shared" si="7"/>
        <v>25857646</v>
      </c>
      <c r="X14" s="391">
        <f t="shared" si="0"/>
        <v>2529643</v>
      </c>
      <c r="AA14" s="305"/>
    </row>
    <row r="15" spans="1:27" x14ac:dyDescent="0.2">
      <c r="A15" s="286"/>
      <c r="B15" s="298" t="s">
        <v>177</v>
      </c>
      <c r="C15" s="299">
        <v>21208</v>
      </c>
      <c r="D15" s="299">
        <v>20853668</v>
      </c>
      <c r="E15" s="286"/>
      <c r="F15" s="286"/>
      <c r="G15" s="299">
        <v>2025080.03</v>
      </c>
      <c r="H15" s="299"/>
      <c r="I15" s="286"/>
      <c r="J15" s="299">
        <v>254520</v>
      </c>
      <c r="K15" s="299"/>
      <c r="L15" s="299">
        <v>-115388.46</v>
      </c>
      <c r="M15" s="326"/>
      <c r="N15" s="326">
        <v>253320.63</v>
      </c>
      <c r="O15" s="299">
        <v>107508.76</v>
      </c>
      <c r="P15" s="326">
        <v>672071</v>
      </c>
      <c r="Q15" s="307">
        <v>10107</v>
      </c>
      <c r="R15" s="362"/>
      <c r="T15" s="305">
        <f t="shared" ref="T15:U15" si="8">C15+C33</f>
        <v>22188</v>
      </c>
      <c r="U15" s="305">
        <f t="shared" si="8"/>
        <v>21782231</v>
      </c>
      <c r="X15" s="391">
        <f t="shared" si="0"/>
        <v>2164211.5700000003</v>
      </c>
      <c r="AA15" s="305"/>
    </row>
    <row r="16" spans="1:27" x14ac:dyDescent="0.2">
      <c r="A16" s="286"/>
      <c r="B16" s="298" t="s">
        <v>121</v>
      </c>
      <c r="C16" s="299">
        <v>21194</v>
      </c>
      <c r="D16" s="299">
        <v>18335814</v>
      </c>
      <c r="E16" s="286"/>
      <c r="F16" s="286"/>
      <c r="G16" s="299">
        <v>1749576.64</v>
      </c>
      <c r="H16" s="299"/>
      <c r="I16" s="286"/>
      <c r="J16" s="299">
        <v>254268</v>
      </c>
      <c r="K16" s="299"/>
      <c r="L16" s="299">
        <v>-132132.45000000001</v>
      </c>
      <c r="M16" s="326"/>
      <c r="N16" s="326">
        <v>191448.47</v>
      </c>
      <c r="O16" s="299">
        <v>107085.41</v>
      </c>
      <c r="P16" s="326">
        <v>664375</v>
      </c>
      <c r="Q16" s="307">
        <v>10107</v>
      </c>
      <c r="R16" s="362"/>
      <c r="T16" s="305">
        <f t="shared" ref="T16:U16" si="9">C16+C34</f>
        <v>22201</v>
      </c>
      <c r="U16" s="305">
        <f t="shared" si="9"/>
        <v>19249811</v>
      </c>
      <c r="X16" s="391">
        <f t="shared" si="0"/>
        <v>1871712.19</v>
      </c>
      <c r="AA16" s="305"/>
    </row>
    <row r="17" spans="1:27" x14ac:dyDescent="0.2">
      <c r="A17" s="286"/>
      <c r="B17" s="298" t="s">
        <v>122</v>
      </c>
      <c r="C17" s="299">
        <v>21174</v>
      </c>
      <c r="D17" s="299">
        <v>24671817</v>
      </c>
      <c r="E17" s="286"/>
      <c r="F17" s="286"/>
      <c r="G17" s="299">
        <v>2350074.5</v>
      </c>
      <c r="H17" s="299"/>
      <c r="I17" s="286"/>
      <c r="J17" s="299">
        <v>254028</v>
      </c>
      <c r="K17" s="299"/>
      <c r="L17" s="299">
        <v>-168044.08</v>
      </c>
      <c r="M17" s="326"/>
      <c r="N17" s="326">
        <v>253255.62</v>
      </c>
      <c r="O17" s="299">
        <v>107367.45</v>
      </c>
      <c r="P17" s="326">
        <v>664763</v>
      </c>
      <c r="Q17" s="307">
        <v>10095</v>
      </c>
      <c r="R17" s="362"/>
      <c r="T17" s="305">
        <f t="shared" ref="T17:U17" si="10">C17+C35</f>
        <v>22201</v>
      </c>
      <c r="U17" s="305">
        <f t="shared" si="10"/>
        <v>26027014</v>
      </c>
      <c r="X17" s="391">
        <f t="shared" si="0"/>
        <v>2436058.42</v>
      </c>
      <c r="AA17" s="305"/>
    </row>
    <row r="18" spans="1:27" x14ac:dyDescent="0.2">
      <c r="A18" s="286"/>
      <c r="B18" s="298" t="s">
        <v>123</v>
      </c>
      <c r="C18" s="299">
        <v>21083</v>
      </c>
      <c r="D18" s="299">
        <v>30620417</v>
      </c>
      <c r="E18" s="286"/>
      <c r="F18" s="286"/>
      <c r="G18" s="299">
        <v>2937621.21</v>
      </c>
      <c r="H18" s="299"/>
      <c r="I18" s="286"/>
      <c r="J18" s="299">
        <v>253980</v>
      </c>
      <c r="K18" s="299"/>
      <c r="L18" s="299">
        <v>-174281.53</v>
      </c>
      <c r="M18" s="326"/>
      <c r="N18" s="326">
        <v>334763.26</v>
      </c>
      <c r="O18" s="299">
        <v>107395.62</v>
      </c>
      <c r="P18" s="326">
        <v>661233</v>
      </c>
      <c r="Q18" s="307">
        <v>10106</v>
      </c>
      <c r="R18" s="362"/>
      <c r="T18" s="305">
        <f t="shared" ref="T18:U18" si="11">C18+C36</f>
        <v>22066</v>
      </c>
      <c r="U18" s="305">
        <f t="shared" si="11"/>
        <v>32302543</v>
      </c>
      <c r="X18" s="391">
        <f t="shared" si="0"/>
        <v>3017319.68</v>
      </c>
      <c r="AA18" s="305"/>
    </row>
    <row r="19" spans="1:27" x14ac:dyDescent="0.2">
      <c r="A19" s="285"/>
      <c r="B19" s="285" t="s">
        <v>84</v>
      </c>
      <c r="C19" s="300">
        <f>SUM(C7:C18)</f>
        <v>254051</v>
      </c>
      <c r="D19" s="300">
        <f>SUM(D7:D18)</f>
        <v>281450999</v>
      </c>
      <c r="E19" s="300"/>
      <c r="F19" s="300"/>
      <c r="G19" s="300">
        <f>SUM(G7:G18)</f>
        <v>26811084.420000002</v>
      </c>
      <c r="H19" s="300"/>
      <c r="I19" s="285"/>
      <c r="J19" s="300">
        <f t="shared" ref="J19:Q19" si="12">SUM(J7:J18)</f>
        <v>3049422</v>
      </c>
      <c r="K19" s="300"/>
      <c r="L19" s="300">
        <f t="shared" si="12"/>
        <v>-1219007.8899999999</v>
      </c>
      <c r="M19" s="300"/>
      <c r="N19" s="300">
        <f t="shared" si="12"/>
        <v>2915670.5</v>
      </c>
      <c r="O19" s="300">
        <f t="shared" si="12"/>
        <v>1283157.79</v>
      </c>
      <c r="P19" s="300">
        <f t="shared" si="12"/>
        <v>8101388</v>
      </c>
      <c r="Q19" s="300">
        <f t="shared" si="12"/>
        <v>120911</v>
      </c>
      <c r="R19" s="362"/>
      <c r="T19" s="366">
        <f t="shared" ref="T19:U19" si="13">C19+C37</f>
        <v>265729</v>
      </c>
      <c r="U19" s="366">
        <f t="shared" si="13"/>
        <v>295253522</v>
      </c>
      <c r="V19" s="305"/>
      <c r="W19" s="305"/>
      <c r="X19" s="366">
        <f>SUM(X7:X18)</f>
        <v>28641498.530000001</v>
      </c>
      <c r="AA19" s="305"/>
    </row>
    <row r="20" spans="1:27" x14ac:dyDescent="0.2">
      <c r="A20" s="310"/>
      <c r="B20" s="310"/>
      <c r="C20" s="329"/>
      <c r="D20" s="329"/>
      <c r="E20" s="329"/>
      <c r="F20" s="329"/>
      <c r="G20" s="329"/>
      <c r="H20" s="310"/>
      <c r="I20" s="329"/>
      <c r="J20" s="329"/>
      <c r="K20" s="329"/>
      <c r="L20" s="329"/>
      <c r="M20" s="329"/>
      <c r="N20" s="329"/>
      <c r="O20" s="329"/>
      <c r="T20" s="387">
        <f>T19/12</f>
        <v>22144.083333333332</v>
      </c>
    </row>
    <row r="22" spans="1:27" x14ac:dyDescent="0.2">
      <c r="A22" s="286"/>
      <c r="B22" s="286"/>
      <c r="C22" s="286"/>
      <c r="D22" s="286"/>
      <c r="E22" s="286"/>
      <c r="F22" s="286"/>
      <c r="G22" s="286"/>
      <c r="H22" s="286"/>
      <c r="I22" s="291" t="s">
        <v>157</v>
      </c>
      <c r="J22" s="286" t="s">
        <v>157</v>
      </c>
      <c r="K22" s="286" t="s">
        <v>158</v>
      </c>
      <c r="L22" s="292" t="s">
        <v>158</v>
      </c>
      <c r="M22" s="293"/>
      <c r="N22" s="287" t="s">
        <v>158</v>
      </c>
      <c r="O22" s="294" t="s">
        <v>157</v>
      </c>
      <c r="P22" s="294" t="s">
        <v>157</v>
      </c>
      <c r="Q22" s="294"/>
      <c r="R22" s="362"/>
    </row>
    <row r="23" spans="1:27" x14ac:dyDescent="0.2">
      <c r="A23" s="285"/>
      <c r="B23" s="285">
        <v>2019</v>
      </c>
      <c r="C23" s="285" t="s">
        <v>182</v>
      </c>
      <c r="D23" s="285"/>
      <c r="E23" s="285" t="s">
        <v>160</v>
      </c>
      <c r="F23" s="285" t="s">
        <v>160</v>
      </c>
      <c r="G23" s="285" t="s">
        <v>127</v>
      </c>
      <c r="H23" s="285"/>
      <c r="I23" s="295" t="s">
        <v>161</v>
      </c>
      <c r="J23" s="285" t="s">
        <v>109</v>
      </c>
      <c r="K23" s="285" t="s">
        <v>162</v>
      </c>
      <c r="L23" s="296" t="s">
        <v>163</v>
      </c>
      <c r="M23" s="297"/>
      <c r="N23" s="294" t="s">
        <v>164</v>
      </c>
      <c r="O23" s="294" t="s">
        <v>165</v>
      </c>
      <c r="P23" s="294" t="s">
        <v>166</v>
      </c>
      <c r="Q23" s="294" t="s">
        <v>165</v>
      </c>
      <c r="R23" s="362"/>
      <c r="X23" s="224" t="s">
        <v>65</v>
      </c>
    </row>
    <row r="24" spans="1:27" x14ac:dyDescent="0.2">
      <c r="A24" s="292" t="s">
        <v>167</v>
      </c>
      <c r="B24" s="285" t="s">
        <v>168</v>
      </c>
      <c r="C24" s="285" t="s">
        <v>169</v>
      </c>
      <c r="D24" s="285" t="s">
        <v>127</v>
      </c>
      <c r="E24" s="285" t="s">
        <v>170</v>
      </c>
      <c r="F24" s="285" t="s">
        <v>170</v>
      </c>
      <c r="G24" s="285" t="s">
        <v>42</v>
      </c>
      <c r="H24" s="285"/>
      <c r="I24" s="295" t="s">
        <v>42</v>
      </c>
      <c r="J24" s="285" t="s">
        <v>171</v>
      </c>
      <c r="K24" s="285" t="s">
        <v>172</v>
      </c>
      <c r="L24" s="296" t="s">
        <v>42</v>
      </c>
      <c r="M24" s="297"/>
      <c r="N24" s="294" t="s">
        <v>42</v>
      </c>
      <c r="O24" s="294" t="s">
        <v>42</v>
      </c>
      <c r="P24" s="294" t="s">
        <v>127</v>
      </c>
      <c r="Q24" s="294" t="s">
        <v>173</v>
      </c>
      <c r="R24" s="362"/>
      <c r="X24" s="224" t="s">
        <v>221</v>
      </c>
    </row>
    <row r="25" spans="1:27" x14ac:dyDescent="0.2">
      <c r="A25" s="285" t="s">
        <v>207</v>
      </c>
      <c r="B25" s="298" t="s">
        <v>116</v>
      </c>
      <c r="C25" s="330">
        <v>946</v>
      </c>
      <c r="D25" s="330">
        <v>1601529</v>
      </c>
      <c r="E25" s="330"/>
      <c r="F25" s="330"/>
      <c r="G25" s="330">
        <v>153971.85999999999</v>
      </c>
      <c r="H25" s="330"/>
      <c r="I25" s="331"/>
      <c r="J25" s="330">
        <v>14220</v>
      </c>
      <c r="K25" s="330"/>
      <c r="L25" s="330">
        <v>1385.97</v>
      </c>
      <c r="M25" s="332"/>
      <c r="N25" s="332">
        <v>13734.9</v>
      </c>
      <c r="O25" s="332">
        <v>3988.47</v>
      </c>
      <c r="P25" s="332">
        <v>25392</v>
      </c>
      <c r="Q25" s="332">
        <v>385</v>
      </c>
      <c r="R25" s="362"/>
      <c r="X25" s="391">
        <f t="shared" ref="X25:X36" si="14">G25+I25+J25+K25+L25</f>
        <v>169577.83</v>
      </c>
      <c r="Z25" s="391">
        <f>X25+X7</f>
        <v>3419786.5700000003</v>
      </c>
    </row>
    <row r="26" spans="1:27" x14ac:dyDescent="0.2">
      <c r="A26" s="285"/>
      <c r="B26" s="298" t="s">
        <v>117</v>
      </c>
      <c r="C26" s="330">
        <v>942</v>
      </c>
      <c r="D26" s="330">
        <v>1409751</v>
      </c>
      <c r="E26" s="330"/>
      <c r="F26" s="330"/>
      <c r="G26" s="330">
        <v>132688.75</v>
      </c>
      <c r="H26" s="330"/>
      <c r="I26" s="331"/>
      <c r="J26" s="330">
        <v>14130</v>
      </c>
      <c r="K26" s="330"/>
      <c r="L26" s="330">
        <v>-6938.23</v>
      </c>
      <c r="M26" s="332"/>
      <c r="N26" s="332">
        <v>10146.65</v>
      </c>
      <c r="O26" s="332">
        <v>3872.59</v>
      </c>
      <c r="P26" s="332">
        <v>24750</v>
      </c>
      <c r="Q26" s="332">
        <v>371</v>
      </c>
      <c r="R26" s="362"/>
      <c r="X26" s="391">
        <f t="shared" si="14"/>
        <v>139880.51999999999</v>
      </c>
      <c r="Z26" s="391">
        <f t="shared" ref="Z26:Z37" si="15">X26+X8</f>
        <v>2936489.77</v>
      </c>
    </row>
    <row r="27" spans="1:27" x14ac:dyDescent="0.2">
      <c r="A27" s="285"/>
      <c r="B27" s="298" t="s">
        <v>118</v>
      </c>
      <c r="C27" s="330">
        <v>965</v>
      </c>
      <c r="D27" s="330">
        <v>1332992</v>
      </c>
      <c r="E27" s="330"/>
      <c r="F27" s="330"/>
      <c r="G27" s="330">
        <v>124232.74</v>
      </c>
      <c r="H27" s="330"/>
      <c r="I27" s="331"/>
      <c r="J27" s="330">
        <v>14475</v>
      </c>
      <c r="K27" s="330"/>
      <c r="L27" s="330">
        <v>-4902.43</v>
      </c>
      <c r="M27" s="332"/>
      <c r="N27" s="332">
        <v>7684.36</v>
      </c>
      <c r="O27" s="332">
        <v>3923.14</v>
      </c>
      <c r="P27" s="332">
        <v>25084</v>
      </c>
      <c r="Q27" s="332">
        <v>377</v>
      </c>
      <c r="R27" s="362"/>
      <c r="X27" s="391">
        <f t="shared" si="14"/>
        <v>133805.31</v>
      </c>
      <c r="Z27" s="391">
        <f t="shared" si="15"/>
        <v>2659314.8200000003</v>
      </c>
    </row>
    <row r="28" spans="1:27" x14ac:dyDescent="0.2">
      <c r="A28" s="285"/>
      <c r="B28" s="298" t="s">
        <v>174</v>
      </c>
      <c r="C28" s="330">
        <v>966</v>
      </c>
      <c r="D28" s="330">
        <v>830241</v>
      </c>
      <c r="E28" s="330"/>
      <c r="F28" s="330"/>
      <c r="G28" s="330">
        <v>77097.61</v>
      </c>
      <c r="H28" s="330"/>
      <c r="I28" s="331"/>
      <c r="J28" s="330">
        <v>14490</v>
      </c>
      <c r="K28" s="330"/>
      <c r="L28" s="330">
        <v>-3820.11</v>
      </c>
      <c r="M28" s="332"/>
      <c r="N28" s="332">
        <v>5301.43</v>
      </c>
      <c r="O28" s="332">
        <v>3965.63</v>
      </c>
      <c r="P28" s="332">
        <v>25304</v>
      </c>
      <c r="Q28" s="332">
        <v>381</v>
      </c>
      <c r="R28" s="362"/>
      <c r="X28" s="391">
        <f t="shared" si="14"/>
        <v>87767.5</v>
      </c>
      <c r="Z28" s="391">
        <f t="shared" si="15"/>
        <v>1827207.34</v>
      </c>
    </row>
    <row r="29" spans="1:27" x14ac:dyDescent="0.2">
      <c r="A29" s="285"/>
      <c r="B29" s="298" t="s">
        <v>119</v>
      </c>
      <c r="C29" s="330">
        <v>968</v>
      </c>
      <c r="D29" s="330">
        <v>823723</v>
      </c>
      <c r="E29" s="330"/>
      <c r="F29" s="330"/>
      <c r="G29" s="330">
        <v>78442.789999999994</v>
      </c>
      <c r="H29" s="330"/>
      <c r="I29" s="331"/>
      <c r="J29" s="330">
        <v>14532</v>
      </c>
      <c r="K29" s="330"/>
      <c r="L29" s="330">
        <v>-2856.84</v>
      </c>
      <c r="M29" s="332"/>
      <c r="N29" s="332">
        <v>6964.52</v>
      </c>
      <c r="O29" s="332">
        <v>4064.58</v>
      </c>
      <c r="P29" s="332">
        <v>25994</v>
      </c>
      <c r="Q29" s="332">
        <v>395</v>
      </c>
      <c r="R29" s="362"/>
      <c r="X29" s="391">
        <f t="shared" si="14"/>
        <v>90117.95</v>
      </c>
      <c r="Z29" s="391">
        <f t="shared" si="15"/>
        <v>1968715.7499999998</v>
      </c>
    </row>
    <row r="30" spans="1:27" x14ac:dyDescent="0.2">
      <c r="A30" s="285"/>
      <c r="B30" s="298" t="s">
        <v>175</v>
      </c>
      <c r="C30" s="330">
        <v>976</v>
      </c>
      <c r="D30" s="330">
        <v>857790</v>
      </c>
      <c r="E30" s="330"/>
      <c r="F30" s="330"/>
      <c r="G30" s="330">
        <v>81290.789999999994</v>
      </c>
      <c r="H30" s="330"/>
      <c r="I30" s="331"/>
      <c r="J30" s="330">
        <v>14640</v>
      </c>
      <c r="K30" s="330"/>
      <c r="L30" s="330">
        <v>-3360.48</v>
      </c>
      <c r="M30" s="332"/>
      <c r="N30" s="332">
        <v>7669.97</v>
      </c>
      <c r="O30" s="332">
        <v>4149.63</v>
      </c>
      <c r="P30" s="332">
        <v>26808</v>
      </c>
      <c r="Q30" s="332">
        <v>400</v>
      </c>
      <c r="R30" s="362"/>
      <c r="X30" s="391">
        <f t="shared" si="14"/>
        <v>92570.31</v>
      </c>
      <c r="Z30" s="391">
        <f t="shared" si="15"/>
        <v>2091015.87</v>
      </c>
    </row>
    <row r="31" spans="1:27" x14ac:dyDescent="0.2">
      <c r="A31" s="285"/>
      <c r="B31" s="298" t="s">
        <v>176</v>
      </c>
      <c r="C31" s="330">
        <v>955</v>
      </c>
      <c r="D31" s="330">
        <v>1010489</v>
      </c>
      <c r="E31" s="330"/>
      <c r="F31" s="330"/>
      <c r="G31" s="330">
        <v>98388.41</v>
      </c>
      <c r="H31" s="330"/>
      <c r="I31" s="331"/>
      <c r="J31" s="330">
        <v>14325</v>
      </c>
      <c r="K31" s="330"/>
      <c r="L31" s="330">
        <v>-3729.41</v>
      </c>
      <c r="M31" s="332"/>
      <c r="N31" s="332">
        <v>10991.61</v>
      </c>
      <c r="O31" s="332">
        <v>4008.84</v>
      </c>
      <c r="P31" s="332">
        <v>25628</v>
      </c>
      <c r="Q31" s="332">
        <v>389</v>
      </c>
      <c r="R31" s="362"/>
      <c r="X31" s="391">
        <f t="shared" si="14"/>
        <v>108984</v>
      </c>
      <c r="Z31" s="391">
        <f t="shared" si="15"/>
        <v>2542726.9700000002</v>
      </c>
    </row>
    <row r="32" spans="1:27" x14ac:dyDescent="0.2">
      <c r="A32" s="285"/>
      <c r="B32" s="298" t="s">
        <v>120</v>
      </c>
      <c r="C32" s="330">
        <v>963</v>
      </c>
      <c r="D32" s="330">
        <v>1056125</v>
      </c>
      <c r="E32" s="330"/>
      <c r="F32" s="330"/>
      <c r="G32" s="330">
        <v>102247.33</v>
      </c>
      <c r="H32" s="330"/>
      <c r="I32" s="331"/>
      <c r="J32" s="330">
        <v>14475</v>
      </c>
      <c r="K32" s="330"/>
      <c r="L32" s="330">
        <v>-5030.88</v>
      </c>
      <c r="M32" s="332"/>
      <c r="N32" s="332">
        <v>11249.56</v>
      </c>
      <c r="O32" s="332">
        <v>4042.87</v>
      </c>
      <c r="P32" s="332">
        <v>25546</v>
      </c>
      <c r="Q32" s="332">
        <v>392</v>
      </c>
      <c r="R32" s="362"/>
      <c r="X32" s="391">
        <f t="shared" si="14"/>
        <v>111691.45</v>
      </c>
      <c r="Z32" s="391">
        <f t="shared" si="15"/>
        <v>2641334.4500000002</v>
      </c>
    </row>
    <row r="33" spans="1:26" x14ac:dyDescent="0.2">
      <c r="A33" s="285"/>
      <c r="B33" s="298" t="s">
        <v>177</v>
      </c>
      <c r="C33" s="330">
        <v>980</v>
      </c>
      <c r="D33" s="330">
        <v>928563</v>
      </c>
      <c r="E33" s="330"/>
      <c r="F33" s="330"/>
      <c r="G33" s="330">
        <v>90504.85</v>
      </c>
      <c r="H33" s="330"/>
      <c r="I33" s="331"/>
      <c r="J33" s="330">
        <v>14760</v>
      </c>
      <c r="K33" s="330"/>
      <c r="L33" s="330">
        <v>-5114.07</v>
      </c>
      <c r="M33" s="332"/>
      <c r="N33" s="332">
        <v>10696.75</v>
      </c>
      <c r="O33" s="332">
        <v>4089.25</v>
      </c>
      <c r="P33" s="332">
        <v>25562</v>
      </c>
      <c r="Q33" s="332">
        <v>395</v>
      </c>
      <c r="R33" s="362"/>
      <c r="X33" s="391">
        <f t="shared" si="14"/>
        <v>100150.78</v>
      </c>
      <c r="Z33" s="391">
        <f t="shared" si="15"/>
        <v>2264362.35</v>
      </c>
    </row>
    <row r="34" spans="1:26" x14ac:dyDescent="0.2">
      <c r="A34" s="285"/>
      <c r="B34" s="298" t="s">
        <v>121</v>
      </c>
      <c r="C34" s="330">
        <v>1007</v>
      </c>
      <c r="D34" s="330">
        <v>913997</v>
      </c>
      <c r="E34" s="330"/>
      <c r="F34" s="330"/>
      <c r="G34" s="330">
        <v>87326.19</v>
      </c>
      <c r="H34" s="330"/>
      <c r="I34" s="331"/>
      <c r="J34" s="330">
        <v>15165</v>
      </c>
      <c r="K34" s="330"/>
      <c r="L34" s="330">
        <v>-6534.93</v>
      </c>
      <c r="M34" s="332"/>
      <c r="N34" s="332">
        <v>9126.32</v>
      </c>
      <c r="O34" s="332">
        <v>4138.71</v>
      </c>
      <c r="P34" s="332">
        <v>25874</v>
      </c>
      <c r="Q34" s="332">
        <v>403</v>
      </c>
      <c r="R34" s="362"/>
      <c r="X34" s="391">
        <f t="shared" si="14"/>
        <v>95956.260000000009</v>
      </c>
      <c r="Z34" s="391">
        <f t="shared" si="15"/>
        <v>1967668.45</v>
      </c>
    </row>
    <row r="35" spans="1:26" x14ac:dyDescent="0.2">
      <c r="A35" s="285"/>
      <c r="B35" s="298" t="s">
        <v>122</v>
      </c>
      <c r="C35" s="330">
        <v>1027</v>
      </c>
      <c r="D35" s="330">
        <v>1355197</v>
      </c>
      <c r="E35" s="330"/>
      <c r="F35" s="330"/>
      <c r="G35" s="330">
        <v>129067.07</v>
      </c>
      <c r="H35" s="330"/>
      <c r="I35" s="331"/>
      <c r="J35" s="330">
        <v>15450</v>
      </c>
      <c r="K35" s="330"/>
      <c r="L35" s="330">
        <v>-9164.68</v>
      </c>
      <c r="M35" s="332"/>
      <c r="N35" s="332">
        <v>13518.95</v>
      </c>
      <c r="O35" s="332">
        <v>4290.71</v>
      </c>
      <c r="P35" s="332">
        <v>26546</v>
      </c>
      <c r="Q35" s="332">
        <v>411</v>
      </c>
      <c r="R35" s="362"/>
      <c r="X35" s="391">
        <f t="shared" si="14"/>
        <v>135352.39000000001</v>
      </c>
      <c r="Z35" s="391">
        <f t="shared" si="15"/>
        <v>2571410.81</v>
      </c>
    </row>
    <row r="36" spans="1:26" x14ac:dyDescent="0.2">
      <c r="A36" s="285"/>
      <c r="B36" s="298" t="s">
        <v>123</v>
      </c>
      <c r="C36" s="330">
        <v>983</v>
      </c>
      <c r="D36" s="330">
        <v>1682126</v>
      </c>
      <c r="E36" s="330"/>
      <c r="F36" s="330"/>
      <c r="G36" s="330">
        <v>161324.35999999999</v>
      </c>
      <c r="H36" s="330"/>
      <c r="I36" s="331"/>
      <c r="J36" s="330">
        <v>15180</v>
      </c>
      <c r="K36" s="330"/>
      <c r="L36" s="330">
        <v>-9519.9699999999993</v>
      </c>
      <c r="M36" s="332"/>
      <c r="N36" s="332">
        <v>18316.02</v>
      </c>
      <c r="O36" s="332">
        <v>4278.3900000000003</v>
      </c>
      <c r="P36" s="332">
        <v>26326</v>
      </c>
      <c r="Q36" s="332">
        <v>410</v>
      </c>
      <c r="R36" s="362"/>
      <c r="X36" s="391">
        <f t="shared" si="14"/>
        <v>166984.38999999998</v>
      </c>
      <c r="Z36" s="391">
        <f t="shared" si="15"/>
        <v>3184304.0700000003</v>
      </c>
    </row>
    <row r="37" spans="1:26" x14ac:dyDescent="0.2">
      <c r="A37" s="285"/>
      <c r="B37" s="285" t="s">
        <v>84</v>
      </c>
      <c r="C37" s="300">
        <f>SUM(C25:C36)</f>
        <v>11678</v>
      </c>
      <c r="D37" s="300">
        <f>SUM(D25:D36)</f>
        <v>13802523</v>
      </c>
      <c r="E37" s="300"/>
      <c r="F37" s="300"/>
      <c r="G37" s="300">
        <f>SUM(G25:G36)</f>
        <v>1316582.75</v>
      </c>
      <c r="H37" s="300"/>
      <c r="I37" s="285"/>
      <c r="J37" s="300">
        <f t="shared" ref="J37:Q37" si="16">SUM(J25:J36)</f>
        <v>175842</v>
      </c>
      <c r="K37" s="300"/>
      <c r="L37" s="300">
        <f t="shared" si="16"/>
        <v>-59586.06</v>
      </c>
      <c r="M37" s="306"/>
      <c r="N37" s="306">
        <f t="shared" si="16"/>
        <v>125401.04000000001</v>
      </c>
      <c r="O37" s="306">
        <f t="shared" si="16"/>
        <v>48812.81</v>
      </c>
      <c r="P37" s="306">
        <f t="shared" si="16"/>
        <v>308814</v>
      </c>
      <c r="Q37" s="306">
        <f t="shared" si="16"/>
        <v>4709</v>
      </c>
      <c r="R37" s="362"/>
      <c r="V37" s="305"/>
      <c r="W37" s="305"/>
      <c r="X37" s="366">
        <f>SUM(X25:X36)</f>
        <v>1432838.6899999997</v>
      </c>
      <c r="Z37" s="366">
        <f t="shared" si="15"/>
        <v>30074337.220000003</v>
      </c>
    </row>
    <row r="40" spans="1:26" x14ac:dyDescent="0.2">
      <c r="A40" s="310"/>
      <c r="B40" s="310"/>
      <c r="C40" s="329"/>
      <c r="D40" s="329"/>
      <c r="E40" s="329"/>
      <c r="F40" s="329"/>
      <c r="G40" s="329"/>
      <c r="H40" s="329"/>
      <c r="I40" s="310"/>
      <c r="J40" s="329"/>
      <c r="K40" s="329"/>
      <c r="L40" s="329"/>
      <c r="M40" s="329"/>
      <c r="N40" s="329"/>
      <c r="O40" s="329"/>
      <c r="P40" s="329"/>
      <c r="Q40" s="329"/>
    </row>
    <row r="42" spans="1:26" x14ac:dyDescent="0.2">
      <c r="A42" s="301"/>
      <c r="B42" s="285">
        <v>2019</v>
      </c>
      <c r="C42" s="285" t="s">
        <v>182</v>
      </c>
      <c r="D42" s="285" t="s">
        <v>39</v>
      </c>
      <c r="E42" s="285" t="s">
        <v>40</v>
      </c>
      <c r="F42" s="285" t="s">
        <v>178</v>
      </c>
      <c r="G42" s="285" t="s">
        <v>179</v>
      </c>
      <c r="H42" s="285"/>
      <c r="I42" s="295" t="s">
        <v>161</v>
      </c>
      <c r="J42" s="285" t="s">
        <v>109</v>
      </c>
      <c r="K42" s="285" t="s">
        <v>162</v>
      </c>
      <c r="L42" s="296" t="s">
        <v>180</v>
      </c>
      <c r="M42" s="296" t="s">
        <v>181</v>
      </c>
      <c r="N42" s="294" t="s">
        <v>164</v>
      </c>
      <c r="O42" s="294" t="s">
        <v>165</v>
      </c>
      <c r="P42" s="294" t="s">
        <v>166</v>
      </c>
      <c r="Q42" s="294" t="s">
        <v>165</v>
      </c>
      <c r="R42" s="362"/>
      <c r="X42" s="224" t="s">
        <v>65</v>
      </c>
    </row>
    <row r="43" spans="1:26" x14ac:dyDescent="0.2">
      <c r="A43" s="292" t="s">
        <v>167</v>
      </c>
      <c r="B43" s="285" t="s">
        <v>168</v>
      </c>
      <c r="C43" s="285" t="s">
        <v>169</v>
      </c>
      <c r="D43" s="285" t="s">
        <v>8</v>
      </c>
      <c r="E43" s="285" t="s">
        <v>8</v>
      </c>
      <c r="F43" s="285" t="s">
        <v>42</v>
      </c>
      <c r="G43" s="285" t="s">
        <v>42</v>
      </c>
      <c r="H43" s="285"/>
      <c r="I43" s="295" t="s">
        <v>42</v>
      </c>
      <c r="J43" s="285" t="s">
        <v>171</v>
      </c>
      <c r="K43" s="285" t="s">
        <v>172</v>
      </c>
      <c r="L43" s="296" t="s">
        <v>42</v>
      </c>
      <c r="M43" s="296" t="s">
        <v>42</v>
      </c>
      <c r="N43" s="294" t="s">
        <v>42</v>
      </c>
      <c r="O43" s="294" t="s">
        <v>42</v>
      </c>
      <c r="P43" s="294" t="s">
        <v>127</v>
      </c>
      <c r="Q43" s="294" t="s">
        <v>173</v>
      </c>
      <c r="R43" s="362"/>
      <c r="T43" s="347" t="s">
        <v>208</v>
      </c>
      <c r="U43" s="347" t="s">
        <v>127</v>
      </c>
      <c r="X43" s="224" t="s">
        <v>221</v>
      </c>
    </row>
    <row r="44" spans="1:26" x14ac:dyDescent="0.2">
      <c r="A44" s="292" t="s">
        <v>145</v>
      </c>
      <c r="B44" s="298" t="s">
        <v>116</v>
      </c>
      <c r="C44" s="302">
        <v>12</v>
      </c>
      <c r="D44" s="363">
        <v>5539</v>
      </c>
      <c r="E44" s="363">
        <v>14455</v>
      </c>
      <c r="F44" s="363">
        <v>549.30999999999995</v>
      </c>
      <c r="G44" s="363">
        <v>1018.83</v>
      </c>
      <c r="H44" s="302"/>
      <c r="I44" s="302"/>
      <c r="J44" s="302">
        <v>240</v>
      </c>
      <c r="K44" s="302"/>
      <c r="L44" s="302">
        <v>4.7300000000000004</v>
      </c>
      <c r="M44" s="302">
        <v>12.38</v>
      </c>
      <c r="N44" s="302">
        <v>187.53</v>
      </c>
      <c r="O44" s="302">
        <v>0</v>
      </c>
      <c r="P44" s="302">
        <v>0</v>
      </c>
      <c r="Q44" s="302">
        <v>0</v>
      </c>
      <c r="R44" s="362"/>
      <c r="T44" s="305">
        <f>C44</f>
        <v>12</v>
      </c>
      <c r="U44" s="305">
        <f>D44+E44</f>
        <v>19994</v>
      </c>
      <c r="X44" s="391">
        <f t="shared" ref="X44:X45" si="17">G44+I44+J44+K44+L44+M44</f>
        <v>1275.94</v>
      </c>
    </row>
    <row r="45" spans="1:26" x14ac:dyDescent="0.2">
      <c r="A45" s="286"/>
      <c r="B45" s="298" t="s">
        <v>117</v>
      </c>
      <c r="C45" s="302">
        <v>12</v>
      </c>
      <c r="D45" s="363">
        <v>5205</v>
      </c>
      <c r="E45" s="363">
        <v>14011</v>
      </c>
      <c r="F45" s="363">
        <v>516.17999999999995</v>
      </c>
      <c r="G45" s="363">
        <v>950.56</v>
      </c>
      <c r="H45" s="302"/>
      <c r="I45" s="302"/>
      <c r="J45" s="302">
        <v>240</v>
      </c>
      <c r="K45" s="302"/>
      <c r="L45" s="302">
        <v>-25.32</v>
      </c>
      <c r="M45" s="302">
        <v>-68.14</v>
      </c>
      <c r="N45" s="302">
        <v>144.78</v>
      </c>
      <c r="O45" s="302">
        <v>0</v>
      </c>
      <c r="P45" s="302">
        <v>0</v>
      </c>
      <c r="Q45" s="302">
        <v>1</v>
      </c>
      <c r="R45" s="362"/>
      <c r="T45" s="305">
        <f t="shared" ref="T45:T56" si="18">C45</f>
        <v>12</v>
      </c>
      <c r="U45" s="305">
        <f t="shared" ref="U45:U56" si="19">D45+E45</f>
        <v>19216</v>
      </c>
      <c r="X45" s="391">
        <f t="shared" si="17"/>
        <v>1097.0999999999999</v>
      </c>
    </row>
    <row r="46" spans="1:26" x14ac:dyDescent="0.2">
      <c r="A46" s="286"/>
      <c r="B46" s="298" t="s">
        <v>118</v>
      </c>
      <c r="C46" s="302">
        <v>12</v>
      </c>
      <c r="D46" s="363">
        <v>3867</v>
      </c>
      <c r="E46" s="363">
        <v>12347</v>
      </c>
      <c r="F46" s="363">
        <v>383.51</v>
      </c>
      <c r="G46" s="363">
        <v>808.02</v>
      </c>
      <c r="H46" s="302"/>
      <c r="I46" s="302"/>
      <c r="J46" s="302">
        <v>240</v>
      </c>
      <c r="K46" s="302"/>
      <c r="L46" s="302">
        <v>-13.94</v>
      </c>
      <c r="M46" s="302">
        <v>-44.54</v>
      </c>
      <c r="N46" s="302">
        <v>97.95</v>
      </c>
      <c r="O46" s="302">
        <v>0</v>
      </c>
      <c r="P46" s="302">
        <v>0</v>
      </c>
      <c r="Q46" s="302">
        <v>0</v>
      </c>
      <c r="R46" s="362"/>
      <c r="T46" s="305">
        <f t="shared" si="18"/>
        <v>12</v>
      </c>
      <c r="U46" s="305">
        <f t="shared" si="19"/>
        <v>16214</v>
      </c>
      <c r="X46" s="391">
        <f t="shared" ref="X46:X55" si="20">G46+I46+J46+K46+L46+M46</f>
        <v>989.54</v>
      </c>
    </row>
    <row r="47" spans="1:26" x14ac:dyDescent="0.2">
      <c r="A47" s="286"/>
      <c r="B47" s="298" t="s">
        <v>174</v>
      </c>
      <c r="C47" s="302">
        <v>12</v>
      </c>
      <c r="D47" s="363">
        <v>1751</v>
      </c>
      <c r="E47" s="363">
        <v>3170</v>
      </c>
      <c r="F47" s="363">
        <v>173.68</v>
      </c>
      <c r="G47" s="363">
        <v>344.78</v>
      </c>
      <c r="H47" s="302"/>
      <c r="I47" s="302"/>
      <c r="J47" s="302">
        <v>240</v>
      </c>
      <c r="K47" s="302"/>
      <c r="L47" s="302">
        <v>0.47</v>
      </c>
      <c r="M47" s="302">
        <v>-22.69</v>
      </c>
      <c r="N47" s="302">
        <v>52.46</v>
      </c>
      <c r="O47" s="302">
        <v>0</v>
      </c>
      <c r="P47" s="302">
        <v>0</v>
      </c>
      <c r="Q47" s="302">
        <v>0</v>
      </c>
      <c r="R47" s="362"/>
      <c r="T47" s="305">
        <f t="shared" si="18"/>
        <v>12</v>
      </c>
      <c r="U47" s="305">
        <f t="shared" si="19"/>
        <v>4921</v>
      </c>
      <c r="X47" s="391">
        <f>G47+I47+J47+K47+L47+M47</f>
        <v>562.55999999999995</v>
      </c>
    </row>
    <row r="48" spans="1:26" x14ac:dyDescent="0.2">
      <c r="A48" s="286"/>
      <c r="B48" s="298" t="s">
        <v>119</v>
      </c>
      <c r="C48" s="302">
        <v>12</v>
      </c>
      <c r="D48" s="363">
        <v>621</v>
      </c>
      <c r="E48" s="363">
        <v>855</v>
      </c>
      <c r="F48" s="363">
        <v>61.59</v>
      </c>
      <c r="G48" s="363">
        <v>83.2</v>
      </c>
      <c r="H48" s="302"/>
      <c r="I48" s="302"/>
      <c r="J48" s="302">
        <v>240</v>
      </c>
      <c r="K48" s="302"/>
      <c r="L48" s="302">
        <v>-2.1</v>
      </c>
      <c r="M48" s="302">
        <v>-2.87</v>
      </c>
      <c r="N48" s="302">
        <v>34.01</v>
      </c>
      <c r="O48" s="302">
        <v>0</v>
      </c>
      <c r="P48" s="302">
        <v>0</v>
      </c>
      <c r="Q48" s="302">
        <v>0</v>
      </c>
      <c r="R48" s="362"/>
      <c r="T48" s="305">
        <f t="shared" si="18"/>
        <v>12</v>
      </c>
      <c r="U48" s="305">
        <f t="shared" si="19"/>
        <v>1476</v>
      </c>
      <c r="X48" s="391">
        <f t="shared" si="20"/>
        <v>318.22999999999996</v>
      </c>
    </row>
    <row r="49" spans="1:24" x14ac:dyDescent="0.2">
      <c r="A49" s="286"/>
      <c r="B49" s="298" t="s">
        <v>175</v>
      </c>
      <c r="C49" s="302">
        <v>12</v>
      </c>
      <c r="D49" s="363">
        <v>330</v>
      </c>
      <c r="E49" s="363">
        <v>398</v>
      </c>
      <c r="F49" s="363">
        <v>32.74</v>
      </c>
      <c r="G49" s="363">
        <v>52.75</v>
      </c>
      <c r="H49" s="302"/>
      <c r="I49" s="302"/>
      <c r="J49" s="302">
        <v>240</v>
      </c>
      <c r="K49" s="302"/>
      <c r="L49" s="302">
        <v>-1.23</v>
      </c>
      <c r="M49" s="302">
        <v>-1.48</v>
      </c>
      <c r="N49" s="302">
        <v>29.86</v>
      </c>
      <c r="O49" s="302">
        <v>0</v>
      </c>
      <c r="P49" s="302">
        <v>0</v>
      </c>
      <c r="Q49" s="302">
        <v>0</v>
      </c>
      <c r="R49" s="362"/>
      <c r="T49" s="305">
        <f t="shared" si="18"/>
        <v>12</v>
      </c>
      <c r="U49" s="305">
        <f t="shared" si="19"/>
        <v>728</v>
      </c>
      <c r="X49" s="391">
        <f t="shared" si="20"/>
        <v>290.03999999999996</v>
      </c>
    </row>
    <row r="50" spans="1:24" x14ac:dyDescent="0.2">
      <c r="A50" s="286"/>
      <c r="B50" s="298" t="s">
        <v>176</v>
      </c>
      <c r="C50" s="302">
        <v>12</v>
      </c>
      <c r="D50" s="363">
        <v>585</v>
      </c>
      <c r="E50" s="363">
        <v>728</v>
      </c>
      <c r="F50" s="363">
        <v>58.02</v>
      </c>
      <c r="G50" s="363">
        <v>83.55</v>
      </c>
      <c r="H50" s="302"/>
      <c r="I50" s="302"/>
      <c r="J50" s="302">
        <v>240</v>
      </c>
      <c r="K50" s="302"/>
      <c r="L50" s="302">
        <v>-2.1</v>
      </c>
      <c r="M50" s="302">
        <v>-2.62</v>
      </c>
      <c r="N50" s="302">
        <v>41.69</v>
      </c>
      <c r="O50" s="302">
        <v>0</v>
      </c>
      <c r="P50" s="302">
        <v>0</v>
      </c>
      <c r="Q50" s="302">
        <v>0</v>
      </c>
      <c r="R50" s="362"/>
      <c r="T50" s="305">
        <f t="shared" si="18"/>
        <v>12</v>
      </c>
      <c r="U50" s="305">
        <f t="shared" si="19"/>
        <v>1313</v>
      </c>
      <c r="X50" s="391">
        <f t="shared" si="20"/>
        <v>318.83</v>
      </c>
    </row>
    <row r="51" spans="1:24" x14ac:dyDescent="0.2">
      <c r="A51" s="286"/>
      <c r="B51" s="298" t="s">
        <v>120</v>
      </c>
      <c r="C51" s="302">
        <v>12</v>
      </c>
      <c r="D51" s="363">
        <v>708</v>
      </c>
      <c r="E51" s="363">
        <v>887</v>
      </c>
      <c r="F51" s="363">
        <v>70.22</v>
      </c>
      <c r="G51" s="363">
        <v>93.96</v>
      </c>
      <c r="H51" s="302"/>
      <c r="I51" s="302"/>
      <c r="J51" s="302">
        <v>240</v>
      </c>
      <c r="K51" s="302"/>
      <c r="L51" s="302">
        <v>-3.29</v>
      </c>
      <c r="M51" s="302">
        <v>-4.13</v>
      </c>
      <c r="N51" s="302">
        <v>42.95</v>
      </c>
      <c r="O51" s="302">
        <v>0</v>
      </c>
      <c r="P51" s="302">
        <v>0</v>
      </c>
      <c r="Q51" s="302">
        <v>0</v>
      </c>
      <c r="R51" s="362"/>
      <c r="T51" s="305">
        <f t="shared" si="18"/>
        <v>12</v>
      </c>
      <c r="U51" s="305">
        <f t="shared" si="19"/>
        <v>1595</v>
      </c>
      <c r="X51" s="391">
        <f t="shared" si="20"/>
        <v>326.53999999999996</v>
      </c>
    </row>
    <row r="52" spans="1:24" x14ac:dyDescent="0.2">
      <c r="A52" s="286"/>
      <c r="B52" s="298" t="s">
        <v>177</v>
      </c>
      <c r="C52" s="302">
        <v>12</v>
      </c>
      <c r="D52" s="363">
        <v>553</v>
      </c>
      <c r="E52" s="363">
        <v>725</v>
      </c>
      <c r="F52" s="363">
        <v>54.84</v>
      </c>
      <c r="G52" s="363">
        <v>82.91</v>
      </c>
      <c r="H52" s="302"/>
      <c r="I52" s="302"/>
      <c r="J52" s="302">
        <v>240</v>
      </c>
      <c r="K52" s="302"/>
      <c r="L52" s="302">
        <v>-2.96</v>
      </c>
      <c r="M52" s="302">
        <v>-3.88</v>
      </c>
      <c r="N52" s="302">
        <v>41.21</v>
      </c>
      <c r="O52" s="302">
        <v>0</v>
      </c>
      <c r="P52" s="302">
        <v>0</v>
      </c>
      <c r="Q52" s="302">
        <v>0</v>
      </c>
      <c r="R52" s="362"/>
      <c r="T52" s="305">
        <f t="shared" si="18"/>
        <v>12</v>
      </c>
      <c r="U52" s="305">
        <f t="shared" si="19"/>
        <v>1278</v>
      </c>
      <c r="X52" s="391">
        <f t="shared" si="20"/>
        <v>316.07</v>
      </c>
    </row>
    <row r="53" spans="1:24" x14ac:dyDescent="0.2">
      <c r="A53" s="286"/>
      <c r="B53" s="298" t="s">
        <v>121</v>
      </c>
      <c r="C53" s="302">
        <v>12</v>
      </c>
      <c r="D53" s="363">
        <v>1178</v>
      </c>
      <c r="E53" s="363">
        <v>1980</v>
      </c>
      <c r="F53" s="363">
        <v>116.82</v>
      </c>
      <c r="G53" s="363">
        <v>161.79</v>
      </c>
      <c r="H53" s="302"/>
      <c r="I53" s="302"/>
      <c r="J53" s="302">
        <v>240</v>
      </c>
      <c r="K53" s="302"/>
      <c r="L53" s="302">
        <v>-8.19</v>
      </c>
      <c r="M53" s="302">
        <v>-13.77</v>
      </c>
      <c r="N53" s="302">
        <v>47.93</v>
      </c>
      <c r="O53" s="302">
        <v>0</v>
      </c>
      <c r="P53" s="302">
        <v>0</v>
      </c>
      <c r="Q53" s="302">
        <v>0</v>
      </c>
      <c r="R53" s="362"/>
      <c r="T53" s="305">
        <f t="shared" si="18"/>
        <v>12</v>
      </c>
      <c r="U53" s="305">
        <f t="shared" si="19"/>
        <v>3158</v>
      </c>
      <c r="X53" s="391">
        <f t="shared" si="20"/>
        <v>379.83</v>
      </c>
    </row>
    <row r="54" spans="1:24" x14ac:dyDescent="0.2">
      <c r="A54" s="286"/>
      <c r="B54" s="298" t="s">
        <v>122</v>
      </c>
      <c r="C54" s="302">
        <v>12</v>
      </c>
      <c r="D54" s="363">
        <v>4139</v>
      </c>
      <c r="E54" s="363">
        <v>9942</v>
      </c>
      <c r="F54" s="363">
        <v>410.45</v>
      </c>
      <c r="G54" s="363">
        <v>696.4</v>
      </c>
      <c r="H54" s="302"/>
      <c r="I54" s="302"/>
      <c r="J54" s="302">
        <v>240</v>
      </c>
      <c r="K54" s="302"/>
      <c r="L54" s="302">
        <v>-27.47</v>
      </c>
      <c r="M54" s="302">
        <v>-65.94</v>
      </c>
      <c r="N54" s="302">
        <v>124.63</v>
      </c>
      <c r="O54" s="302">
        <v>0</v>
      </c>
      <c r="P54" s="302">
        <v>0</v>
      </c>
      <c r="Q54" s="302">
        <v>0</v>
      </c>
      <c r="R54" s="362"/>
      <c r="T54" s="305">
        <f t="shared" si="18"/>
        <v>12</v>
      </c>
      <c r="U54" s="305">
        <f t="shared" si="19"/>
        <v>14081</v>
      </c>
      <c r="X54" s="391">
        <f t="shared" si="20"/>
        <v>842.99</v>
      </c>
    </row>
    <row r="55" spans="1:24" x14ac:dyDescent="0.2">
      <c r="A55" s="286"/>
      <c r="B55" s="298" t="s">
        <v>123</v>
      </c>
      <c r="C55" s="302">
        <v>12</v>
      </c>
      <c r="D55" s="363">
        <v>5162</v>
      </c>
      <c r="E55" s="363">
        <v>14406</v>
      </c>
      <c r="F55" s="363">
        <v>511.91</v>
      </c>
      <c r="G55" s="363">
        <v>1005.03</v>
      </c>
      <c r="H55" s="302"/>
      <c r="I55" s="302"/>
      <c r="J55" s="302">
        <v>240</v>
      </c>
      <c r="K55" s="302"/>
      <c r="L55" s="302">
        <v>-28.78</v>
      </c>
      <c r="M55" s="302">
        <v>-80.28</v>
      </c>
      <c r="N55" s="302">
        <v>176.54</v>
      </c>
      <c r="O55" s="302">
        <v>0</v>
      </c>
      <c r="P55" s="302">
        <v>0</v>
      </c>
      <c r="Q55" s="302">
        <v>0</v>
      </c>
      <c r="R55" s="362"/>
      <c r="T55" s="305">
        <f t="shared" si="18"/>
        <v>12</v>
      </c>
      <c r="U55" s="305">
        <f t="shared" si="19"/>
        <v>19568</v>
      </c>
      <c r="X55" s="391">
        <f t="shared" si="20"/>
        <v>1135.97</v>
      </c>
    </row>
    <row r="56" spans="1:24" x14ac:dyDescent="0.2">
      <c r="A56" s="285"/>
      <c r="B56" s="301" t="s">
        <v>84</v>
      </c>
      <c r="C56" s="303">
        <f>SUM(C44:C55)</f>
        <v>144</v>
      </c>
      <c r="D56" s="303">
        <f>SUM(D44:D55)</f>
        <v>29638</v>
      </c>
      <c r="E56" s="303">
        <f>SUM(E44:E55)</f>
        <v>73904</v>
      </c>
      <c r="F56" s="303">
        <f>SUM(F44:F55)</f>
        <v>2939.2699999999995</v>
      </c>
      <c r="G56" s="303">
        <f>SUM(G44:G55)</f>
        <v>5381.7799999999988</v>
      </c>
      <c r="H56" s="303"/>
      <c r="I56" s="303"/>
      <c r="J56" s="303">
        <f t="shared" ref="J56" si="21">SUM(J44:J55)</f>
        <v>2880</v>
      </c>
      <c r="K56" s="303"/>
      <c r="L56" s="303">
        <f>SUM(L44:L55)</f>
        <v>-110.18</v>
      </c>
      <c r="M56" s="303">
        <f>SUM(M44:M55)</f>
        <v>-297.96000000000004</v>
      </c>
      <c r="N56" s="303">
        <f t="shared" ref="N56:Q56" si="22">SUM(N44:N55)</f>
        <v>1021.54</v>
      </c>
      <c r="O56" s="303">
        <f t="shared" si="22"/>
        <v>0</v>
      </c>
      <c r="P56" s="303">
        <f t="shared" si="22"/>
        <v>0</v>
      </c>
      <c r="Q56" s="303">
        <f t="shared" si="22"/>
        <v>1</v>
      </c>
      <c r="R56" s="362"/>
      <c r="T56" s="366">
        <f t="shared" si="18"/>
        <v>144</v>
      </c>
      <c r="U56" s="366">
        <f t="shared" si="19"/>
        <v>103542</v>
      </c>
      <c r="V56" s="305"/>
      <c r="W56" s="305"/>
      <c r="X56" s="366">
        <f>SUM(X44:X55)</f>
        <v>7853.6399999999994</v>
      </c>
    </row>
    <row r="57" spans="1:24" x14ac:dyDescent="0.2">
      <c r="T57" s="387">
        <f>T56/12</f>
        <v>12</v>
      </c>
    </row>
    <row r="60" spans="1:24" x14ac:dyDescent="0.2">
      <c r="A60" s="286"/>
      <c r="B60" s="304"/>
      <c r="C60" s="304"/>
      <c r="D60" s="302"/>
      <c r="E60" s="302"/>
      <c r="F60" s="302"/>
      <c r="G60" s="302"/>
      <c r="H60" s="302"/>
      <c r="I60" s="291" t="s">
        <v>157</v>
      </c>
      <c r="J60" s="286" t="s">
        <v>157</v>
      </c>
      <c r="K60" s="286" t="s">
        <v>158</v>
      </c>
      <c r="L60" s="292" t="s">
        <v>158</v>
      </c>
      <c r="M60" s="293"/>
      <c r="N60" s="287" t="s">
        <v>158</v>
      </c>
      <c r="O60" s="294" t="s">
        <v>157</v>
      </c>
      <c r="P60" s="294" t="s">
        <v>157</v>
      </c>
      <c r="Q60" s="294"/>
      <c r="R60" s="362"/>
    </row>
    <row r="61" spans="1:24" x14ac:dyDescent="0.2">
      <c r="A61" s="285"/>
      <c r="B61" s="285">
        <v>2019</v>
      </c>
      <c r="C61" s="285" t="s">
        <v>182</v>
      </c>
      <c r="D61" s="285"/>
      <c r="E61" s="285" t="s">
        <v>183</v>
      </c>
      <c r="F61" s="285" t="s">
        <v>184</v>
      </c>
      <c r="G61" s="285" t="s">
        <v>127</v>
      </c>
      <c r="H61" s="285"/>
      <c r="I61" s="285" t="s">
        <v>185</v>
      </c>
      <c r="J61" s="285" t="s">
        <v>109</v>
      </c>
      <c r="K61" s="285" t="s">
        <v>162</v>
      </c>
      <c r="L61" s="296" t="s">
        <v>163</v>
      </c>
      <c r="M61" s="297"/>
      <c r="N61" s="294" t="s">
        <v>164</v>
      </c>
      <c r="O61" s="294" t="s">
        <v>165</v>
      </c>
      <c r="P61" s="294" t="s">
        <v>166</v>
      </c>
      <c r="Q61" s="294" t="s">
        <v>165</v>
      </c>
      <c r="R61" s="362"/>
      <c r="X61" s="224" t="s">
        <v>65</v>
      </c>
    </row>
    <row r="62" spans="1:24" x14ac:dyDescent="0.2">
      <c r="A62" s="292" t="s">
        <v>167</v>
      </c>
      <c r="B62" s="285" t="s">
        <v>168</v>
      </c>
      <c r="C62" s="285" t="s">
        <v>186</v>
      </c>
      <c r="D62" s="285" t="s">
        <v>127</v>
      </c>
      <c r="E62" s="285" t="s">
        <v>8</v>
      </c>
      <c r="F62" s="285" t="s">
        <v>8</v>
      </c>
      <c r="G62" s="285" t="s">
        <v>42</v>
      </c>
      <c r="H62" s="285"/>
      <c r="I62" s="285" t="s">
        <v>42</v>
      </c>
      <c r="J62" s="285" t="s">
        <v>187</v>
      </c>
      <c r="K62" s="285" t="s">
        <v>172</v>
      </c>
      <c r="L62" s="296" t="s">
        <v>42</v>
      </c>
      <c r="M62" s="297"/>
      <c r="N62" s="294" t="s">
        <v>187</v>
      </c>
      <c r="O62" s="294" t="s">
        <v>42</v>
      </c>
      <c r="P62" s="294" t="s">
        <v>127</v>
      </c>
      <c r="Q62" s="294" t="s">
        <v>173</v>
      </c>
      <c r="R62" s="362"/>
      <c r="T62" s="347" t="s">
        <v>208</v>
      </c>
      <c r="U62" s="347" t="s">
        <v>127</v>
      </c>
      <c r="X62" s="224" t="s">
        <v>221</v>
      </c>
    </row>
    <row r="63" spans="1:24" x14ac:dyDescent="0.2">
      <c r="A63" s="292" t="s">
        <v>133</v>
      </c>
      <c r="B63" s="298" t="s">
        <v>116</v>
      </c>
      <c r="C63" s="302">
        <v>1319</v>
      </c>
      <c r="D63" s="363">
        <v>1299890</v>
      </c>
      <c r="E63" s="363">
        <v>957574</v>
      </c>
      <c r="F63" s="363">
        <v>342316</v>
      </c>
      <c r="G63" s="363">
        <v>131555.20000000001</v>
      </c>
      <c r="H63" s="302"/>
      <c r="I63" s="302"/>
      <c r="J63" s="302">
        <v>18466</v>
      </c>
      <c r="K63" s="305">
        <v>184.52</v>
      </c>
      <c r="L63" s="302">
        <v>1155.24</v>
      </c>
      <c r="M63" s="302"/>
      <c r="N63" s="302">
        <v>16192.02</v>
      </c>
      <c r="O63" s="302">
        <v>6931.68</v>
      </c>
      <c r="P63" s="302">
        <v>49510</v>
      </c>
      <c r="Q63" s="306">
        <v>479</v>
      </c>
      <c r="R63" s="362"/>
      <c r="T63" s="305">
        <f>C63</f>
        <v>1319</v>
      </c>
      <c r="U63" s="305">
        <f>D63</f>
        <v>1299890</v>
      </c>
      <c r="X63" s="391">
        <f t="shared" ref="X63:X74" si="23">G63+I63+J63+K63+L63</f>
        <v>151360.95999999999</v>
      </c>
    </row>
    <row r="64" spans="1:24" x14ac:dyDescent="0.2">
      <c r="A64" s="286"/>
      <c r="B64" s="298" t="s">
        <v>117</v>
      </c>
      <c r="C64" s="302">
        <v>1322</v>
      </c>
      <c r="D64" s="363">
        <v>1247402</v>
      </c>
      <c r="E64" s="363">
        <v>942466</v>
      </c>
      <c r="F64" s="363">
        <v>304936</v>
      </c>
      <c r="G64" s="363">
        <v>123579.51</v>
      </c>
      <c r="H64" s="302"/>
      <c r="I64" s="302"/>
      <c r="J64" s="302">
        <v>18508</v>
      </c>
      <c r="K64" s="302">
        <v>248.28</v>
      </c>
      <c r="L64" s="302">
        <v>-6307.41</v>
      </c>
      <c r="M64" s="302"/>
      <c r="N64" s="302">
        <v>12769.98</v>
      </c>
      <c r="O64" s="302">
        <v>6664.13</v>
      </c>
      <c r="P64" s="302">
        <v>49524</v>
      </c>
      <c r="Q64" s="307">
        <v>477</v>
      </c>
      <c r="R64" s="362"/>
      <c r="T64" s="305">
        <f t="shared" ref="T64:T75" si="24">C64</f>
        <v>1322</v>
      </c>
      <c r="U64" s="305">
        <f t="shared" ref="U64:U75" si="25">D64</f>
        <v>1247402</v>
      </c>
      <c r="X64" s="391">
        <f t="shared" si="23"/>
        <v>136028.38</v>
      </c>
    </row>
    <row r="65" spans="1:24" x14ac:dyDescent="0.2">
      <c r="A65" s="286"/>
      <c r="B65" s="298" t="s">
        <v>118</v>
      </c>
      <c r="C65" s="302">
        <v>1320</v>
      </c>
      <c r="D65" s="363">
        <v>1161625</v>
      </c>
      <c r="E65" s="363">
        <v>900706</v>
      </c>
      <c r="F65" s="363">
        <v>260919</v>
      </c>
      <c r="G65" s="363">
        <v>112758.84</v>
      </c>
      <c r="H65" s="302"/>
      <c r="I65" s="302"/>
      <c r="J65" s="302">
        <v>18480</v>
      </c>
      <c r="K65" s="302">
        <v>175.19</v>
      </c>
      <c r="L65" s="302">
        <v>-4370.12</v>
      </c>
      <c r="M65" s="302"/>
      <c r="N65" s="302">
        <v>9522.5</v>
      </c>
      <c r="O65" s="302">
        <v>6900.98</v>
      </c>
      <c r="P65" s="302">
        <v>49352</v>
      </c>
      <c r="Q65" s="307">
        <v>477</v>
      </c>
      <c r="R65" s="362"/>
      <c r="T65" s="305">
        <f t="shared" si="24"/>
        <v>1320</v>
      </c>
      <c r="U65" s="305">
        <f t="shared" si="25"/>
        <v>1161625</v>
      </c>
      <c r="X65" s="391">
        <f t="shared" si="23"/>
        <v>127043.91</v>
      </c>
    </row>
    <row r="66" spans="1:24" x14ac:dyDescent="0.2">
      <c r="A66" s="286"/>
      <c r="B66" s="298" t="s">
        <v>174</v>
      </c>
      <c r="C66" s="302">
        <v>1336</v>
      </c>
      <c r="D66" s="363">
        <v>1011283</v>
      </c>
      <c r="E66" s="363">
        <v>810437</v>
      </c>
      <c r="F66" s="363">
        <v>200846</v>
      </c>
      <c r="G66" s="363">
        <v>98583.67</v>
      </c>
      <c r="H66" s="302"/>
      <c r="I66" s="302"/>
      <c r="J66" s="302">
        <v>18704</v>
      </c>
      <c r="K66" s="302">
        <v>203.24</v>
      </c>
      <c r="L66" s="302">
        <v>-4747.33</v>
      </c>
      <c r="M66" s="302"/>
      <c r="N66" s="302">
        <v>8519.56</v>
      </c>
      <c r="O66" s="302">
        <v>7118.47</v>
      </c>
      <c r="P66" s="302">
        <v>51272</v>
      </c>
      <c r="Q66" s="307">
        <v>492</v>
      </c>
      <c r="R66" s="362"/>
      <c r="T66" s="305">
        <f t="shared" si="24"/>
        <v>1336</v>
      </c>
      <c r="U66" s="305">
        <f t="shared" si="25"/>
        <v>1011283</v>
      </c>
      <c r="X66" s="391">
        <f t="shared" si="23"/>
        <v>112743.58</v>
      </c>
    </row>
    <row r="67" spans="1:24" x14ac:dyDescent="0.2">
      <c r="A67" s="286"/>
      <c r="B67" s="298" t="s">
        <v>119</v>
      </c>
      <c r="C67" s="302">
        <v>1342</v>
      </c>
      <c r="D67" s="363">
        <v>1118423</v>
      </c>
      <c r="E67" s="363">
        <v>852223</v>
      </c>
      <c r="F67" s="363">
        <v>266200</v>
      </c>
      <c r="G67" s="363">
        <v>111400.53</v>
      </c>
      <c r="H67" s="302"/>
      <c r="I67" s="302"/>
      <c r="J67" s="302">
        <v>18788</v>
      </c>
      <c r="K67" s="302">
        <v>241.96</v>
      </c>
      <c r="L67" s="302">
        <v>-3931.72</v>
      </c>
      <c r="M67" s="302"/>
      <c r="N67" s="302">
        <v>11935.48</v>
      </c>
      <c r="O67" s="302">
        <v>7174.06</v>
      </c>
      <c r="P67" s="302">
        <v>51532</v>
      </c>
      <c r="Q67" s="307">
        <v>492</v>
      </c>
      <c r="R67" s="362"/>
      <c r="T67" s="305">
        <f t="shared" si="24"/>
        <v>1342</v>
      </c>
      <c r="U67" s="305">
        <f t="shared" si="25"/>
        <v>1118423</v>
      </c>
      <c r="X67" s="391">
        <f t="shared" si="23"/>
        <v>126498.77</v>
      </c>
    </row>
    <row r="68" spans="1:24" x14ac:dyDescent="0.2">
      <c r="A68" s="286"/>
      <c r="B68" s="298" t="s">
        <v>175</v>
      </c>
      <c r="C68" s="302">
        <v>1343</v>
      </c>
      <c r="D68" s="363">
        <v>1162357</v>
      </c>
      <c r="E68" s="363">
        <v>861713</v>
      </c>
      <c r="F68" s="363">
        <v>300644</v>
      </c>
      <c r="G68" s="363">
        <v>116007.69</v>
      </c>
      <c r="H68" s="302"/>
      <c r="I68" s="302"/>
      <c r="J68" s="302">
        <v>18802</v>
      </c>
      <c r="K68" s="302">
        <v>301.66000000000003</v>
      </c>
      <c r="L68" s="302">
        <v>-4532.7299999999996</v>
      </c>
      <c r="M68" s="302"/>
      <c r="N68" s="302">
        <v>11941.76</v>
      </c>
      <c r="O68" s="302">
        <v>7165.55</v>
      </c>
      <c r="P68" s="302">
        <v>51518</v>
      </c>
      <c r="Q68" s="307">
        <v>492</v>
      </c>
      <c r="R68" s="362"/>
      <c r="T68" s="305">
        <f t="shared" si="24"/>
        <v>1343</v>
      </c>
      <c r="U68" s="305">
        <f t="shared" si="25"/>
        <v>1162357</v>
      </c>
      <c r="X68" s="391">
        <f t="shared" si="23"/>
        <v>130578.62000000001</v>
      </c>
    </row>
    <row r="69" spans="1:24" x14ac:dyDescent="0.2">
      <c r="A69" s="286"/>
      <c r="B69" s="298" t="s">
        <v>176</v>
      </c>
      <c r="C69" s="302">
        <v>1356</v>
      </c>
      <c r="D69" s="363">
        <v>1305133</v>
      </c>
      <c r="E69" s="363">
        <v>935137</v>
      </c>
      <c r="F69" s="363">
        <v>369996</v>
      </c>
      <c r="G69" s="363">
        <v>132813.41</v>
      </c>
      <c r="H69" s="302"/>
      <c r="I69" s="302"/>
      <c r="J69" s="302">
        <v>18970</v>
      </c>
      <c r="K69" s="302">
        <v>235.64</v>
      </c>
      <c r="L69" s="302">
        <v>-4881.6000000000004</v>
      </c>
      <c r="M69" s="302"/>
      <c r="N69" s="302">
        <v>17140.240000000002</v>
      </c>
      <c r="O69" s="302">
        <v>7180.97</v>
      </c>
      <c r="P69" s="302">
        <v>51404</v>
      </c>
      <c r="Q69" s="307">
        <v>497</v>
      </c>
      <c r="R69" s="362"/>
      <c r="T69" s="305">
        <f t="shared" si="24"/>
        <v>1356</v>
      </c>
      <c r="U69" s="305">
        <f t="shared" si="25"/>
        <v>1305133</v>
      </c>
      <c r="X69" s="391">
        <f t="shared" si="23"/>
        <v>147137.45000000001</v>
      </c>
    </row>
    <row r="70" spans="1:24" x14ac:dyDescent="0.2">
      <c r="A70" s="286"/>
      <c r="B70" s="298" t="s">
        <v>120</v>
      </c>
      <c r="C70" s="302">
        <v>1348</v>
      </c>
      <c r="D70" s="363">
        <v>1377675</v>
      </c>
      <c r="E70" s="363">
        <v>961717</v>
      </c>
      <c r="F70" s="363">
        <v>415959</v>
      </c>
      <c r="G70" s="363">
        <v>139237.96</v>
      </c>
      <c r="H70" s="302"/>
      <c r="I70" s="302"/>
      <c r="J70" s="302">
        <v>18886</v>
      </c>
      <c r="K70" s="302">
        <v>237.6</v>
      </c>
      <c r="L70" s="302">
        <v>-6644.79</v>
      </c>
      <c r="M70" s="302"/>
      <c r="N70" s="302">
        <v>17179.61</v>
      </c>
      <c r="O70" s="302">
        <v>7134.01</v>
      </c>
      <c r="P70" s="302">
        <v>50914</v>
      </c>
      <c r="Q70" s="307">
        <v>491</v>
      </c>
      <c r="R70" s="362"/>
      <c r="T70" s="305">
        <f t="shared" si="24"/>
        <v>1348</v>
      </c>
      <c r="U70" s="305">
        <f t="shared" si="25"/>
        <v>1377675</v>
      </c>
      <c r="X70" s="391">
        <f t="shared" si="23"/>
        <v>151716.76999999999</v>
      </c>
    </row>
    <row r="71" spans="1:24" x14ac:dyDescent="0.2">
      <c r="A71" s="286"/>
      <c r="B71" s="298" t="s">
        <v>177</v>
      </c>
      <c r="C71" s="302">
        <v>1360</v>
      </c>
      <c r="D71" s="363">
        <v>1289014</v>
      </c>
      <c r="E71" s="363">
        <v>909159</v>
      </c>
      <c r="F71" s="363">
        <v>379855</v>
      </c>
      <c r="G71" s="363">
        <v>130985.01</v>
      </c>
      <c r="H71" s="302"/>
      <c r="I71" s="302"/>
      <c r="J71" s="302">
        <v>19040</v>
      </c>
      <c r="K71" s="302">
        <v>230.89</v>
      </c>
      <c r="L71" s="364">
        <v>-7183.06</v>
      </c>
      <c r="M71" s="364"/>
      <c r="N71" s="302">
        <v>16551.259999999998</v>
      </c>
      <c r="O71" s="302">
        <v>7196.1</v>
      </c>
      <c r="P71" s="302">
        <v>51334</v>
      </c>
      <c r="Q71" s="307">
        <v>495</v>
      </c>
      <c r="R71" s="362"/>
      <c r="T71" s="305">
        <f t="shared" si="24"/>
        <v>1360</v>
      </c>
      <c r="U71" s="305">
        <f t="shared" si="25"/>
        <v>1289014</v>
      </c>
      <c r="X71" s="391">
        <f t="shared" si="23"/>
        <v>143072.84000000003</v>
      </c>
    </row>
    <row r="72" spans="1:24" x14ac:dyDescent="0.2">
      <c r="A72" s="286"/>
      <c r="B72" s="298" t="s">
        <v>121</v>
      </c>
      <c r="C72" s="302">
        <v>1357</v>
      </c>
      <c r="D72" s="363">
        <v>1107069</v>
      </c>
      <c r="E72" s="363">
        <v>853427</v>
      </c>
      <c r="F72" s="363">
        <v>253642</v>
      </c>
      <c r="G72" s="363">
        <v>110944.61</v>
      </c>
      <c r="H72" s="302"/>
      <c r="I72" s="302"/>
      <c r="J72" s="302">
        <v>19012</v>
      </c>
      <c r="K72" s="302">
        <v>237.87</v>
      </c>
      <c r="L72" s="302">
        <v>-8033.53</v>
      </c>
      <c r="M72" s="302"/>
      <c r="N72" s="302">
        <v>12423.54</v>
      </c>
      <c r="O72" s="302">
        <v>7184.27</v>
      </c>
      <c r="P72" s="302">
        <v>51272</v>
      </c>
      <c r="Q72" s="307">
        <v>493</v>
      </c>
      <c r="R72" s="362"/>
      <c r="T72" s="305">
        <f t="shared" si="24"/>
        <v>1357</v>
      </c>
      <c r="U72" s="305">
        <f t="shared" si="25"/>
        <v>1107069</v>
      </c>
      <c r="X72" s="391">
        <f t="shared" si="23"/>
        <v>122160.95</v>
      </c>
    </row>
    <row r="73" spans="1:24" x14ac:dyDescent="0.2">
      <c r="A73" s="286"/>
      <c r="B73" s="298" t="s">
        <v>122</v>
      </c>
      <c r="C73" s="302">
        <v>1358</v>
      </c>
      <c r="D73" s="363">
        <v>1123362</v>
      </c>
      <c r="E73" s="363">
        <v>895618</v>
      </c>
      <c r="F73" s="363">
        <v>227744</v>
      </c>
      <c r="G73" s="363">
        <v>112622.32</v>
      </c>
      <c r="H73" s="302"/>
      <c r="I73" s="302"/>
      <c r="J73" s="302">
        <v>19012</v>
      </c>
      <c r="K73" s="302">
        <v>239.49</v>
      </c>
      <c r="L73" s="302">
        <v>-7791.04</v>
      </c>
      <c r="M73" s="302"/>
      <c r="N73" s="302">
        <v>13077.34</v>
      </c>
      <c r="O73" s="302">
        <v>7174.64</v>
      </c>
      <c r="P73" s="302">
        <v>51412</v>
      </c>
      <c r="Q73" s="307">
        <v>491</v>
      </c>
      <c r="R73" s="362"/>
      <c r="T73" s="305">
        <f t="shared" si="24"/>
        <v>1358</v>
      </c>
      <c r="U73" s="305">
        <f t="shared" si="25"/>
        <v>1123362</v>
      </c>
      <c r="X73" s="391">
        <f t="shared" si="23"/>
        <v>124082.77</v>
      </c>
    </row>
    <row r="74" spans="1:24" x14ac:dyDescent="0.2">
      <c r="A74" s="286"/>
      <c r="B74" s="298" t="s">
        <v>123</v>
      </c>
      <c r="C74" s="302">
        <v>1358</v>
      </c>
      <c r="D74" s="363">
        <v>1293869</v>
      </c>
      <c r="E74" s="363">
        <v>994340</v>
      </c>
      <c r="F74" s="363">
        <v>299529</v>
      </c>
      <c r="G74" s="363">
        <v>130953.78</v>
      </c>
      <c r="H74" s="302"/>
      <c r="I74" s="302"/>
      <c r="J74" s="302">
        <v>19012</v>
      </c>
      <c r="K74" s="302">
        <v>163.13999999999999</v>
      </c>
      <c r="L74" s="302">
        <v>-7495.13</v>
      </c>
      <c r="M74" s="302"/>
      <c r="N74" s="302">
        <v>16028.63</v>
      </c>
      <c r="O74" s="302">
        <v>7231.27</v>
      </c>
      <c r="P74" s="302">
        <v>51362</v>
      </c>
      <c r="Q74" s="307">
        <v>496</v>
      </c>
      <c r="R74" s="362"/>
      <c r="T74" s="305">
        <f t="shared" si="24"/>
        <v>1358</v>
      </c>
      <c r="U74" s="305">
        <f t="shared" si="25"/>
        <v>1293869</v>
      </c>
      <c r="X74" s="391">
        <f t="shared" si="23"/>
        <v>142633.79</v>
      </c>
    </row>
    <row r="75" spans="1:24" x14ac:dyDescent="0.2">
      <c r="A75" s="285"/>
      <c r="B75" s="301" t="s">
        <v>84</v>
      </c>
      <c r="C75" s="303">
        <f>SUM(C63:C74)</f>
        <v>16119</v>
      </c>
      <c r="D75" s="303">
        <f>SUM(D63:D74)</f>
        <v>14497102</v>
      </c>
      <c r="E75" s="303">
        <f>SUM(E63:E74)</f>
        <v>10874517</v>
      </c>
      <c r="F75" s="303">
        <f>SUM(F63:F74)</f>
        <v>3622586</v>
      </c>
      <c r="G75" s="303">
        <f>SUM(G63:G74)</f>
        <v>1451442.53</v>
      </c>
      <c r="H75" s="303"/>
      <c r="I75" s="303"/>
      <c r="J75" s="303">
        <f t="shared" ref="J75:Q75" si="26">SUM(J63:J74)</f>
        <v>225680</v>
      </c>
      <c r="K75" s="303">
        <f>SUM(K63:K74)</f>
        <v>2699.48</v>
      </c>
      <c r="L75" s="303">
        <f t="shared" si="26"/>
        <v>-64763.219999999994</v>
      </c>
      <c r="M75" s="303"/>
      <c r="N75" s="303">
        <f t="shared" si="26"/>
        <v>163281.91999999998</v>
      </c>
      <c r="O75" s="303">
        <f t="shared" si="26"/>
        <v>85056.13</v>
      </c>
      <c r="P75" s="303">
        <f t="shared" si="26"/>
        <v>610406</v>
      </c>
      <c r="Q75" s="306">
        <f t="shared" si="26"/>
        <v>5872</v>
      </c>
      <c r="R75" s="362"/>
      <c r="T75" s="366">
        <f t="shared" si="24"/>
        <v>16119</v>
      </c>
      <c r="U75" s="366">
        <f t="shared" si="25"/>
        <v>14497102</v>
      </c>
      <c r="V75" s="305"/>
      <c r="W75" s="305"/>
      <c r="X75" s="366">
        <f>SUM(X63:X74)</f>
        <v>1615058.79</v>
      </c>
    </row>
    <row r="76" spans="1:24" x14ac:dyDescent="0.2">
      <c r="T76" s="387">
        <f>T75/12</f>
        <v>1343.25</v>
      </c>
    </row>
    <row r="77" spans="1:24" x14ac:dyDescent="0.2">
      <c r="A77" s="286"/>
      <c r="B77" s="304"/>
      <c r="C77" s="302"/>
      <c r="D77" s="302"/>
      <c r="E77" s="302"/>
      <c r="F77" s="302"/>
      <c r="G77" s="302"/>
      <c r="H77" s="302"/>
      <c r="I77" s="368" t="s">
        <v>157</v>
      </c>
      <c r="J77" s="286" t="s">
        <v>157</v>
      </c>
      <c r="K77" s="286" t="s">
        <v>158</v>
      </c>
      <c r="L77" s="292" t="s">
        <v>158</v>
      </c>
      <c r="M77" s="293"/>
      <c r="N77" s="287" t="s">
        <v>158</v>
      </c>
      <c r="O77" s="294" t="s">
        <v>157</v>
      </c>
      <c r="P77" s="294" t="s">
        <v>157</v>
      </c>
      <c r="Q77" s="294"/>
      <c r="R77" s="362"/>
    </row>
    <row r="78" spans="1:24" x14ac:dyDescent="0.2">
      <c r="A78" s="286"/>
      <c r="B78" s="285">
        <v>2019</v>
      </c>
      <c r="C78" s="285" t="s">
        <v>182</v>
      </c>
      <c r="D78" s="285"/>
      <c r="E78" s="285" t="s">
        <v>183</v>
      </c>
      <c r="F78" s="285" t="s">
        <v>184</v>
      </c>
      <c r="G78" s="285" t="s">
        <v>127</v>
      </c>
      <c r="H78" s="285"/>
      <c r="I78" s="369" t="s">
        <v>161</v>
      </c>
      <c r="J78" s="285" t="s">
        <v>109</v>
      </c>
      <c r="K78" s="285" t="s">
        <v>162</v>
      </c>
      <c r="L78" s="296" t="s">
        <v>163</v>
      </c>
      <c r="M78" s="297"/>
      <c r="N78" s="294" t="s">
        <v>164</v>
      </c>
      <c r="O78" s="294" t="s">
        <v>165</v>
      </c>
      <c r="P78" s="294" t="s">
        <v>166</v>
      </c>
      <c r="Q78" s="294" t="s">
        <v>165</v>
      </c>
      <c r="R78" s="362"/>
      <c r="V78" s="375">
        <v>4.22</v>
      </c>
      <c r="X78" s="224" t="s">
        <v>65</v>
      </c>
    </row>
    <row r="79" spans="1:24" x14ac:dyDescent="0.2">
      <c r="A79" s="292" t="s">
        <v>167</v>
      </c>
      <c r="B79" s="285" t="s">
        <v>168</v>
      </c>
      <c r="C79" s="285" t="s">
        <v>186</v>
      </c>
      <c r="D79" s="285" t="s">
        <v>127</v>
      </c>
      <c r="E79" s="285" t="s">
        <v>8</v>
      </c>
      <c r="F79" s="285" t="s">
        <v>8</v>
      </c>
      <c r="G79" s="285" t="s">
        <v>42</v>
      </c>
      <c r="H79" s="285"/>
      <c r="I79" s="369" t="s">
        <v>42</v>
      </c>
      <c r="J79" s="285" t="s">
        <v>187</v>
      </c>
      <c r="K79" s="285" t="s">
        <v>172</v>
      </c>
      <c r="L79" s="296" t="s">
        <v>42</v>
      </c>
      <c r="M79" s="297"/>
      <c r="N79" s="294" t="s">
        <v>187</v>
      </c>
      <c r="O79" s="294" t="s">
        <v>42</v>
      </c>
      <c r="P79" s="294" t="s">
        <v>127</v>
      </c>
      <c r="Q79" s="294" t="s">
        <v>173</v>
      </c>
      <c r="R79" s="362"/>
      <c r="S79" s="347" t="s">
        <v>24</v>
      </c>
      <c r="T79" s="347" t="s">
        <v>208</v>
      </c>
      <c r="U79" s="347" t="s">
        <v>127</v>
      </c>
      <c r="V79" s="372" t="s">
        <v>212</v>
      </c>
      <c r="W79" s="347"/>
      <c r="X79" s="224" t="s">
        <v>221</v>
      </c>
    </row>
    <row r="80" spans="1:24" x14ac:dyDescent="0.2">
      <c r="A80" s="292" t="s">
        <v>134</v>
      </c>
      <c r="B80" s="298" t="s">
        <v>116</v>
      </c>
      <c r="C80" s="304">
        <v>166</v>
      </c>
      <c r="D80" s="363">
        <v>832128</v>
      </c>
      <c r="E80" s="363">
        <v>72530</v>
      </c>
      <c r="F80" s="363">
        <v>759598</v>
      </c>
      <c r="G80" s="363">
        <v>85675.92</v>
      </c>
      <c r="H80" s="302"/>
      <c r="I80" s="370">
        <v>12401.83</v>
      </c>
      <c r="J80" s="302">
        <v>4216.75</v>
      </c>
      <c r="K80" s="302">
        <v>2542.52</v>
      </c>
      <c r="L80" s="302">
        <v>725.65</v>
      </c>
      <c r="M80" s="302"/>
      <c r="N80" s="302">
        <v>10216.02</v>
      </c>
      <c r="O80" s="302">
        <v>2132.2600000000002</v>
      </c>
      <c r="P80" s="302">
        <v>15566</v>
      </c>
      <c r="Q80" s="302">
        <v>134</v>
      </c>
      <c r="R80" s="362"/>
      <c r="S80" s="365">
        <f>J80/C80</f>
        <v>25.402108433734941</v>
      </c>
      <c r="T80">
        <f>C80</f>
        <v>166</v>
      </c>
      <c r="U80" s="305">
        <f>D80</f>
        <v>832128</v>
      </c>
      <c r="V80" s="373">
        <f>I80/V$78</f>
        <v>2938.8222748815169</v>
      </c>
      <c r="X80" s="391">
        <f t="shared" ref="X80:X91" si="27">G80+I80+J80+K80+L80</f>
        <v>105562.67</v>
      </c>
    </row>
    <row r="81" spans="1:24" x14ac:dyDescent="0.2">
      <c r="A81" s="286"/>
      <c r="B81" s="298" t="s">
        <v>117</v>
      </c>
      <c r="C81" s="304">
        <v>168</v>
      </c>
      <c r="D81" s="363">
        <v>844171</v>
      </c>
      <c r="E81" s="363">
        <v>328424</v>
      </c>
      <c r="F81" s="363">
        <v>515747</v>
      </c>
      <c r="G81" s="363">
        <v>85020.19</v>
      </c>
      <c r="H81" s="302"/>
      <c r="I81" s="370">
        <v>13400.62</v>
      </c>
      <c r="J81" s="302">
        <v>4242</v>
      </c>
      <c r="K81" s="302">
        <v>2074.0500000000002</v>
      </c>
      <c r="L81" s="302">
        <v>-4185.87</v>
      </c>
      <c r="M81" s="302"/>
      <c r="N81" s="302">
        <v>8784.6299999999992</v>
      </c>
      <c r="O81" s="302">
        <v>2270.9</v>
      </c>
      <c r="P81" s="302">
        <v>16476</v>
      </c>
      <c r="Q81" s="302">
        <v>142</v>
      </c>
      <c r="R81" s="362"/>
      <c r="S81" s="365">
        <f t="shared" ref="S81:S91" si="28">J81/C81</f>
        <v>25.25</v>
      </c>
      <c r="T81">
        <f t="shared" ref="T81:T92" si="29">C81</f>
        <v>168</v>
      </c>
      <c r="U81" s="305">
        <f t="shared" ref="U81:U92" si="30">D81</f>
        <v>844171</v>
      </c>
      <c r="V81" s="373">
        <f t="shared" ref="V81:V91" si="31">I81/V$78</f>
        <v>3175.502369668247</v>
      </c>
      <c r="X81" s="391">
        <f t="shared" si="27"/>
        <v>100550.99</v>
      </c>
    </row>
    <row r="82" spans="1:24" x14ac:dyDescent="0.2">
      <c r="A82" s="286"/>
      <c r="B82" s="298" t="s">
        <v>118</v>
      </c>
      <c r="C82" s="304">
        <v>167</v>
      </c>
      <c r="D82" s="363">
        <v>725442</v>
      </c>
      <c r="E82" s="363">
        <v>306688</v>
      </c>
      <c r="F82" s="363">
        <v>418754</v>
      </c>
      <c r="G82" s="363">
        <v>72367.600000000006</v>
      </c>
      <c r="H82" s="302"/>
      <c r="I82" s="370">
        <v>12902.7</v>
      </c>
      <c r="J82" s="302">
        <v>4216.75</v>
      </c>
      <c r="K82" s="302">
        <v>2382.5</v>
      </c>
      <c r="L82" s="302">
        <v>-2680.56</v>
      </c>
      <c r="M82" s="302"/>
      <c r="N82" s="302">
        <v>6087.27</v>
      </c>
      <c r="O82" s="302">
        <v>2387.1999999999998</v>
      </c>
      <c r="P82" s="302">
        <v>17386</v>
      </c>
      <c r="Q82" s="302">
        <v>151</v>
      </c>
      <c r="R82" s="362"/>
      <c r="S82" s="365">
        <f t="shared" si="28"/>
        <v>25.25</v>
      </c>
      <c r="T82">
        <f t="shared" si="29"/>
        <v>167</v>
      </c>
      <c r="U82" s="305">
        <f t="shared" si="30"/>
        <v>725442</v>
      </c>
      <c r="V82" s="373">
        <f t="shared" si="31"/>
        <v>3057.5118483412325</v>
      </c>
      <c r="X82" s="391">
        <f t="shared" si="27"/>
        <v>89188.99</v>
      </c>
    </row>
    <row r="83" spans="1:24" x14ac:dyDescent="0.2">
      <c r="A83" s="286"/>
      <c r="B83" s="298" t="s">
        <v>174</v>
      </c>
      <c r="C83" s="304">
        <v>168</v>
      </c>
      <c r="D83" s="363">
        <v>756834</v>
      </c>
      <c r="E83" s="363">
        <v>297080</v>
      </c>
      <c r="F83" s="363">
        <v>459754</v>
      </c>
      <c r="G83" s="363">
        <v>75291.06</v>
      </c>
      <c r="H83" s="302"/>
      <c r="I83" s="370">
        <v>12810.57</v>
      </c>
      <c r="J83" s="302">
        <v>4216.75</v>
      </c>
      <c r="K83" s="302">
        <v>2455.5100000000002</v>
      </c>
      <c r="L83" s="302">
        <v>-3458.79</v>
      </c>
      <c r="M83" s="302"/>
      <c r="N83" s="302">
        <v>6188.57</v>
      </c>
      <c r="O83" s="302">
        <v>2387.1999999999998</v>
      </c>
      <c r="P83" s="302">
        <v>17386</v>
      </c>
      <c r="Q83" s="302">
        <v>151</v>
      </c>
      <c r="R83" s="362"/>
      <c r="S83" s="365">
        <f t="shared" si="28"/>
        <v>25.09970238095238</v>
      </c>
      <c r="T83">
        <f t="shared" si="29"/>
        <v>168</v>
      </c>
      <c r="U83" s="305">
        <f t="shared" si="30"/>
        <v>756834</v>
      </c>
      <c r="V83" s="373">
        <f t="shared" si="31"/>
        <v>3035.68009478673</v>
      </c>
      <c r="X83" s="391">
        <f t="shared" si="27"/>
        <v>91315.1</v>
      </c>
    </row>
    <row r="84" spans="1:24" x14ac:dyDescent="0.2">
      <c r="A84" s="286"/>
      <c r="B84" s="298" t="s">
        <v>119</v>
      </c>
      <c r="C84" s="304">
        <v>171</v>
      </c>
      <c r="D84" s="363">
        <v>836029</v>
      </c>
      <c r="E84" s="363">
        <v>300344</v>
      </c>
      <c r="F84" s="363">
        <v>535685</v>
      </c>
      <c r="G84" s="363">
        <v>84232.01</v>
      </c>
      <c r="H84" s="302"/>
      <c r="I84" s="370">
        <v>13030.84</v>
      </c>
      <c r="J84" s="302">
        <v>4242</v>
      </c>
      <c r="K84" s="302">
        <v>2843.91</v>
      </c>
      <c r="L84" s="302">
        <v>-2873.88</v>
      </c>
      <c r="M84" s="302"/>
      <c r="N84" s="302">
        <v>8288.65</v>
      </c>
      <c r="O84" s="302">
        <v>2638.68</v>
      </c>
      <c r="P84" s="302">
        <v>19248</v>
      </c>
      <c r="Q84" s="302">
        <v>166</v>
      </c>
      <c r="R84" s="362"/>
      <c r="S84" s="365">
        <f t="shared" si="28"/>
        <v>24.807017543859651</v>
      </c>
      <c r="T84">
        <f t="shared" si="29"/>
        <v>171</v>
      </c>
      <c r="U84" s="305">
        <f t="shared" si="30"/>
        <v>836029</v>
      </c>
      <c r="V84" s="373">
        <f t="shared" si="31"/>
        <v>3087.8767772511851</v>
      </c>
      <c r="X84" s="391">
        <f t="shared" si="27"/>
        <v>101474.87999999999</v>
      </c>
    </row>
    <row r="85" spans="1:24" x14ac:dyDescent="0.2">
      <c r="A85" s="286"/>
      <c r="B85" s="298" t="s">
        <v>175</v>
      </c>
      <c r="C85" s="304">
        <v>173</v>
      </c>
      <c r="D85" s="363">
        <v>916662</v>
      </c>
      <c r="E85" s="363">
        <v>314703</v>
      </c>
      <c r="F85" s="363">
        <v>601959</v>
      </c>
      <c r="G85" s="363">
        <v>92529.4</v>
      </c>
      <c r="H85" s="302"/>
      <c r="I85" s="370">
        <v>13952.64</v>
      </c>
      <c r="J85" s="302">
        <v>4343</v>
      </c>
      <c r="K85" s="302">
        <v>2625.09</v>
      </c>
      <c r="L85" s="302">
        <v>-3492.71</v>
      </c>
      <c r="M85" s="302"/>
      <c r="N85" s="302">
        <v>9277.51</v>
      </c>
      <c r="O85" s="302">
        <v>2638.68</v>
      </c>
      <c r="P85" s="302">
        <v>19248</v>
      </c>
      <c r="Q85" s="302">
        <v>166</v>
      </c>
      <c r="R85" s="362"/>
      <c r="S85" s="365">
        <f t="shared" si="28"/>
        <v>25.104046242774565</v>
      </c>
      <c r="T85">
        <f t="shared" si="29"/>
        <v>173</v>
      </c>
      <c r="U85" s="305">
        <f t="shared" si="30"/>
        <v>916662</v>
      </c>
      <c r="V85" s="373">
        <f t="shared" si="31"/>
        <v>3306.3127962085309</v>
      </c>
      <c r="X85" s="391">
        <f t="shared" si="27"/>
        <v>109957.41999999998</v>
      </c>
    </row>
    <row r="86" spans="1:24" x14ac:dyDescent="0.2">
      <c r="A86" s="286"/>
      <c r="B86" s="298" t="s">
        <v>176</v>
      </c>
      <c r="C86" s="304">
        <v>175</v>
      </c>
      <c r="D86" s="363">
        <v>969632</v>
      </c>
      <c r="E86" s="363">
        <v>310383</v>
      </c>
      <c r="F86" s="363">
        <v>659249</v>
      </c>
      <c r="G86" s="363">
        <v>102236.01</v>
      </c>
      <c r="H86" s="302"/>
      <c r="I86" s="370">
        <v>14095.31</v>
      </c>
      <c r="J86" s="302">
        <v>4393.5</v>
      </c>
      <c r="K86" s="302">
        <v>4545.21</v>
      </c>
      <c r="L86" s="302">
        <v>-3560.25</v>
      </c>
      <c r="M86" s="302"/>
      <c r="N86" s="302">
        <v>12083.2</v>
      </c>
      <c r="O86" s="302">
        <v>2638.68</v>
      </c>
      <c r="P86" s="302">
        <v>19248</v>
      </c>
      <c r="Q86" s="302">
        <v>166</v>
      </c>
      <c r="R86" s="362"/>
      <c r="S86" s="365">
        <f t="shared" si="28"/>
        <v>25.105714285714285</v>
      </c>
      <c r="T86">
        <f t="shared" si="29"/>
        <v>175</v>
      </c>
      <c r="U86" s="305">
        <f t="shared" si="30"/>
        <v>969632</v>
      </c>
      <c r="V86" s="373">
        <f t="shared" si="31"/>
        <v>3340.1208530805688</v>
      </c>
      <c r="X86" s="391">
        <f t="shared" si="27"/>
        <v>121709.78</v>
      </c>
    </row>
    <row r="87" spans="1:24" x14ac:dyDescent="0.2">
      <c r="A87" s="286"/>
      <c r="B87" s="298" t="s">
        <v>120</v>
      </c>
      <c r="C87" s="304">
        <v>168</v>
      </c>
      <c r="D87" s="363">
        <v>980920</v>
      </c>
      <c r="E87" s="363">
        <v>302693</v>
      </c>
      <c r="F87" s="363">
        <v>678227</v>
      </c>
      <c r="G87" s="363">
        <v>101089.41</v>
      </c>
      <c r="H87" s="302"/>
      <c r="I87" s="370">
        <v>13795.23</v>
      </c>
      <c r="J87" s="302">
        <v>4267.25</v>
      </c>
      <c r="K87" s="302">
        <v>3371.18</v>
      </c>
      <c r="L87" s="302">
        <v>-4651.76</v>
      </c>
      <c r="M87" s="302"/>
      <c r="N87" s="302">
        <v>11779.33</v>
      </c>
      <c r="O87" s="302">
        <v>2636.3</v>
      </c>
      <c r="P87" s="302">
        <v>19164</v>
      </c>
      <c r="Q87" s="302">
        <v>166</v>
      </c>
      <c r="R87" s="362"/>
      <c r="S87" s="365">
        <f t="shared" si="28"/>
        <v>25.40029761904762</v>
      </c>
      <c r="T87">
        <f t="shared" si="29"/>
        <v>168</v>
      </c>
      <c r="U87" s="305">
        <f t="shared" si="30"/>
        <v>980920</v>
      </c>
      <c r="V87" s="373">
        <f t="shared" si="31"/>
        <v>3269.0118483412325</v>
      </c>
      <c r="X87" s="391">
        <f t="shared" si="27"/>
        <v>117871.31</v>
      </c>
    </row>
    <row r="88" spans="1:24" x14ac:dyDescent="0.2">
      <c r="A88" s="286"/>
      <c r="B88" s="298" t="s">
        <v>177</v>
      </c>
      <c r="C88" s="304">
        <v>167</v>
      </c>
      <c r="D88" s="363">
        <v>876179</v>
      </c>
      <c r="E88" s="363">
        <v>296873</v>
      </c>
      <c r="F88" s="363">
        <v>579306</v>
      </c>
      <c r="G88" s="363">
        <v>91911.6</v>
      </c>
      <c r="H88" s="302"/>
      <c r="I88" s="370">
        <v>13379.78</v>
      </c>
      <c r="J88" s="302">
        <v>4242</v>
      </c>
      <c r="K88" s="302">
        <v>4128.37</v>
      </c>
      <c r="L88" s="302">
        <v>-4799.05</v>
      </c>
      <c r="M88" s="302"/>
      <c r="N88" s="302">
        <v>11204.77</v>
      </c>
      <c r="O88" s="302">
        <v>2669.22</v>
      </c>
      <c r="P88" s="302">
        <v>19360</v>
      </c>
      <c r="Q88" s="302">
        <v>168</v>
      </c>
      <c r="R88" s="362"/>
      <c r="S88" s="365">
        <f t="shared" si="28"/>
        <v>25.401197604790418</v>
      </c>
      <c r="T88">
        <f t="shared" si="29"/>
        <v>167</v>
      </c>
      <c r="U88" s="305">
        <f t="shared" si="30"/>
        <v>876179</v>
      </c>
      <c r="V88" s="373">
        <f t="shared" si="31"/>
        <v>3170.5639810426542</v>
      </c>
      <c r="X88" s="391">
        <f t="shared" si="27"/>
        <v>108862.7</v>
      </c>
    </row>
    <row r="89" spans="1:24" x14ac:dyDescent="0.2">
      <c r="A89" s="286"/>
      <c r="B89" s="298" t="s">
        <v>121</v>
      </c>
      <c r="C89" s="304">
        <v>165</v>
      </c>
      <c r="D89" s="363">
        <v>739713</v>
      </c>
      <c r="E89" s="363">
        <v>291462</v>
      </c>
      <c r="F89" s="363">
        <v>448251</v>
      </c>
      <c r="G89" s="363">
        <v>76881.72</v>
      </c>
      <c r="H89" s="302"/>
      <c r="I89" s="370">
        <v>13113.67</v>
      </c>
      <c r="J89" s="302">
        <v>4216.75</v>
      </c>
      <c r="K89" s="302">
        <v>3771.63</v>
      </c>
      <c r="L89" s="302">
        <v>-5271.37</v>
      </c>
      <c r="M89" s="302"/>
      <c r="N89" s="302">
        <v>8516.52</v>
      </c>
      <c r="O89" s="302">
        <v>2563.3200000000002</v>
      </c>
      <c r="P89" s="302">
        <v>18520</v>
      </c>
      <c r="Q89" s="302">
        <v>162</v>
      </c>
      <c r="R89" s="362"/>
      <c r="S89" s="365">
        <f t="shared" si="28"/>
        <v>25.556060606060605</v>
      </c>
      <c r="T89">
        <f t="shared" si="29"/>
        <v>165</v>
      </c>
      <c r="U89" s="305">
        <f t="shared" si="30"/>
        <v>739713</v>
      </c>
      <c r="V89" s="373">
        <f t="shared" si="31"/>
        <v>3107.504739336493</v>
      </c>
      <c r="X89" s="391">
        <f t="shared" si="27"/>
        <v>92712.400000000009</v>
      </c>
    </row>
    <row r="90" spans="1:24" x14ac:dyDescent="0.2">
      <c r="A90" s="286"/>
      <c r="B90" s="298" t="s">
        <v>122</v>
      </c>
      <c r="C90" s="304">
        <v>165</v>
      </c>
      <c r="D90" s="363">
        <v>706485</v>
      </c>
      <c r="E90" s="363">
        <v>300442</v>
      </c>
      <c r="F90" s="363">
        <v>406073</v>
      </c>
      <c r="G90" s="363">
        <v>73906.69</v>
      </c>
      <c r="H90" s="302"/>
      <c r="I90" s="370">
        <v>11948.29</v>
      </c>
      <c r="J90" s="302">
        <v>4166.25</v>
      </c>
      <c r="K90" s="302">
        <v>3466.29</v>
      </c>
      <c r="L90" s="302">
        <v>-4775.78</v>
      </c>
      <c r="M90" s="302"/>
      <c r="N90" s="302">
        <v>8668.73</v>
      </c>
      <c r="O90" s="302">
        <v>1927.92</v>
      </c>
      <c r="P90" s="302">
        <v>13480</v>
      </c>
      <c r="Q90" s="302">
        <v>126</v>
      </c>
      <c r="R90" s="362"/>
      <c r="S90" s="365">
        <f t="shared" si="28"/>
        <v>25.25</v>
      </c>
      <c r="T90">
        <f t="shared" si="29"/>
        <v>165</v>
      </c>
      <c r="U90" s="305">
        <f t="shared" si="30"/>
        <v>706485</v>
      </c>
      <c r="V90" s="373">
        <f t="shared" si="31"/>
        <v>2831.348341232228</v>
      </c>
      <c r="X90" s="391">
        <f t="shared" si="27"/>
        <v>88711.74</v>
      </c>
    </row>
    <row r="91" spans="1:24" x14ac:dyDescent="0.2">
      <c r="A91" s="286"/>
      <c r="B91" s="298" t="s">
        <v>123</v>
      </c>
      <c r="C91" s="304">
        <v>164</v>
      </c>
      <c r="D91" s="363">
        <v>708331</v>
      </c>
      <c r="E91" s="363">
        <v>304074</v>
      </c>
      <c r="F91" s="363">
        <v>404257</v>
      </c>
      <c r="G91" s="363">
        <v>74188.289999999994</v>
      </c>
      <c r="H91" s="302"/>
      <c r="I91" s="370">
        <v>11287.24</v>
      </c>
      <c r="J91" s="302">
        <v>4141</v>
      </c>
      <c r="K91" s="302">
        <v>2865.82</v>
      </c>
      <c r="L91" s="302">
        <v>-4021.75</v>
      </c>
      <c r="M91" s="302"/>
      <c r="N91" s="302">
        <v>9379.18</v>
      </c>
      <c r="O91" s="302">
        <v>1927.92</v>
      </c>
      <c r="P91" s="302">
        <v>13480</v>
      </c>
      <c r="Q91" s="302">
        <v>126</v>
      </c>
      <c r="R91" s="362"/>
      <c r="S91" s="365">
        <f t="shared" si="28"/>
        <v>25.25</v>
      </c>
      <c r="T91">
        <f t="shared" si="29"/>
        <v>164</v>
      </c>
      <c r="U91" s="305">
        <f t="shared" si="30"/>
        <v>708331</v>
      </c>
      <c r="V91" s="373">
        <f t="shared" si="31"/>
        <v>2674.7014218009481</v>
      </c>
      <c r="X91" s="391">
        <f t="shared" si="27"/>
        <v>88460.6</v>
      </c>
    </row>
    <row r="92" spans="1:24" x14ac:dyDescent="0.2">
      <c r="A92" s="285"/>
      <c r="B92" s="301" t="s">
        <v>84</v>
      </c>
      <c r="C92" s="303">
        <f t="shared" ref="C92:Q92" si="32">SUM(C80:C91)</f>
        <v>2017</v>
      </c>
      <c r="D92" s="303">
        <f t="shared" si="32"/>
        <v>9892526</v>
      </c>
      <c r="E92" s="303">
        <f t="shared" si="32"/>
        <v>3425696</v>
      </c>
      <c r="F92" s="303">
        <f t="shared" si="32"/>
        <v>6466860</v>
      </c>
      <c r="G92" s="303">
        <f t="shared" si="32"/>
        <v>1015329.9000000001</v>
      </c>
      <c r="H92" s="303"/>
      <c r="I92" s="371">
        <f t="shared" si="32"/>
        <v>156118.72</v>
      </c>
      <c r="J92" s="303">
        <f t="shared" si="32"/>
        <v>50904</v>
      </c>
      <c r="K92" s="302">
        <f t="shared" si="32"/>
        <v>37072.080000000002</v>
      </c>
      <c r="L92" s="303">
        <f t="shared" si="32"/>
        <v>-43046.119999999995</v>
      </c>
      <c r="M92" s="303"/>
      <c r="N92" s="303">
        <f t="shared" si="32"/>
        <v>110474.38</v>
      </c>
      <c r="O92" s="303">
        <f t="shared" si="32"/>
        <v>28818.28</v>
      </c>
      <c r="P92" s="303">
        <f t="shared" si="32"/>
        <v>208562</v>
      </c>
      <c r="Q92" s="306">
        <f t="shared" si="32"/>
        <v>1824</v>
      </c>
      <c r="R92" s="362"/>
      <c r="T92" s="367">
        <f t="shared" si="29"/>
        <v>2017</v>
      </c>
      <c r="U92" s="366">
        <f t="shared" si="30"/>
        <v>9892526</v>
      </c>
      <c r="V92" s="374">
        <f>SUM(V80:V91)</f>
        <v>36994.957345971576</v>
      </c>
      <c r="W92" s="305"/>
      <c r="X92" s="366">
        <f>SUM(X80:X91)</f>
        <v>1216378.5800000003</v>
      </c>
    </row>
    <row r="93" spans="1:24" x14ac:dyDescent="0.2">
      <c r="T93" s="387">
        <f>T92/12</f>
        <v>168.08333333333334</v>
      </c>
    </row>
    <row r="95" spans="1:24" x14ac:dyDescent="0.2">
      <c r="L95" s="292" t="s">
        <v>158</v>
      </c>
      <c r="M95" s="308"/>
    </row>
    <row r="96" spans="1:24" x14ac:dyDescent="0.2">
      <c r="A96" s="285"/>
      <c r="B96" s="285">
        <v>2019</v>
      </c>
      <c r="C96" s="285" t="s">
        <v>159</v>
      </c>
      <c r="D96" s="285"/>
      <c r="E96" s="285" t="s">
        <v>188</v>
      </c>
      <c r="F96" s="285" t="s">
        <v>189</v>
      </c>
      <c r="G96" s="285" t="s">
        <v>190</v>
      </c>
      <c r="H96" s="285" t="s">
        <v>127</v>
      </c>
      <c r="I96" s="285" t="s">
        <v>161</v>
      </c>
      <c r="J96" s="285" t="s">
        <v>109</v>
      </c>
      <c r="K96" s="285" t="s">
        <v>162</v>
      </c>
      <c r="L96" s="296" t="s">
        <v>163</v>
      </c>
      <c r="M96" s="297"/>
      <c r="N96" s="294" t="s">
        <v>164</v>
      </c>
      <c r="O96" s="294" t="s">
        <v>165</v>
      </c>
      <c r="P96" s="294" t="s">
        <v>166</v>
      </c>
      <c r="Q96" s="294" t="s">
        <v>165</v>
      </c>
      <c r="R96" s="362"/>
      <c r="X96" s="224" t="s">
        <v>65</v>
      </c>
    </row>
    <row r="97" spans="1:24" x14ac:dyDescent="0.2">
      <c r="A97" s="292" t="s">
        <v>167</v>
      </c>
      <c r="B97" s="285" t="s">
        <v>168</v>
      </c>
      <c r="C97" s="285" t="s">
        <v>169</v>
      </c>
      <c r="D97" s="285" t="s">
        <v>127</v>
      </c>
      <c r="E97" s="285" t="s">
        <v>8</v>
      </c>
      <c r="F97" s="285" t="s">
        <v>8</v>
      </c>
      <c r="G97" s="285" t="s">
        <v>8</v>
      </c>
      <c r="H97" s="285" t="s">
        <v>42</v>
      </c>
      <c r="I97" s="285" t="s">
        <v>42</v>
      </c>
      <c r="J97" s="285" t="s">
        <v>187</v>
      </c>
      <c r="K97" s="285" t="s">
        <v>172</v>
      </c>
      <c r="L97" s="296" t="s">
        <v>42</v>
      </c>
      <c r="M97" s="297"/>
      <c r="N97" s="294" t="s">
        <v>187</v>
      </c>
      <c r="O97" s="294" t="s">
        <v>42</v>
      </c>
      <c r="P97" s="294" t="s">
        <v>127</v>
      </c>
      <c r="Q97" s="294" t="s">
        <v>173</v>
      </c>
      <c r="R97" s="362"/>
      <c r="T97" s="347" t="s">
        <v>208</v>
      </c>
      <c r="U97" s="347" t="s">
        <v>127</v>
      </c>
      <c r="X97" s="224" t="s">
        <v>221</v>
      </c>
    </row>
    <row r="98" spans="1:24" x14ac:dyDescent="0.2">
      <c r="A98" s="292" t="s">
        <v>137</v>
      </c>
      <c r="B98" s="298" t="s">
        <v>116</v>
      </c>
      <c r="C98" s="302">
        <v>23</v>
      </c>
      <c r="D98" s="363">
        <v>1018</v>
      </c>
      <c r="E98" s="363">
        <v>826</v>
      </c>
      <c r="F98" s="363">
        <v>192</v>
      </c>
      <c r="G98" s="363">
        <v>0</v>
      </c>
      <c r="H98" s="363">
        <v>134.38999999999999</v>
      </c>
      <c r="I98" s="302"/>
      <c r="J98" s="302">
        <v>227.7</v>
      </c>
      <c r="K98" s="302"/>
      <c r="L98" s="302">
        <v>1.21</v>
      </c>
      <c r="M98" s="302"/>
      <c r="N98" s="302">
        <v>41.33</v>
      </c>
      <c r="O98" s="302">
        <v>84.27</v>
      </c>
      <c r="P98" s="302">
        <v>394</v>
      </c>
      <c r="Q98" s="306">
        <v>7</v>
      </c>
      <c r="R98" s="362"/>
      <c r="T98">
        <f>C98</f>
        <v>23</v>
      </c>
      <c r="U98" s="305">
        <f>D98</f>
        <v>1018</v>
      </c>
      <c r="X98" s="391">
        <f t="shared" ref="X98:X109" si="33">G98+I98+J98+K98+L98</f>
        <v>228.91</v>
      </c>
    </row>
    <row r="99" spans="1:24" x14ac:dyDescent="0.2">
      <c r="A99" s="286"/>
      <c r="B99" s="298" t="s">
        <v>117</v>
      </c>
      <c r="C99" s="302">
        <v>23</v>
      </c>
      <c r="D99" s="363">
        <v>1110</v>
      </c>
      <c r="E99" s="363">
        <v>825</v>
      </c>
      <c r="F99" s="363">
        <v>285</v>
      </c>
      <c r="G99" s="363">
        <v>0</v>
      </c>
      <c r="H99" s="363">
        <v>136.41</v>
      </c>
      <c r="I99" s="302"/>
      <c r="J99" s="302">
        <v>227.7</v>
      </c>
      <c r="K99" s="302"/>
      <c r="L99" s="302">
        <v>-7.33</v>
      </c>
      <c r="M99" s="302"/>
      <c r="N99" s="302">
        <v>35.42</v>
      </c>
      <c r="O99" s="302">
        <v>84.27</v>
      </c>
      <c r="P99" s="302">
        <v>394</v>
      </c>
      <c r="Q99" s="307">
        <v>7</v>
      </c>
      <c r="R99" s="362"/>
      <c r="T99">
        <f t="shared" ref="T99:T110" si="34">C99</f>
        <v>23</v>
      </c>
      <c r="U99" s="305">
        <f t="shared" ref="U99:U110" si="35">D99</f>
        <v>1110</v>
      </c>
      <c r="X99" s="391">
        <f t="shared" si="33"/>
        <v>220.36999999999998</v>
      </c>
    </row>
    <row r="100" spans="1:24" x14ac:dyDescent="0.2">
      <c r="A100" s="286"/>
      <c r="B100" s="298" t="s">
        <v>118</v>
      </c>
      <c r="C100" s="302">
        <v>23</v>
      </c>
      <c r="D100" s="363">
        <v>1008</v>
      </c>
      <c r="E100" s="363">
        <v>823</v>
      </c>
      <c r="F100" s="363">
        <v>185</v>
      </c>
      <c r="G100" s="363">
        <v>0</v>
      </c>
      <c r="H100" s="363">
        <v>117.83</v>
      </c>
      <c r="I100" s="302"/>
      <c r="J100" s="302">
        <v>227.7</v>
      </c>
      <c r="K100" s="302"/>
      <c r="L100" s="302">
        <v>-5.05</v>
      </c>
      <c r="M100" s="302"/>
      <c r="N100" s="302">
        <v>27.08</v>
      </c>
      <c r="O100" s="302">
        <v>84.27</v>
      </c>
      <c r="P100" s="302">
        <v>394</v>
      </c>
      <c r="Q100" s="307">
        <v>7</v>
      </c>
      <c r="R100" s="362"/>
      <c r="T100">
        <f t="shared" si="34"/>
        <v>23</v>
      </c>
      <c r="U100" s="305">
        <f t="shared" si="35"/>
        <v>1008</v>
      </c>
      <c r="X100" s="391">
        <f t="shared" si="33"/>
        <v>222.64999999999998</v>
      </c>
    </row>
    <row r="101" spans="1:24" x14ac:dyDescent="0.2">
      <c r="A101" s="286"/>
      <c r="B101" s="298" t="s">
        <v>174</v>
      </c>
      <c r="C101" s="302">
        <v>22</v>
      </c>
      <c r="D101" s="363">
        <v>804</v>
      </c>
      <c r="E101" s="363">
        <v>775</v>
      </c>
      <c r="F101" s="363">
        <v>29</v>
      </c>
      <c r="G101" s="363">
        <v>0</v>
      </c>
      <c r="H101" s="363">
        <v>97.35</v>
      </c>
      <c r="I101" s="302"/>
      <c r="J101" s="302">
        <v>217.8</v>
      </c>
      <c r="K101" s="302"/>
      <c r="L101" s="302">
        <v>-5.36</v>
      </c>
      <c r="M101" s="302"/>
      <c r="N101" s="302">
        <v>28.09</v>
      </c>
      <c r="O101" s="302">
        <v>84.27</v>
      </c>
      <c r="P101" s="302">
        <v>394</v>
      </c>
      <c r="Q101" s="307">
        <v>7</v>
      </c>
      <c r="R101" s="362"/>
      <c r="T101">
        <f t="shared" si="34"/>
        <v>22</v>
      </c>
      <c r="U101" s="305">
        <f t="shared" si="35"/>
        <v>804</v>
      </c>
      <c r="X101" s="391">
        <f t="shared" si="33"/>
        <v>212.44</v>
      </c>
    </row>
    <row r="102" spans="1:24" x14ac:dyDescent="0.2">
      <c r="A102" s="286"/>
      <c r="B102" s="298" t="s">
        <v>119</v>
      </c>
      <c r="C102" s="302">
        <v>22</v>
      </c>
      <c r="D102" s="363">
        <v>627</v>
      </c>
      <c r="E102" s="363">
        <v>627</v>
      </c>
      <c r="F102" s="363">
        <v>0</v>
      </c>
      <c r="G102" s="363">
        <v>0</v>
      </c>
      <c r="H102" s="363">
        <v>88.52</v>
      </c>
      <c r="I102" s="302"/>
      <c r="J102" s="302">
        <v>217.8</v>
      </c>
      <c r="K102" s="302"/>
      <c r="L102" s="302">
        <v>-3.43</v>
      </c>
      <c r="M102" s="302"/>
      <c r="N102" s="302">
        <v>34.65</v>
      </c>
      <c r="O102" s="302">
        <v>84.27</v>
      </c>
      <c r="P102" s="302">
        <v>394</v>
      </c>
      <c r="Q102" s="307">
        <v>7</v>
      </c>
      <c r="R102" s="362"/>
      <c r="T102">
        <f t="shared" si="34"/>
        <v>22</v>
      </c>
      <c r="U102" s="305">
        <f t="shared" si="35"/>
        <v>627</v>
      </c>
      <c r="X102" s="391">
        <f t="shared" si="33"/>
        <v>214.37</v>
      </c>
    </row>
    <row r="103" spans="1:24" x14ac:dyDescent="0.2">
      <c r="A103" s="286"/>
      <c r="B103" s="298" t="s">
        <v>175</v>
      </c>
      <c r="C103" s="302">
        <v>21</v>
      </c>
      <c r="D103" s="363">
        <v>688</v>
      </c>
      <c r="E103" s="363">
        <v>688</v>
      </c>
      <c r="F103" s="363">
        <v>0</v>
      </c>
      <c r="G103" s="363">
        <v>0</v>
      </c>
      <c r="H103" s="363">
        <v>94.52</v>
      </c>
      <c r="I103" s="302"/>
      <c r="J103" s="302">
        <v>207.9</v>
      </c>
      <c r="K103" s="302"/>
      <c r="L103" s="302">
        <v>-4.03</v>
      </c>
      <c r="M103" s="302"/>
      <c r="N103" s="302">
        <v>35.380000000000003</v>
      </c>
      <c r="O103" s="302">
        <v>84.27</v>
      </c>
      <c r="P103" s="302">
        <v>394</v>
      </c>
      <c r="Q103" s="307">
        <v>7</v>
      </c>
      <c r="R103" s="362"/>
      <c r="T103">
        <f t="shared" si="34"/>
        <v>21</v>
      </c>
      <c r="U103" s="305">
        <f t="shared" si="35"/>
        <v>688</v>
      </c>
      <c r="X103" s="391">
        <f t="shared" si="33"/>
        <v>203.87</v>
      </c>
    </row>
    <row r="104" spans="1:24" x14ac:dyDescent="0.2">
      <c r="A104" s="286"/>
      <c r="B104" s="298" t="s">
        <v>176</v>
      </c>
      <c r="C104" s="302">
        <v>21</v>
      </c>
      <c r="D104" s="363">
        <v>1159</v>
      </c>
      <c r="E104" s="363">
        <v>880</v>
      </c>
      <c r="F104" s="363">
        <v>277</v>
      </c>
      <c r="G104" s="363">
        <v>0</v>
      </c>
      <c r="H104" s="363">
        <v>149.18</v>
      </c>
      <c r="I104" s="302"/>
      <c r="J104" s="302">
        <v>207.9</v>
      </c>
      <c r="K104" s="302"/>
      <c r="L104" s="302">
        <v>-5.59</v>
      </c>
      <c r="M104" s="302"/>
      <c r="N104" s="302">
        <v>48.17</v>
      </c>
      <c r="O104" s="302">
        <v>84.27</v>
      </c>
      <c r="P104" s="302">
        <v>394</v>
      </c>
      <c r="Q104" s="307">
        <v>7</v>
      </c>
      <c r="R104" s="362"/>
      <c r="T104">
        <f t="shared" si="34"/>
        <v>21</v>
      </c>
      <c r="U104" s="305">
        <f t="shared" si="35"/>
        <v>1159</v>
      </c>
      <c r="X104" s="391">
        <f t="shared" si="33"/>
        <v>202.31</v>
      </c>
    </row>
    <row r="105" spans="1:24" x14ac:dyDescent="0.2">
      <c r="A105" s="286"/>
      <c r="B105" s="298" t="s">
        <v>120</v>
      </c>
      <c r="C105" s="302">
        <v>21</v>
      </c>
      <c r="D105" s="363">
        <v>1068</v>
      </c>
      <c r="E105" s="363">
        <v>905</v>
      </c>
      <c r="F105" s="363">
        <v>163</v>
      </c>
      <c r="G105" s="363">
        <v>0</v>
      </c>
      <c r="H105" s="363">
        <v>138.44</v>
      </c>
      <c r="I105" s="302"/>
      <c r="J105" s="302">
        <v>207.9</v>
      </c>
      <c r="K105" s="302"/>
      <c r="L105" s="302">
        <v>-6.81</v>
      </c>
      <c r="M105" s="302"/>
      <c r="N105" s="302">
        <v>45.84</v>
      </c>
      <c r="O105" s="302">
        <v>84.27</v>
      </c>
      <c r="P105" s="302">
        <v>394</v>
      </c>
      <c r="Q105" s="307">
        <v>7</v>
      </c>
      <c r="R105" s="362"/>
      <c r="T105">
        <f t="shared" si="34"/>
        <v>21</v>
      </c>
      <c r="U105" s="305">
        <f t="shared" si="35"/>
        <v>1068</v>
      </c>
      <c r="X105" s="391">
        <f t="shared" si="33"/>
        <v>201.09</v>
      </c>
    </row>
    <row r="106" spans="1:24" x14ac:dyDescent="0.2">
      <c r="A106" s="286"/>
      <c r="B106" s="298" t="s">
        <v>177</v>
      </c>
      <c r="C106" s="302">
        <v>21</v>
      </c>
      <c r="D106" s="363">
        <v>1215</v>
      </c>
      <c r="E106" s="363">
        <v>980</v>
      </c>
      <c r="F106" s="363">
        <v>235</v>
      </c>
      <c r="G106" s="363">
        <v>0</v>
      </c>
      <c r="H106" s="363">
        <v>154.24</v>
      </c>
      <c r="I106" s="302"/>
      <c r="J106" s="302">
        <v>207.9</v>
      </c>
      <c r="K106" s="302"/>
      <c r="L106" s="309">
        <v>-8.6199999999999992</v>
      </c>
      <c r="M106" s="309"/>
      <c r="N106" s="302">
        <v>48.66</v>
      </c>
      <c r="O106" s="302">
        <v>84.27</v>
      </c>
      <c r="P106" s="302">
        <v>394</v>
      </c>
      <c r="Q106" s="307">
        <v>7</v>
      </c>
      <c r="R106" s="362"/>
      <c r="T106">
        <f t="shared" si="34"/>
        <v>21</v>
      </c>
      <c r="U106" s="305">
        <f t="shared" si="35"/>
        <v>1215</v>
      </c>
      <c r="X106" s="391">
        <f t="shared" si="33"/>
        <v>199.28</v>
      </c>
    </row>
    <row r="107" spans="1:24" x14ac:dyDescent="0.2">
      <c r="A107" s="286"/>
      <c r="B107" s="298" t="s">
        <v>121</v>
      </c>
      <c r="C107" s="302">
        <v>21</v>
      </c>
      <c r="D107" s="363">
        <v>903</v>
      </c>
      <c r="E107" s="363">
        <v>765</v>
      </c>
      <c r="F107" s="363">
        <v>138</v>
      </c>
      <c r="G107" s="363">
        <v>0</v>
      </c>
      <c r="H107" s="363">
        <v>116.87</v>
      </c>
      <c r="I107" s="302"/>
      <c r="J107" s="302">
        <v>207.9</v>
      </c>
      <c r="K107" s="302"/>
      <c r="L107" s="302">
        <v>-9.0299999999999994</v>
      </c>
      <c r="M107" s="302"/>
      <c r="N107" s="302">
        <v>38.6</v>
      </c>
      <c r="O107" s="302">
        <v>84.27</v>
      </c>
      <c r="P107" s="302">
        <v>394</v>
      </c>
      <c r="Q107" s="307">
        <v>7</v>
      </c>
      <c r="R107" s="362"/>
      <c r="T107">
        <f t="shared" si="34"/>
        <v>21</v>
      </c>
      <c r="U107" s="305">
        <f t="shared" si="35"/>
        <v>903</v>
      </c>
      <c r="X107" s="391">
        <f t="shared" si="33"/>
        <v>198.87</v>
      </c>
    </row>
    <row r="108" spans="1:24" x14ac:dyDescent="0.2">
      <c r="A108" s="286"/>
      <c r="B108" s="298" t="s">
        <v>122</v>
      </c>
      <c r="C108" s="302">
        <v>21</v>
      </c>
      <c r="D108" s="363">
        <v>1410</v>
      </c>
      <c r="E108" s="363">
        <v>798</v>
      </c>
      <c r="F108" s="363">
        <v>596</v>
      </c>
      <c r="G108" s="363">
        <v>16</v>
      </c>
      <c r="H108" s="363">
        <v>168.96</v>
      </c>
      <c r="I108" s="302"/>
      <c r="J108" s="302">
        <v>207.9</v>
      </c>
      <c r="K108" s="302"/>
      <c r="L108" s="302">
        <v>-11.97</v>
      </c>
      <c r="M108" s="302"/>
      <c r="N108" s="302">
        <v>44.65</v>
      </c>
      <c r="O108" s="302">
        <v>84.27</v>
      </c>
      <c r="P108" s="302">
        <v>394</v>
      </c>
      <c r="Q108" s="307">
        <v>7</v>
      </c>
      <c r="R108" s="362"/>
      <c r="T108">
        <f t="shared" si="34"/>
        <v>21</v>
      </c>
      <c r="U108" s="305">
        <f t="shared" si="35"/>
        <v>1410</v>
      </c>
      <c r="X108" s="391">
        <f t="shared" si="33"/>
        <v>211.93</v>
      </c>
    </row>
    <row r="109" spans="1:24" x14ac:dyDescent="0.2">
      <c r="A109" s="286"/>
      <c r="B109" s="298" t="s">
        <v>123</v>
      </c>
      <c r="C109" s="302">
        <v>21</v>
      </c>
      <c r="D109" s="363">
        <v>1144</v>
      </c>
      <c r="E109" s="363">
        <v>643</v>
      </c>
      <c r="F109" s="363">
        <v>300</v>
      </c>
      <c r="G109" s="363">
        <v>201</v>
      </c>
      <c r="H109" s="363">
        <v>148.1</v>
      </c>
      <c r="I109" s="302"/>
      <c r="J109" s="302">
        <v>207.9</v>
      </c>
      <c r="K109" s="302"/>
      <c r="L109" s="302">
        <v>-8.5399999999999991</v>
      </c>
      <c r="M109" s="302"/>
      <c r="N109" s="302">
        <v>46.27</v>
      </c>
      <c r="O109" s="302">
        <v>84.27</v>
      </c>
      <c r="P109" s="302">
        <v>394</v>
      </c>
      <c r="Q109" s="307">
        <v>7</v>
      </c>
      <c r="R109" s="362"/>
      <c r="T109">
        <f t="shared" si="34"/>
        <v>21</v>
      </c>
      <c r="U109" s="305">
        <f t="shared" si="35"/>
        <v>1144</v>
      </c>
      <c r="X109" s="391">
        <f t="shared" si="33"/>
        <v>400.35999999999996</v>
      </c>
    </row>
    <row r="110" spans="1:24" x14ac:dyDescent="0.2">
      <c r="A110" s="285"/>
      <c r="B110" s="301" t="s">
        <v>84</v>
      </c>
      <c r="C110" s="303">
        <f>SUM(C98:C109)</f>
        <v>260</v>
      </c>
      <c r="D110" s="303">
        <f>SUM(D98:D109)</f>
        <v>12154</v>
      </c>
      <c r="E110" s="303">
        <f>SUM(E98:E109)</f>
        <v>9535</v>
      </c>
      <c r="F110" s="303">
        <f>SUM(F98:F109)</f>
        <v>2400</v>
      </c>
      <c r="G110" s="303"/>
      <c r="H110" s="303">
        <f t="shared" ref="H110:Q110" si="36">SUM(H98:H109)</f>
        <v>1544.81</v>
      </c>
      <c r="I110" s="303">
        <f t="shared" si="36"/>
        <v>0</v>
      </c>
      <c r="J110" s="303">
        <f t="shared" si="36"/>
        <v>2574.0000000000005</v>
      </c>
      <c r="K110" s="303">
        <f t="shared" si="36"/>
        <v>0</v>
      </c>
      <c r="L110" s="303">
        <f t="shared" si="36"/>
        <v>-74.550000000000011</v>
      </c>
      <c r="M110" s="303"/>
      <c r="N110" s="303">
        <f t="shared" si="36"/>
        <v>474.14</v>
      </c>
      <c r="O110" s="303">
        <f t="shared" si="36"/>
        <v>1011.2399999999999</v>
      </c>
      <c r="P110" s="303">
        <f t="shared" si="36"/>
        <v>4728</v>
      </c>
      <c r="Q110" s="303">
        <f t="shared" si="36"/>
        <v>84</v>
      </c>
      <c r="R110" s="362"/>
      <c r="T110" s="367">
        <f t="shared" si="34"/>
        <v>260</v>
      </c>
      <c r="U110" s="366">
        <f t="shared" si="35"/>
        <v>12154</v>
      </c>
      <c r="V110" s="305"/>
      <c r="W110" s="305"/>
      <c r="X110" s="366">
        <f>SUM(X98:X109)</f>
        <v>2716.4499999999994</v>
      </c>
    </row>
    <row r="111" spans="1:24" x14ac:dyDescent="0.2">
      <c r="T111" s="387">
        <f>T110/12</f>
        <v>21.666666666666668</v>
      </c>
    </row>
    <row r="112" spans="1:24" x14ac:dyDescent="0.2">
      <c r="A112" s="286"/>
      <c r="B112" s="304"/>
      <c r="C112" s="302"/>
      <c r="D112" s="302"/>
      <c r="E112" s="302"/>
      <c r="F112" s="302"/>
      <c r="G112" s="302"/>
      <c r="H112" s="302"/>
      <c r="I112" s="291" t="s">
        <v>157</v>
      </c>
      <c r="J112" s="286" t="s">
        <v>157</v>
      </c>
      <c r="K112" s="286" t="s">
        <v>158</v>
      </c>
      <c r="L112" s="292" t="s">
        <v>158</v>
      </c>
      <c r="M112" s="293"/>
      <c r="N112" s="287" t="s">
        <v>158</v>
      </c>
      <c r="O112" s="294" t="s">
        <v>157</v>
      </c>
      <c r="P112" s="294" t="s">
        <v>157</v>
      </c>
      <c r="Q112" s="294"/>
      <c r="R112" s="362"/>
    </row>
    <row r="113" spans="1:24" x14ac:dyDescent="0.2">
      <c r="A113" s="286"/>
      <c r="B113" s="285">
        <v>2019</v>
      </c>
      <c r="C113" s="285" t="s">
        <v>182</v>
      </c>
      <c r="D113" s="285"/>
      <c r="E113" s="285" t="s">
        <v>160</v>
      </c>
      <c r="F113" s="285" t="s">
        <v>160</v>
      </c>
      <c r="G113" s="285" t="s">
        <v>127</v>
      </c>
      <c r="H113" s="285"/>
      <c r="I113" s="285" t="s">
        <v>161</v>
      </c>
      <c r="J113" s="285" t="s">
        <v>109</v>
      </c>
      <c r="K113" s="285" t="s">
        <v>162</v>
      </c>
      <c r="L113" s="296" t="s">
        <v>163</v>
      </c>
      <c r="M113" s="297"/>
      <c r="N113" s="294" t="s">
        <v>164</v>
      </c>
      <c r="O113" s="294" t="s">
        <v>165</v>
      </c>
      <c r="P113" s="294" t="s">
        <v>166</v>
      </c>
      <c r="Q113" s="294" t="s">
        <v>165</v>
      </c>
      <c r="R113" s="362"/>
      <c r="X113" s="224" t="s">
        <v>65</v>
      </c>
    </row>
    <row r="114" spans="1:24" x14ac:dyDescent="0.2">
      <c r="A114" s="292" t="s">
        <v>167</v>
      </c>
      <c r="B114" s="285" t="s">
        <v>168</v>
      </c>
      <c r="C114" s="285" t="s">
        <v>186</v>
      </c>
      <c r="D114" s="285" t="s">
        <v>127</v>
      </c>
      <c r="E114" s="285" t="s">
        <v>170</v>
      </c>
      <c r="F114" s="285" t="s">
        <v>170</v>
      </c>
      <c r="G114" s="285" t="s">
        <v>42</v>
      </c>
      <c r="H114" s="285"/>
      <c r="I114" s="285" t="s">
        <v>42</v>
      </c>
      <c r="J114" s="285" t="s">
        <v>187</v>
      </c>
      <c r="K114" s="285" t="s">
        <v>172</v>
      </c>
      <c r="L114" s="296" t="s">
        <v>42</v>
      </c>
      <c r="M114" s="297"/>
      <c r="N114" s="294" t="s">
        <v>187</v>
      </c>
      <c r="O114" s="294" t="s">
        <v>42</v>
      </c>
      <c r="P114" s="294" t="s">
        <v>127</v>
      </c>
      <c r="Q114" s="294" t="s">
        <v>173</v>
      </c>
      <c r="R114" s="362"/>
      <c r="T114" s="347" t="s">
        <v>208</v>
      </c>
      <c r="U114" s="347" t="s">
        <v>127</v>
      </c>
      <c r="X114" s="224" t="s">
        <v>221</v>
      </c>
    </row>
    <row r="115" spans="1:24" x14ac:dyDescent="0.2">
      <c r="A115" s="292" t="s">
        <v>135</v>
      </c>
      <c r="B115" s="298" t="s">
        <v>116</v>
      </c>
      <c r="C115" s="304">
        <v>47</v>
      </c>
      <c r="D115" s="302">
        <v>1327131</v>
      </c>
      <c r="E115" s="302"/>
      <c r="F115" s="302"/>
      <c r="G115" s="363">
        <v>114907.07</v>
      </c>
      <c r="H115" s="335"/>
      <c r="I115" s="302"/>
      <c r="J115" s="302">
        <v>2115</v>
      </c>
      <c r="K115" s="302">
        <v>0</v>
      </c>
      <c r="L115" s="302">
        <v>1144.79</v>
      </c>
      <c r="M115" s="302"/>
      <c r="N115" s="302">
        <v>11511.68</v>
      </c>
      <c r="O115" s="302">
        <v>1362.26</v>
      </c>
      <c r="P115" s="302">
        <v>10240</v>
      </c>
      <c r="Q115" s="302">
        <v>82</v>
      </c>
      <c r="R115" s="362"/>
      <c r="T115">
        <f>C115</f>
        <v>47</v>
      </c>
      <c r="U115" s="305">
        <f>D115</f>
        <v>1327131</v>
      </c>
      <c r="X115" s="391">
        <f t="shared" ref="X115:X126" si="37">G115+I115+J115+K115+L115</f>
        <v>118166.86</v>
      </c>
    </row>
    <row r="116" spans="1:24" x14ac:dyDescent="0.2">
      <c r="A116" s="286"/>
      <c r="B116" s="298" t="s">
        <v>117</v>
      </c>
      <c r="C116" s="304">
        <v>47</v>
      </c>
      <c r="D116" s="302">
        <v>1354470</v>
      </c>
      <c r="E116" s="302"/>
      <c r="F116" s="302"/>
      <c r="G116" s="363">
        <v>114768.95</v>
      </c>
      <c r="H116" s="335"/>
      <c r="I116" s="302"/>
      <c r="J116" s="302">
        <v>2115</v>
      </c>
      <c r="K116" s="302">
        <v>0</v>
      </c>
      <c r="L116" s="302">
        <v>-6639.77</v>
      </c>
      <c r="M116" s="302"/>
      <c r="N116" s="302">
        <v>9411.67</v>
      </c>
      <c r="O116" s="302">
        <v>1484.42</v>
      </c>
      <c r="P116" s="302">
        <v>10688</v>
      </c>
      <c r="Q116" s="302">
        <v>90</v>
      </c>
      <c r="R116" s="362"/>
      <c r="T116">
        <f t="shared" ref="T116:T127" si="38">C116</f>
        <v>47</v>
      </c>
      <c r="U116" s="305">
        <f t="shared" ref="U116:U127" si="39">D116</f>
        <v>1354470</v>
      </c>
      <c r="X116" s="391">
        <f t="shared" si="37"/>
        <v>110244.18</v>
      </c>
    </row>
    <row r="117" spans="1:24" x14ac:dyDescent="0.2">
      <c r="A117" s="286"/>
      <c r="B117" s="298" t="s">
        <v>118</v>
      </c>
      <c r="C117" s="304">
        <v>47</v>
      </c>
      <c r="D117" s="302">
        <v>1181526</v>
      </c>
      <c r="E117" s="302"/>
      <c r="F117" s="302"/>
      <c r="G117" s="363">
        <v>98330.52</v>
      </c>
      <c r="H117" s="335"/>
      <c r="I117" s="302"/>
      <c r="J117" s="302">
        <v>2115</v>
      </c>
      <c r="K117" s="302">
        <v>0</v>
      </c>
      <c r="L117" s="302">
        <v>-4301.6899999999996</v>
      </c>
      <c r="M117" s="302"/>
      <c r="N117" s="302">
        <v>6519.07</v>
      </c>
      <c r="O117" s="302">
        <v>1484.42</v>
      </c>
      <c r="P117" s="302">
        <v>10688</v>
      </c>
      <c r="Q117" s="302">
        <v>90</v>
      </c>
      <c r="R117" s="362"/>
      <c r="T117">
        <f t="shared" si="38"/>
        <v>47</v>
      </c>
      <c r="U117" s="305">
        <f t="shared" si="39"/>
        <v>1181526</v>
      </c>
      <c r="X117" s="391">
        <f t="shared" si="37"/>
        <v>96143.83</v>
      </c>
    </row>
    <row r="118" spans="1:24" x14ac:dyDescent="0.2">
      <c r="A118" s="286"/>
      <c r="B118" s="298" t="s">
        <v>174</v>
      </c>
      <c r="C118" s="304">
        <v>47</v>
      </c>
      <c r="D118" s="302">
        <v>1098771</v>
      </c>
      <c r="E118" s="302"/>
      <c r="F118" s="302"/>
      <c r="G118" s="363">
        <v>91386.21</v>
      </c>
      <c r="H118" s="335"/>
      <c r="I118" s="302"/>
      <c r="J118" s="302">
        <v>2115</v>
      </c>
      <c r="K118" s="302">
        <v>0</v>
      </c>
      <c r="L118" s="302">
        <v>-4956.2700000000004</v>
      </c>
      <c r="M118" s="302"/>
      <c r="N118" s="302">
        <v>6063.1</v>
      </c>
      <c r="O118" s="302">
        <v>1493.4</v>
      </c>
      <c r="P118" s="302">
        <v>10712</v>
      </c>
      <c r="Q118" s="302">
        <v>91</v>
      </c>
      <c r="R118" s="362"/>
      <c r="T118">
        <f t="shared" si="38"/>
        <v>47</v>
      </c>
      <c r="U118" s="305">
        <f t="shared" si="39"/>
        <v>1098771</v>
      </c>
      <c r="X118" s="391">
        <f t="shared" si="37"/>
        <v>88544.94</v>
      </c>
    </row>
    <row r="119" spans="1:24" x14ac:dyDescent="0.2">
      <c r="A119" s="286"/>
      <c r="B119" s="298" t="s">
        <v>119</v>
      </c>
      <c r="C119" s="304">
        <v>47</v>
      </c>
      <c r="D119" s="302">
        <v>1250176</v>
      </c>
      <c r="E119" s="302"/>
      <c r="F119" s="302"/>
      <c r="G119" s="363">
        <v>106118.97</v>
      </c>
      <c r="H119" s="335"/>
      <c r="I119" s="302"/>
      <c r="J119" s="302">
        <v>2115</v>
      </c>
      <c r="K119" s="302">
        <v>0</v>
      </c>
      <c r="L119" s="302">
        <v>-4236.49</v>
      </c>
      <c r="M119" s="302"/>
      <c r="N119" s="302">
        <v>8981.6</v>
      </c>
      <c r="O119" s="302">
        <v>1484.24</v>
      </c>
      <c r="P119" s="302">
        <v>10642</v>
      </c>
      <c r="Q119" s="302">
        <v>90</v>
      </c>
      <c r="R119" s="362"/>
      <c r="T119">
        <f t="shared" si="38"/>
        <v>47</v>
      </c>
      <c r="U119" s="305">
        <f t="shared" si="39"/>
        <v>1250176</v>
      </c>
      <c r="X119" s="391">
        <f t="shared" si="37"/>
        <v>103997.48</v>
      </c>
    </row>
    <row r="120" spans="1:24" x14ac:dyDescent="0.2">
      <c r="A120" s="286"/>
      <c r="B120" s="298" t="s">
        <v>175</v>
      </c>
      <c r="C120" s="304">
        <v>47</v>
      </c>
      <c r="D120" s="302">
        <v>1117353</v>
      </c>
      <c r="E120" s="302"/>
      <c r="F120" s="302"/>
      <c r="G120" s="363">
        <v>95147.06</v>
      </c>
      <c r="H120" s="335"/>
      <c r="I120" s="302"/>
      <c r="J120" s="302">
        <v>2115</v>
      </c>
      <c r="K120" s="302">
        <v>0</v>
      </c>
      <c r="L120" s="302">
        <v>-4212.7700000000004</v>
      </c>
      <c r="M120" s="302"/>
      <c r="N120" s="302">
        <v>8257.07</v>
      </c>
      <c r="O120" s="302">
        <v>1484.24</v>
      </c>
      <c r="P120" s="302">
        <v>10642</v>
      </c>
      <c r="Q120" s="302">
        <v>90</v>
      </c>
      <c r="R120" s="362"/>
      <c r="T120">
        <f t="shared" si="38"/>
        <v>47</v>
      </c>
      <c r="U120" s="305">
        <f t="shared" si="39"/>
        <v>1117353</v>
      </c>
      <c r="X120" s="391">
        <f t="shared" si="37"/>
        <v>93049.29</v>
      </c>
    </row>
    <row r="121" spans="1:24" x14ac:dyDescent="0.2">
      <c r="A121" s="286"/>
      <c r="B121" s="298" t="s">
        <v>176</v>
      </c>
      <c r="C121" s="304">
        <v>47</v>
      </c>
      <c r="D121" s="302">
        <v>1099113</v>
      </c>
      <c r="E121" s="302"/>
      <c r="F121" s="302"/>
      <c r="G121" s="363">
        <v>95510.06</v>
      </c>
      <c r="H121" s="335"/>
      <c r="I121" s="302"/>
      <c r="J121" s="302">
        <v>2115</v>
      </c>
      <c r="K121" s="302">
        <v>0</v>
      </c>
      <c r="L121" s="309">
        <v>-3994.51</v>
      </c>
      <c r="M121" s="309"/>
      <c r="N121" s="302">
        <v>9837.5</v>
      </c>
      <c r="O121" s="302">
        <v>1484.24</v>
      </c>
      <c r="P121" s="302">
        <v>10642</v>
      </c>
      <c r="Q121" s="302">
        <v>90</v>
      </c>
      <c r="R121" s="362"/>
      <c r="T121">
        <f t="shared" si="38"/>
        <v>47</v>
      </c>
      <c r="U121" s="305">
        <f t="shared" si="39"/>
        <v>1099113</v>
      </c>
      <c r="X121" s="391">
        <f t="shared" si="37"/>
        <v>93630.55</v>
      </c>
    </row>
    <row r="122" spans="1:24" x14ac:dyDescent="0.2">
      <c r="A122" s="286"/>
      <c r="B122" s="298" t="s">
        <v>120</v>
      </c>
      <c r="C122" s="304">
        <v>36</v>
      </c>
      <c r="D122" s="302">
        <v>1298693</v>
      </c>
      <c r="E122" s="302"/>
      <c r="F122" s="302"/>
      <c r="G122" s="363">
        <v>112217.64</v>
      </c>
      <c r="H122" s="335"/>
      <c r="I122" s="302"/>
      <c r="J122" s="302">
        <v>1620</v>
      </c>
      <c r="K122" s="302">
        <v>0</v>
      </c>
      <c r="L122" s="302">
        <v>-6080.96</v>
      </c>
      <c r="M122" s="302"/>
      <c r="N122" s="302">
        <v>11789.69</v>
      </c>
      <c r="O122" s="302">
        <v>1227.53</v>
      </c>
      <c r="P122" s="302">
        <v>8658</v>
      </c>
      <c r="Q122" s="302">
        <v>74</v>
      </c>
      <c r="R122" s="362"/>
      <c r="T122">
        <f t="shared" si="38"/>
        <v>36</v>
      </c>
      <c r="U122" s="305">
        <f t="shared" si="39"/>
        <v>1298693</v>
      </c>
      <c r="X122" s="391">
        <f t="shared" si="37"/>
        <v>107756.68</v>
      </c>
    </row>
    <row r="123" spans="1:24" x14ac:dyDescent="0.2">
      <c r="A123" s="286"/>
      <c r="B123" s="298" t="s">
        <v>177</v>
      </c>
      <c r="C123" s="304">
        <v>36</v>
      </c>
      <c r="D123" s="302">
        <v>1398274</v>
      </c>
      <c r="E123" s="302"/>
      <c r="F123" s="302"/>
      <c r="G123" s="363">
        <v>121058.14</v>
      </c>
      <c r="H123" s="335"/>
      <c r="I123" s="302"/>
      <c r="J123" s="302">
        <v>1620</v>
      </c>
      <c r="K123" s="302">
        <v>0</v>
      </c>
      <c r="L123" s="302">
        <v>-7539.34</v>
      </c>
      <c r="M123" s="302"/>
      <c r="N123" s="302">
        <v>12929.61</v>
      </c>
      <c r="O123" s="302">
        <v>1227.53</v>
      </c>
      <c r="P123" s="302">
        <v>8658</v>
      </c>
      <c r="Q123" s="302">
        <v>74</v>
      </c>
      <c r="R123" s="362"/>
      <c r="T123">
        <f t="shared" si="38"/>
        <v>36</v>
      </c>
      <c r="U123" s="305">
        <f t="shared" si="39"/>
        <v>1398274</v>
      </c>
      <c r="X123" s="391">
        <f t="shared" si="37"/>
        <v>115138.8</v>
      </c>
    </row>
    <row r="124" spans="1:24" x14ac:dyDescent="0.2">
      <c r="A124" s="286"/>
      <c r="B124" s="298" t="s">
        <v>121</v>
      </c>
      <c r="C124" s="304">
        <v>37</v>
      </c>
      <c r="D124" s="302">
        <v>1172682</v>
      </c>
      <c r="E124" s="302"/>
      <c r="F124" s="302"/>
      <c r="G124" s="363">
        <v>99829.7</v>
      </c>
      <c r="H124" s="335"/>
      <c r="I124" s="302"/>
      <c r="J124" s="302">
        <v>1665</v>
      </c>
      <c r="K124" s="302">
        <v>0</v>
      </c>
      <c r="L124" s="302">
        <v>-8215.58</v>
      </c>
      <c r="M124" s="302"/>
      <c r="N124" s="302">
        <v>9123.7099999999991</v>
      </c>
      <c r="O124" s="302">
        <v>1272.5999999999999</v>
      </c>
      <c r="P124" s="302">
        <v>9008</v>
      </c>
      <c r="Q124" s="302">
        <v>78</v>
      </c>
      <c r="R124" s="362"/>
      <c r="T124">
        <f t="shared" si="38"/>
        <v>37</v>
      </c>
      <c r="U124" s="305">
        <f t="shared" si="39"/>
        <v>1172682</v>
      </c>
      <c r="X124" s="391">
        <f t="shared" si="37"/>
        <v>93279.12</v>
      </c>
    </row>
    <row r="125" spans="1:24" x14ac:dyDescent="0.2">
      <c r="A125" s="286"/>
      <c r="B125" s="298" t="s">
        <v>122</v>
      </c>
      <c r="C125" s="304">
        <v>37</v>
      </c>
      <c r="D125" s="302">
        <v>1151973</v>
      </c>
      <c r="E125" s="302"/>
      <c r="F125" s="302"/>
      <c r="G125" s="363">
        <v>98450.39</v>
      </c>
      <c r="H125" s="335"/>
      <c r="I125" s="302"/>
      <c r="J125" s="302">
        <v>1665</v>
      </c>
      <c r="K125" s="302">
        <v>0</v>
      </c>
      <c r="L125" s="302">
        <v>-7701.26</v>
      </c>
      <c r="M125" s="302"/>
      <c r="N125" s="302">
        <v>9308.58</v>
      </c>
      <c r="O125" s="302">
        <v>1211.52</v>
      </c>
      <c r="P125" s="302">
        <v>9008</v>
      </c>
      <c r="Q125" s="302">
        <v>78</v>
      </c>
      <c r="R125" s="362"/>
      <c r="T125">
        <f t="shared" si="38"/>
        <v>37</v>
      </c>
      <c r="U125" s="305">
        <f t="shared" si="39"/>
        <v>1151973</v>
      </c>
      <c r="X125" s="391">
        <f t="shared" si="37"/>
        <v>92414.13</v>
      </c>
    </row>
    <row r="126" spans="1:24" x14ac:dyDescent="0.2">
      <c r="A126" s="286"/>
      <c r="B126" s="298" t="s">
        <v>123</v>
      </c>
      <c r="C126" s="304">
        <v>37</v>
      </c>
      <c r="D126" s="302">
        <v>1117113</v>
      </c>
      <c r="E126" s="302"/>
      <c r="F126" s="302"/>
      <c r="G126" s="363">
        <v>96462.84</v>
      </c>
      <c r="H126" s="335"/>
      <c r="I126" s="302"/>
      <c r="J126" s="302">
        <v>1665</v>
      </c>
      <c r="K126" s="302">
        <v>0</v>
      </c>
      <c r="L126" s="302">
        <v>-6273.23</v>
      </c>
      <c r="M126" s="302"/>
      <c r="N126" s="302">
        <v>9971.34</v>
      </c>
      <c r="O126" s="302">
        <v>1211.52</v>
      </c>
      <c r="P126" s="302">
        <v>8784</v>
      </c>
      <c r="Q126" s="302">
        <v>74</v>
      </c>
      <c r="R126" s="362"/>
      <c r="T126">
        <f t="shared" si="38"/>
        <v>37</v>
      </c>
      <c r="U126" s="305">
        <f t="shared" si="39"/>
        <v>1117113</v>
      </c>
      <c r="X126" s="391">
        <f t="shared" si="37"/>
        <v>91854.61</v>
      </c>
    </row>
    <row r="127" spans="1:24" x14ac:dyDescent="0.2">
      <c r="A127" s="285"/>
      <c r="B127" s="301" t="s">
        <v>84</v>
      </c>
      <c r="C127" s="301">
        <f>SUM(C115:C126)</f>
        <v>512</v>
      </c>
      <c r="D127" s="303">
        <f>SUM(D115:D126)</f>
        <v>14567275</v>
      </c>
      <c r="E127" s="303"/>
      <c r="F127" s="303"/>
      <c r="G127" s="303">
        <f>SUM(G115:G126)</f>
        <v>1244187.55</v>
      </c>
      <c r="H127" s="303"/>
      <c r="I127" s="303"/>
      <c r="J127" s="303">
        <f t="shared" ref="J127:Q127" si="40">SUM(J115:J126)</f>
        <v>23040</v>
      </c>
      <c r="K127" s="303">
        <f>SUM(K115:K126)</f>
        <v>0</v>
      </c>
      <c r="L127" s="303">
        <f t="shared" si="40"/>
        <v>-63007.08</v>
      </c>
      <c r="M127" s="303"/>
      <c r="N127" s="303">
        <f t="shared" si="40"/>
        <v>113704.61999999998</v>
      </c>
      <c r="O127" s="303">
        <f t="shared" si="40"/>
        <v>16427.920000000002</v>
      </c>
      <c r="P127" s="303">
        <f t="shared" si="40"/>
        <v>118370</v>
      </c>
      <c r="Q127" s="306">
        <f t="shared" si="40"/>
        <v>1001</v>
      </c>
      <c r="R127" s="362"/>
      <c r="T127" s="367">
        <f t="shared" si="38"/>
        <v>512</v>
      </c>
      <c r="U127" s="366">
        <f t="shared" si="39"/>
        <v>14567275</v>
      </c>
      <c r="V127" s="305"/>
      <c r="W127" s="305"/>
      <c r="X127" s="366">
        <f>SUM(X115:X126)</f>
        <v>1204220.4700000002</v>
      </c>
    </row>
    <row r="128" spans="1:24" x14ac:dyDescent="0.2">
      <c r="T128" s="387">
        <f>T127/12</f>
        <v>42.666666666666664</v>
      </c>
    </row>
    <row r="129" spans="1:24" x14ac:dyDescent="0.2">
      <c r="A129" s="286"/>
      <c r="B129" s="304"/>
      <c r="C129" s="304"/>
      <c r="D129" s="302"/>
      <c r="E129" s="302"/>
      <c r="F129" s="302"/>
      <c r="G129" s="302"/>
      <c r="H129" s="302"/>
      <c r="I129" s="368" t="s">
        <v>157</v>
      </c>
      <c r="J129" s="286" t="s">
        <v>157</v>
      </c>
      <c r="K129" s="286" t="s">
        <v>158</v>
      </c>
      <c r="L129" s="292" t="s">
        <v>158</v>
      </c>
      <c r="M129" s="293"/>
      <c r="N129" s="287" t="s">
        <v>158</v>
      </c>
      <c r="O129" s="294" t="s">
        <v>157</v>
      </c>
      <c r="P129" s="294" t="s">
        <v>157</v>
      </c>
      <c r="Q129" s="294"/>
      <c r="R129" s="362"/>
    </row>
    <row r="130" spans="1:24" x14ac:dyDescent="0.2">
      <c r="A130" s="286"/>
      <c r="B130" s="285">
        <v>2019</v>
      </c>
      <c r="C130" s="285" t="s">
        <v>182</v>
      </c>
      <c r="D130" s="285"/>
      <c r="E130" s="285" t="s">
        <v>160</v>
      </c>
      <c r="F130" s="285" t="s">
        <v>160</v>
      </c>
      <c r="G130" s="285" t="s">
        <v>127</v>
      </c>
      <c r="H130" s="285"/>
      <c r="I130" s="369" t="s">
        <v>185</v>
      </c>
      <c r="J130" s="285" t="s">
        <v>109</v>
      </c>
      <c r="K130" s="285" t="s">
        <v>162</v>
      </c>
      <c r="L130" s="296" t="s">
        <v>163</v>
      </c>
      <c r="M130" s="297"/>
      <c r="N130" s="294" t="s">
        <v>164</v>
      </c>
      <c r="O130" s="294" t="s">
        <v>165</v>
      </c>
      <c r="P130" s="294" t="s">
        <v>166</v>
      </c>
      <c r="Q130" s="294" t="s">
        <v>165</v>
      </c>
      <c r="R130" s="362"/>
      <c r="V130" s="375">
        <v>4.22</v>
      </c>
      <c r="X130" s="224" t="s">
        <v>65</v>
      </c>
    </row>
    <row r="131" spans="1:24" x14ac:dyDescent="0.2">
      <c r="A131" s="292" t="s">
        <v>167</v>
      </c>
      <c r="B131" s="285" t="s">
        <v>168</v>
      </c>
      <c r="C131" s="285" t="s">
        <v>186</v>
      </c>
      <c r="D131" s="285" t="s">
        <v>127</v>
      </c>
      <c r="E131" s="285" t="s">
        <v>170</v>
      </c>
      <c r="F131" s="285" t="s">
        <v>170</v>
      </c>
      <c r="G131" s="285" t="s">
        <v>42</v>
      </c>
      <c r="H131" s="285"/>
      <c r="I131" s="369" t="s">
        <v>42</v>
      </c>
      <c r="J131" s="285" t="s">
        <v>187</v>
      </c>
      <c r="K131" s="285" t="s">
        <v>172</v>
      </c>
      <c r="L131" s="296" t="s">
        <v>42</v>
      </c>
      <c r="M131" s="297"/>
      <c r="N131" s="294" t="s">
        <v>187</v>
      </c>
      <c r="O131" s="294" t="s">
        <v>42</v>
      </c>
      <c r="P131" s="294" t="s">
        <v>127</v>
      </c>
      <c r="Q131" s="294" t="s">
        <v>173</v>
      </c>
      <c r="R131" s="362"/>
      <c r="T131" s="347" t="s">
        <v>208</v>
      </c>
      <c r="U131" s="347" t="s">
        <v>127</v>
      </c>
      <c r="V131" s="372" t="s">
        <v>212</v>
      </c>
      <c r="X131" s="224" t="s">
        <v>221</v>
      </c>
    </row>
    <row r="132" spans="1:24" x14ac:dyDescent="0.2">
      <c r="A132" s="292" t="s">
        <v>136</v>
      </c>
      <c r="B132" s="298" t="s">
        <v>116</v>
      </c>
      <c r="C132" s="304">
        <v>66</v>
      </c>
      <c r="D132" s="302">
        <v>6730876</v>
      </c>
      <c r="E132" s="302"/>
      <c r="F132" s="302"/>
      <c r="G132" s="363">
        <v>449698.03</v>
      </c>
      <c r="H132" s="302"/>
      <c r="I132" s="370">
        <v>85609.19</v>
      </c>
      <c r="J132" s="302">
        <v>4225</v>
      </c>
      <c r="K132" s="302">
        <v>567.08000000000004</v>
      </c>
      <c r="L132" s="302">
        <v>5790.81</v>
      </c>
      <c r="M132" s="302"/>
      <c r="N132" s="302">
        <v>57088.86</v>
      </c>
      <c r="O132" s="302">
        <v>4446.42</v>
      </c>
      <c r="P132" s="302">
        <v>34002</v>
      </c>
      <c r="Q132" s="302">
        <v>264</v>
      </c>
      <c r="R132" s="362"/>
      <c r="T132">
        <f>C132</f>
        <v>66</v>
      </c>
      <c r="U132" s="305">
        <f>D132</f>
        <v>6730876</v>
      </c>
      <c r="V132" s="373">
        <f>I132/V$78</f>
        <v>20286.537914691944</v>
      </c>
      <c r="X132" s="391">
        <f t="shared" ref="X132:X143" si="41">G132+I132+J132+K132+L132</f>
        <v>545890.11</v>
      </c>
    </row>
    <row r="133" spans="1:24" x14ac:dyDescent="0.2">
      <c r="A133" s="286"/>
      <c r="B133" s="298" t="s">
        <v>117</v>
      </c>
      <c r="C133" s="304">
        <v>65</v>
      </c>
      <c r="D133" s="302">
        <v>7483809</v>
      </c>
      <c r="E133" s="302"/>
      <c r="F133" s="302"/>
      <c r="G133" s="363">
        <v>485728.36</v>
      </c>
      <c r="H133" s="302"/>
      <c r="I133" s="370">
        <v>85190.99</v>
      </c>
      <c r="J133" s="302">
        <v>4225</v>
      </c>
      <c r="K133" s="302">
        <v>751.1</v>
      </c>
      <c r="L133" s="302">
        <v>-36562.85</v>
      </c>
      <c r="M133" s="302"/>
      <c r="N133" s="302">
        <v>48985.75</v>
      </c>
      <c r="O133" s="302">
        <v>4393.47</v>
      </c>
      <c r="P133" s="302">
        <v>33582</v>
      </c>
      <c r="Q133" s="302">
        <v>261</v>
      </c>
      <c r="R133" s="362"/>
      <c r="T133">
        <f t="shared" ref="T133:T144" si="42">C133</f>
        <v>65</v>
      </c>
      <c r="U133" s="305">
        <f t="shared" ref="U133:U144" si="43">D133</f>
        <v>7483809</v>
      </c>
      <c r="V133" s="373">
        <f t="shared" ref="V133:V143" si="44">I133/V$78</f>
        <v>20187.438388625596</v>
      </c>
      <c r="X133" s="391">
        <f t="shared" si="41"/>
        <v>539332.6</v>
      </c>
    </row>
    <row r="134" spans="1:24" x14ac:dyDescent="0.2">
      <c r="A134" s="286"/>
      <c r="B134" s="298" t="s">
        <v>118</v>
      </c>
      <c r="C134" s="304">
        <v>64</v>
      </c>
      <c r="D134" s="302">
        <v>6481678</v>
      </c>
      <c r="E134" s="302"/>
      <c r="F134" s="302"/>
      <c r="G134" s="363">
        <v>412558.73</v>
      </c>
      <c r="H134" s="302"/>
      <c r="I134" s="370">
        <v>86749.88</v>
      </c>
      <c r="J134" s="302">
        <v>4160</v>
      </c>
      <c r="K134" s="302">
        <v>193.38</v>
      </c>
      <c r="L134" s="302">
        <v>-23504.1</v>
      </c>
      <c r="M134" s="302"/>
      <c r="N134" s="302">
        <v>34924.339999999997</v>
      </c>
      <c r="O134" s="302">
        <v>4277.17</v>
      </c>
      <c r="P134" s="302">
        <v>32672</v>
      </c>
      <c r="Q134" s="302">
        <v>252</v>
      </c>
      <c r="R134" s="362"/>
      <c r="T134">
        <f t="shared" si="42"/>
        <v>64</v>
      </c>
      <c r="U134" s="305">
        <f t="shared" si="43"/>
        <v>6481678</v>
      </c>
      <c r="V134" s="373">
        <f t="shared" si="44"/>
        <v>20556.843601895736</v>
      </c>
      <c r="X134" s="391">
        <f t="shared" si="41"/>
        <v>480157.89</v>
      </c>
    </row>
    <row r="135" spans="1:24" x14ac:dyDescent="0.2">
      <c r="A135" s="286"/>
      <c r="B135" s="298" t="s">
        <v>174</v>
      </c>
      <c r="C135" s="304">
        <v>65</v>
      </c>
      <c r="D135" s="302">
        <v>6973093</v>
      </c>
      <c r="E135" s="302"/>
      <c r="F135" s="302"/>
      <c r="G135" s="363">
        <v>443111.69</v>
      </c>
      <c r="H135" s="302"/>
      <c r="I135" s="370">
        <v>93917.35</v>
      </c>
      <c r="J135" s="302">
        <v>4290</v>
      </c>
      <c r="K135" s="302">
        <v>61.86</v>
      </c>
      <c r="L135" s="302">
        <v>-31276.94</v>
      </c>
      <c r="M135" s="302"/>
      <c r="N135" s="302">
        <v>36944.620000000003</v>
      </c>
      <c r="O135" s="302">
        <v>4277.17</v>
      </c>
      <c r="P135" s="302">
        <v>32672</v>
      </c>
      <c r="Q135" s="302">
        <v>252</v>
      </c>
      <c r="R135" s="362"/>
      <c r="T135">
        <f t="shared" si="42"/>
        <v>65</v>
      </c>
      <c r="U135" s="305">
        <f t="shared" si="43"/>
        <v>6973093</v>
      </c>
      <c r="V135" s="373">
        <f t="shared" si="44"/>
        <v>22255.29620853081</v>
      </c>
      <c r="X135" s="391">
        <f t="shared" si="41"/>
        <v>510103.96</v>
      </c>
    </row>
    <row r="136" spans="1:24" x14ac:dyDescent="0.2">
      <c r="A136" s="286"/>
      <c r="B136" s="298" t="s">
        <v>119</v>
      </c>
      <c r="C136" s="304">
        <v>63</v>
      </c>
      <c r="D136" s="302">
        <v>6943203</v>
      </c>
      <c r="E136" s="302"/>
      <c r="F136" s="302"/>
      <c r="G136" s="363">
        <v>452206.33</v>
      </c>
      <c r="H136" s="302"/>
      <c r="I136" s="370">
        <v>91050.83</v>
      </c>
      <c r="J136" s="302">
        <v>4095</v>
      </c>
      <c r="K136" s="302">
        <v>198.14</v>
      </c>
      <c r="L136" s="302">
        <v>-23441.11</v>
      </c>
      <c r="M136" s="302"/>
      <c r="N136" s="302">
        <v>48066.41</v>
      </c>
      <c r="O136" s="302">
        <v>4324.62</v>
      </c>
      <c r="P136" s="302">
        <v>33106</v>
      </c>
      <c r="Q136" s="302">
        <v>256</v>
      </c>
      <c r="R136" s="362"/>
      <c r="T136">
        <f t="shared" si="42"/>
        <v>63</v>
      </c>
      <c r="U136" s="305">
        <f t="shared" si="43"/>
        <v>6943203</v>
      </c>
      <c r="V136" s="373">
        <f t="shared" si="44"/>
        <v>21576.026066350714</v>
      </c>
      <c r="X136" s="391">
        <f t="shared" si="41"/>
        <v>524109.19000000006</v>
      </c>
    </row>
    <row r="137" spans="1:24" x14ac:dyDescent="0.2">
      <c r="A137" s="286"/>
      <c r="B137" s="298" t="s">
        <v>175</v>
      </c>
      <c r="C137" s="304">
        <v>62</v>
      </c>
      <c r="D137" s="302">
        <v>7021922</v>
      </c>
      <c r="E137" s="302"/>
      <c r="F137" s="302"/>
      <c r="G137" s="363">
        <v>459052.05</v>
      </c>
      <c r="H137" s="302"/>
      <c r="I137" s="370">
        <v>90553.06</v>
      </c>
      <c r="J137" s="302">
        <v>4030</v>
      </c>
      <c r="K137" s="302">
        <v>596.87</v>
      </c>
      <c r="L137" s="302">
        <v>-26341.17</v>
      </c>
      <c r="M137" s="302"/>
      <c r="N137" s="302">
        <v>50042.11</v>
      </c>
      <c r="O137" s="302">
        <v>4043.34</v>
      </c>
      <c r="P137" s="302">
        <v>30950</v>
      </c>
      <c r="Q137" s="302">
        <v>238</v>
      </c>
      <c r="R137" s="362"/>
      <c r="T137">
        <f t="shared" si="42"/>
        <v>62</v>
      </c>
      <c r="U137" s="305">
        <f t="shared" si="43"/>
        <v>7021922</v>
      </c>
      <c r="V137" s="373">
        <f t="shared" si="44"/>
        <v>21458.071090047393</v>
      </c>
      <c r="X137" s="391">
        <f t="shared" si="41"/>
        <v>527890.80999999994</v>
      </c>
    </row>
    <row r="138" spans="1:24" x14ac:dyDescent="0.2">
      <c r="A138" s="286"/>
      <c r="B138" s="298" t="s">
        <v>176</v>
      </c>
      <c r="C138" s="304">
        <v>65</v>
      </c>
      <c r="D138" s="302">
        <v>6707183</v>
      </c>
      <c r="E138" s="302"/>
      <c r="F138" s="302"/>
      <c r="G138" s="363">
        <v>450849.06</v>
      </c>
      <c r="H138" s="302"/>
      <c r="I138" s="370">
        <v>98897.96</v>
      </c>
      <c r="J138" s="302">
        <v>4225</v>
      </c>
      <c r="K138" s="302">
        <v>860.92</v>
      </c>
      <c r="L138" s="302">
        <v>-24255.9</v>
      </c>
      <c r="M138" s="302"/>
      <c r="N138" s="302">
        <v>60194.65</v>
      </c>
      <c r="O138" s="302">
        <v>4060.99</v>
      </c>
      <c r="P138" s="302">
        <v>31370</v>
      </c>
      <c r="Q138" s="302">
        <v>241</v>
      </c>
      <c r="R138" s="362"/>
      <c r="T138">
        <f t="shared" si="42"/>
        <v>65</v>
      </c>
      <c r="U138" s="305">
        <f t="shared" si="43"/>
        <v>6707183</v>
      </c>
      <c r="V138" s="373">
        <f t="shared" si="44"/>
        <v>23435.5355450237</v>
      </c>
      <c r="X138" s="391">
        <f t="shared" si="41"/>
        <v>530577.04</v>
      </c>
    </row>
    <row r="139" spans="1:24" x14ac:dyDescent="0.2">
      <c r="A139" s="286"/>
      <c r="B139" s="298" t="s">
        <v>120</v>
      </c>
      <c r="C139" s="304">
        <v>64</v>
      </c>
      <c r="D139" s="302">
        <v>7063889</v>
      </c>
      <c r="E139" s="302"/>
      <c r="F139" s="302"/>
      <c r="G139" s="363">
        <v>470424.45</v>
      </c>
      <c r="H139" s="302"/>
      <c r="I139" s="370">
        <v>87368.12</v>
      </c>
      <c r="J139" s="302">
        <v>4095</v>
      </c>
      <c r="K139" s="302">
        <v>687.95</v>
      </c>
      <c r="L139" s="302">
        <v>-33002.699999999997</v>
      </c>
      <c r="M139" s="302"/>
      <c r="N139" s="302">
        <v>60770.83</v>
      </c>
      <c r="O139" s="302">
        <v>4096.29</v>
      </c>
      <c r="P139" s="302">
        <v>31370</v>
      </c>
      <c r="Q139" s="302">
        <v>241</v>
      </c>
      <c r="R139" s="362"/>
      <c r="T139">
        <f t="shared" si="42"/>
        <v>64</v>
      </c>
      <c r="U139" s="305">
        <f t="shared" si="43"/>
        <v>7063889</v>
      </c>
      <c r="V139" s="373">
        <f t="shared" si="44"/>
        <v>20703.34597156398</v>
      </c>
      <c r="X139" s="391">
        <f t="shared" si="41"/>
        <v>529572.82000000007</v>
      </c>
    </row>
    <row r="140" spans="1:24" x14ac:dyDescent="0.2">
      <c r="A140" s="286"/>
      <c r="B140" s="298" t="s">
        <v>177</v>
      </c>
      <c r="C140" s="304">
        <v>66</v>
      </c>
      <c r="D140" s="302">
        <v>6544276</v>
      </c>
      <c r="E140" s="302"/>
      <c r="F140" s="302"/>
      <c r="G140" s="363">
        <v>438100.82</v>
      </c>
      <c r="H140" s="302"/>
      <c r="I140" s="370">
        <v>88314.52</v>
      </c>
      <c r="J140" s="302">
        <v>4225</v>
      </c>
      <c r="K140" s="302">
        <v>876.96</v>
      </c>
      <c r="L140" s="302">
        <v>-35236.910000000003</v>
      </c>
      <c r="M140" s="302"/>
      <c r="N140" s="302">
        <v>56247.87</v>
      </c>
      <c r="O140" s="302">
        <v>4096.29</v>
      </c>
      <c r="P140" s="302">
        <v>31370</v>
      </c>
      <c r="Q140" s="302">
        <v>241</v>
      </c>
      <c r="R140" s="362"/>
      <c r="T140">
        <f t="shared" si="42"/>
        <v>66</v>
      </c>
      <c r="U140" s="305">
        <f t="shared" si="43"/>
        <v>6544276</v>
      </c>
      <c r="V140" s="373">
        <f t="shared" si="44"/>
        <v>20927.611374407585</v>
      </c>
      <c r="X140" s="391">
        <f t="shared" si="41"/>
        <v>496280.3899999999</v>
      </c>
    </row>
    <row r="141" spans="1:24" x14ac:dyDescent="0.2">
      <c r="A141" s="286"/>
      <c r="B141" s="298" t="s">
        <v>121</v>
      </c>
      <c r="C141" s="304">
        <v>67</v>
      </c>
      <c r="D141" s="302">
        <v>6276226</v>
      </c>
      <c r="E141" s="302"/>
      <c r="F141" s="302"/>
      <c r="G141" s="363">
        <v>411239.7</v>
      </c>
      <c r="H141" s="302"/>
      <c r="I141" s="370">
        <v>90460.24</v>
      </c>
      <c r="J141" s="302">
        <v>4225</v>
      </c>
      <c r="K141" s="302">
        <v>76.989999999999995</v>
      </c>
      <c r="L141" s="302">
        <v>-43858.76</v>
      </c>
      <c r="M141" s="302"/>
      <c r="N141" s="302">
        <v>45321.49</v>
      </c>
      <c r="O141" s="302">
        <v>4202.1899999999996</v>
      </c>
      <c r="P141" s="302">
        <v>32210</v>
      </c>
      <c r="Q141" s="302">
        <v>247</v>
      </c>
      <c r="R141" s="362"/>
      <c r="T141">
        <f t="shared" si="42"/>
        <v>67</v>
      </c>
      <c r="U141" s="305">
        <f t="shared" si="43"/>
        <v>6276226</v>
      </c>
      <c r="V141" s="373">
        <f t="shared" si="44"/>
        <v>21436.075829383888</v>
      </c>
      <c r="X141" s="391">
        <f t="shared" si="41"/>
        <v>462143.17</v>
      </c>
    </row>
    <row r="142" spans="1:24" x14ac:dyDescent="0.2">
      <c r="A142" s="286"/>
      <c r="B142" s="298" t="s">
        <v>122</v>
      </c>
      <c r="C142" s="304">
        <v>68</v>
      </c>
      <c r="D142" s="302">
        <v>6234691</v>
      </c>
      <c r="E142" s="302"/>
      <c r="F142" s="302"/>
      <c r="G142" s="363">
        <v>409544.23</v>
      </c>
      <c r="H142" s="302"/>
      <c r="I142" s="370">
        <v>84946.17</v>
      </c>
      <c r="J142" s="302">
        <v>4420</v>
      </c>
      <c r="K142" s="302">
        <v>146.54</v>
      </c>
      <c r="L142" s="302">
        <v>-41611.83</v>
      </c>
      <c r="M142" s="302"/>
      <c r="N142" s="302">
        <v>45975.57</v>
      </c>
      <c r="O142" s="302">
        <v>4991.6679999999997</v>
      </c>
      <c r="P142" s="302">
        <v>38342</v>
      </c>
      <c r="Q142" s="302">
        <v>292</v>
      </c>
      <c r="R142" s="362"/>
      <c r="T142">
        <f t="shared" si="42"/>
        <v>68</v>
      </c>
      <c r="U142" s="305">
        <f t="shared" si="43"/>
        <v>6234691</v>
      </c>
      <c r="V142" s="373">
        <f t="shared" si="44"/>
        <v>20129.424170616116</v>
      </c>
      <c r="X142" s="391">
        <f t="shared" si="41"/>
        <v>457445.10999999993</v>
      </c>
    </row>
    <row r="143" spans="1:24" x14ac:dyDescent="0.2">
      <c r="A143" s="286"/>
      <c r="B143" s="298" t="s">
        <v>123</v>
      </c>
      <c r="C143" s="304">
        <v>67</v>
      </c>
      <c r="D143" s="302">
        <v>6049600</v>
      </c>
      <c r="E143" s="302"/>
      <c r="F143" s="302"/>
      <c r="G143" s="363">
        <v>406673.82</v>
      </c>
      <c r="H143" s="302"/>
      <c r="I143" s="370">
        <v>82377.72</v>
      </c>
      <c r="J143" s="302">
        <v>4420</v>
      </c>
      <c r="K143" s="302">
        <v>4267</v>
      </c>
      <c r="L143" s="302">
        <v>-33917.440000000002</v>
      </c>
      <c r="M143" s="302"/>
      <c r="N143" s="302">
        <v>49775.62</v>
      </c>
      <c r="O143" s="302">
        <v>4933.97</v>
      </c>
      <c r="P143" s="302">
        <v>37754</v>
      </c>
      <c r="Q143" s="302">
        <v>289</v>
      </c>
      <c r="R143" s="362"/>
      <c r="T143">
        <f t="shared" si="42"/>
        <v>67</v>
      </c>
      <c r="U143" s="305">
        <f t="shared" si="43"/>
        <v>6049600</v>
      </c>
      <c r="V143" s="373">
        <f t="shared" si="44"/>
        <v>19520.78672985782</v>
      </c>
      <c r="X143" s="391">
        <f t="shared" si="41"/>
        <v>463821.10000000003</v>
      </c>
    </row>
    <row r="144" spans="1:24" x14ac:dyDescent="0.2">
      <c r="A144" s="285"/>
      <c r="B144" s="301" t="s">
        <v>84</v>
      </c>
      <c r="C144" s="301">
        <f>SUM(C132:C143)</f>
        <v>782</v>
      </c>
      <c r="D144" s="303">
        <f>SUM(D132:D143)</f>
        <v>80510446</v>
      </c>
      <c r="E144" s="303"/>
      <c r="F144" s="303"/>
      <c r="G144" s="303">
        <f t="shared" ref="G144:Q144" si="45">SUM(G132:G143)</f>
        <v>5289187.2699999996</v>
      </c>
      <c r="H144" s="303"/>
      <c r="I144" s="371">
        <f t="shared" si="45"/>
        <v>1065436.03</v>
      </c>
      <c r="J144" s="303">
        <f t="shared" si="45"/>
        <v>50635</v>
      </c>
      <c r="K144" s="303">
        <f>SUM(K132:K143)</f>
        <v>9284.7900000000009</v>
      </c>
      <c r="L144" s="303">
        <f t="shared" si="45"/>
        <v>-347218.89999999997</v>
      </c>
      <c r="M144" s="303"/>
      <c r="N144" s="303">
        <f t="shared" si="45"/>
        <v>594338.12</v>
      </c>
      <c r="O144" s="303">
        <f t="shared" si="45"/>
        <v>52143.588000000003</v>
      </c>
      <c r="P144" s="303">
        <f t="shared" si="45"/>
        <v>399400</v>
      </c>
      <c r="Q144" s="303">
        <f t="shared" si="45"/>
        <v>3074</v>
      </c>
      <c r="R144" s="362"/>
      <c r="T144" s="367">
        <f t="shared" si="42"/>
        <v>782</v>
      </c>
      <c r="U144" s="366">
        <f t="shared" si="43"/>
        <v>80510446</v>
      </c>
      <c r="V144" s="374">
        <f>SUM(V132:V143)</f>
        <v>252472.99289099532</v>
      </c>
      <c r="W144" s="305"/>
      <c r="X144" s="366">
        <f>SUM(X132:X143)</f>
        <v>6067324.1899999995</v>
      </c>
    </row>
    <row r="145" spans="1:27" x14ac:dyDescent="0.2">
      <c r="A145" s="310"/>
      <c r="B145" s="311"/>
      <c r="C145" s="311"/>
      <c r="D145" s="312"/>
      <c r="E145" s="312"/>
      <c r="F145" s="312"/>
      <c r="G145" s="312"/>
      <c r="H145" s="312"/>
      <c r="I145" s="312"/>
      <c r="J145" s="312"/>
      <c r="K145" s="312"/>
      <c r="L145" s="312"/>
      <c r="M145" s="312"/>
      <c r="N145" s="312"/>
      <c r="O145" s="312"/>
      <c r="P145" s="312"/>
      <c r="Q145" s="312"/>
      <c r="T145" s="387">
        <f>T144/12</f>
        <v>65.166666666666671</v>
      </c>
    </row>
    <row r="146" spans="1:27" s="316" customFormat="1" x14ac:dyDescent="0.2">
      <c r="A146" s="313"/>
      <c r="B146" s="314"/>
      <c r="C146" s="314"/>
      <c r="D146" s="315"/>
      <c r="E146" s="315"/>
      <c r="F146" s="315"/>
      <c r="G146" s="315"/>
      <c r="H146" s="315"/>
      <c r="I146" s="315"/>
      <c r="J146" s="315"/>
      <c r="K146" s="315"/>
      <c r="L146" s="315"/>
      <c r="M146" s="315"/>
      <c r="N146" s="315"/>
      <c r="O146" s="315"/>
      <c r="P146" s="315"/>
      <c r="Q146" s="315"/>
    </row>
    <row r="148" spans="1:27" x14ac:dyDescent="0.2">
      <c r="A148" s="286"/>
      <c r="B148" s="317" t="s">
        <v>191</v>
      </c>
      <c r="C148" s="435" t="s">
        <v>192</v>
      </c>
      <c r="D148" s="436"/>
      <c r="E148" s="436"/>
      <c r="F148" s="436"/>
      <c r="G148" s="436"/>
      <c r="P148" s="305">
        <f>P144+P127+P110+P92+P75+P56+P37+P19</f>
        <v>9751668</v>
      </c>
    </row>
    <row r="149" spans="1:27" x14ac:dyDescent="0.2">
      <c r="A149" s="286"/>
      <c r="B149" s="317"/>
      <c r="C149" s="318"/>
      <c r="D149" s="319"/>
      <c r="E149" s="319"/>
      <c r="F149" s="292" t="s">
        <v>158</v>
      </c>
      <c r="G149" s="319"/>
      <c r="H149" s="362"/>
    </row>
    <row r="150" spans="1:27" x14ac:dyDescent="0.2">
      <c r="A150" s="286"/>
      <c r="B150" s="317"/>
      <c r="C150" s="318"/>
      <c r="D150" s="319"/>
      <c r="E150" s="319"/>
      <c r="F150" s="296" t="s">
        <v>163</v>
      </c>
      <c r="G150" s="319"/>
      <c r="H150" s="362"/>
      <c r="I150" s="389" t="s">
        <v>225</v>
      </c>
      <c r="J150" s="389" t="s">
        <v>165</v>
      </c>
      <c r="L150" s="389" t="s">
        <v>223</v>
      </c>
      <c r="N150" s="224" t="s">
        <v>226</v>
      </c>
      <c r="X150" s="388" t="s">
        <v>224</v>
      </c>
    </row>
    <row r="151" spans="1:27" x14ac:dyDescent="0.2">
      <c r="A151" s="292" t="s">
        <v>167</v>
      </c>
      <c r="B151" s="285" t="s">
        <v>168</v>
      </c>
      <c r="C151" s="285" t="s">
        <v>173</v>
      </c>
      <c r="D151" s="285" t="s">
        <v>127</v>
      </c>
      <c r="E151" s="285" t="s">
        <v>193</v>
      </c>
      <c r="F151" s="296" t="s">
        <v>42</v>
      </c>
      <c r="G151" s="285" t="s">
        <v>164</v>
      </c>
      <c r="H151" s="362"/>
      <c r="I151" s="390" t="s">
        <v>42</v>
      </c>
      <c r="J151" s="389" t="s">
        <v>127</v>
      </c>
      <c r="L151" s="389" t="s">
        <v>127</v>
      </c>
      <c r="N151" s="392" t="s">
        <v>42</v>
      </c>
      <c r="T151" s="347" t="s">
        <v>208</v>
      </c>
      <c r="U151" s="347" t="s">
        <v>127</v>
      </c>
      <c r="V151" s="347" t="s">
        <v>193</v>
      </c>
    </row>
    <row r="152" spans="1:27" x14ac:dyDescent="0.2">
      <c r="A152" s="292" t="s">
        <v>144</v>
      </c>
      <c r="B152" s="320" t="s">
        <v>116</v>
      </c>
      <c r="C152" s="302">
        <v>170</v>
      </c>
      <c r="D152" s="302">
        <v>15806</v>
      </c>
      <c r="E152" s="302">
        <v>2265.96</v>
      </c>
      <c r="F152" s="321">
        <v>13.54</v>
      </c>
      <c r="G152" s="321">
        <v>191.22</v>
      </c>
      <c r="H152" s="362"/>
      <c r="I152" s="305">
        <f>E152</f>
        <v>2265.96</v>
      </c>
      <c r="J152" s="223">
        <f>P7+P25+P44+P63+P80+P98+P115+P132</f>
        <v>823520</v>
      </c>
      <c r="K152" s="384"/>
      <c r="L152" s="305">
        <f>J152+D152</f>
        <v>839326</v>
      </c>
      <c r="N152" s="305">
        <f>O7+O25+O44+O63+O80+O98+O115+O132</f>
        <v>125543.70999999999</v>
      </c>
      <c r="T152">
        <f>C152</f>
        <v>170</v>
      </c>
      <c r="U152" s="305">
        <f>D152</f>
        <v>15806</v>
      </c>
      <c r="V152" s="305">
        <f>E152</f>
        <v>2265.96</v>
      </c>
      <c r="X152" s="305">
        <f>X7+X25+X44+X63+X80+X98+X115+X132+I152+N152</f>
        <v>4470081.6900000004</v>
      </c>
      <c r="Z152" s="305">
        <f>Z37</f>
        <v>30074337.220000003</v>
      </c>
      <c r="AA152" s="394" t="s">
        <v>138</v>
      </c>
    </row>
    <row r="153" spans="1:27" x14ac:dyDescent="0.2">
      <c r="A153" s="304"/>
      <c r="B153" s="320" t="s">
        <v>117</v>
      </c>
      <c r="C153" s="302">
        <v>171</v>
      </c>
      <c r="D153" s="302">
        <v>15876</v>
      </c>
      <c r="E153" s="302">
        <v>2275.1</v>
      </c>
      <c r="F153" s="321">
        <v>-77.22</v>
      </c>
      <c r="G153" s="321">
        <v>158.37</v>
      </c>
      <c r="H153" s="362"/>
      <c r="I153" s="305">
        <f t="shared" ref="I153:I154" si="46">E153</f>
        <v>2275.1</v>
      </c>
      <c r="J153" s="223">
        <f t="shared" ref="J153:J163" si="47">P8+P26+P45+P64+P81+P99+P116+P133</f>
        <v>819566</v>
      </c>
      <c r="K153" s="384"/>
      <c r="L153" s="305">
        <f t="shared" ref="L153:L163" si="48">J153+D153</f>
        <v>835442</v>
      </c>
      <c r="N153" s="305">
        <f t="shared" ref="N153:N163" si="49">O8+O26+O45+O64+O81+O99+O116+O133</f>
        <v>125249.06</v>
      </c>
      <c r="T153">
        <f t="shared" ref="T153:T164" si="50">C153</f>
        <v>171</v>
      </c>
      <c r="U153" s="305">
        <f t="shared" ref="U153:U164" si="51">D153</f>
        <v>15876</v>
      </c>
      <c r="V153" s="305">
        <f t="shared" ref="V153:V164" si="52">E153</f>
        <v>2275.1</v>
      </c>
      <c r="X153" s="305">
        <f t="shared" ref="X153:X163" si="53">X8+X26+X45+X64+X81+X99+X116+X133+I153+N153</f>
        <v>3951487.5500000007</v>
      </c>
      <c r="Z153" s="305">
        <f>X56</f>
        <v>7853.6399999999994</v>
      </c>
      <c r="AA153" s="394" t="s">
        <v>146</v>
      </c>
    </row>
    <row r="154" spans="1:27" x14ac:dyDescent="0.2">
      <c r="A154" s="304"/>
      <c r="B154" s="320" t="s">
        <v>118</v>
      </c>
      <c r="C154" s="302">
        <v>174</v>
      </c>
      <c r="D154" s="302">
        <v>16018</v>
      </c>
      <c r="E154" s="302">
        <v>2257.3200000000002</v>
      </c>
      <c r="F154" s="321">
        <v>-58.18</v>
      </c>
      <c r="G154" s="321">
        <v>123.08</v>
      </c>
      <c r="H154" s="362"/>
      <c r="I154" s="305">
        <f t="shared" si="46"/>
        <v>2257.3200000000002</v>
      </c>
      <c r="J154" s="223">
        <f t="shared" si="47"/>
        <v>817344</v>
      </c>
      <c r="K154" s="384"/>
      <c r="L154" s="305">
        <f t="shared" si="48"/>
        <v>833362</v>
      </c>
      <c r="N154" s="305">
        <f t="shared" si="49"/>
        <v>125454.93999999999</v>
      </c>
      <c r="T154">
        <f t="shared" si="50"/>
        <v>174</v>
      </c>
      <c r="U154" s="305">
        <f t="shared" si="51"/>
        <v>16018</v>
      </c>
      <c r="V154" s="305">
        <f t="shared" si="52"/>
        <v>2257.3200000000002</v>
      </c>
      <c r="X154" s="305">
        <f t="shared" si="53"/>
        <v>3580773.8900000006</v>
      </c>
      <c r="Z154" s="305">
        <f>X75</f>
        <v>1615058.79</v>
      </c>
      <c r="AA154" s="394" t="s">
        <v>140</v>
      </c>
    </row>
    <row r="155" spans="1:27" x14ac:dyDescent="0.2">
      <c r="A155" s="304"/>
      <c r="B155" s="320" t="s">
        <v>174</v>
      </c>
      <c r="C155" s="302">
        <v>176</v>
      </c>
      <c r="D155" s="302">
        <v>16112</v>
      </c>
      <c r="E155" s="302">
        <v>2328.69</v>
      </c>
      <c r="F155" s="321">
        <v>-72.319999999999993</v>
      </c>
      <c r="G155" s="321">
        <v>127.6</v>
      </c>
      <c r="H155" s="362"/>
      <c r="I155" s="391">
        <f>E155+F155</f>
        <v>2256.37</v>
      </c>
      <c r="J155" s="223">
        <f t="shared" si="47"/>
        <v>819714</v>
      </c>
      <c r="K155" s="384"/>
      <c r="L155" s="305">
        <f t="shared" si="48"/>
        <v>835826</v>
      </c>
      <c r="N155" s="305">
        <f t="shared" si="49"/>
        <v>126033.69</v>
      </c>
      <c r="T155">
        <f t="shared" si="50"/>
        <v>176</v>
      </c>
      <c r="U155" s="305">
        <f t="shared" si="51"/>
        <v>16112</v>
      </c>
      <c r="V155" s="305">
        <f t="shared" si="52"/>
        <v>2328.69</v>
      </c>
      <c r="X155" s="305">
        <f t="shared" si="53"/>
        <v>2758979.9800000004</v>
      </c>
      <c r="Z155" s="305">
        <f>X92</f>
        <v>1216378.5800000003</v>
      </c>
      <c r="AA155" s="394" t="s">
        <v>140</v>
      </c>
    </row>
    <row r="156" spans="1:27" x14ac:dyDescent="0.2">
      <c r="A156" s="304"/>
      <c r="B156" s="320" t="s">
        <v>119</v>
      </c>
      <c r="C156" s="302">
        <v>174</v>
      </c>
      <c r="D156" s="302">
        <v>16252</v>
      </c>
      <c r="E156" s="302">
        <v>2310.41</v>
      </c>
      <c r="F156" s="321">
        <v>-54.81</v>
      </c>
      <c r="G156" s="321">
        <v>164.73</v>
      </c>
      <c r="H156" s="362"/>
      <c r="I156" s="391">
        <f t="shared" ref="I156:I163" si="54">E156+F156</f>
        <v>2255.6</v>
      </c>
      <c r="J156" s="223">
        <f t="shared" si="47"/>
        <v>821787</v>
      </c>
      <c r="K156" s="384"/>
      <c r="L156" s="305">
        <f t="shared" si="48"/>
        <v>838039</v>
      </c>
      <c r="N156" s="305">
        <f t="shared" si="49"/>
        <v>126511.39</v>
      </c>
      <c r="T156">
        <f t="shared" si="50"/>
        <v>174</v>
      </c>
      <c r="U156" s="305">
        <f t="shared" si="51"/>
        <v>16252</v>
      </c>
      <c r="V156" s="305">
        <f t="shared" si="52"/>
        <v>2310.41</v>
      </c>
      <c r="X156" s="305">
        <f t="shared" si="53"/>
        <v>2954095.66</v>
      </c>
      <c r="Z156" s="305">
        <f>X110</f>
        <v>2716.4499999999994</v>
      </c>
      <c r="AA156" s="394" t="s">
        <v>139</v>
      </c>
    </row>
    <row r="157" spans="1:27" x14ac:dyDescent="0.2">
      <c r="A157" s="304"/>
      <c r="B157" s="320" t="s">
        <v>175</v>
      </c>
      <c r="C157" s="302">
        <v>174</v>
      </c>
      <c r="D157" s="302">
        <v>15972</v>
      </c>
      <c r="E157" s="302">
        <v>2310.41</v>
      </c>
      <c r="F157" s="321">
        <v>-59.13</v>
      </c>
      <c r="G157" s="321">
        <v>170.38</v>
      </c>
      <c r="H157" s="362"/>
      <c r="I157" s="391">
        <f t="shared" si="54"/>
        <v>2251.2799999999997</v>
      </c>
      <c r="J157" s="223">
        <f t="shared" si="47"/>
        <v>814745</v>
      </c>
      <c r="K157" s="384"/>
      <c r="L157" s="305">
        <f t="shared" si="48"/>
        <v>830717</v>
      </c>
      <c r="N157" s="305">
        <f t="shared" si="49"/>
        <v>126446.78000000001</v>
      </c>
      <c r="T157">
        <f t="shared" si="50"/>
        <v>174</v>
      </c>
      <c r="U157" s="305">
        <f t="shared" si="51"/>
        <v>15972</v>
      </c>
      <c r="V157" s="305">
        <f t="shared" si="52"/>
        <v>2310.41</v>
      </c>
      <c r="X157" s="305">
        <f t="shared" si="53"/>
        <v>3081683.98</v>
      </c>
      <c r="Z157" s="305">
        <f>X127</f>
        <v>1204220.4700000002</v>
      </c>
      <c r="AA157" s="394" t="s">
        <v>141</v>
      </c>
    </row>
    <row r="158" spans="1:27" x14ac:dyDescent="0.2">
      <c r="A158" s="304"/>
      <c r="B158" s="320" t="s">
        <v>176</v>
      </c>
      <c r="C158" s="302">
        <v>173</v>
      </c>
      <c r="D158" s="302">
        <v>15832</v>
      </c>
      <c r="E158" s="302">
        <v>2292.7600000000002</v>
      </c>
      <c r="F158" s="321">
        <v>-56.71</v>
      </c>
      <c r="G158" s="321">
        <v>208.07</v>
      </c>
      <c r="H158" s="362"/>
      <c r="I158" s="391">
        <f t="shared" si="54"/>
        <v>2236.0500000000002</v>
      </c>
      <c r="J158" s="223">
        <f t="shared" si="47"/>
        <v>812679</v>
      </c>
      <c r="K158" s="384"/>
      <c r="L158" s="305">
        <f t="shared" si="48"/>
        <v>828511</v>
      </c>
      <c r="N158" s="305">
        <f t="shared" si="49"/>
        <v>126181.16</v>
      </c>
      <c r="T158">
        <f t="shared" si="50"/>
        <v>173</v>
      </c>
      <c r="U158" s="305">
        <f t="shared" si="51"/>
        <v>15832</v>
      </c>
      <c r="V158" s="305">
        <f t="shared" si="52"/>
        <v>2292.7600000000002</v>
      </c>
      <c r="X158" s="305">
        <f t="shared" si="53"/>
        <v>3564720.14</v>
      </c>
      <c r="Z158" s="305">
        <f>X144</f>
        <v>6067324.1899999995</v>
      </c>
      <c r="AA158" s="394" t="s">
        <v>142</v>
      </c>
    </row>
    <row r="159" spans="1:27" x14ac:dyDescent="0.2">
      <c r="A159" s="304"/>
      <c r="B159" s="320" t="s">
        <v>120</v>
      </c>
      <c r="C159" s="302">
        <v>171</v>
      </c>
      <c r="D159" s="302">
        <v>15764</v>
      </c>
      <c r="E159" s="302">
        <v>2241.87</v>
      </c>
      <c r="F159" s="321">
        <v>-73.36</v>
      </c>
      <c r="G159" s="321">
        <v>197.54</v>
      </c>
      <c r="H159" s="362"/>
      <c r="I159" s="391">
        <f t="shared" si="54"/>
        <v>2168.5099999999998</v>
      </c>
      <c r="J159" s="223">
        <f t="shared" si="47"/>
        <v>808633</v>
      </c>
      <c r="K159" s="384"/>
      <c r="L159" s="305">
        <f t="shared" si="48"/>
        <v>824397</v>
      </c>
      <c r="N159" s="305">
        <f t="shared" si="49"/>
        <v>126493.69999999998</v>
      </c>
      <c r="T159">
        <f t="shared" si="50"/>
        <v>171</v>
      </c>
      <c r="U159" s="305">
        <f t="shared" si="51"/>
        <v>15764</v>
      </c>
      <c r="V159" s="305">
        <f t="shared" si="52"/>
        <v>2241.87</v>
      </c>
      <c r="X159" s="305">
        <f t="shared" si="53"/>
        <v>3677441.87</v>
      </c>
      <c r="Z159" s="305">
        <f>N164+I164</f>
        <v>1542021.0279999999</v>
      </c>
      <c r="AA159" s="394" t="s">
        <v>143</v>
      </c>
    </row>
    <row r="160" spans="1:27" x14ac:dyDescent="0.2">
      <c r="A160" s="304"/>
      <c r="B160" s="320" t="s">
        <v>177</v>
      </c>
      <c r="C160" s="302">
        <v>172</v>
      </c>
      <c r="D160" s="302">
        <v>15568</v>
      </c>
      <c r="E160" s="302">
        <v>2260.15</v>
      </c>
      <c r="F160" s="321">
        <v>-83.7</v>
      </c>
      <c r="G160" s="321">
        <v>202.76</v>
      </c>
      <c r="H160" s="362"/>
      <c r="I160" s="391">
        <f t="shared" si="54"/>
        <v>2176.4500000000003</v>
      </c>
      <c r="J160" s="223">
        <f t="shared" si="47"/>
        <v>808749</v>
      </c>
      <c r="K160" s="384"/>
      <c r="L160" s="305">
        <f t="shared" si="48"/>
        <v>824317</v>
      </c>
      <c r="N160" s="305">
        <f t="shared" si="49"/>
        <v>126871.42</v>
      </c>
      <c r="T160">
        <f t="shared" si="50"/>
        <v>172</v>
      </c>
      <c r="U160" s="305">
        <f t="shared" si="51"/>
        <v>15568</v>
      </c>
      <c r="V160" s="305">
        <f t="shared" si="52"/>
        <v>2260.15</v>
      </c>
      <c r="X160" s="305">
        <f t="shared" si="53"/>
        <v>3257280.3</v>
      </c>
      <c r="Z160" s="366">
        <f>SUM(Z152:Z159)</f>
        <v>41729910.368000001</v>
      </c>
      <c r="AA160" s="394" t="s">
        <v>65</v>
      </c>
    </row>
    <row r="161" spans="1:27" x14ac:dyDescent="0.2">
      <c r="A161" s="304"/>
      <c r="B161" s="320" t="s">
        <v>121</v>
      </c>
      <c r="C161" s="302">
        <v>173</v>
      </c>
      <c r="D161" s="302">
        <v>15500</v>
      </c>
      <c r="E161" s="302">
        <v>2268.81</v>
      </c>
      <c r="F161" s="321">
        <v>-107.8</v>
      </c>
      <c r="G161" s="321">
        <v>171.34</v>
      </c>
      <c r="H161" s="362"/>
      <c r="I161" s="391">
        <f t="shared" si="54"/>
        <v>2161.0099999999998</v>
      </c>
      <c r="J161" s="223">
        <f t="shared" si="47"/>
        <v>801653</v>
      </c>
      <c r="K161" s="384"/>
      <c r="L161" s="305">
        <f t="shared" si="48"/>
        <v>817153</v>
      </c>
      <c r="N161" s="305">
        <f t="shared" si="49"/>
        <v>126530.77000000003</v>
      </c>
      <c r="T161">
        <f t="shared" si="50"/>
        <v>173</v>
      </c>
      <c r="U161" s="305">
        <f t="shared" si="51"/>
        <v>15500</v>
      </c>
      <c r="V161" s="305">
        <f t="shared" si="52"/>
        <v>2268.81</v>
      </c>
      <c r="X161" s="305">
        <f t="shared" si="53"/>
        <v>2867234.57</v>
      </c>
      <c r="Z161" s="305">
        <f>Z160-X164</f>
        <v>0</v>
      </c>
      <c r="AA161" s="394" t="s">
        <v>219</v>
      </c>
    </row>
    <row r="162" spans="1:27" x14ac:dyDescent="0.2">
      <c r="A162" s="304"/>
      <c r="B162" s="320" t="s">
        <v>122</v>
      </c>
      <c r="C162" s="302">
        <v>174</v>
      </c>
      <c r="D162" s="302">
        <v>15524</v>
      </c>
      <c r="E162" s="302">
        <v>2277.16</v>
      </c>
      <c r="F162" s="321">
        <v>-102.92</v>
      </c>
      <c r="G162" s="321">
        <v>177.54</v>
      </c>
      <c r="H162" s="362"/>
      <c r="I162" s="391">
        <f t="shared" si="54"/>
        <v>2174.2399999999998</v>
      </c>
      <c r="J162" s="223">
        <f t="shared" si="47"/>
        <v>803945</v>
      </c>
      <c r="K162" s="384"/>
      <c r="L162" s="305">
        <f t="shared" si="48"/>
        <v>819469</v>
      </c>
      <c r="N162" s="305">
        <f t="shared" si="49"/>
        <v>127048.17800000001</v>
      </c>
      <c r="T162">
        <f t="shared" si="50"/>
        <v>174</v>
      </c>
      <c r="U162" s="305">
        <f t="shared" si="51"/>
        <v>15524</v>
      </c>
      <c r="V162" s="305">
        <f t="shared" si="52"/>
        <v>2277.16</v>
      </c>
      <c r="X162" s="305">
        <f t="shared" si="53"/>
        <v>3464341.8980000005</v>
      </c>
    </row>
    <row r="163" spans="1:27" x14ac:dyDescent="0.2">
      <c r="A163" s="304"/>
      <c r="B163" s="320" t="s">
        <v>123</v>
      </c>
      <c r="C163" s="302">
        <v>169</v>
      </c>
      <c r="D163" s="302">
        <v>14870</v>
      </c>
      <c r="E163" s="302">
        <v>2198.0500000000002</v>
      </c>
      <c r="F163" s="321">
        <v>-82.67</v>
      </c>
      <c r="G163" s="321">
        <v>194.33</v>
      </c>
      <c r="H163" s="362"/>
      <c r="I163" s="391">
        <f t="shared" si="54"/>
        <v>2115.38</v>
      </c>
      <c r="J163" s="223">
        <f t="shared" si="47"/>
        <v>799333</v>
      </c>
      <c r="K163" s="384"/>
      <c r="L163" s="305">
        <f t="shared" si="48"/>
        <v>814203</v>
      </c>
      <c r="N163" s="305">
        <f t="shared" si="49"/>
        <v>127062.96</v>
      </c>
      <c r="T163">
        <f t="shared" si="50"/>
        <v>169</v>
      </c>
      <c r="U163" s="305">
        <f t="shared" si="51"/>
        <v>14870</v>
      </c>
      <c r="V163" s="305">
        <f t="shared" si="52"/>
        <v>2198.0500000000002</v>
      </c>
      <c r="X163" s="305">
        <f t="shared" si="53"/>
        <v>4101788.8400000003</v>
      </c>
    </row>
    <row r="164" spans="1:27" x14ac:dyDescent="0.2">
      <c r="A164" s="301"/>
      <c r="B164" s="301" t="s">
        <v>84</v>
      </c>
      <c r="C164" s="303">
        <f>SUM(C152:C163)</f>
        <v>2071</v>
      </c>
      <c r="D164" s="303">
        <f>SUM(D152:D163)</f>
        <v>189094</v>
      </c>
      <c r="E164" s="303">
        <f>SUM(E152:E163)</f>
        <v>27286.690000000002</v>
      </c>
      <c r="F164" s="303">
        <f>SUM(F152:F163)</f>
        <v>-815.27999999999986</v>
      </c>
      <c r="G164" s="322">
        <f>SUM(G152:G163)</f>
        <v>2086.96</v>
      </c>
      <c r="H164" s="362"/>
      <c r="I164" s="312">
        <f>SUM(I152:I163)</f>
        <v>26593.27</v>
      </c>
      <c r="J164" s="312">
        <f>SUM(J152:J163)</f>
        <v>9751668</v>
      </c>
      <c r="K164" s="393"/>
      <c r="L164" s="312">
        <f>SUM(L152:L163)</f>
        <v>9940762</v>
      </c>
      <c r="M164" s="312"/>
      <c r="N164" s="312">
        <f>SUM(N152:N163)</f>
        <v>1515427.7579999999</v>
      </c>
      <c r="O164" s="311"/>
      <c r="T164" s="367">
        <f t="shared" si="50"/>
        <v>2071</v>
      </c>
      <c r="U164" s="366">
        <f t="shared" si="51"/>
        <v>189094</v>
      </c>
      <c r="V164" s="366">
        <f t="shared" si="52"/>
        <v>27286.690000000002</v>
      </c>
      <c r="X164" s="366">
        <f>SUM(X152:X163)</f>
        <v>41729910.368000008</v>
      </c>
    </row>
    <row r="165" spans="1:27" x14ac:dyDescent="0.2">
      <c r="A165" s="311"/>
      <c r="B165" s="311"/>
      <c r="C165" s="312"/>
      <c r="D165" s="312"/>
      <c r="E165" s="312"/>
      <c r="F165" s="312"/>
      <c r="G165" s="312"/>
      <c r="H165" s="312"/>
      <c r="I165" s="312"/>
    </row>
    <row r="166" spans="1:27" x14ac:dyDescent="0.2">
      <c r="A166" s="311"/>
      <c r="B166" s="311"/>
      <c r="C166" s="312"/>
      <c r="D166" s="312"/>
      <c r="E166" s="312"/>
      <c r="F166" s="312"/>
      <c r="G166" s="312"/>
      <c r="H166" s="312"/>
      <c r="I166" s="312"/>
    </row>
    <row r="167" spans="1:27" x14ac:dyDescent="0.2">
      <c r="A167" s="311"/>
      <c r="B167" s="311"/>
      <c r="C167" s="312"/>
      <c r="D167" s="312"/>
      <c r="E167" s="312"/>
      <c r="F167" s="312"/>
      <c r="G167" s="312"/>
      <c r="H167" s="312"/>
      <c r="I167" s="312"/>
      <c r="W167" s="275"/>
      <c r="X167" s="223"/>
    </row>
    <row r="168" spans="1:27" x14ac:dyDescent="0.2">
      <c r="A168" s="311"/>
      <c r="B168" s="311"/>
      <c r="C168" s="312"/>
      <c r="D168" s="312"/>
      <c r="E168" s="312"/>
      <c r="F168" s="312"/>
      <c r="G168" s="312"/>
      <c r="H168" s="312"/>
      <c r="I168" s="312"/>
    </row>
    <row r="169" spans="1:27" x14ac:dyDescent="0.2">
      <c r="A169" s="311"/>
      <c r="B169" s="311"/>
      <c r="C169" s="312"/>
      <c r="D169" s="312"/>
      <c r="E169" s="312"/>
      <c r="F169" s="312"/>
      <c r="G169" s="312"/>
      <c r="H169" s="312"/>
      <c r="I169" s="312"/>
      <c r="W169" s="275"/>
      <c r="X169" s="223"/>
    </row>
    <row r="172" spans="1:27" x14ac:dyDescent="0.2">
      <c r="W172" s="226" t="s">
        <v>173</v>
      </c>
      <c r="X172" s="229" t="s">
        <v>194</v>
      </c>
      <c r="Y172" s="362"/>
    </row>
    <row r="173" spans="1:27" x14ac:dyDescent="0.2">
      <c r="A173" s="285" t="s">
        <v>16</v>
      </c>
      <c r="B173" s="285" t="s">
        <v>191</v>
      </c>
      <c r="C173" s="437" t="s">
        <v>195</v>
      </c>
      <c r="D173" s="438"/>
      <c r="E173" s="437" t="s">
        <v>196</v>
      </c>
      <c r="F173" s="438"/>
      <c r="G173" s="437" t="s">
        <v>197</v>
      </c>
      <c r="H173" s="438"/>
      <c r="I173" s="437" t="s">
        <v>198</v>
      </c>
      <c r="J173" s="438"/>
      <c r="K173" s="437" t="s">
        <v>199</v>
      </c>
      <c r="L173" s="438"/>
      <c r="M173" s="437" t="s">
        <v>200</v>
      </c>
      <c r="N173" s="438"/>
      <c r="O173" s="437" t="s">
        <v>201</v>
      </c>
      <c r="P173" s="438"/>
      <c r="Q173" s="437" t="s">
        <v>202</v>
      </c>
      <c r="R173" s="438"/>
      <c r="S173" s="437" t="s">
        <v>203</v>
      </c>
      <c r="T173" s="438"/>
      <c r="U173" s="437" t="s">
        <v>204</v>
      </c>
      <c r="V173" s="438"/>
      <c r="W173" s="229" t="s">
        <v>205</v>
      </c>
      <c r="X173" s="229" t="s">
        <v>205</v>
      </c>
      <c r="Y173" s="362"/>
    </row>
    <row r="174" spans="1:27" x14ac:dyDescent="0.2">
      <c r="A174" s="323"/>
      <c r="B174" s="324" t="s">
        <v>168</v>
      </c>
      <c r="C174" s="324" t="s">
        <v>173</v>
      </c>
      <c r="D174" s="324" t="s">
        <v>127</v>
      </c>
      <c r="E174" s="324" t="s">
        <v>173</v>
      </c>
      <c r="F174" s="324" t="s">
        <v>127</v>
      </c>
      <c r="G174" s="324" t="s">
        <v>173</v>
      </c>
      <c r="H174" s="324" t="s">
        <v>127</v>
      </c>
      <c r="I174" s="324" t="s">
        <v>173</v>
      </c>
      <c r="J174" s="324" t="s">
        <v>127</v>
      </c>
      <c r="K174" s="324" t="s">
        <v>173</v>
      </c>
      <c r="L174" s="324" t="s">
        <v>127</v>
      </c>
      <c r="M174" s="324" t="s">
        <v>173</v>
      </c>
      <c r="N174" s="324" t="s">
        <v>127</v>
      </c>
      <c r="O174" s="324" t="s">
        <v>173</v>
      </c>
      <c r="P174" s="324" t="s">
        <v>127</v>
      </c>
      <c r="Q174" s="324" t="s">
        <v>173</v>
      </c>
      <c r="R174" s="324" t="s">
        <v>127</v>
      </c>
      <c r="S174" s="324" t="s">
        <v>173</v>
      </c>
      <c r="T174" s="324" t="s">
        <v>127</v>
      </c>
      <c r="U174" s="324" t="s">
        <v>173</v>
      </c>
      <c r="V174" s="324" t="s">
        <v>127</v>
      </c>
      <c r="W174" s="325"/>
      <c r="X174" s="325"/>
      <c r="Y174" s="362"/>
    </row>
    <row r="175" spans="1:27" x14ac:dyDescent="0.2">
      <c r="A175" s="286"/>
      <c r="B175" s="320" t="s">
        <v>116</v>
      </c>
      <c r="C175" s="299">
        <v>5243</v>
      </c>
      <c r="D175" s="299">
        <v>366240</v>
      </c>
      <c r="E175" s="299">
        <v>1266</v>
      </c>
      <c r="F175" s="299">
        <v>88340</v>
      </c>
      <c r="G175" s="299">
        <v>63</v>
      </c>
      <c r="H175" s="299">
        <v>4410</v>
      </c>
      <c r="I175" s="299">
        <v>62</v>
      </c>
      <c r="J175" s="299">
        <v>4270</v>
      </c>
      <c r="K175" s="326">
        <v>962</v>
      </c>
      <c r="L175" s="299">
        <v>134540</v>
      </c>
      <c r="M175" s="299">
        <v>245</v>
      </c>
      <c r="N175" s="307">
        <v>34160</v>
      </c>
      <c r="O175" s="307">
        <v>2109</v>
      </c>
      <c r="P175" s="307">
        <v>50304</v>
      </c>
      <c r="Q175" s="307">
        <v>968</v>
      </c>
      <c r="R175" s="307">
        <v>53984</v>
      </c>
      <c r="S175" s="299">
        <v>0</v>
      </c>
      <c r="T175" s="299">
        <v>0</v>
      </c>
      <c r="U175" s="286">
        <v>743</v>
      </c>
      <c r="V175" s="299">
        <v>103740</v>
      </c>
      <c r="W175" s="327">
        <f>C175+E175+G175+I175+K175+M175+O175+Q175+S175+U175</f>
        <v>11661</v>
      </c>
      <c r="X175" s="328">
        <f>D175+F175+H175+J175+L175+N175+P175+R175+T175+V175</f>
        <v>839988</v>
      </c>
      <c r="Y175" s="362"/>
    </row>
    <row r="176" spans="1:27" x14ac:dyDescent="0.2">
      <c r="A176" s="286"/>
      <c r="B176" s="320" t="s">
        <v>117</v>
      </c>
      <c r="C176" s="299">
        <v>5183</v>
      </c>
      <c r="D176" s="299">
        <v>361620</v>
      </c>
      <c r="E176" s="299">
        <v>1252</v>
      </c>
      <c r="F176" s="299">
        <v>87290</v>
      </c>
      <c r="G176" s="299">
        <v>61</v>
      </c>
      <c r="H176" s="299">
        <v>4270</v>
      </c>
      <c r="I176" s="299">
        <v>62</v>
      </c>
      <c r="J176" s="299">
        <v>4270</v>
      </c>
      <c r="K176" s="326">
        <v>962</v>
      </c>
      <c r="L176" s="299">
        <v>134260</v>
      </c>
      <c r="M176" s="299">
        <v>260</v>
      </c>
      <c r="N176" s="307">
        <v>36260</v>
      </c>
      <c r="O176" s="307">
        <v>2135</v>
      </c>
      <c r="P176" s="307">
        <v>50952</v>
      </c>
      <c r="Q176" s="299">
        <v>983</v>
      </c>
      <c r="R176" s="307">
        <v>54880</v>
      </c>
      <c r="S176" s="299">
        <v>0</v>
      </c>
      <c r="T176" s="299">
        <v>0</v>
      </c>
      <c r="U176" s="286">
        <v>733</v>
      </c>
      <c r="V176" s="299">
        <v>99820</v>
      </c>
      <c r="W176" s="327">
        <f t="shared" ref="W176:X187" si="55">C176+E176+G176+I176+K176+M176+O176+Q176+S176+U176</f>
        <v>11631</v>
      </c>
      <c r="X176" s="328">
        <f t="shared" si="55"/>
        <v>833622</v>
      </c>
      <c r="Y176" s="362"/>
    </row>
    <row r="177" spans="1:25" x14ac:dyDescent="0.2">
      <c r="A177" s="286"/>
      <c r="B177" s="320" t="s">
        <v>118</v>
      </c>
      <c r="C177" s="299">
        <v>5150</v>
      </c>
      <c r="D177" s="299">
        <v>359450</v>
      </c>
      <c r="E177" s="299">
        <v>1266</v>
      </c>
      <c r="F177" s="299">
        <v>87570</v>
      </c>
      <c r="G177" s="299">
        <v>61</v>
      </c>
      <c r="H177" s="299">
        <v>4270</v>
      </c>
      <c r="I177" s="299">
        <v>62</v>
      </c>
      <c r="J177" s="299">
        <v>4270</v>
      </c>
      <c r="K177" s="326">
        <v>955</v>
      </c>
      <c r="L177" s="299">
        <v>133140</v>
      </c>
      <c r="M177" s="299">
        <v>263</v>
      </c>
      <c r="N177" s="307">
        <v>36680</v>
      </c>
      <c r="O177" s="307">
        <v>2186</v>
      </c>
      <c r="P177" s="307">
        <v>52152</v>
      </c>
      <c r="Q177" s="307">
        <v>996</v>
      </c>
      <c r="R177" s="307">
        <v>55496</v>
      </c>
      <c r="S177" s="299">
        <v>0</v>
      </c>
      <c r="T177" s="299">
        <v>0</v>
      </c>
      <c r="U177" s="286">
        <v>736</v>
      </c>
      <c r="V177" s="299">
        <v>102760</v>
      </c>
      <c r="W177" s="327">
        <f t="shared" si="55"/>
        <v>11675</v>
      </c>
      <c r="X177" s="328">
        <f t="shared" si="55"/>
        <v>835788</v>
      </c>
      <c r="Y177" s="362"/>
    </row>
    <row r="178" spans="1:25" x14ac:dyDescent="0.2">
      <c r="A178" s="286"/>
      <c r="B178" s="320" t="s">
        <v>174</v>
      </c>
      <c r="C178" s="299">
        <v>5106</v>
      </c>
      <c r="D178" s="299">
        <v>356370</v>
      </c>
      <c r="E178" s="299">
        <v>1239</v>
      </c>
      <c r="F178" s="299">
        <v>86660</v>
      </c>
      <c r="G178" s="299">
        <v>61</v>
      </c>
      <c r="H178" s="299">
        <v>4270</v>
      </c>
      <c r="I178" s="299">
        <v>62</v>
      </c>
      <c r="J178" s="299">
        <v>4270</v>
      </c>
      <c r="K178" s="326">
        <v>952</v>
      </c>
      <c r="L178" s="299">
        <v>133000</v>
      </c>
      <c r="M178" s="299">
        <v>279</v>
      </c>
      <c r="N178" s="307">
        <v>38360</v>
      </c>
      <c r="O178" s="307">
        <v>2237</v>
      </c>
      <c r="P178" s="307">
        <v>53448</v>
      </c>
      <c r="Q178" s="307">
        <v>1006</v>
      </c>
      <c r="R178" s="307">
        <v>56224</v>
      </c>
      <c r="S178" s="299">
        <v>0</v>
      </c>
      <c r="T178" s="299">
        <v>0</v>
      </c>
      <c r="U178" s="286">
        <v>736</v>
      </c>
      <c r="V178" s="299">
        <v>102620</v>
      </c>
      <c r="W178" s="327">
        <f t="shared" si="55"/>
        <v>11678</v>
      </c>
      <c r="X178" s="328">
        <f t="shared" si="55"/>
        <v>835222</v>
      </c>
      <c r="Y178" s="362"/>
    </row>
    <row r="179" spans="1:25" x14ac:dyDescent="0.2">
      <c r="A179" s="286"/>
      <c r="B179" s="320" t="s">
        <v>119</v>
      </c>
      <c r="C179" s="299">
        <v>5071</v>
      </c>
      <c r="D179" s="299">
        <v>354340</v>
      </c>
      <c r="E179" s="299">
        <v>1237</v>
      </c>
      <c r="F179" s="299">
        <v>86240</v>
      </c>
      <c r="G179" s="299">
        <v>63</v>
      </c>
      <c r="H179" s="299">
        <v>4410</v>
      </c>
      <c r="I179" s="299">
        <v>63</v>
      </c>
      <c r="J179" s="299">
        <v>4340</v>
      </c>
      <c r="K179" s="326">
        <v>958</v>
      </c>
      <c r="L179" s="299">
        <v>133980</v>
      </c>
      <c r="M179" s="299">
        <v>284</v>
      </c>
      <c r="N179" s="307">
        <v>39480</v>
      </c>
      <c r="O179" s="307">
        <v>2302</v>
      </c>
      <c r="P179" s="307">
        <v>54960</v>
      </c>
      <c r="Q179" s="307">
        <v>1031</v>
      </c>
      <c r="R179" s="307">
        <v>57624</v>
      </c>
      <c r="S179" s="299">
        <v>3</v>
      </c>
      <c r="T179" s="299">
        <v>231</v>
      </c>
      <c r="U179" s="286">
        <v>734</v>
      </c>
      <c r="V179" s="299">
        <v>102480</v>
      </c>
      <c r="W179" s="327">
        <f t="shared" si="55"/>
        <v>11746</v>
      </c>
      <c r="X179" s="328">
        <f t="shared" si="55"/>
        <v>838085</v>
      </c>
      <c r="Y179" s="362"/>
    </row>
    <row r="180" spans="1:25" x14ac:dyDescent="0.2">
      <c r="A180" s="286"/>
      <c r="B180" s="320" t="s">
        <v>175</v>
      </c>
      <c r="C180" s="299">
        <v>5028</v>
      </c>
      <c r="D180" s="299">
        <v>350980</v>
      </c>
      <c r="E180" s="299">
        <v>1219</v>
      </c>
      <c r="F180" s="299">
        <v>85050</v>
      </c>
      <c r="G180" s="299">
        <v>62</v>
      </c>
      <c r="H180" s="299">
        <v>4340</v>
      </c>
      <c r="I180" s="299">
        <v>63</v>
      </c>
      <c r="J180" s="299">
        <v>4340</v>
      </c>
      <c r="K180" s="326">
        <v>946</v>
      </c>
      <c r="L180" s="299">
        <v>132300</v>
      </c>
      <c r="M180" s="299">
        <v>277</v>
      </c>
      <c r="N180" s="307">
        <v>38360</v>
      </c>
      <c r="O180" s="307">
        <v>2315</v>
      </c>
      <c r="P180" s="307">
        <v>55344</v>
      </c>
      <c r="Q180" s="307">
        <v>1040</v>
      </c>
      <c r="R180" s="307">
        <v>58016</v>
      </c>
      <c r="S180" s="299">
        <v>3</v>
      </c>
      <c r="T180" s="299">
        <v>231</v>
      </c>
      <c r="U180" s="286">
        <v>725</v>
      </c>
      <c r="V180" s="299">
        <v>101360</v>
      </c>
      <c r="W180" s="327">
        <f t="shared" si="55"/>
        <v>11678</v>
      </c>
      <c r="X180" s="328">
        <f t="shared" si="55"/>
        <v>830321</v>
      </c>
      <c r="Y180" s="362"/>
    </row>
    <row r="181" spans="1:25" x14ac:dyDescent="0.2">
      <c r="A181" s="286"/>
      <c r="B181" s="320" t="s">
        <v>176</v>
      </c>
      <c r="C181" s="299">
        <v>5000</v>
      </c>
      <c r="D181" s="299">
        <v>348810</v>
      </c>
      <c r="E181" s="299">
        <v>1215</v>
      </c>
      <c r="F181" s="299">
        <v>84490</v>
      </c>
      <c r="G181" s="299">
        <v>61</v>
      </c>
      <c r="H181" s="299">
        <v>4270</v>
      </c>
      <c r="I181" s="299">
        <v>62</v>
      </c>
      <c r="J181" s="299">
        <v>4270</v>
      </c>
      <c r="K181" s="326">
        <v>945</v>
      </c>
      <c r="L181" s="299">
        <v>130060</v>
      </c>
      <c r="M181" s="299">
        <v>283</v>
      </c>
      <c r="N181" s="307">
        <v>39480</v>
      </c>
      <c r="O181" s="307">
        <v>2391</v>
      </c>
      <c r="P181" s="307">
        <v>57216</v>
      </c>
      <c r="Q181" s="307">
        <v>1061</v>
      </c>
      <c r="R181" s="307">
        <v>59024</v>
      </c>
      <c r="S181" s="299">
        <v>3</v>
      </c>
      <c r="T181" s="299">
        <v>231</v>
      </c>
      <c r="U181" s="286">
        <v>722</v>
      </c>
      <c r="V181" s="299">
        <v>100940</v>
      </c>
      <c r="W181" s="327">
        <f t="shared" si="55"/>
        <v>11743</v>
      </c>
      <c r="X181" s="328">
        <f t="shared" si="55"/>
        <v>828791</v>
      </c>
      <c r="Y181" s="362"/>
    </row>
    <row r="182" spans="1:25" x14ac:dyDescent="0.2">
      <c r="A182" s="286"/>
      <c r="B182" s="320" t="s">
        <v>120</v>
      </c>
      <c r="C182" s="299">
        <v>4947</v>
      </c>
      <c r="D182" s="299">
        <v>345380</v>
      </c>
      <c r="E182" s="299">
        <v>1204</v>
      </c>
      <c r="F182" s="299">
        <v>83860</v>
      </c>
      <c r="G182" s="299">
        <v>63</v>
      </c>
      <c r="H182" s="299">
        <v>4410</v>
      </c>
      <c r="I182" s="299">
        <v>60</v>
      </c>
      <c r="J182" s="299">
        <v>4130</v>
      </c>
      <c r="K182" s="326">
        <v>923</v>
      </c>
      <c r="L182" s="299">
        <v>129220</v>
      </c>
      <c r="M182" s="299">
        <v>279</v>
      </c>
      <c r="N182" s="307">
        <v>38920</v>
      </c>
      <c r="O182" s="307">
        <v>2452</v>
      </c>
      <c r="P182" s="307">
        <v>58632</v>
      </c>
      <c r="Q182" s="307">
        <v>1081</v>
      </c>
      <c r="R182" s="307">
        <v>60424</v>
      </c>
      <c r="S182" s="299">
        <v>3</v>
      </c>
      <c r="T182" s="299">
        <v>231</v>
      </c>
      <c r="U182" s="286">
        <v>711</v>
      </c>
      <c r="V182" s="299">
        <v>99260</v>
      </c>
      <c r="W182" s="327">
        <f t="shared" si="55"/>
        <v>11723</v>
      </c>
      <c r="X182" s="328">
        <f t="shared" si="55"/>
        <v>824467</v>
      </c>
      <c r="Y182" s="362"/>
    </row>
    <row r="183" spans="1:25" x14ac:dyDescent="0.2">
      <c r="A183" s="286"/>
      <c r="B183" s="320" t="s">
        <v>177</v>
      </c>
      <c r="C183" s="299">
        <v>4894</v>
      </c>
      <c r="D183" s="299">
        <v>341950</v>
      </c>
      <c r="E183" s="299">
        <v>1204</v>
      </c>
      <c r="F183" s="299">
        <v>84000</v>
      </c>
      <c r="G183" s="299">
        <v>61</v>
      </c>
      <c r="H183" s="299">
        <v>4270</v>
      </c>
      <c r="I183" s="299">
        <v>60</v>
      </c>
      <c r="J183" s="299">
        <v>4130</v>
      </c>
      <c r="K183" s="326">
        <v>925</v>
      </c>
      <c r="L183" s="299">
        <v>129360</v>
      </c>
      <c r="M183" s="299">
        <v>286</v>
      </c>
      <c r="N183" s="307">
        <v>39900</v>
      </c>
      <c r="O183" s="307">
        <v>2502</v>
      </c>
      <c r="P183" s="307">
        <v>59784</v>
      </c>
      <c r="Q183" s="307">
        <v>1099</v>
      </c>
      <c r="R183" s="307">
        <v>61432</v>
      </c>
      <c r="S183" s="299">
        <v>3</v>
      </c>
      <c r="T183" s="299">
        <v>231</v>
      </c>
      <c r="U183" s="286">
        <v>709</v>
      </c>
      <c r="V183" s="299">
        <v>99120</v>
      </c>
      <c r="W183" s="327">
        <f t="shared" si="55"/>
        <v>11743</v>
      </c>
      <c r="X183" s="328">
        <f t="shared" si="55"/>
        <v>824177</v>
      </c>
      <c r="Y183" s="362"/>
    </row>
    <row r="184" spans="1:25" x14ac:dyDescent="0.2">
      <c r="A184" s="286"/>
      <c r="B184" s="320" t="s">
        <v>121</v>
      </c>
      <c r="C184" s="299">
        <v>4857</v>
      </c>
      <c r="D184" s="299">
        <v>338870</v>
      </c>
      <c r="E184" s="299">
        <v>1195</v>
      </c>
      <c r="F184" s="299">
        <v>83510</v>
      </c>
      <c r="G184" s="299">
        <v>62</v>
      </c>
      <c r="H184" s="299">
        <v>4340</v>
      </c>
      <c r="I184" s="299">
        <v>60</v>
      </c>
      <c r="J184" s="299">
        <v>4200</v>
      </c>
      <c r="K184" s="326">
        <v>915</v>
      </c>
      <c r="L184" s="299">
        <v>127540</v>
      </c>
      <c r="M184" s="299">
        <v>287</v>
      </c>
      <c r="N184" s="307">
        <v>39900</v>
      </c>
      <c r="O184" s="307">
        <v>2549</v>
      </c>
      <c r="P184" s="307">
        <v>60936</v>
      </c>
      <c r="Q184" s="307">
        <v>1113</v>
      </c>
      <c r="R184" s="307">
        <v>62160</v>
      </c>
      <c r="S184" s="299">
        <v>3</v>
      </c>
      <c r="T184" s="299">
        <v>231</v>
      </c>
      <c r="U184" s="286">
        <v>702</v>
      </c>
      <c r="V184" s="299">
        <v>98140</v>
      </c>
      <c r="W184" s="327">
        <f t="shared" si="55"/>
        <v>11743</v>
      </c>
      <c r="X184" s="328">
        <f t="shared" si="55"/>
        <v>819827</v>
      </c>
      <c r="Y184" s="362"/>
    </row>
    <row r="185" spans="1:25" x14ac:dyDescent="0.2">
      <c r="A185" s="286"/>
      <c r="B185" s="320" t="s">
        <v>122</v>
      </c>
      <c r="C185" s="299">
        <v>4806</v>
      </c>
      <c r="D185" s="299">
        <v>335790</v>
      </c>
      <c r="E185" s="299">
        <v>1173</v>
      </c>
      <c r="F185" s="299">
        <v>82110</v>
      </c>
      <c r="G185" s="299">
        <v>63</v>
      </c>
      <c r="H185" s="299">
        <v>4410</v>
      </c>
      <c r="I185" s="299">
        <v>57</v>
      </c>
      <c r="J185" s="299">
        <v>3990</v>
      </c>
      <c r="K185" s="326">
        <v>909</v>
      </c>
      <c r="L185" s="299">
        <v>126840</v>
      </c>
      <c r="M185" s="299">
        <v>292</v>
      </c>
      <c r="N185" s="307">
        <v>40460</v>
      </c>
      <c r="O185" s="307">
        <v>2617</v>
      </c>
      <c r="P185" s="307">
        <v>62664</v>
      </c>
      <c r="Q185" s="307">
        <v>1137</v>
      </c>
      <c r="R185" s="307">
        <v>63504</v>
      </c>
      <c r="S185" s="299">
        <v>3</v>
      </c>
      <c r="T185" s="299">
        <v>231</v>
      </c>
      <c r="U185" s="286">
        <v>710</v>
      </c>
      <c r="V185" s="299">
        <v>99260</v>
      </c>
      <c r="W185" s="327">
        <f t="shared" si="55"/>
        <v>11767</v>
      </c>
      <c r="X185" s="328">
        <f t="shared" si="55"/>
        <v>819259</v>
      </c>
      <c r="Y185" s="362"/>
    </row>
    <row r="186" spans="1:25" x14ac:dyDescent="0.2">
      <c r="A186" s="286"/>
      <c r="B186" s="320" t="s">
        <v>123</v>
      </c>
      <c r="C186" s="299">
        <v>4751</v>
      </c>
      <c r="D186" s="299">
        <v>331100</v>
      </c>
      <c r="E186" s="299">
        <v>1166</v>
      </c>
      <c r="F186" s="299">
        <v>81480</v>
      </c>
      <c r="G186" s="299">
        <v>61</v>
      </c>
      <c r="H186" s="299">
        <v>4270</v>
      </c>
      <c r="I186" s="299">
        <v>57</v>
      </c>
      <c r="J186" s="299">
        <v>3990</v>
      </c>
      <c r="K186" s="326">
        <v>897</v>
      </c>
      <c r="L186" s="299">
        <v>125580</v>
      </c>
      <c r="M186" s="299">
        <v>293</v>
      </c>
      <c r="N186" s="307">
        <v>40880</v>
      </c>
      <c r="O186" s="307">
        <v>2659</v>
      </c>
      <c r="P186" s="307">
        <v>63600</v>
      </c>
      <c r="Q186" s="307">
        <v>1143</v>
      </c>
      <c r="R186" s="307">
        <v>63840</v>
      </c>
      <c r="S186" s="299">
        <v>7</v>
      </c>
      <c r="T186" s="299">
        <v>539</v>
      </c>
      <c r="U186" s="286">
        <v>703</v>
      </c>
      <c r="V186" s="299">
        <v>98280</v>
      </c>
      <c r="W186" s="327">
        <f t="shared" si="55"/>
        <v>11737</v>
      </c>
      <c r="X186" s="328">
        <f t="shared" si="55"/>
        <v>813559</v>
      </c>
      <c r="Y186" s="362"/>
    </row>
    <row r="187" spans="1:25" x14ac:dyDescent="0.2">
      <c r="A187" s="285"/>
      <c r="B187" s="285" t="s">
        <v>84</v>
      </c>
      <c r="C187" s="300">
        <f t="shared" ref="C187:V187" si="56">SUM(C175:C186)</f>
        <v>60036</v>
      </c>
      <c r="D187" s="300">
        <f t="shared" si="56"/>
        <v>4190900</v>
      </c>
      <c r="E187" s="300">
        <f t="shared" si="56"/>
        <v>14636</v>
      </c>
      <c r="F187" s="300">
        <f t="shared" si="56"/>
        <v>1020600</v>
      </c>
      <c r="G187" s="300">
        <f t="shared" si="56"/>
        <v>742</v>
      </c>
      <c r="H187" s="300">
        <f t="shared" si="56"/>
        <v>51940</v>
      </c>
      <c r="I187" s="300">
        <f t="shared" si="56"/>
        <v>730</v>
      </c>
      <c r="J187" s="300">
        <f t="shared" si="56"/>
        <v>50470</v>
      </c>
      <c r="K187" s="300">
        <f t="shared" si="56"/>
        <v>11249</v>
      </c>
      <c r="L187" s="300">
        <f t="shared" si="56"/>
        <v>1569820</v>
      </c>
      <c r="M187" s="300">
        <f t="shared" si="56"/>
        <v>3328</v>
      </c>
      <c r="N187" s="300">
        <f t="shared" si="56"/>
        <v>462840</v>
      </c>
      <c r="O187" s="300">
        <f>SUM(O175:O186)</f>
        <v>28454</v>
      </c>
      <c r="P187" s="300">
        <f>SUM(P175:P186)</f>
        <v>679992</v>
      </c>
      <c r="Q187" s="300">
        <f>SUM(Q175:Q186)</f>
        <v>12658</v>
      </c>
      <c r="R187" s="300">
        <f>SUM(R175:R186)</f>
        <v>706608</v>
      </c>
      <c r="S187" s="300">
        <f t="shared" si="56"/>
        <v>28</v>
      </c>
      <c r="T187" s="300">
        <f t="shared" si="56"/>
        <v>2156</v>
      </c>
      <c r="U187" s="300">
        <f t="shared" si="56"/>
        <v>8664</v>
      </c>
      <c r="V187" s="300">
        <f t="shared" si="56"/>
        <v>1207780</v>
      </c>
      <c r="W187" s="327">
        <f t="shared" si="55"/>
        <v>140525</v>
      </c>
      <c r="X187" s="328">
        <f t="shared" si="55"/>
        <v>9943106</v>
      </c>
      <c r="Y187" s="362"/>
    </row>
    <row r="189" spans="1:25" x14ac:dyDescent="0.2">
      <c r="C189" s="305"/>
      <c r="D189" s="305"/>
      <c r="E189" s="305"/>
      <c r="F189" s="305"/>
      <c r="G189" s="305"/>
      <c r="H189" s="305"/>
      <c r="I189" s="305"/>
      <c r="J189" s="305"/>
      <c r="K189" s="305"/>
      <c r="L189" s="305"/>
      <c r="M189" s="305"/>
      <c r="N189" s="305"/>
      <c r="O189" s="305"/>
      <c r="P189" s="305"/>
      <c r="Q189" s="305"/>
      <c r="R189" s="305"/>
      <c r="S189" s="305"/>
      <c r="T189" s="305"/>
      <c r="U189" s="305"/>
      <c r="V189" s="305"/>
    </row>
  </sheetData>
  <mergeCells count="11">
    <mergeCell ref="C148:G148"/>
    <mergeCell ref="O173:P173"/>
    <mergeCell ref="Q173:R173"/>
    <mergeCell ref="S173:T173"/>
    <mergeCell ref="U173:V173"/>
    <mergeCell ref="C173:D173"/>
    <mergeCell ref="E173:F173"/>
    <mergeCell ref="G173:H173"/>
    <mergeCell ref="I173:J173"/>
    <mergeCell ref="K173:L173"/>
    <mergeCell ref="M173:N173"/>
  </mergeCells>
  <pageMargins left="0.7" right="0.7" top="0.75" bottom="0.75" header="0.3" footer="0.3"/>
  <pageSetup orientation="landscape" r:id="rId1"/>
  <rowBreaks count="3" manualBreakCount="3">
    <brk id="76" max="16383" man="1"/>
    <brk id="111" max="16383" man="1"/>
    <brk id="146" max="16383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16"/>
  <sheetViews>
    <sheetView zoomScaleNormal="100" workbookViewId="0">
      <selection activeCell="H21" sqref="H21"/>
    </sheetView>
  </sheetViews>
  <sheetFormatPr defaultRowHeight="12.75" x14ac:dyDescent="0.2"/>
  <cols>
    <col min="1" max="1" width="9.140625" style="229"/>
    <col min="2" max="2" width="39.140625" bestFit="1" customWidth="1"/>
    <col min="5" max="5" width="39.140625" bestFit="1" customWidth="1"/>
    <col min="8" max="8" width="36.7109375" bestFit="1" customWidth="1"/>
  </cols>
  <sheetData>
    <row r="1" spans="1:9" x14ac:dyDescent="0.2">
      <c r="A1" s="276" t="str">
        <f>'Present and Proposed Rates'!B1</f>
        <v>Cumberland Valley Electric</v>
      </c>
    </row>
    <row r="2" spans="1:9" x14ac:dyDescent="0.2">
      <c r="A2" s="276" t="s">
        <v>129</v>
      </c>
    </row>
    <row r="3" spans="1:9" x14ac:dyDescent="0.2">
      <c r="A3" s="226"/>
    </row>
    <row r="4" spans="1:9" x14ac:dyDescent="0.2">
      <c r="A4" s="226" t="s">
        <v>111</v>
      </c>
      <c r="B4" s="277" t="s">
        <v>5</v>
      </c>
      <c r="C4" s="277" t="s">
        <v>61</v>
      </c>
    </row>
    <row r="6" spans="1:9" x14ac:dyDescent="0.2">
      <c r="A6" s="229">
        <v>1</v>
      </c>
      <c r="B6" t="s">
        <v>138</v>
      </c>
      <c r="C6" s="229" t="s">
        <v>132</v>
      </c>
      <c r="H6" s="225"/>
      <c r="I6" s="225"/>
    </row>
    <row r="7" spans="1:9" x14ac:dyDescent="0.2">
      <c r="A7" s="229">
        <v>2</v>
      </c>
      <c r="B7" t="s">
        <v>146</v>
      </c>
      <c r="C7" s="229" t="s">
        <v>145</v>
      </c>
      <c r="H7" s="225"/>
    </row>
    <row r="8" spans="1:9" x14ac:dyDescent="0.2">
      <c r="A8" s="229">
        <v>3</v>
      </c>
      <c r="B8" t="s">
        <v>140</v>
      </c>
      <c r="C8" s="229" t="s">
        <v>133</v>
      </c>
      <c r="H8" s="225"/>
    </row>
    <row r="9" spans="1:9" x14ac:dyDescent="0.2">
      <c r="A9" s="229">
        <v>4</v>
      </c>
      <c r="B9" t="s">
        <v>140</v>
      </c>
      <c r="C9" s="229" t="s">
        <v>134</v>
      </c>
      <c r="H9" s="225"/>
      <c r="I9" s="225"/>
    </row>
    <row r="10" spans="1:9" x14ac:dyDescent="0.2">
      <c r="A10" s="229">
        <v>5</v>
      </c>
      <c r="B10" t="s">
        <v>139</v>
      </c>
      <c r="C10" s="229" t="s">
        <v>137</v>
      </c>
      <c r="H10" s="225"/>
      <c r="I10" s="225"/>
    </row>
    <row r="11" spans="1:9" x14ac:dyDescent="0.2">
      <c r="A11" s="229">
        <v>6</v>
      </c>
      <c r="B11" t="s">
        <v>141</v>
      </c>
      <c r="C11" s="229" t="s">
        <v>135</v>
      </c>
      <c r="H11" s="225"/>
      <c r="I11" s="225"/>
    </row>
    <row r="12" spans="1:9" x14ac:dyDescent="0.2">
      <c r="A12" s="229">
        <v>7</v>
      </c>
      <c r="B12" t="s">
        <v>142</v>
      </c>
      <c r="C12" s="229" t="s">
        <v>136</v>
      </c>
      <c r="H12" s="225"/>
    </row>
    <row r="13" spans="1:9" x14ac:dyDescent="0.2">
      <c r="A13" s="229">
        <v>8</v>
      </c>
      <c r="B13" t="s">
        <v>143</v>
      </c>
      <c r="C13" s="229" t="s">
        <v>144</v>
      </c>
      <c r="H13" s="228"/>
    </row>
    <row r="14" spans="1:9" x14ac:dyDescent="0.2">
      <c r="A14" s="229">
        <v>9</v>
      </c>
      <c r="B14" s="228" t="s">
        <v>147</v>
      </c>
      <c r="C14" s="227" t="s">
        <v>148</v>
      </c>
      <c r="H14" s="228"/>
    </row>
    <row r="15" spans="1:9" x14ac:dyDescent="0.2">
      <c r="A15" s="229">
        <v>10</v>
      </c>
      <c r="B15" s="228" t="s">
        <v>147</v>
      </c>
      <c r="C15" s="227" t="s">
        <v>148</v>
      </c>
      <c r="H15" s="228"/>
    </row>
    <row r="16" spans="1:9" x14ac:dyDescent="0.2">
      <c r="C16" s="22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W106"/>
  <sheetViews>
    <sheetView view="pageBreakPreview" topLeftCell="A4" zoomScale="85" zoomScaleNormal="85" zoomScaleSheetLayoutView="85" workbookViewId="0">
      <selection activeCell="Y26" sqref="Y26"/>
    </sheetView>
  </sheetViews>
  <sheetFormatPr defaultRowHeight="15.75" x14ac:dyDescent="0.25"/>
  <cols>
    <col min="1" max="1" width="4.7109375" style="2" customWidth="1"/>
    <col min="2" max="2" width="15" style="2" bestFit="1" customWidth="1"/>
    <col min="3" max="3" width="22.28515625" style="2" customWidth="1"/>
    <col min="4" max="4" width="14.5703125" style="2" bestFit="1" customWidth="1"/>
    <col min="5" max="5" width="17" style="2" customWidth="1"/>
    <col min="6" max="6" width="2.7109375" style="2" customWidth="1"/>
    <col min="7" max="7" width="18" style="2" bestFit="1" customWidth="1"/>
    <col min="8" max="8" width="10" style="2" customWidth="1"/>
    <col min="9" max="10" width="4.7109375" style="2" customWidth="1"/>
    <col min="11" max="11" width="19.85546875" style="2" customWidth="1"/>
    <col min="12" max="12" width="14.5703125" style="2" customWidth="1"/>
    <col min="13" max="13" width="20.85546875" style="2" hidden="1" customWidth="1"/>
    <col min="14" max="14" width="2.7109375" style="2" hidden="1" customWidth="1"/>
    <col min="15" max="15" width="15.5703125" style="2" hidden="1" customWidth="1"/>
    <col min="16" max="16" width="10.28515625" style="2" hidden="1" customWidth="1"/>
    <col min="17" max="17" width="5" style="2" hidden="1" customWidth="1"/>
    <col min="18" max="18" width="9.140625" style="2" hidden="1" customWidth="1"/>
    <col min="19" max="19" width="22.7109375" style="2" hidden="1" customWidth="1"/>
    <col min="20" max="20" width="14.42578125" style="2" hidden="1" customWidth="1"/>
    <col min="21" max="21" width="12.7109375" style="2" hidden="1" customWidth="1"/>
    <col min="22" max="22" width="2.85546875" style="2" hidden="1" customWidth="1"/>
    <col min="23" max="23" width="17.7109375" style="2" hidden="1" customWidth="1"/>
    <col min="24" max="16384" width="9.140625" style="2"/>
  </cols>
  <sheetData>
    <row r="1" spans="1:23" x14ac:dyDescent="0.25">
      <c r="A1" s="1" t="s">
        <v>66</v>
      </c>
      <c r="I1" s="1"/>
      <c r="Q1" s="1"/>
    </row>
    <row r="2" spans="1:23" x14ac:dyDescent="0.25">
      <c r="A2" s="34" t="s">
        <v>73</v>
      </c>
      <c r="I2" s="34"/>
      <c r="Q2" s="34"/>
    </row>
    <row r="3" spans="1:23" ht="16.5" thickBot="1" x14ac:dyDescent="0.3">
      <c r="A3" s="34" t="s">
        <v>83</v>
      </c>
      <c r="B3" s="34"/>
      <c r="C3" s="34"/>
      <c r="I3" s="34"/>
      <c r="J3" s="34"/>
      <c r="K3" s="34"/>
      <c r="Q3" s="34"/>
    </row>
    <row r="4" spans="1:23" x14ac:dyDescent="0.25">
      <c r="A4" s="34"/>
      <c r="B4" s="34"/>
      <c r="C4" s="34"/>
      <c r="D4" s="421" t="s">
        <v>30</v>
      </c>
      <c r="E4" s="422"/>
      <c r="F4" s="422"/>
      <c r="G4" s="423"/>
      <c r="L4" s="421" t="s">
        <v>48</v>
      </c>
      <c r="M4" s="422"/>
      <c r="N4" s="422"/>
      <c r="O4" s="423"/>
      <c r="T4" s="421" t="s">
        <v>52</v>
      </c>
      <c r="U4" s="422"/>
      <c r="V4" s="422"/>
      <c r="W4" s="423"/>
    </row>
    <row r="5" spans="1:23" ht="16.5" thickBot="1" x14ac:dyDescent="0.3">
      <c r="A5" s="3"/>
      <c r="B5" s="3"/>
      <c r="C5" s="3"/>
      <c r="D5" s="424"/>
      <c r="E5" s="420"/>
      <c r="F5" s="420"/>
      <c r="G5" s="425"/>
      <c r="I5" s="3"/>
      <c r="J5" s="3"/>
      <c r="K5" s="3"/>
      <c r="L5" s="424"/>
      <c r="M5" s="420"/>
      <c r="N5" s="420"/>
      <c r="O5" s="425"/>
      <c r="Q5" s="3"/>
      <c r="R5" s="3"/>
      <c r="S5" s="3"/>
      <c r="T5" s="424"/>
      <c r="U5" s="420"/>
      <c r="V5" s="420"/>
      <c r="W5" s="425"/>
    </row>
    <row r="6" spans="1:23" x14ac:dyDescent="0.25">
      <c r="A6" s="4"/>
      <c r="B6" s="4"/>
      <c r="C6" s="4"/>
      <c r="D6" s="4" t="s">
        <v>1</v>
      </c>
      <c r="E6" s="4"/>
      <c r="F6" s="4"/>
      <c r="G6" s="4" t="s">
        <v>2</v>
      </c>
      <c r="I6" s="4"/>
      <c r="J6" s="4"/>
      <c r="K6" s="4"/>
      <c r="L6" s="4" t="s">
        <v>1</v>
      </c>
      <c r="M6" s="4"/>
      <c r="N6" s="4"/>
      <c r="O6" s="4" t="s">
        <v>2</v>
      </c>
      <c r="Q6" s="4"/>
      <c r="R6" s="4"/>
      <c r="S6" s="4"/>
      <c r="T6" s="4" t="s">
        <v>1</v>
      </c>
      <c r="U6" s="4"/>
      <c r="V6" s="4"/>
      <c r="W6" s="4" t="s">
        <v>2</v>
      </c>
    </row>
    <row r="7" spans="1:23" ht="16.5" thickBot="1" x14ac:dyDescent="0.3">
      <c r="A7" s="5"/>
      <c r="B7" s="5"/>
      <c r="C7" s="5"/>
      <c r="D7" s="5" t="s">
        <v>4</v>
      </c>
      <c r="E7" s="420" t="s">
        <v>5</v>
      </c>
      <c r="F7" s="420"/>
      <c r="G7" s="5" t="s">
        <v>6</v>
      </c>
      <c r="I7" s="5"/>
      <c r="J7" s="5"/>
      <c r="K7" s="5"/>
      <c r="L7" s="5" t="s">
        <v>4</v>
      </c>
      <c r="M7" s="420" t="s">
        <v>5</v>
      </c>
      <c r="N7" s="420"/>
      <c r="O7" s="5" t="s">
        <v>6</v>
      </c>
      <c r="Q7" s="5"/>
      <c r="R7" s="5"/>
      <c r="S7" s="5"/>
      <c r="T7" s="5" t="s">
        <v>4</v>
      </c>
      <c r="U7" s="420" t="s">
        <v>5</v>
      </c>
      <c r="V7" s="420"/>
      <c r="W7" s="5" t="s">
        <v>6</v>
      </c>
    </row>
    <row r="10" spans="1:23" x14ac:dyDescent="0.25">
      <c r="A10" s="1" t="s">
        <v>34</v>
      </c>
      <c r="I10" s="1" t="s">
        <v>34</v>
      </c>
      <c r="Q10" s="1" t="s">
        <v>10</v>
      </c>
    </row>
    <row r="11" spans="1:23" ht="31.5" x14ac:dyDescent="0.25">
      <c r="D11" s="6" t="s">
        <v>9</v>
      </c>
      <c r="E11" s="6" t="s">
        <v>12</v>
      </c>
      <c r="L11" s="6" t="s">
        <v>9</v>
      </c>
      <c r="M11" s="6" t="s">
        <v>12</v>
      </c>
      <c r="T11" s="6" t="s">
        <v>9</v>
      </c>
      <c r="U11" s="6" t="s">
        <v>12</v>
      </c>
    </row>
    <row r="12" spans="1:23" x14ac:dyDescent="0.25">
      <c r="B12" s="2" t="s">
        <v>41</v>
      </c>
      <c r="D12" s="8">
        <f>D52+D70+D88+D106</f>
        <v>211</v>
      </c>
      <c r="E12" s="9">
        <v>5</v>
      </c>
      <c r="G12" s="11">
        <f>D12*E12</f>
        <v>1055</v>
      </c>
      <c r="J12" s="2" t="s">
        <v>41</v>
      </c>
      <c r="L12" s="8">
        <f>D12</f>
        <v>211</v>
      </c>
      <c r="M12" s="9">
        <v>28.119042541556922</v>
      </c>
      <c r="O12" s="11">
        <f>L12*M12</f>
        <v>5933.1179762685106</v>
      </c>
      <c r="R12" s="2" t="s">
        <v>9</v>
      </c>
      <c r="T12" s="8">
        <f>L12</f>
        <v>211</v>
      </c>
      <c r="U12" s="9">
        <f>M12</f>
        <v>28.119042541556922</v>
      </c>
      <c r="W12" s="11">
        <f>T12*U12</f>
        <v>5933.1179762685106</v>
      </c>
    </row>
    <row r="13" spans="1:23" x14ac:dyDescent="0.25">
      <c r="D13" s="8"/>
      <c r="G13" s="18"/>
      <c r="L13" s="8"/>
      <c r="O13" s="18"/>
      <c r="W13" s="11"/>
    </row>
    <row r="14" spans="1:23" x14ac:dyDescent="0.25">
      <c r="A14" s="1" t="s">
        <v>7</v>
      </c>
      <c r="D14" s="8"/>
      <c r="G14" s="11"/>
      <c r="I14" s="1" t="s">
        <v>7</v>
      </c>
      <c r="L14" s="8"/>
      <c r="O14" s="11"/>
    </row>
    <row r="15" spans="1:23" x14ac:dyDescent="0.25">
      <c r="D15" s="13" t="s">
        <v>8</v>
      </c>
      <c r="E15" s="12" t="s">
        <v>11</v>
      </c>
      <c r="G15" s="11"/>
      <c r="L15" s="13" t="s">
        <v>8</v>
      </c>
      <c r="M15" s="12" t="s">
        <v>11</v>
      </c>
      <c r="O15" s="11"/>
      <c r="Q15" s="1" t="s">
        <v>7</v>
      </c>
      <c r="T15" s="8"/>
      <c r="W15" s="11"/>
    </row>
    <row r="16" spans="1:23" x14ac:dyDescent="0.25">
      <c r="G16" s="11"/>
      <c r="H16" s="15"/>
      <c r="O16" s="11"/>
      <c r="P16" s="15"/>
      <c r="T16" s="13" t="s">
        <v>8</v>
      </c>
      <c r="U16" s="12" t="s">
        <v>11</v>
      </c>
      <c r="W16" s="11"/>
    </row>
    <row r="17" spans="1:23" x14ac:dyDescent="0.25">
      <c r="C17" s="2" t="s">
        <v>74</v>
      </c>
      <c r="D17" s="39">
        <f>L52+L70</f>
        <v>152656</v>
      </c>
      <c r="E17" s="40">
        <v>0.12958</v>
      </c>
      <c r="F17" s="19"/>
      <c r="G17" s="18">
        <f>D17*E17</f>
        <v>19781.164479999999</v>
      </c>
      <c r="H17" s="15"/>
      <c r="K17" s="2" t="s">
        <v>49</v>
      </c>
      <c r="L17" s="39">
        <f>D21</f>
        <v>287187</v>
      </c>
      <c r="M17" s="76">
        <v>3.0599472934085808E-2</v>
      </c>
      <c r="N17" s="19"/>
      <c r="O17" s="18">
        <f>L17*M17</f>
        <v>8787.770833521301</v>
      </c>
      <c r="P17" s="15"/>
      <c r="R17" s="2" t="s">
        <v>50</v>
      </c>
      <c r="S17" s="16"/>
      <c r="T17" s="39">
        <f>D17</f>
        <v>152656</v>
      </c>
      <c r="U17" s="76">
        <v>0.19430837118280289</v>
      </c>
      <c r="V17" s="19"/>
      <c r="W17" s="50">
        <f>T17*U17</f>
        <v>29662.338711281958</v>
      </c>
    </row>
    <row r="18" spans="1:23" x14ac:dyDescent="0.25">
      <c r="C18" s="19" t="s">
        <v>75</v>
      </c>
      <c r="D18" s="39">
        <f>K52+K70</f>
        <v>98960</v>
      </c>
      <c r="E18" s="40">
        <v>8.4940000000000002E-2</v>
      </c>
      <c r="F18" s="19"/>
      <c r="G18" s="46">
        <f>D18*E18</f>
        <v>8405.6623999999993</v>
      </c>
      <c r="H18" s="19"/>
      <c r="K18" s="2" t="s">
        <v>31</v>
      </c>
      <c r="L18" s="8">
        <f>L17</f>
        <v>287187</v>
      </c>
      <c r="M18" s="115">
        <v>4.3642882987992938E-2</v>
      </c>
      <c r="O18" s="46">
        <f>L18*M18</f>
        <v>12533.668636672728</v>
      </c>
      <c r="P18" s="19"/>
      <c r="R18" s="7" t="s">
        <v>51</v>
      </c>
      <c r="S18" s="12"/>
      <c r="T18" s="20">
        <f>D18</f>
        <v>98960</v>
      </c>
      <c r="U18" s="102">
        <f>M17+M21</f>
        <v>5.0224803372726182E-2</v>
      </c>
      <c r="V18" s="47"/>
      <c r="W18" s="47">
        <f>T18*U18</f>
        <v>4970.2465417649828</v>
      </c>
    </row>
    <row r="19" spans="1:23" x14ac:dyDescent="0.25">
      <c r="C19" s="2" t="s">
        <v>76</v>
      </c>
      <c r="D19" s="39">
        <f>L88+L106</f>
        <v>24841</v>
      </c>
      <c r="E19" s="40">
        <v>0.12009</v>
      </c>
      <c r="F19" s="19"/>
      <c r="G19" s="46">
        <f>D19*E19</f>
        <v>2983.15569</v>
      </c>
      <c r="H19" s="19"/>
      <c r="L19" s="8"/>
      <c r="M19" s="115"/>
      <c r="O19" s="46"/>
      <c r="P19" s="19"/>
      <c r="R19" s="19"/>
      <c r="S19" s="23"/>
      <c r="T19" s="39"/>
      <c r="U19" s="114"/>
      <c r="V19" s="46"/>
      <c r="W19" s="46"/>
    </row>
    <row r="20" spans="1:23" x14ac:dyDescent="0.25">
      <c r="C20" s="7" t="s">
        <v>77</v>
      </c>
      <c r="D20" s="20">
        <f>K88+K106</f>
        <v>10730</v>
      </c>
      <c r="E20" s="33">
        <v>7.5139999999999998E-2</v>
      </c>
      <c r="F20" s="7"/>
      <c r="G20" s="47">
        <f>D20*E20</f>
        <v>806.25220000000002</v>
      </c>
      <c r="H20" s="19"/>
      <c r="L20" s="8"/>
      <c r="M20" s="115"/>
      <c r="O20" s="46"/>
      <c r="P20" s="19"/>
      <c r="R20" s="19"/>
      <c r="S20" s="23"/>
      <c r="T20" s="39"/>
      <c r="U20" s="114"/>
      <c r="V20" s="46"/>
      <c r="W20" s="46"/>
    </row>
    <row r="21" spans="1:23" x14ac:dyDescent="0.25">
      <c r="B21" s="2" t="s">
        <v>21</v>
      </c>
      <c r="C21" s="16"/>
      <c r="D21" s="8">
        <f>SUM(D17:D20)</f>
        <v>287187</v>
      </c>
      <c r="E21" s="21"/>
      <c r="G21" s="18">
        <f>SUM(G17:G20)</f>
        <v>31976.234769999999</v>
      </c>
      <c r="H21" s="15"/>
      <c r="K21" s="7" t="s">
        <v>27</v>
      </c>
      <c r="L21" s="20">
        <f>L17</f>
        <v>287187</v>
      </c>
      <c r="M21" s="102">
        <v>1.9625330438640377E-2</v>
      </c>
      <c r="N21" s="7"/>
      <c r="O21" s="47">
        <f>L21*M21</f>
        <v>5636.1397726818141</v>
      </c>
      <c r="P21" s="15"/>
      <c r="S21" s="16"/>
      <c r="T21" s="39"/>
      <c r="U21" s="114"/>
      <c r="V21" s="46"/>
      <c r="W21" s="46">
        <f>SUM(W17:W18)</f>
        <v>34632.585253046942</v>
      </c>
    </row>
    <row r="22" spans="1:23" x14ac:dyDescent="0.25">
      <c r="B22" s="19"/>
      <c r="C22" s="19"/>
      <c r="D22" s="39"/>
      <c r="E22" s="40"/>
      <c r="F22" s="19"/>
      <c r="G22" s="18"/>
      <c r="H22" s="19"/>
      <c r="J22" s="2" t="s">
        <v>21</v>
      </c>
      <c r="K22" s="16"/>
      <c r="L22" s="8"/>
      <c r="M22" s="77">
        <f>SUM(M17:M21)</f>
        <v>9.3867686360719127E-2</v>
      </c>
      <c r="O22" s="18">
        <f>SUM(O17:O21)</f>
        <v>26957.579242875843</v>
      </c>
      <c r="P22" s="19"/>
    </row>
    <row r="23" spans="1:23" x14ac:dyDescent="0.25">
      <c r="A23" s="1"/>
      <c r="B23" s="19"/>
      <c r="C23" s="19"/>
      <c r="D23" s="39"/>
      <c r="E23" s="9"/>
      <c r="F23" s="19"/>
      <c r="G23" s="18"/>
      <c r="H23" s="19"/>
      <c r="J23" s="19"/>
      <c r="K23" s="19"/>
      <c r="L23" s="39"/>
      <c r="M23" s="40"/>
      <c r="N23" s="19"/>
      <c r="O23" s="18"/>
      <c r="P23" s="19"/>
    </row>
    <row r="24" spans="1:23" x14ac:dyDescent="0.25">
      <c r="B24" s="19"/>
      <c r="C24" s="19"/>
      <c r="D24" s="39"/>
      <c r="E24" s="40"/>
      <c r="F24" s="19"/>
      <c r="G24" s="18"/>
      <c r="H24" s="19"/>
      <c r="I24" s="1" t="s">
        <v>18</v>
      </c>
      <c r="J24" s="19"/>
      <c r="K24" s="19"/>
      <c r="L24" s="39">
        <v>0</v>
      </c>
      <c r="M24" s="9">
        <v>20</v>
      </c>
      <c r="N24" s="19"/>
      <c r="O24" s="18">
        <f>L24*M24</f>
        <v>0</v>
      </c>
      <c r="P24" s="19"/>
      <c r="Q24" s="1" t="s">
        <v>18</v>
      </c>
      <c r="R24" s="19"/>
      <c r="S24" s="19"/>
      <c r="T24" s="39">
        <f>S70</f>
        <v>0</v>
      </c>
      <c r="U24" s="9">
        <v>20</v>
      </c>
      <c r="V24" s="19"/>
      <c r="W24" s="18">
        <f>T24*U24</f>
        <v>0</v>
      </c>
    </row>
    <row r="25" spans="1:23" x14ac:dyDescent="0.25">
      <c r="D25" s="8"/>
      <c r="G25" s="11"/>
      <c r="H25" s="19"/>
      <c r="J25" s="19"/>
      <c r="K25" s="19"/>
      <c r="L25" s="39"/>
      <c r="M25" s="40"/>
      <c r="N25" s="19"/>
      <c r="O25" s="18"/>
      <c r="P25" s="19"/>
      <c r="T25" s="8"/>
      <c r="W25" s="11"/>
    </row>
    <row r="26" spans="1:23" ht="16.5" thickBot="1" x14ac:dyDescent="0.3">
      <c r="A26" s="144" t="s">
        <v>80</v>
      </c>
      <c r="E26" s="21"/>
      <c r="G26" s="29">
        <f>G21+G12</f>
        <v>33031.234769999995</v>
      </c>
      <c r="H26" s="19"/>
      <c r="L26" s="8"/>
      <c r="O26" s="11"/>
      <c r="P26" s="19"/>
      <c r="T26" s="8"/>
      <c r="W26" s="11"/>
    </row>
    <row r="27" spans="1:23" ht="17.25" thickTop="1" thickBot="1" x14ac:dyDescent="0.3">
      <c r="A27" s="144"/>
      <c r="B27" s="1"/>
      <c r="G27" s="18"/>
      <c r="I27" s="1" t="s">
        <v>36</v>
      </c>
      <c r="O27" s="29">
        <f>O22+O12+O24</f>
        <v>32890.697219144356</v>
      </c>
      <c r="Q27" s="1" t="s">
        <v>36</v>
      </c>
      <c r="W27" s="29">
        <f>W12+W21+W24</f>
        <v>40565.703229315455</v>
      </c>
    </row>
    <row r="28" spans="1:23" ht="16.5" thickTop="1" x14ac:dyDescent="0.25">
      <c r="A28" s="96" t="s">
        <v>19</v>
      </c>
      <c r="B28" s="10"/>
      <c r="G28" s="11">
        <f>G52+E52+E70+G70+E88+G88+E106+G106</f>
        <v>33198.890000000007</v>
      </c>
      <c r="H28" s="25"/>
      <c r="I28" s="1"/>
      <c r="J28" s="1"/>
      <c r="O28" s="18"/>
      <c r="P28" s="25"/>
    </row>
    <row r="29" spans="1:23" x14ac:dyDescent="0.25">
      <c r="A29" s="145"/>
      <c r="B29" s="10"/>
      <c r="G29" s="10"/>
      <c r="H29" s="25"/>
      <c r="I29" s="44" t="s">
        <v>13</v>
      </c>
      <c r="J29" s="10"/>
      <c r="O29" s="27">
        <f>O27-G26</f>
        <v>-140.53755085563898</v>
      </c>
      <c r="P29" s="25"/>
      <c r="Q29" s="44" t="s">
        <v>13</v>
      </c>
      <c r="R29" s="19"/>
      <c r="S29" s="19"/>
      <c r="T29" s="39"/>
      <c r="U29" s="40"/>
      <c r="V29" s="19"/>
      <c r="W29" s="18">
        <f>W27-G26</f>
        <v>7534.4684593154598</v>
      </c>
    </row>
    <row r="30" spans="1:23" x14ac:dyDescent="0.25">
      <c r="A30" s="96" t="s">
        <v>13</v>
      </c>
      <c r="B30" s="10"/>
      <c r="G30" s="27">
        <f>G26-G28</f>
        <v>-167.65523000001122</v>
      </c>
      <c r="I30" s="10"/>
      <c r="J30" s="10"/>
      <c r="O30" s="11"/>
      <c r="Q30" s="19"/>
      <c r="R30" s="19"/>
      <c r="S30" s="19"/>
      <c r="T30" s="39"/>
      <c r="U30" s="19"/>
      <c r="V30" s="19"/>
      <c r="W30" s="17"/>
    </row>
    <row r="31" spans="1:23" x14ac:dyDescent="0.25">
      <c r="A31" s="145"/>
      <c r="B31" s="10"/>
      <c r="G31" s="11"/>
      <c r="I31" s="44" t="s">
        <v>26</v>
      </c>
      <c r="J31" s="10"/>
      <c r="O31" s="28">
        <f>O29/G26</f>
        <v>-4.2546865666456893E-3</v>
      </c>
      <c r="Q31" s="44" t="s">
        <v>22</v>
      </c>
      <c r="R31" s="19"/>
      <c r="S31" s="19"/>
      <c r="T31" s="39"/>
      <c r="U31" s="19"/>
      <c r="V31" s="19"/>
      <c r="W31" s="28">
        <f>W29/G26</f>
        <v>0.22810132626826596</v>
      </c>
    </row>
    <row r="32" spans="1:23" x14ac:dyDescent="0.25">
      <c r="A32" s="96" t="s">
        <v>26</v>
      </c>
      <c r="B32" s="10"/>
      <c r="G32" s="28">
        <f>G30/G28</f>
        <v>-5.0500251665043976E-3</v>
      </c>
    </row>
    <row r="35" spans="1:16" x14ac:dyDescent="0.25">
      <c r="A35" s="11"/>
      <c r="B35" s="11"/>
      <c r="I35" s="11"/>
      <c r="J35" s="11"/>
    </row>
    <row r="36" spans="1:16" x14ac:dyDescent="0.25">
      <c r="A36" s="10"/>
      <c r="B36" s="10"/>
      <c r="I36" s="10"/>
      <c r="J36" s="10"/>
      <c r="O36" s="18"/>
    </row>
    <row r="37" spans="1:16" x14ac:dyDescent="0.25">
      <c r="A37" s="27"/>
      <c r="B37" s="137" t="s">
        <v>71</v>
      </c>
      <c r="G37" s="32"/>
      <c r="I37" s="27"/>
      <c r="J37" s="27"/>
      <c r="K37" s="19"/>
      <c r="L37" s="19"/>
    </row>
    <row r="38" spans="1:16" x14ac:dyDescent="0.25">
      <c r="A38" s="27"/>
      <c r="B38" s="137"/>
      <c r="G38" s="32"/>
      <c r="I38" s="27"/>
      <c r="J38" s="27"/>
      <c r="K38" s="19"/>
      <c r="L38" s="19"/>
    </row>
    <row r="39" spans="1:16" x14ac:dyDescent="0.25">
      <c r="A39" s="11"/>
      <c r="B39" s="52" t="s">
        <v>25</v>
      </c>
      <c r="C39" s="52" t="s">
        <v>8</v>
      </c>
      <c r="D39" s="53" t="s">
        <v>24</v>
      </c>
      <c r="E39" s="52" t="s">
        <v>46</v>
      </c>
      <c r="F39" s="52"/>
      <c r="G39" s="52" t="s">
        <v>47</v>
      </c>
      <c r="K39" s="53" t="s">
        <v>40</v>
      </c>
      <c r="L39" s="53" t="s">
        <v>39</v>
      </c>
      <c r="O39" s="11"/>
    </row>
    <row r="40" spans="1:16" x14ac:dyDescent="0.25">
      <c r="A40" s="28"/>
      <c r="B40" s="135">
        <v>40544</v>
      </c>
      <c r="C40" s="56">
        <v>28458</v>
      </c>
      <c r="D40" s="51">
        <v>11</v>
      </c>
      <c r="E40" s="75">
        <v>3182.82</v>
      </c>
      <c r="F40" s="75"/>
      <c r="G40" s="41">
        <v>55</v>
      </c>
      <c r="H40" s="26"/>
      <c r="I40" s="46"/>
      <c r="J40" s="19"/>
      <c r="K40" s="46"/>
      <c r="M40" s="98"/>
      <c r="N40" s="19"/>
      <c r="O40" s="98"/>
      <c r="P40" s="26"/>
    </row>
    <row r="41" spans="1:16" x14ac:dyDescent="0.25">
      <c r="B41" s="135">
        <v>40575</v>
      </c>
      <c r="C41" s="56">
        <v>23431</v>
      </c>
      <c r="D41" s="51">
        <v>10</v>
      </c>
      <c r="E41" s="75">
        <v>2616.89</v>
      </c>
      <c r="F41" s="75"/>
      <c r="G41" s="41">
        <v>55</v>
      </c>
      <c r="I41" s="46"/>
      <c r="J41" s="19"/>
      <c r="K41" s="46"/>
      <c r="M41" s="98"/>
      <c r="N41" s="98"/>
      <c r="O41" s="98"/>
    </row>
    <row r="42" spans="1:16" x14ac:dyDescent="0.25">
      <c r="B42" s="135">
        <v>40603</v>
      </c>
      <c r="C42" s="56">
        <v>17779</v>
      </c>
      <c r="D42" s="51">
        <v>11</v>
      </c>
      <c r="E42" s="75">
        <v>1992.38</v>
      </c>
      <c r="F42" s="75"/>
      <c r="G42" s="41">
        <v>55</v>
      </c>
      <c r="I42" s="46"/>
      <c r="J42" s="19"/>
      <c r="K42" s="46"/>
      <c r="M42" s="98"/>
      <c r="N42" s="19"/>
      <c r="O42" s="98"/>
    </row>
    <row r="43" spans="1:16" x14ac:dyDescent="0.25">
      <c r="B43" s="135">
        <v>40634</v>
      </c>
      <c r="C43" s="56">
        <v>15819</v>
      </c>
      <c r="D43" s="51">
        <v>12</v>
      </c>
      <c r="E43" s="75">
        <v>1781.83</v>
      </c>
      <c r="F43" s="75"/>
      <c r="G43" s="41">
        <v>55</v>
      </c>
      <c r="I43" s="46"/>
      <c r="J43" s="19"/>
      <c r="K43" s="46"/>
      <c r="M43" s="98"/>
      <c r="N43" s="19"/>
      <c r="O43" s="98"/>
    </row>
    <row r="44" spans="1:16" x14ac:dyDescent="0.25">
      <c r="B44" s="135">
        <v>40664</v>
      </c>
      <c r="C44" s="56">
        <v>14984</v>
      </c>
      <c r="D44" s="94">
        <v>12</v>
      </c>
      <c r="E44" s="105">
        <v>1693.66</v>
      </c>
      <c r="F44" s="105"/>
      <c r="G44" s="138">
        <v>55</v>
      </c>
      <c r="H44" s="34"/>
      <c r="I44" s="69"/>
      <c r="J44" s="19"/>
      <c r="K44" s="69"/>
      <c r="M44" s="98"/>
      <c r="N44" s="19"/>
      <c r="O44" s="98"/>
    </row>
    <row r="45" spans="1:16" x14ac:dyDescent="0.25">
      <c r="B45" s="135">
        <v>40695</v>
      </c>
      <c r="C45" s="56">
        <v>15169</v>
      </c>
      <c r="D45" s="94">
        <v>12</v>
      </c>
      <c r="E45" s="105">
        <v>1704.98</v>
      </c>
      <c r="F45" s="105"/>
      <c r="G45" s="138">
        <v>60</v>
      </c>
      <c r="H45" s="34"/>
      <c r="I45" s="69"/>
      <c r="J45" s="19"/>
      <c r="K45" s="69"/>
      <c r="M45" s="98"/>
      <c r="N45" s="19"/>
      <c r="O45" s="98"/>
    </row>
    <row r="46" spans="1:16" x14ac:dyDescent="0.25">
      <c r="B46" s="135">
        <v>40725</v>
      </c>
      <c r="C46" s="56">
        <v>16866</v>
      </c>
      <c r="D46" s="95">
        <v>12</v>
      </c>
      <c r="E46" s="105">
        <v>1908.21</v>
      </c>
      <c r="F46" s="105"/>
      <c r="G46" s="105">
        <v>60</v>
      </c>
      <c r="H46" s="34"/>
      <c r="I46" s="69"/>
      <c r="J46" s="19"/>
      <c r="K46" s="69"/>
      <c r="M46" s="98"/>
      <c r="N46" s="19"/>
      <c r="O46" s="98"/>
    </row>
    <row r="47" spans="1:16" ht="15" customHeight="1" x14ac:dyDescent="0.25">
      <c r="B47" s="135">
        <v>40756</v>
      </c>
      <c r="C47" s="56">
        <v>12521</v>
      </c>
      <c r="D47" s="95">
        <v>12</v>
      </c>
      <c r="E47" s="105">
        <v>1429.38</v>
      </c>
      <c r="F47" s="105"/>
      <c r="G47" s="105">
        <v>60</v>
      </c>
      <c r="H47" s="34"/>
      <c r="I47" s="69"/>
      <c r="J47" s="19"/>
      <c r="K47" s="69"/>
      <c r="M47" s="98"/>
      <c r="N47" s="19"/>
      <c r="O47" s="98"/>
    </row>
    <row r="48" spans="1:16" x14ac:dyDescent="0.25">
      <c r="B48" s="135">
        <v>40422</v>
      </c>
      <c r="C48" s="56">
        <v>15269</v>
      </c>
      <c r="D48" s="95">
        <v>10</v>
      </c>
      <c r="E48" s="105">
        <v>1710.4</v>
      </c>
      <c r="F48" s="105"/>
      <c r="G48" s="105">
        <v>50</v>
      </c>
      <c r="H48" s="34"/>
      <c r="I48" s="69"/>
      <c r="J48" s="19"/>
      <c r="K48" s="69"/>
      <c r="M48" s="98"/>
      <c r="N48" s="19"/>
      <c r="O48" s="98"/>
    </row>
    <row r="49" spans="1:15" x14ac:dyDescent="0.25">
      <c r="B49" s="135">
        <v>40452</v>
      </c>
      <c r="C49" s="56">
        <v>16067</v>
      </c>
      <c r="D49" s="54">
        <v>10</v>
      </c>
      <c r="E49" s="75">
        <v>1786.66</v>
      </c>
      <c r="F49" s="75"/>
      <c r="G49" s="75">
        <v>50</v>
      </c>
      <c r="I49" s="46"/>
      <c r="J49" s="19"/>
      <c r="K49" s="46"/>
      <c r="M49" s="98"/>
      <c r="N49" s="19"/>
      <c r="O49" s="98"/>
    </row>
    <row r="50" spans="1:15" x14ac:dyDescent="0.25">
      <c r="B50" s="135">
        <v>40483</v>
      </c>
      <c r="C50" s="56">
        <v>19134</v>
      </c>
      <c r="D50" s="54">
        <v>11</v>
      </c>
      <c r="E50" s="75">
        <v>2107.79</v>
      </c>
      <c r="F50" s="75"/>
      <c r="G50" s="75">
        <v>50</v>
      </c>
      <c r="I50" s="46"/>
      <c r="J50" s="19"/>
      <c r="M50" s="98"/>
      <c r="N50" s="19"/>
      <c r="O50" s="98"/>
    </row>
    <row r="51" spans="1:15" x14ac:dyDescent="0.25">
      <c r="B51" s="135">
        <v>40513</v>
      </c>
      <c r="C51" s="84">
        <v>25773</v>
      </c>
      <c r="D51" s="38">
        <v>11</v>
      </c>
      <c r="E51" s="139">
        <v>2834.79</v>
      </c>
      <c r="F51" s="139"/>
      <c r="G51" s="139">
        <v>55</v>
      </c>
      <c r="I51" s="46"/>
      <c r="J51" s="19"/>
      <c r="K51" s="47"/>
      <c r="L51" s="7"/>
      <c r="M51" s="98"/>
      <c r="N51" s="19"/>
      <c r="O51" s="98"/>
    </row>
    <row r="52" spans="1:15" x14ac:dyDescent="0.25">
      <c r="C52" s="22">
        <f>SUM(C40:C51)</f>
        <v>221270</v>
      </c>
      <c r="D52" s="22">
        <f>SUM(D40:D51)</f>
        <v>134</v>
      </c>
      <c r="E52" s="75">
        <f>SUM(E40:E51)</f>
        <v>24749.790000000005</v>
      </c>
      <c r="F52" s="75"/>
      <c r="G52" s="75">
        <f>SUM(G40:G51)</f>
        <v>660</v>
      </c>
      <c r="I52" s="56"/>
      <c r="J52" s="19"/>
      <c r="K52" s="56">
        <v>89238</v>
      </c>
      <c r="L52" s="56">
        <v>132032</v>
      </c>
      <c r="M52" s="98"/>
      <c r="N52" s="19"/>
      <c r="O52" s="24"/>
    </row>
    <row r="53" spans="1:15" x14ac:dyDescent="0.25">
      <c r="E53" s="26"/>
      <c r="I53" s="19"/>
      <c r="J53" s="19"/>
      <c r="K53" s="19"/>
      <c r="L53" s="19"/>
      <c r="M53" s="19"/>
      <c r="N53" s="19"/>
      <c r="O53" s="19"/>
    </row>
    <row r="54" spans="1:15" x14ac:dyDescent="0.25">
      <c r="I54" s="56"/>
      <c r="J54" s="19"/>
      <c r="K54" s="19"/>
      <c r="L54" s="19"/>
      <c r="M54" s="19"/>
      <c r="N54" s="19"/>
      <c r="O54" s="19"/>
    </row>
    <row r="55" spans="1:15" x14ac:dyDescent="0.25">
      <c r="A55" s="19"/>
      <c r="B55" s="137" t="s">
        <v>72</v>
      </c>
      <c r="G55" s="32"/>
      <c r="I55" s="27"/>
      <c r="J55" s="27"/>
      <c r="K55" s="19"/>
      <c r="L55" s="19"/>
      <c r="M55" s="42"/>
      <c r="N55" s="19"/>
      <c r="O55" s="19"/>
    </row>
    <row r="56" spans="1:15" x14ac:dyDescent="0.25">
      <c r="A56" s="19"/>
      <c r="B56" s="137"/>
      <c r="G56" s="32"/>
      <c r="I56" s="27"/>
      <c r="J56" s="27"/>
      <c r="K56" s="19"/>
      <c r="L56" s="19"/>
      <c r="M56" s="42"/>
      <c r="N56" s="19"/>
      <c r="O56" s="19"/>
    </row>
    <row r="57" spans="1:15" x14ac:dyDescent="0.25">
      <c r="A57" s="19"/>
      <c r="B57" s="52" t="s">
        <v>25</v>
      </c>
      <c r="C57" s="52" t="s">
        <v>8</v>
      </c>
      <c r="D57" s="53" t="s">
        <v>24</v>
      </c>
      <c r="E57" s="52" t="s">
        <v>46</v>
      </c>
      <c r="F57" s="52"/>
      <c r="G57" s="52" t="s">
        <v>47</v>
      </c>
      <c r="K57" s="53" t="s">
        <v>40</v>
      </c>
      <c r="L57" s="53" t="s">
        <v>39</v>
      </c>
      <c r="M57" s="42"/>
      <c r="N57" s="19"/>
      <c r="O57" s="19"/>
    </row>
    <row r="58" spans="1:15" x14ac:dyDescent="0.25">
      <c r="A58" s="19"/>
      <c r="B58" s="135">
        <v>40544</v>
      </c>
      <c r="C58" s="56">
        <v>2479</v>
      </c>
      <c r="D58" s="51">
        <v>2</v>
      </c>
      <c r="E58" s="9">
        <v>287.79000000000002</v>
      </c>
      <c r="F58" s="9"/>
      <c r="G58" s="45">
        <v>10</v>
      </c>
      <c r="H58" s="26"/>
      <c r="I58" s="46"/>
      <c r="J58" s="19"/>
      <c r="K58" s="46"/>
      <c r="M58" s="42"/>
      <c r="N58" s="19"/>
      <c r="O58" s="19"/>
    </row>
    <row r="59" spans="1:15" x14ac:dyDescent="0.25">
      <c r="A59" s="19"/>
      <c r="B59" s="135">
        <v>40575</v>
      </c>
      <c r="C59" s="56">
        <v>2531</v>
      </c>
      <c r="D59" s="51">
        <v>2</v>
      </c>
      <c r="E59" s="9">
        <v>292.75</v>
      </c>
      <c r="F59" s="9"/>
      <c r="G59" s="45">
        <v>10</v>
      </c>
      <c r="I59" s="46"/>
      <c r="J59" s="19"/>
      <c r="K59" s="46"/>
      <c r="M59" s="42"/>
      <c r="N59" s="19"/>
      <c r="O59" s="19"/>
    </row>
    <row r="60" spans="1:15" x14ac:dyDescent="0.25">
      <c r="A60" s="19"/>
      <c r="B60" s="135">
        <v>40603</v>
      </c>
      <c r="C60" s="56">
        <v>2166</v>
      </c>
      <c r="D60" s="51">
        <v>2</v>
      </c>
      <c r="E60" s="9">
        <v>252.24</v>
      </c>
      <c r="F60" s="9"/>
      <c r="G60" s="45">
        <v>10</v>
      </c>
      <c r="I60" s="46"/>
      <c r="J60" s="19"/>
      <c r="K60" s="46"/>
      <c r="M60" s="42"/>
      <c r="N60" s="19"/>
      <c r="O60" s="19"/>
    </row>
    <row r="61" spans="1:15" x14ac:dyDescent="0.25">
      <c r="A61" s="19"/>
      <c r="B61" s="135">
        <v>40634</v>
      </c>
      <c r="C61" s="56">
        <v>2323</v>
      </c>
      <c r="D61" s="51">
        <v>2</v>
      </c>
      <c r="E61" s="9">
        <v>269.67</v>
      </c>
      <c r="F61" s="9"/>
      <c r="G61" s="45">
        <v>10</v>
      </c>
      <c r="I61" s="46"/>
      <c r="J61" s="19"/>
      <c r="K61" s="46"/>
      <c r="M61" s="42"/>
      <c r="N61" s="19"/>
      <c r="O61" s="19"/>
    </row>
    <row r="62" spans="1:15" x14ac:dyDescent="0.25">
      <c r="A62" s="19"/>
      <c r="B62" s="135">
        <v>40664</v>
      </c>
      <c r="C62" s="56">
        <v>2455</v>
      </c>
      <c r="D62" s="94">
        <v>2</v>
      </c>
      <c r="E62" s="140">
        <v>284.06</v>
      </c>
      <c r="F62" s="140"/>
      <c r="G62" s="141">
        <v>10</v>
      </c>
      <c r="H62" s="34"/>
      <c r="I62" s="69"/>
      <c r="J62" s="19"/>
      <c r="K62" s="69"/>
      <c r="M62" s="42"/>
      <c r="N62" s="19"/>
      <c r="O62" s="19"/>
    </row>
    <row r="63" spans="1:15" x14ac:dyDescent="0.25">
      <c r="A63" s="19"/>
      <c r="B63" s="135">
        <v>40695</v>
      </c>
      <c r="C63" s="56">
        <v>2587</v>
      </c>
      <c r="D63" s="94">
        <v>2</v>
      </c>
      <c r="E63" s="140">
        <v>296.17</v>
      </c>
      <c r="F63" s="140"/>
      <c r="G63" s="141">
        <v>10</v>
      </c>
      <c r="H63" s="34"/>
      <c r="I63" s="69"/>
      <c r="J63" s="19"/>
      <c r="K63" s="69"/>
      <c r="M63" s="42"/>
      <c r="N63" s="19"/>
      <c r="O63" s="19"/>
    </row>
    <row r="64" spans="1:15" x14ac:dyDescent="0.25">
      <c r="A64" s="19"/>
      <c r="B64" s="135">
        <v>40725</v>
      </c>
      <c r="C64" s="56">
        <v>2733</v>
      </c>
      <c r="D64" s="95">
        <v>2</v>
      </c>
      <c r="E64" s="140">
        <v>312.94</v>
      </c>
      <c r="F64" s="140"/>
      <c r="G64" s="140">
        <v>10</v>
      </c>
      <c r="H64" s="34"/>
      <c r="I64" s="69"/>
      <c r="J64" s="19"/>
      <c r="K64" s="69"/>
      <c r="M64" s="42"/>
      <c r="N64" s="19"/>
      <c r="O64" s="19"/>
    </row>
    <row r="65" spans="1:15" x14ac:dyDescent="0.25">
      <c r="A65" s="19"/>
      <c r="B65" s="135">
        <v>40756</v>
      </c>
      <c r="C65" s="56">
        <v>2881</v>
      </c>
      <c r="D65" s="95">
        <v>2</v>
      </c>
      <c r="E65" s="140">
        <v>329.12</v>
      </c>
      <c r="F65" s="140"/>
      <c r="G65" s="140">
        <v>10</v>
      </c>
      <c r="H65" s="34"/>
      <c r="I65" s="69"/>
      <c r="J65" s="19"/>
      <c r="K65" s="69"/>
      <c r="M65" s="42"/>
      <c r="N65" s="19"/>
      <c r="O65" s="19"/>
    </row>
    <row r="66" spans="1:15" x14ac:dyDescent="0.25">
      <c r="A66" s="19"/>
      <c r="B66" s="135">
        <v>40422</v>
      </c>
      <c r="C66" s="56">
        <v>3131</v>
      </c>
      <c r="D66" s="95">
        <v>2</v>
      </c>
      <c r="E66" s="140">
        <v>358.4</v>
      </c>
      <c r="F66" s="140"/>
      <c r="G66" s="140">
        <v>10</v>
      </c>
      <c r="H66" s="34"/>
      <c r="I66" s="69"/>
      <c r="J66" s="19"/>
      <c r="K66" s="69"/>
      <c r="M66" s="19"/>
      <c r="N66" s="19"/>
      <c r="O66" s="19"/>
    </row>
    <row r="67" spans="1:15" x14ac:dyDescent="0.25">
      <c r="B67" s="135">
        <v>40452</v>
      </c>
      <c r="C67" s="56">
        <v>2597</v>
      </c>
      <c r="D67" s="54">
        <v>2</v>
      </c>
      <c r="E67" s="9">
        <v>298.31</v>
      </c>
      <c r="F67" s="9"/>
      <c r="G67" s="140">
        <v>10</v>
      </c>
      <c r="I67" s="46"/>
      <c r="J67" s="19"/>
      <c r="K67" s="46"/>
    </row>
    <row r="68" spans="1:15" x14ac:dyDescent="0.25">
      <c r="B68" s="135">
        <v>40483</v>
      </c>
      <c r="C68" s="56">
        <v>2121</v>
      </c>
      <c r="D68" s="54">
        <v>2</v>
      </c>
      <c r="E68" s="9">
        <v>245.24</v>
      </c>
      <c r="F68" s="9"/>
      <c r="G68" s="140">
        <v>10</v>
      </c>
      <c r="I68" s="46"/>
      <c r="J68" s="19"/>
    </row>
    <row r="69" spans="1:15" x14ac:dyDescent="0.25">
      <c r="B69" s="135">
        <v>40513</v>
      </c>
      <c r="C69" s="84">
        <v>2342</v>
      </c>
      <c r="D69" s="38">
        <v>2</v>
      </c>
      <c r="E69" s="142">
        <v>271.57</v>
      </c>
      <c r="F69" s="142"/>
      <c r="G69" s="143">
        <v>10</v>
      </c>
      <c r="I69" s="46"/>
      <c r="J69" s="19"/>
      <c r="K69" s="47"/>
      <c r="L69" s="7"/>
    </row>
    <row r="70" spans="1:15" x14ac:dyDescent="0.25">
      <c r="C70" s="22">
        <f>SUM(C58:C69)</f>
        <v>30346</v>
      </c>
      <c r="D70" s="22">
        <f>SUM(D58:D69)</f>
        <v>24</v>
      </c>
      <c r="E70" s="9">
        <f>SUM(E58:E69)</f>
        <v>3498.2600000000007</v>
      </c>
      <c r="F70" s="9"/>
      <c r="G70" s="9">
        <f>SUM(G58:G69)</f>
        <v>120</v>
      </c>
      <c r="I70" s="56"/>
      <c r="J70" s="19"/>
      <c r="K70" s="56">
        <v>9722</v>
      </c>
      <c r="L70" s="56">
        <v>20624</v>
      </c>
    </row>
    <row r="73" spans="1:15" x14ac:dyDescent="0.25">
      <c r="B73" s="137" t="s">
        <v>78</v>
      </c>
      <c r="G73" s="32"/>
      <c r="I73" s="27"/>
      <c r="J73" s="27"/>
      <c r="K73" s="19"/>
      <c r="L73" s="19"/>
    </row>
    <row r="74" spans="1:15" x14ac:dyDescent="0.25">
      <c r="B74" s="137"/>
      <c r="G74" s="32"/>
      <c r="I74" s="27"/>
      <c r="J74" s="27"/>
      <c r="K74" s="19"/>
      <c r="L74" s="19"/>
    </row>
    <row r="75" spans="1:15" x14ac:dyDescent="0.25">
      <c r="B75" s="52" t="s">
        <v>25</v>
      </c>
      <c r="C75" s="52" t="s">
        <v>8</v>
      </c>
      <c r="D75" s="53" t="s">
        <v>24</v>
      </c>
      <c r="E75" s="52" t="s">
        <v>46</v>
      </c>
      <c r="F75" s="52"/>
      <c r="G75" s="52" t="s">
        <v>47</v>
      </c>
      <c r="K75" s="53" t="s">
        <v>40</v>
      </c>
      <c r="L75" s="53" t="s">
        <v>39</v>
      </c>
    </row>
    <row r="76" spans="1:15" x14ac:dyDescent="0.25">
      <c r="B76" s="135">
        <v>40544</v>
      </c>
      <c r="C76" s="56">
        <v>1480</v>
      </c>
      <c r="D76" s="51">
        <v>2</v>
      </c>
      <c r="E76" s="75">
        <v>166.42</v>
      </c>
      <c r="F76" s="75"/>
      <c r="G76" s="41">
        <v>10</v>
      </c>
      <c r="H76" s="26"/>
      <c r="I76" s="46"/>
      <c r="J76" s="19"/>
      <c r="K76" s="46"/>
    </row>
    <row r="77" spans="1:15" x14ac:dyDescent="0.25">
      <c r="B77" s="135">
        <v>40575</v>
      </c>
      <c r="C77" s="56">
        <v>1586</v>
      </c>
      <c r="D77" s="51">
        <v>2</v>
      </c>
      <c r="E77" s="75">
        <v>176.7</v>
      </c>
      <c r="F77" s="75"/>
      <c r="G77" s="41">
        <v>10</v>
      </c>
      <c r="I77" s="46"/>
      <c r="J77" s="19"/>
      <c r="K77" s="46"/>
    </row>
    <row r="78" spans="1:15" x14ac:dyDescent="0.25">
      <c r="B78" s="135">
        <v>40603</v>
      </c>
      <c r="C78" s="56">
        <v>1155</v>
      </c>
      <c r="D78" s="51">
        <v>2</v>
      </c>
      <c r="E78" s="75">
        <v>130.33000000000001</v>
      </c>
      <c r="F78" s="75"/>
      <c r="G78" s="41">
        <v>10</v>
      </c>
      <c r="I78" s="46"/>
      <c r="J78" s="19"/>
      <c r="K78" s="46"/>
    </row>
    <row r="79" spans="1:15" x14ac:dyDescent="0.25">
      <c r="B79" s="135">
        <v>40634</v>
      </c>
      <c r="C79" s="56">
        <v>1341</v>
      </c>
      <c r="D79" s="51">
        <v>2</v>
      </c>
      <c r="E79" s="75">
        <v>151.03</v>
      </c>
      <c r="F79" s="75"/>
      <c r="G79" s="41">
        <v>10</v>
      </c>
      <c r="I79" s="46"/>
      <c r="J79" s="19"/>
      <c r="K79" s="46"/>
    </row>
    <row r="80" spans="1:15" x14ac:dyDescent="0.25">
      <c r="B80" s="135">
        <v>40664</v>
      </c>
      <c r="C80" s="56">
        <v>1014</v>
      </c>
      <c r="D80" s="94">
        <v>2</v>
      </c>
      <c r="E80" s="105">
        <v>114.24</v>
      </c>
      <c r="F80" s="105"/>
      <c r="G80" s="138">
        <v>10</v>
      </c>
      <c r="H80" s="34"/>
      <c r="I80" s="69"/>
      <c r="J80" s="19"/>
      <c r="K80" s="69"/>
    </row>
    <row r="81" spans="2:12" x14ac:dyDescent="0.25">
      <c r="B81" s="135">
        <v>40695</v>
      </c>
      <c r="C81" s="56">
        <v>1148</v>
      </c>
      <c r="D81" s="94">
        <v>2</v>
      </c>
      <c r="E81" s="105">
        <v>129.30000000000001</v>
      </c>
      <c r="F81" s="105"/>
      <c r="G81" s="138">
        <v>10</v>
      </c>
      <c r="H81" s="34"/>
      <c r="I81" s="69"/>
      <c r="J81" s="19"/>
      <c r="K81" s="69"/>
    </row>
    <row r="82" spans="2:12" x14ac:dyDescent="0.25">
      <c r="B82" s="135">
        <v>40725</v>
      </c>
      <c r="C82" s="56">
        <v>1170</v>
      </c>
      <c r="D82" s="95">
        <v>2</v>
      </c>
      <c r="E82" s="105">
        <v>130.76</v>
      </c>
      <c r="F82" s="105"/>
      <c r="G82" s="105">
        <v>10</v>
      </c>
      <c r="H82" s="34"/>
      <c r="I82" s="69"/>
      <c r="J82" s="19"/>
      <c r="K82" s="69"/>
    </row>
    <row r="83" spans="2:12" x14ac:dyDescent="0.25">
      <c r="B83" s="135">
        <v>40756</v>
      </c>
      <c r="C83" s="56">
        <v>1141</v>
      </c>
      <c r="D83" s="95">
        <v>2</v>
      </c>
      <c r="E83" s="105">
        <v>128.22</v>
      </c>
      <c r="F83" s="105"/>
      <c r="G83" s="105">
        <v>10</v>
      </c>
      <c r="H83" s="34"/>
      <c r="I83" s="69"/>
      <c r="J83" s="19"/>
      <c r="K83" s="69"/>
    </row>
    <row r="84" spans="2:12" x14ac:dyDescent="0.25">
      <c r="B84" s="135">
        <v>40422</v>
      </c>
      <c r="C84" s="56">
        <v>893</v>
      </c>
      <c r="D84" s="95">
        <v>1</v>
      </c>
      <c r="E84" s="105">
        <v>100.74</v>
      </c>
      <c r="F84" s="105"/>
      <c r="G84" s="105">
        <v>5</v>
      </c>
      <c r="H84" s="34"/>
      <c r="I84" s="69"/>
      <c r="J84" s="19"/>
      <c r="K84" s="69"/>
    </row>
    <row r="85" spans="2:12" x14ac:dyDescent="0.25">
      <c r="B85" s="135">
        <v>40452</v>
      </c>
      <c r="C85" s="56">
        <v>617</v>
      </c>
      <c r="D85" s="54">
        <v>1</v>
      </c>
      <c r="E85" s="75">
        <v>67.53</v>
      </c>
      <c r="F85" s="75"/>
      <c r="G85" s="75">
        <v>5</v>
      </c>
      <c r="I85" s="46"/>
      <c r="J85" s="19"/>
      <c r="K85" s="46"/>
    </row>
    <row r="86" spans="2:12" x14ac:dyDescent="0.25">
      <c r="B86" s="135">
        <v>40483</v>
      </c>
      <c r="C86" s="56">
        <v>1031</v>
      </c>
      <c r="D86" s="54">
        <v>2</v>
      </c>
      <c r="E86" s="75">
        <v>113.57</v>
      </c>
      <c r="F86" s="75"/>
      <c r="G86" s="75">
        <v>10</v>
      </c>
      <c r="I86" s="46"/>
      <c r="J86" s="19"/>
    </row>
    <row r="87" spans="2:12" x14ac:dyDescent="0.25">
      <c r="B87" s="135">
        <v>40513</v>
      </c>
      <c r="C87" s="84">
        <v>1294</v>
      </c>
      <c r="D87" s="38">
        <v>2</v>
      </c>
      <c r="E87" s="139">
        <v>139.63</v>
      </c>
      <c r="F87" s="139"/>
      <c r="G87" s="139">
        <v>10</v>
      </c>
      <c r="I87" s="46"/>
      <c r="J87" s="19"/>
      <c r="K87" s="47"/>
      <c r="L87" s="7"/>
    </row>
    <row r="88" spans="2:12" x14ac:dyDescent="0.25">
      <c r="C88" s="22">
        <f>SUM(C76:C87)</f>
        <v>13870</v>
      </c>
      <c r="D88" s="22">
        <f>SUM(D76:D87)</f>
        <v>22</v>
      </c>
      <c r="E88" s="75">
        <f>SUM(E76:E87)</f>
        <v>1548.4699999999998</v>
      </c>
      <c r="F88" s="75"/>
      <c r="G88" s="75">
        <f>SUM(G76:G87)</f>
        <v>110</v>
      </c>
      <c r="I88" s="56"/>
      <c r="J88" s="19"/>
      <c r="K88" s="56">
        <v>3681</v>
      </c>
      <c r="L88" s="56">
        <v>10189</v>
      </c>
    </row>
    <row r="89" spans="2:12" x14ac:dyDescent="0.25">
      <c r="E89" s="26"/>
      <c r="I89" s="19"/>
      <c r="J89" s="19"/>
      <c r="K89" s="19"/>
      <c r="L89" s="19"/>
    </row>
    <row r="90" spans="2:12" x14ac:dyDescent="0.25">
      <c r="I90" s="56"/>
      <c r="J90" s="19"/>
      <c r="K90" s="19"/>
      <c r="L90" s="19"/>
    </row>
    <row r="91" spans="2:12" x14ac:dyDescent="0.25">
      <c r="B91" s="137" t="s">
        <v>79</v>
      </c>
      <c r="G91" s="32"/>
      <c r="I91" s="27"/>
      <c r="J91" s="27"/>
      <c r="K91" s="19"/>
      <c r="L91" s="19"/>
    </row>
    <row r="92" spans="2:12" x14ac:dyDescent="0.25">
      <c r="B92" s="137"/>
      <c r="G92" s="32"/>
      <c r="I92" s="27"/>
      <c r="J92" s="27"/>
      <c r="K92" s="19"/>
      <c r="L92" s="19"/>
    </row>
    <row r="93" spans="2:12" x14ac:dyDescent="0.25">
      <c r="B93" s="52" t="s">
        <v>25</v>
      </c>
      <c r="C93" s="52" t="s">
        <v>8</v>
      </c>
      <c r="D93" s="53" t="s">
        <v>24</v>
      </c>
      <c r="E93" s="52" t="s">
        <v>46</v>
      </c>
      <c r="F93" s="52"/>
      <c r="G93" s="52" t="s">
        <v>47</v>
      </c>
      <c r="K93" s="53" t="s">
        <v>40</v>
      </c>
      <c r="L93" s="53" t="s">
        <v>39</v>
      </c>
    </row>
    <row r="94" spans="2:12" x14ac:dyDescent="0.25">
      <c r="B94" s="135">
        <v>40544</v>
      </c>
      <c r="C94" s="56">
        <v>1621</v>
      </c>
      <c r="D94" s="51">
        <v>2</v>
      </c>
      <c r="E94" s="9">
        <v>178.26</v>
      </c>
      <c r="F94" s="9"/>
      <c r="G94" s="45">
        <v>10</v>
      </c>
      <c r="H94" s="26"/>
      <c r="I94" s="46"/>
      <c r="J94" s="19"/>
      <c r="K94" s="46"/>
    </row>
    <row r="95" spans="2:12" x14ac:dyDescent="0.25">
      <c r="B95" s="135">
        <v>40575</v>
      </c>
      <c r="C95" s="56">
        <v>1343</v>
      </c>
      <c r="D95" s="51">
        <v>3</v>
      </c>
      <c r="E95" s="9">
        <v>144.69999999999999</v>
      </c>
      <c r="F95" s="9"/>
      <c r="G95" s="45">
        <v>10</v>
      </c>
      <c r="I95" s="46"/>
      <c r="J95" s="19"/>
      <c r="K95" s="46"/>
    </row>
    <row r="96" spans="2:12" x14ac:dyDescent="0.25">
      <c r="B96" s="135">
        <v>40603</v>
      </c>
      <c r="C96" s="56">
        <v>2125</v>
      </c>
      <c r="D96" s="51">
        <v>3</v>
      </c>
      <c r="E96" s="9">
        <v>230.34</v>
      </c>
      <c r="F96" s="9"/>
      <c r="G96" s="45">
        <v>15</v>
      </c>
      <c r="I96" s="46"/>
      <c r="J96" s="19"/>
      <c r="K96" s="46"/>
    </row>
    <row r="97" spans="2:12" x14ac:dyDescent="0.25">
      <c r="B97" s="135">
        <v>40634</v>
      </c>
      <c r="C97" s="56">
        <v>2277</v>
      </c>
      <c r="D97" s="51">
        <v>3</v>
      </c>
      <c r="E97" s="9">
        <v>246.07</v>
      </c>
      <c r="F97" s="9"/>
      <c r="G97" s="45">
        <v>15</v>
      </c>
      <c r="I97" s="46"/>
      <c r="J97" s="19"/>
      <c r="K97" s="46"/>
    </row>
    <row r="98" spans="2:12" x14ac:dyDescent="0.25">
      <c r="B98" s="135">
        <v>40664</v>
      </c>
      <c r="C98" s="56">
        <v>2172</v>
      </c>
      <c r="D98" s="94">
        <v>3</v>
      </c>
      <c r="E98" s="140">
        <v>236.14</v>
      </c>
      <c r="F98" s="140"/>
      <c r="G98" s="141">
        <v>15</v>
      </c>
      <c r="H98" s="34"/>
      <c r="I98" s="69"/>
      <c r="J98" s="19"/>
      <c r="K98" s="69"/>
    </row>
    <row r="99" spans="2:12" x14ac:dyDescent="0.25">
      <c r="B99" s="135">
        <v>40695</v>
      </c>
      <c r="C99" s="56">
        <v>2336</v>
      </c>
      <c r="D99" s="94">
        <v>3</v>
      </c>
      <c r="E99" s="140">
        <v>254.53</v>
      </c>
      <c r="F99" s="140"/>
      <c r="G99" s="141">
        <v>15</v>
      </c>
      <c r="H99" s="34"/>
      <c r="I99" s="69"/>
      <c r="J99" s="19"/>
      <c r="K99" s="69"/>
    </row>
    <row r="100" spans="2:12" x14ac:dyDescent="0.25">
      <c r="B100" s="135">
        <v>40725</v>
      </c>
      <c r="C100" s="56">
        <v>2260</v>
      </c>
      <c r="D100" s="95">
        <v>3</v>
      </c>
      <c r="E100" s="140">
        <v>247.72</v>
      </c>
      <c r="F100" s="140"/>
      <c r="G100" s="140">
        <v>15</v>
      </c>
      <c r="H100" s="34"/>
      <c r="I100" s="69"/>
      <c r="J100" s="19"/>
      <c r="K100" s="69"/>
    </row>
    <row r="101" spans="2:12" x14ac:dyDescent="0.25">
      <c r="B101" s="135">
        <v>40756</v>
      </c>
      <c r="C101" s="56">
        <v>2366</v>
      </c>
      <c r="D101" s="95">
        <v>3</v>
      </c>
      <c r="E101" s="140">
        <v>260.93</v>
      </c>
      <c r="F101" s="140"/>
      <c r="G101" s="140">
        <v>15</v>
      </c>
      <c r="H101" s="34"/>
      <c r="I101" s="69"/>
      <c r="J101" s="19"/>
      <c r="K101" s="69"/>
    </row>
    <row r="102" spans="2:12" x14ac:dyDescent="0.25">
      <c r="B102" s="135">
        <v>40422</v>
      </c>
      <c r="C102" s="56">
        <v>1408</v>
      </c>
      <c r="D102" s="95">
        <v>2</v>
      </c>
      <c r="E102" s="140">
        <v>154.77000000000001</v>
      </c>
      <c r="F102" s="140"/>
      <c r="G102" s="140">
        <v>10</v>
      </c>
      <c r="H102" s="34"/>
      <c r="I102" s="69"/>
      <c r="J102" s="19"/>
      <c r="K102" s="69"/>
    </row>
    <row r="103" spans="2:12" x14ac:dyDescent="0.25">
      <c r="B103" s="135">
        <v>40452</v>
      </c>
      <c r="C103" s="56">
        <v>1124</v>
      </c>
      <c r="D103" s="54">
        <v>2</v>
      </c>
      <c r="E103" s="9">
        <v>121.64</v>
      </c>
      <c r="F103" s="9"/>
      <c r="G103" s="140">
        <v>10</v>
      </c>
      <c r="I103" s="46"/>
      <c r="J103" s="19"/>
      <c r="K103" s="46"/>
    </row>
    <row r="104" spans="2:12" x14ac:dyDescent="0.25">
      <c r="B104" s="135">
        <v>40483</v>
      </c>
      <c r="C104" s="56">
        <v>1294</v>
      </c>
      <c r="D104" s="54">
        <v>2</v>
      </c>
      <c r="E104" s="9">
        <v>139.58000000000001</v>
      </c>
      <c r="F104" s="9"/>
      <c r="G104" s="140">
        <v>10</v>
      </c>
      <c r="I104" s="46"/>
      <c r="J104" s="19"/>
    </row>
    <row r="105" spans="2:12" x14ac:dyDescent="0.25">
      <c r="B105" s="135">
        <v>40513</v>
      </c>
      <c r="C105" s="84">
        <v>1375</v>
      </c>
      <c r="D105" s="38">
        <v>2</v>
      </c>
      <c r="E105" s="142">
        <v>147.69</v>
      </c>
      <c r="F105" s="142"/>
      <c r="G105" s="143">
        <v>10</v>
      </c>
      <c r="I105" s="46"/>
      <c r="J105" s="19"/>
      <c r="K105" s="47"/>
      <c r="L105" s="7"/>
    </row>
    <row r="106" spans="2:12" x14ac:dyDescent="0.25">
      <c r="C106" s="22">
        <f>SUM(C94:C105)</f>
        <v>21701</v>
      </c>
      <c r="D106" s="22">
        <f>SUM(D94:D105)</f>
        <v>31</v>
      </c>
      <c r="E106" s="9">
        <f>SUM(E94:E105)</f>
        <v>2362.37</v>
      </c>
      <c r="F106" s="9"/>
      <c r="G106" s="9">
        <f>SUM(G94:G105)</f>
        <v>150</v>
      </c>
      <c r="I106" s="56"/>
      <c r="J106" s="19"/>
      <c r="K106" s="56">
        <v>7049</v>
      </c>
      <c r="L106" s="56">
        <v>14652</v>
      </c>
    </row>
  </sheetData>
  <mergeCells count="6">
    <mergeCell ref="D4:G5"/>
    <mergeCell ref="E7:F7"/>
    <mergeCell ref="T4:W5"/>
    <mergeCell ref="U7:V7"/>
    <mergeCell ref="L4:O5"/>
    <mergeCell ref="M7:N7"/>
  </mergeCells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2"/>
  <sheetViews>
    <sheetView tabSelected="1" view="pageBreakPreview" zoomScale="60" zoomScaleNormal="75" workbookViewId="0">
      <selection activeCell="U14" sqref="U14"/>
    </sheetView>
  </sheetViews>
  <sheetFormatPr defaultRowHeight="15.75" x14ac:dyDescent="0.25"/>
  <cols>
    <col min="1" max="1" width="3.5703125" style="230" customWidth="1"/>
    <col min="2" max="2" width="39.85546875" style="150" customWidth="1"/>
    <col min="3" max="3" width="8.28515625" style="167" customWidth="1"/>
    <col min="4" max="4" width="33.42578125" style="150" customWidth="1"/>
    <col min="5" max="5" width="1.5703125" style="150" customWidth="1"/>
    <col min="6" max="6" width="12.140625" style="150" customWidth="1"/>
    <col min="7" max="7" width="14.7109375" style="151" customWidth="1"/>
    <col min="8" max="8" width="15" style="150" customWidth="1"/>
    <col min="9" max="9" width="12" style="150" customWidth="1"/>
    <col min="10" max="10" width="1.5703125" style="150" customWidth="1"/>
    <col min="11" max="11" width="14.28515625" style="150" bestFit="1" customWidth="1"/>
    <col min="12" max="12" width="14.28515625" style="150" customWidth="1"/>
    <col min="13" max="13" width="16.140625" style="150" bestFit="1" customWidth="1"/>
    <col min="14" max="14" width="14.28515625" style="150" customWidth="1"/>
    <col min="15" max="15" width="9.7109375" style="150" bestFit="1" customWidth="1"/>
    <col min="16" max="16" width="11.7109375" style="151" customWidth="1"/>
    <col min="17" max="17" width="3" style="150" customWidth="1"/>
    <col min="18" max="18" width="15.5703125" style="150" bestFit="1" customWidth="1"/>
    <col min="19" max="19" width="14.7109375" style="150" customWidth="1"/>
    <col min="20" max="43" width="13.7109375" style="150" customWidth="1"/>
    <col min="44" max="16384" width="9.140625" style="150"/>
  </cols>
  <sheetData>
    <row r="1" spans="1:32" ht="18.75" x14ac:dyDescent="0.3">
      <c r="B1" s="124" t="s">
        <v>131</v>
      </c>
      <c r="C1" s="156"/>
      <c r="F1" s="155"/>
      <c r="G1" s="211"/>
      <c r="H1" s="346"/>
      <c r="I1" s="155"/>
      <c r="M1" s="155"/>
      <c r="S1" s="341"/>
    </row>
    <row r="2" spans="1:32" ht="18.75" x14ac:dyDescent="0.3">
      <c r="B2" s="153" t="s">
        <v>53</v>
      </c>
      <c r="M2" s="177"/>
      <c r="S2" s="215" t="s">
        <v>240</v>
      </c>
      <c r="T2" s="284">
        <v>17</v>
      </c>
      <c r="U2" s="150" t="s">
        <v>222</v>
      </c>
    </row>
    <row r="3" spans="1:32" x14ac:dyDescent="0.25">
      <c r="S3" s="215" t="s">
        <v>241</v>
      </c>
      <c r="T3" s="411">
        <v>8.2030000000000006E-2</v>
      </c>
      <c r="U3" s="150" t="s">
        <v>222</v>
      </c>
    </row>
    <row r="4" spans="1:32" x14ac:dyDescent="0.25">
      <c r="B4" s="426" t="s">
        <v>54</v>
      </c>
      <c r="C4" s="426"/>
      <c r="D4" s="426"/>
      <c r="F4" s="426" t="s">
        <v>55</v>
      </c>
      <c r="G4" s="426"/>
      <c r="H4" s="426"/>
      <c r="I4" s="426"/>
      <c r="K4" s="426" t="s">
        <v>86</v>
      </c>
      <c r="L4" s="426"/>
      <c r="M4" s="426"/>
      <c r="N4" s="426"/>
      <c r="O4" s="426"/>
      <c r="P4" s="426"/>
    </row>
    <row r="5" spans="1:32" x14ac:dyDescent="0.25">
      <c r="E5" s="165"/>
      <c r="J5" s="165"/>
      <c r="P5" s="150"/>
      <c r="S5" s="339"/>
      <c r="T5" s="339"/>
      <c r="U5" s="338"/>
      <c r="V5" s="338"/>
    </row>
    <row r="6" spans="1:32" s="155" customFormat="1" x14ac:dyDescent="0.25">
      <c r="A6" s="232"/>
      <c r="C6" s="156"/>
      <c r="D6" s="156" t="s">
        <v>56</v>
      </c>
      <c r="E6" s="165"/>
      <c r="F6" s="154" t="s">
        <v>102</v>
      </c>
      <c r="G6" s="157" t="s">
        <v>57</v>
      </c>
      <c r="H6" s="154" t="s">
        <v>58</v>
      </c>
      <c r="I6" s="154" t="s">
        <v>107</v>
      </c>
      <c r="J6" s="165"/>
      <c r="K6" s="157" t="s">
        <v>103</v>
      </c>
      <c r="L6" s="157" t="s">
        <v>87</v>
      </c>
      <c r="M6" s="154" t="s">
        <v>58</v>
      </c>
      <c r="N6" s="154" t="s">
        <v>59</v>
      </c>
      <c r="O6" s="154" t="s">
        <v>59</v>
      </c>
      <c r="P6" s="154" t="s">
        <v>59</v>
      </c>
      <c r="Q6" s="156"/>
      <c r="R6" s="150"/>
      <c r="S6" s="150"/>
      <c r="T6" s="150"/>
      <c r="U6" s="150"/>
      <c r="W6" s="150"/>
      <c r="X6" s="150"/>
    </row>
    <row r="7" spans="1:32" s="155" customFormat="1" x14ac:dyDescent="0.25">
      <c r="A7" s="232"/>
      <c r="B7" s="158" t="s">
        <v>60</v>
      </c>
      <c r="C7" s="278" t="s">
        <v>61</v>
      </c>
      <c r="D7" s="278" t="s">
        <v>62</v>
      </c>
      <c r="E7" s="165"/>
      <c r="F7" s="159" t="s">
        <v>5</v>
      </c>
      <c r="G7" s="212" t="s">
        <v>5</v>
      </c>
      <c r="H7" s="159" t="s">
        <v>5</v>
      </c>
      <c r="I7" s="159" t="s">
        <v>108</v>
      </c>
      <c r="J7" s="165"/>
      <c r="K7" s="159" t="s">
        <v>42</v>
      </c>
      <c r="L7" s="159" t="s">
        <v>42</v>
      </c>
      <c r="M7" s="159" t="s">
        <v>42</v>
      </c>
      <c r="N7" s="159" t="s">
        <v>63</v>
      </c>
      <c r="O7" s="159" t="s">
        <v>64</v>
      </c>
      <c r="P7" s="159" t="s">
        <v>90</v>
      </c>
      <c r="Q7" s="156"/>
      <c r="R7" s="150"/>
      <c r="S7" s="427" t="s">
        <v>213</v>
      </c>
      <c r="T7" s="427"/>
      <c r="U7" s="427"/>
      <c r="V7" s="427"/>
      <c r="W7" s="150"/>
      <c r="X7" s="150"/>
    </row>
    <row r="8" spans="1:32" x14ac:dyDescent="0.25">
      <c r="E8" s="165"/>
      <c r="G8" s="150"/>
      <c r="J8" s="165"/>
      <c r="V8" s="155"/>
    </row>
    <row r="9" spans="1:32" s="151" customFormat="1" x14ac:dyDescent="0.25">
      <c r="A9" s="230">
        <v>1</v>
      </c>
      <c r="B9" s="2" t="str">
        <f>List!B6</f>
        <v>Sch I - Residential, Schools &amp; Churches</v>
      </c>
      <c r="C9" s="181" t="str">
        <f>List!C6</f>
        <v>R</v>
      </c>
      <c r="D9" s="150" t="s">
        <v>229</v>
      </c>
      <c r="E9" s="165"/>
      <c r="F9" s="31">
        <v>12</v>
      </c>
      <c r="G9" s="279">
        <f>F9</f>
        <v>12</v>
      </c>
      <c r="H9" s="280">
        <f>ROUND(T2,2)</f>
        <v>17</v>
      </c>
      <c r="I9" s="280">
        <f>H9-G9</f>
        <v>5</v>
      </c>
      <c r="J9" s="165"/>
      <c r="K9" s="127">
        <f>'R'!G24</f>
        <v>30082808.960000001</v>
      </c>
      <c r="L9" s="127">
        <f>'R'!J24</f>
        <v>29613355.86002</v>
      </c>
      <c r="M9" s="127">
        <f>'R'!S24</f>
        <v>30534550.99966</v>
      </c>
      <c r="N9" s="201">
        <f>'R'!S26</f>
        <v>921195.13963999972</v>
      </c>
      <c r="O9" s="342">
        <f>'R'!S28</f>
        <v>3.1107421394401112E-2</v>
      </c>
      <c r="P9" s="140">
        <f>'R'!S30</f>
        <v>3.466671457161242</v>
      </c>
      <c r="Q9" s="150"/>
      <c r="R9" s="283"/>
      <c r="S9" s="155" t="s">
        <v>214</v>
      </c>
      <c r="T9" s="376" t="s">
        <v>215</v>
      </c>
      <c r="U9" s="376" t="s">
        <v>58</v>
      </c>
      <c r="V9" s="376" t="s">
        <v>216</v>
      </c>
      <c r="W9" s="150"/>
      <c r="X9" s="150"/>
      <c r="Y9" s="283"/>
      <c r="Z9" s="283"/>
      <c r="AA9" s="283"/>
      <c r="AB9" s="283"/>
      <c r="AC9" s="283"/>
      <c r="AD9" s="283"/>
      <c r="AE9" s="283"/>
      <c r="AF9" s="283"/>
    </row>
    <row r="10" spans="1:32" s="151" customFormat="1" x14ac:dyDescent="0.25">
      <c r="A10" s="230"/>
      <c r="B10" s="2"/>
      <c r="C10" s="181"/>
      <c r="D10" s="150" t="s">
        <v>230</v>
      </c>
      <c r="E10" s="165"/>
      <c r="F10" s="31">
        <v>3</v>
      </c>
      <c r="G10" s="279">
        <f>F10</f>
        <v>3</v>
      </c>
      <c r="H10" s="280">
        <f>G10</f>
        <v>3</v>
      </c>
      <c r="I10" s="280">
        <f>H10-G10</f>
        <v>0</v>
      </c>
      <c r="J10" s="165"/>
      <c r="K10" s="127"/>
      <c r="L10" s="127"/>
      <c r="M10" s="127"/>
      <c r="N10" s="201"/>
      <c r="O10" s="342"/>
      <c r="P10" s="140"/>
      <c r="Q10" s="150"/>
      <c r="R10" s="283"/>
      <c r="S10" s="340" t="s">
        <v>217</v>
      </c>
      <c r="T10" s="386">
        <v>25.53</v>
      </c>
      <c r="U10" s="377">
        <f>H9</f>
        <v>17</v>
      </c>
      <c r="V10" s="378"/>
      <c r="W10" s="150"/>
      <c r="X10" s="150"/>
      <c r="Y10" s="283"/>
      <c r="Z10" s="283"/>
      <c r="AA10" s="283"/>
      <c r="AB10" s="283"/>
      <c r="AC10" s="283"/>
      <c r="AD10" s="283"/>
      <c r="AE10" s="283"/>
      <c r="AF10" s="283"/>
    </row>
    <row r="11" spans="1:32" s="151" customFormat="1" x14ac:dyDescent="0.25">
      <c r="A11" s="230"/>
      <c r="B11" s="160"/>
      <c r="C11" s="182"/>
      <c r="D11" s="150" t="s">
        <v>231</v>
      </c>
      <c r="E11" s="165"/>
      <c r="F11" s="163">
        <v>8.5000000000000006E-2</v>
      </c>
      <c r="G11" s="281">
        <v>8.3409999999999998E-2</v>
      </c>
      <c r="H11" s="281">
        <f>ROUND(T3,5)</f>
        <v>8.2030000000000006E-2</v>
      </c>
      <c r="I11" s="281">
        <f>H11-G11</f>
        <v>-1.3799999999999923E-3</v>
      </c>
      <c r="J11" s="165"/>
      <c r="K11" s="127"/>
      <c r="L11" s="127"/>
      <c r="M11" s="127"/>
      <c r="N11" s="127"/>
      <c r="O11" s="343"/>
      <c r="P11" s="178"/>
      <c r="Q11" s="150"/>
      <c r="R11" s="284"/>
      <c r="S11" s="150" t="s">
        <v>218</v>
      </c>
      <c r="T11" s="377">
        <f>G9</f>
        <v>12</v>
      </c>
      <c r="U11" s="377">
        <f>T11</f>
        <v>12</v>
      </c>
      <c r="V11" s="378"/>
      <c r="W11" s="150"/>
      <c r="X11" s="150"/>
      <c r="Y11" s="284"/>
      <c r="Z11" s="284"/>
      <c r="AA11" s="284"/>
      <c r="AB11" s="284"/>
      <c r="AC11" s="284"/>
      <c r="AD11" s="284"/>
      <c r="AE11" s="284"/>
      <c r="AF11" s="284"/>
    </row>
    <row r="12" spans="1:32" s="151" customFormat="1" ht="9" customHeight="1" x14ac:dyDescent="0.25">
      <c r="A12" s="230"/>
      <c r="B12" s="164"/>
      <c r="C12" s="183"/>
      <c r="D12" s="165"/>
      <c r="E12" s="165"/>
      <c r="F12" s="165"/>
      <c r="G12" s="165"/>
      <c r="H12" s="165"/>
      <c r="I12" s="165"/>
      <c r="J12" s="165"/>
      <c r="K12" s="166"/>
      <c r="L12" s="166"/>
      <c r="M12" s="166"/>
      <c r="N12" s="166"/>
      <c r="O12" s="344"/>
      <c r="P12" s="179"/>
      <c r="Q12" s="150"/>
      <c r="R12" s="150"/>
      <c r="W12" s="150"/>
      <c r="X12" s="150"/>
    </row>
    <row r="13" spans="1:32" s="151" customFormat="1" x14ac:dyDescent="0.25">
      <c r="A13" s="230">
        <v>2</v>
      </c>
      <c r="B13" s="2" t="str">
        <f>List!B7</f>
        <v>Sch I - Res TOD</v>
      </c>
      <c r="C13" s="182" t="str">
        <f>List!C7</f>
        <v>TOD</v>
      </c>
      <c r="D13" s="150" t="s">
        <v>229</v>
      </c>
      <c r="E13" s="165"/>
      <c r="F13" s="31">
        <v>20</v>
      </c>
      <c r="G13" s="31">
        <f>F13</f>
        <v>20</v>
      </c>
      <c r="H13" s="161">
        <f>G13</f>
        <v>20</v>
      </c>
      <c r="I13" s="161">
        <f>H13-G13</f>
        <v>0</v>
      </c>
      <c r="J13" s="165"/>
      <c r="K13" s="127">
        <f>TOD!G26</f>
        <v>10682.819500000001</v>
      </c>
      <c r="L13" s="127">
        <f>TOD!J26</f>
        <v>10518.187720000002</v>
      </c>
      <c r="M13" s="127">
        <f>TOD!S26</f>
        <v>10518.187720000002</v>
      </c>
      <c r="N13" s="127">
        <f>TOD!S28</f>
        <v>0</v>
      </c>
      <c r="O13" s="343">
        <f>TOD!S30</f>
        <v>0</v>
      </c>
      <c r="P13" s="140">
        <f>TOD!S32</f>
        <v>0</v>
      </c>
      <c r="Q13" s="150"/>
      <c r="R13" s="150"/>
      <c r="S13" s="150" t="s">
        <v>219</v>
      </c>
      <c r="T13" s="377">
        <f>T10-T11</f>
        <v>13.530000000000001</v>
      </c>
      <c r="U13" s="377">
        <f>U10-U11</f>
        <v>5</v>
      </c>
      <c r="V13" s="379">
        <f>U13/T13</f>
        <v>0.36954915003695488</v>
      </c>
      <c r="W13" s="150"/>
      <c r="X13" s="150"/>
    </row>
    <row r="14" spans="1:32" s="151" customFormat="1" x14ac:dyDescent="0.25">
      <c r="A14" s="230"/>
      <c r="B14" s="160"/>
      <c r="C14" s="182"/>
      <c r="D14" s="150" t="s">
        <v>233</v>
      </c>
      <c r="E14" s="165"/>
      <c r="F14" s="163">
        <v>9.9169999999999994E-2</v>
      </c>
      <c r="G14" s="163">
        <v>9.758E-2</v>
      </c>
      <c r="H14" s="163">
        <f>G14</f>
        <v>9.758E-2</v>
      </c>
      <c r="I14" s="163">
        <f>H14-G14</f>
        <v>0</v>
      </c>
      <c r="J14" s="165"/>
      <c r="K14" s="127"/>
      <c r="L14" s="127"/>
      <c r="M14" s="127"/>
      <c r="N14" s="127"/>
      <c r="O14" s="343"/>
      <c r="P14" s="178"/>
      <c r="Q14" s="150"/>
      <c r="R14" s="284"/>
      <c r="S14" s="150"/>
      <c r="U14" s="150"/>
      <c r="W14" s="150"/>
      <c r="X14" s="150"/>
    </row>
    <row r="15" spans="1:32" s="151" customFormat="1" x14ac:dyDescent="0.25">
      <c r="A15" s="230"/>
      <c r="B15" s="160"/>
      <c r="C15" s="182"/>
      <c r="D15" s="150" t="s">
        <v>234</v>
      </c>
      <c r="E15" s="165"/>
      <c r="F15" s="163">
        <v>5.7509999999999999E-2</v>
      </c>
      <c r="G15" s="163">
        <v>5.5919999999999997E-2</v>
      </c>
      <c r="H15" s="163">
        <f>G15</f>
        <v>5.5919999999999997E-2</v>
      </c>
      <c r="I15" s="163">
        <f>H15-G15</f>
        <v>0</v>
      </c>
      <c r="J15" s="165"/>
      <c r="K15" s="127"/>
      <c r="L15" s="127"/>
      <c r="M15" s="127"/>
      <c r="N15" s="127"/>
      <c r="O15" s="343"/>
      <c r="P15" s="178"/>
      <c r="Q15" s="150"/>
      <c r="R15" s="284"/>
      <c r="S15" s="150"/>
      <c r="T15" s="150"/>
      <c r="U15" s="150"/>
      <c r="W15" s="150"/>
      <c r="X15" s="150"/>
    </row>
    <row r="16" spans="1:32" s="151" customFormat="1" ht="9" customHeight="1" x14ac:dyDescent="0.25">
      <c r="A16" s="230"/>
      <c r="B16" s="164"/>
      <c r="C16" s="183"/>
      <c r="D16" s="165"/>
      <c r="E16" s="165"/>
      <c r="F16" s="165"/>
      <c r="G16" s="165"/>
      <c r="H16" s="165"/>
      <c r="I16" s="165"/>
      <c r="J16" s="165"/>
      <c r="K16" s="166"/>
      <c r="L16" s="166"/>
      <c r="M16" s="166"/>
      <c r="N16" s="166"/>
      <c r="O16" s="344"/>
      <c r="P16" s="179"/>
      <c r="Q16" s="150"/>
      <c r="R16" s="150"/>
      <c r="S16" s="150"/>
      <c r="T16" s="150"/>
      <c r="U16" s="150"/>
      <c r="W16" s="150"/>
      <c r="X16" s="150"/>
    </row>
    <row r="17" spans="1:24" s="151" customFormat="1" x14ac:dyDescent="0.25">
      <c r="A17" s="230">
        <v>3</v>
      </c>
      <c r="B17" s="2" t="str">
        <f>List!B8</f>
        <v>Sch II - Small Commercial  Small Power</v>
      </c>
      <c r="C17" s="181" t="str">
        <f>List!C8</f>
        <v>C1</v>
      </c>
      <c r="D17" s="150" t="s">
        <v>229</v>
      </c>
      <c r="E17" s="165"/>
      <c r="F17" s="31">
        <v>14</v>
      </c>
      <c r="G17" s="31">
        <f>F17</f>
        <v>14</v>
      </c>
      <c r="H17" s="161">
        <f>G17</f>
        <v>14</v>
      </c>
      <c r="I17" s="161">
        <f>H17-G17</f>
        <v>0</v>
      </c>
      <c r="J17" s="165"/>
      <c r="K17" s="127">
        <f>'C1'!G26</f>
        <v>1611442.3340700001</v>
      </c>
      <c r="L17" s="127">
        <f>'C1'!J26</f>
        <v>1588391.9402999999</v>
      </c>
      <c r="M17" s="127">
        <f>'C1'!S26</f>
        <v>1588391.9402999999</v>
      </c>
      <c r="N17" s="127">
        <f>'C1'!S28</f>
        <v>0</v>
      </c>
      <c r="O17" s="343">
        <f>'C1'!S30</f>
        <v>0</v>
      </c>
      <c r="P17" s="140">
        <f>'C1'!S32</f>
        <v>0</v>
      </c>
      <c r="Q17" s="150"/>
      <c r="R17" s="150"/>
      <c r="S17" s="150"/>
      <c r="T17" s="150"/>
      <c r="U17" s="150"/>
      <c r="W17" s="150"/>
      <c r="X17" s="150"/>
    </row>
    <row r="18" spans="1:24" s="151" customFormat="1" x14ac:dyDescent="0.25">
      <c r="A18" s="230"/>
      <c r="B18" s="160"/>
      <c r="C18" s="182"/>
      <c r="D18" s="150" t="s">
        <v>235</v>
      </c>
      <c r="E18" s="165"/>
      <c r="F18" s="163">
        <v>8.9510000000000006E-2</v>
      </c>
      <c r="G18" s="163">
        <v>8.7919999999999998E-2</v>
      </c>
      <c r="H18" s="163">
        <f>G18</f>
        <v>8.7919999999999998E-2</v>
      </c>
      <c r="I18" s="163">
        <f>H18-G18</f>
        <v>0</v>
      </c>
      <c r="J18" s="165"/>
      <c r="K18" s="127"/>
      <c r="L18" s="127"/>
      <c r="M18" s="127"/>
      <c r="N18" s="127"/>
      <c r="O18" s="343"/>
      <c r="P18" s="178"/>
      <c r="Q18" s="150"/>
      <c r="R18" s="284"/>
      <c r="S18" s="150"/>
      <c r="T18" s="150"/>
      <c r="U18" s="150"/>
      <c r="W18" s="150"/>
      <c r="X18" s="150"/>
    </row>
    <row r="19" spans="1:24" s="151" customFormat="1" x14ac:dyDescent="0.25">
      <c r="A19" s="230"/>
      <c r="B19" s="160"/>
      <c r="C19" s="182"/>
      <c r="D19" s="150" t="s">
        <v>236</v>
      </c>
      <c r="E19" s="165"/>
      <c r="F19" s="163">
        <v>8.5900000000000004E-2</v>
      </c>
      <c r="G19" s="163">
        <v>8.4309999999999996E-2</v>
      </c>
      <c r="H19" s="163">
        <f>G19</f>
        <v>8.4309999999999996E-2</v>
      </c>
      <c r="I19" s="163">
        <f>H19-G19</f>
        <v>0</v>
      </c>
      <c r="J19" s="165"/>
      <c r="K19" s="127"/>
      <c r="L19" s="127"/>
      <c r="M19" s="127"/>
      <c r="N19" s="127"/>
      <c r="O19" s="343"/>
      <c r="P19" s="178"/>
      <c r="Q19" s="150"/>
      <c r="R19" s="284"/>
      <c r="S19" s="150"/>
      <c r="T19" s="150"/>
      <c r="U19" s="150"/>
    </row>
    <row r="20" spans="1:24" s="151" customFormat="1" ht="9" customHeight="1" x14ac:dyDescent="0.25">
      <c r="A20" s="230"/>
      <c r="B20" s="164"/>
      <c r="C20" s="183"/>
      <c r="D20" s="165"/>
      <c r="E20" s="165"/>
      <c r="F20" s="165"/>
      <c r="G20" s="165"/>
      <c r="H20" s="165"/>
      <c r="I20" s="165"/>
      <c r="J20" s="165"/>
      <c r="K20" s="166"/>
      <c r="L20" s="166"/>
      <c r="M20" s="166"/>
      <c r="N20" s="166"/>
      <c r="O20" s="344"/>
      <c r="P20" s="179"/>
      <c r="Q20" s="150"/>
      <c r="R20" s="150"/>
      <c r="S20" s="150"/>
      <c r="T20" s="150"/>
      <c r="U20" s="150"/>
    </row>
    <row r="21" spans="1:24" s="151" customFormat="1" x14ac:dyDescent="0.25">
      <c r="A21" s="230">
        <v>4</v>
      </c>
      <c r="B21" s="2" t="str">
        <f>List!B9</f>
        <v>Sch II - Small Commercial  Small Power</v>
      </c>
      <c r="C21" s="181" t="str">
        <f>List!C9</f>
        <v>C2</v>
      </c>
      <c r="D21" s="150" t="s">
        <v>229</v>
      </c>
      <c r="E21" s="165"/>
      <c r="F21" s="31">
        <v>25.55</v>
      </c>
      <c r="G21" s="31">
        <f>F21</f>
        <v>25.55</v>
      </c>
      <c r="H21" s="161">
        <f>G21</f>
        <v>25.55</v>
      </c>
      <c r="I21" s="161">
        <f>H21-G21</f>
        <v>0</v>
      </c>
      <c r="J21" s="165"/>
      <c r="K21" s="127">
        <f>'C2'!G30</f>
        <v>1174290.7329600002</v>
      </c>
      <c r="L21" s="127">
        <f>'C2'!J30</f>
        <v>1158561.56892</v>
      </c>
      <c r="M21" s="127">
        <f>'C2'!S30</f>
        <v>1158561.56892</v>
      </c>
      <c r="N21" s="127">
        <f>'C2'!S32</f>
        <v>0</v>
      </c>
      <c r="O21" s="343">
        <f>'C2'!S34</f>
        <v>0</v>
      </c>
      <c r="P21" s="140">
        <f>'C2'!S36</f>
        <v>0</v>
      </c>
      <c r="Q21" s="150"/>
      <c r="R21" s="150"/>
      <c r="S21" s="150"/>
      <c r="T21" s="150"/>
      <c r="U21" s="150"/>
    </row>
    <row r="22" spans="1:24" s="151" customFormat="1" x14ac:dyDescent="0.25">
      <c r="A22" s="230"/>
      <c r="B22" s="160"/>
      <c r="C22" s="182"/>
      <c r="D22" s="150" t="s">
        <v>235</v>
      </c>
      <c r="E22" s="165"/>
      <c r="F22" s="163">
        <v>8.9510000000000006E-2</v>
      </c>
      <c r="G22" s="163">
        <v>8.7919999999999998E-2</v>
      </c>
      <c r="H22" s="163">
        <f>G22</f>
        <v>8.7919999999999998E-2</v>
      </c>
      <c r="I22" s="163">
        <f>H22-G22</f>
        <v>0</v>
      </c>
      <c r="J22" s="165"/>
      <c r="K22" s="127"/>
      <c r="L22" s="127"/>
      <c r="M22" s="127"/>
      <c r="N22" s="127"/>
      <c r="O22" s="343"/>
      <c r="P22" s="178"/>
      <c r="Q22" s="150"/>
      <c r="R22" s="284"/>
      <c r="S22" s="150"/>
      <c r="T22" s="150"/>
      <c r="U22" s="150"/>
    </row>
    <row r="23" spans="1:24" s="151" customFormat="1" x14ac:dyDescent="0.25">
      <c r="A23" s="230"/>
      <c r="B23" s="160"/>
      <c r="C23" s="182"/>
      <c r="D23" s="150" t="s">
        <v>236</v>
      </c>
      <c r="E23" s="165"/>
      <c r="F23" s="163">
        <v>8.5900000000000004E-2</v>
      </c>
      <c r="G23" s="163">
        <v>8.4309999999999996E-2</v>
      </c>
      <c r="H23" s="163">
        <f>G23</f>
        <v>8.4309999999999996E-2</v>
      </c>
      <c r="I23" s="163">
        <f>H23-G23</f>
        <v>0</v>
      </c>
      <c r="J23" s="165"/>
      <c r="K23" s="127"/>
      <c r="L23" s="127"/>
      <c r="M23" s="127"/>
      <c r="N23" s="127"/>
      <c r="O23" s="343"/>
      <c r="P23" s="178"/>
      <c r="Q23" s="150"/>
      <c r="R23" s="284"/>
      <c r="S23" s="150"/>
      <c r="T23" s="150"/>
      <c r="U23" s="150"/>
    </row>
    <row r="24" spans="1:24" s="151" customFormat="1" x14ac:dyDescent="0.25">
      <c r="A24" s="230"/>
      <c r="B24" s="160"/>
      <c r="C24" s="182"/>
      <c r="D24" s="150" t="s">
        <v>232</v>
      </c>
      <c r="E24" s="165"/>
      <c r="F24" s="31">
        <v>4.22</v>
      </c>
      <c r="G24" s="31">
        <f>F24</f>
        <v>4.22</v>
      </c>
      <c r="H24" s="161">
        <f>G24</f>
        <v>4.22</v>
      </c>
      <c r="I24" s="161">
        <f>H24-G24</f>
        <v>0</v>
      </c>
      <c r="J24" s="165"/>
      <c r="K24" s="127"/>
      <c r="L24" s="127"/>
      <c r="M24" s="127"/>
      <c r="N24" s="127"/>
      <c r="O24" s="343"/>
      <c r="P24" s="178"/>
      <c r="Q24" s="150"/>
      <c r="R24" s="150"/>
      <c r="S24" s="150"/>
      <c r="T24" s="150"/>
      <c r="U24" s="150"/>
    </row>
    <row r="25" spans="1:24" s="151" customFormat="1" ht="9" customHeight="1" x14ac:dyDescent="0.25">
      <c r="A25" s="230"/>
      <c r="B25" s="164"/>
      <c r="C25" s="183"/>
      <c r="D25" s="165"/>
      <c r="E25" s="165"/>
      <c r="F25" s="165"/>
      <c r="G25" s="165"/>
      <c r="H25" s="165"/>
      <c r="I25" s="165"/>
      <c r="J25" s="165"/>
      <c r="K25" s="166"/>
      <c r="L25" s="166"/>
      <c r="M25" s="166"/>
      <c r="N25" s="166"/>
      <c r="O25" s="344"/>
      <c r="P25" s="179"/>
      <c r="Q25" s="150"/>
      <c r="R25" s="150"/>
      <c r="S25" s="150"/>
      <c r="T25" s="150"/>
      <c r="U25" s="150"/>
    </row>
    <row r="26" spans="1:24" s="151" customFormat="1" x14ac:dyDescent="0.25">
      <c r="A26" s="230">
        <v>5</v>
      </c>
      <c r="B26" s="2" t="str">
        <f>List!B10</f>
        <v>Sch VII - Inclining Block Rate</v>
      </c>
      <c r="C26" s="182" t="str">
        <f>List!C10</f>
        <v>IB</v>
      </c>
      <c r="D26" s="150" t="s">
        <v>229</v>
      </c>
      <c r="E26" s="165"/>
      <c r="F26" s="161">
        <v>9.9</v>
      </c>
      <c r="G26" s="161">
        <f>F26</f>
        <v>9.9</v>
      </c>
      <c r="H26" s="161">
        <f>G26</f>
        <v>9.9</v>
      </c>
      <c r="I26" s="161">
        <f>H26-G26</f>
        <v>0</v>
      </c>
      <c r="J26" s="165"/>
      <c r="K26" s="127">
        <f>IB!G27</f>
        <v>4011.16455</v>
      </c>
      <c r="L26" s="127">
        <f>IB!J27</f>
        <v>3992.1878999999999</v>
      </c>
      <c r="M26" s="127">
        <f>IB!S27</f>
        <v>3992.1878999999999</v>
      </c>
      <c r="N26" s="127">
        <f>IB!S29</f>
        <v>0</v>
      </c>
      <c r="O26" s="343">
        <f>IB!S31</f>
        <v>0</v>
      </c>
      <c r="P26" s="140">
        <f>IB!S33</f>
        <v>0</v>
      </c>
      <c r="Q26" s="150"/>
      <c r="R26" s="150"/>
      <c r="S26" s="150"/>
      <c r="T26" s="150"/>
      <c r="U26" s="150"/>
    </row>
    <row r="27" spans="1:24" s="151" customFormat="1" x14ac:dyDescent="0.25">
      <c r="A27" s="230"/>
      <c r="B27" s="160"/>
      <c r="C27" s="182"/>
      <c r="D27" s="150" t="s">
        <v>237</v>
      </c>
      <c r="E27" s="165"/>
      <c r="F27" s="163">
        <v>8.5930000000000006E-2</v>
      </c>
      <c r="G27" s="163">
        <v>8.4339999999999998E-2</v>
      </c>
      <c r="H27" s="163">
        <f>G27</f>
        <v>8.4339999999999998E-2</v>
      </c>
      <c r="I27" s="163">
        <f>H27-G27</f>
        <v>0</v>
      </c>
      <c r="J27" s="165"/>
      <c r="K27" s="127"/>
      <c r="L27" s="127"/>
      <c r="M27" s="127"/>
      <c r="N27" s="127"/>
      <c r="O27" s="343"/>
      <c r="P27" s="178"/>
      <c r="Q27" s="150"/>
      <c r="R27" s="284"/>
      <c r="S27" s="150"/>
      <c r="T27" s="150"/>
      <c r="U27" s="150"/>
    </row>
    <row r="28" spans="1:24" s="151" customFormat="1" x14ac:dyDescent="0.25">
      <c r="A28" s="230"/>
      <c r="B28" s="160"/>
      <c r="C28" s="182"/>
      <c r="D28" s="150" t="s">
        <v>238</v>
      </c>
      <c r="E28" s="165"/>
      <c r="F28" s="163">
        <v>9.0929999999999997E-2</v>
      </c>
      <c r="G28" s="163">
        <v>8.9340000000000003E-2</v>
      </c>
      <c r="H28" s="163">
        <f>G28</f>
        <v>8.9340000000000003E-2</v>
      </c>
      <c r="I28" s="163">
        <f>H28-G28</f>
        <v>0</v>
      </c>
      <c r="J28" s="165"/>
      <c r="K28" s="127"/>
      <c r="L28" s="127"/>
      <c r="M28" s="127"/>
      <c r="N28" s="127"/>
      <c r="O28" s="343"/>
      <c r="P28" s="178"/>
      <c r="Q28" s="150"/>
      <c r="R28" s="284"/>
      <c r="S28" s="150"/>
      <c r="T28" s="150"/>
      <c r="U28" s="150"/>
    </row>
    <row r="29" spans="1:24" s="151" customFormat="1" x14ac:dyDescent="0.25">
      <c r="A29" s="230"/>
      <c r="B29" s="160"/>
      <c r="C29" s="182"/>
      <c r="D29" s="150" t="s">
        <v>239</v>
      </c>
      <c r="E29" s="165"/>
      <c r="F29" s="163">
        <v>9.5930000000000001E-2</v>
      </c>
      <c r="G29" s="163">
        <v>9.4339999999999993E-2</v>
      </c>
      <c r="H29" s="163">
        <f>G29</f>
        <v>9.4339999999999993E-2</v>
      </c>
      <c r="I29" s="163">
        <f>H29-G29</f>
        <v>0</v>
      </c>
      <c r="J29" s="165"/>
      <c r="K29" s="127"/>
      <c r="L29" s="127"/>
      <c r="M29" s="127"/>
      <c r="N29" s="127"/>
      <c r="O29" s="343"/>
      <c r="P29" s="178"/>
      <c r="Q29" s="150"/>
      <c r="R29" s="284"/>
      <c r="S29" s="150"/>
      <c r="T29" s="150"/>
      <c r="U29" s="150"/>
    </row>
    <row r="30" spans="1:24" s="151" customFormat="1" ht="9" customHeight="1" x14ac:dyDescent="0.25">
      <c r="A30" s="230"/>
      <c r="B30" s="164"/>
      <c r="C30" s="183"/>
      <c r="D30" s="165"/>
      <c r="E30" s="165"/>
      <c r="F30" s="165"/>
      <c r="G30" s="165"/>
      <c r="H30" s="165"/>
      <c r="I30" s="165"/>
      <c r="J30" s="165"/>
      <c r="K30" s="166"/>
      <c r="L30" s="166"/>
      <c r="M30" s="166"/>
      <c r="N30" s="166"/>
      <c r="O30" s="344"/>
      <c r="P30" s="179"/>
      <c r="Q30" s="150"/>
      <c r="R30" s="150"/>
      <c r="S30" s="150"/>
      <c r="T30" s="150"/>
      <c r="U30" s="150"/>
    </row>
    <row r="31" spans="1:24" s="151" customFormat="1" x14ac:dyDescent="0.25">
      <c r="A31" s="230">
        <v>6</v>
      </c>
      <c r="B31" s="2" t="str">
        <f>List!B11</f>
        <v>Sch III - All 3Phase Schools &amp; Churches</v>
      </c>
      <c r="C31" s="182" t="str">
        <f>List!C11</f>
        <v>E1</v>
      </c>
      <c r="D31" s="150" t="s">
        <v>229</v>
      </c>
      <c r="E31" s="165"/>
      <c r="F31" s="161">
        <v>45</v>
      </c>
      <c r="G31" s="161">
        <f t="shared" ref="G31" si="0">F31</f>
        <v>45</v>
      </c>
      <c r="H31" s="161">
        <f>G31</f>
        <v>45</v>
      </c>
      <c r="I31" s="161">
        <f>H31-G31</f>
        <v>0</v>
      </c>
      <c r="J31" s="165"/>
      <c r="K31" s="127">
        <f>'E1'!G23</f>
        <v>1200224.9157499997</v>
      </c>
      <c r="L31" s="127">
        <f>'E1'!J23</f>
        <v>1177062.9484999999</v>
      </c>
      <c r="M31" s="127">
        <f>'E1'!S23</f>
        <v>1177062.9484999999</v>
      </c>
      <c r="N31" s="127">
        <f>'E1'!S25</f>
        <v>0</v>
      </c>
      <c r="O31" s="343">
        <f>'E1'!S27</f>
        <v>0</v>
      </c>
      <c r="P31" s="140">
        <f>'E1'!S29</f>
        <v>0</v>
      </c>
      <c r="Q31" s="150"/>
      <c r="R31" s="150"/>
      <c r="S31" s="150"/>
      <c r="T31" s="150"/>
      <c r="U31" s="150"/>
    </row>
    <row r="32" spans="1:24" s="151" customFormat="1" x14ac:dyDescent="0.25">
      <c r="A32" s="230"/>
      <c r="B32" s="160"/>
      <c r="C32" s="182"/>
      <c r="D32" s="150" t="s">
        <v>231</v>
      </c>
      <c r="E32" s="165"/>
      <c r="F32" s="163">
        <v>7.7329999999999996E-2</v>
      </c>
      <c r="G32" s="163">
        <v>7.5740000000000002E-2</v>
      </c>
      <c r="H32" s="163">
        <f>G32</f>
        <v>7.5740000000000002E-2</v>
      </c>
      <c r="I32" s="163">
        <f>H32-G32</f>
        <v>0</v>
      </c>
      <c r="J32" s="165"/>
      <c r="K32" s="127"/>
      <c r="L32" s="127"/>
      <c r="M32" s="127"/>
      <c r="N32" s="127"/>
      <c r="O32" s="343"/>
      <c r="P32" s="178"/>
      <c r="Q32" s="150"/>
      <c r="R32" s="284"/>
      <c r="S32" s="150"/>
      <c r="T32" s="150"/>
      <c r="U32" s="150"/>
    </row>
    <row r="33" spans="1:21" s="151" customFormat="1" ht="9" customHeight="1" x14ac:dyDescent="0.25">
      <c r="A33" s="230"/>
      <c r="B33" s="164"/>
      <c r="C33" s="183"/>
      <c r="D33" s="165"/>
      <c r="E33" s="165"/>
      <c r="F33" s="165"/>
      <c r="G33" s="165"/>
      <c r="H33" s="165"/>
      <c r="I33" s="165"/>
      <c r="J33" s="165"/>
      <c r="K33" s="166"/>
      <c r="L33" s="166"/>
      <c r="M33" s="166"/>
      <c r="N33" s="166"/>
      <c r="O33" s="344"/>
      <c r="P33" s="179"/>
      <c r="Q33" s="150"/>
      <c r="R33" s="150"/>
      <c r="S33" s="150"/>
      <c r="T33" s="150"/>
      <c r="U33" s="150"/>
    </row>
    <row r="34" spans="1:21" s="151" customFormat="1" x14ac:dyDescent="0.25">
      <c r="A34" s="230">
        <v>7</v>
      </c>
      <c r="B34" s="2" t="str">
        <f>List!B12</f>
        <v>Sch IV-A - Large Power 50-2500 kW</v>
      </c>
      <c r="C34" s="182" t="str">
        <f>List!C12</f>
        <v>L1</v>
      </c>
      <c r="D34" s="150" t="s">
        <v>229</v>
      </c>
      <c r="E34" s="165"/>
      <c r="F34" s="161">
        <v>65</v>
      </c>
      <c r="G34" s="161">
        <f>F34</f>
        <v>65</v>
      </c>
      <c r="H34" s="161">
        <f>G34</f>
        <v>65</v>
      </c>
      <c r="I34" s="161">
        <f>H34-G34</f>
        <v>0</v>
      </c>
      <c r="J34" s="165"/>
      <c r="K34" s="127">
        <f>'L1'!G29</f>
        <v>6065623.9373399997</v>
      </c>
      <c r="L34" s="127">
        <f>'L1'!J29</f>
        <v>5937612.3282000003</v>
      </c>
      <c r="M34" s="127">
        <f>'L1'!S29</f>
        <v>5937612.3282000003</v>
      </c>
      <c r="N34" s="127">
        <f>'L1'!S31</f>
        <v>0</v>
      </c>
      <c r="O34" s="343">
        <f>'L1'!S33</f>
        <v>0</v>
      </c>
      <c r="P34" s="140">
        <f>'L1'!S35</f>
        <v>0</v>
      </c>
      <c r="Q34" s="150"/>
      <c r="R34" s="150"/>
      <c r="S34" s="150"/>
      <c r="T34" s="150"/>
      <c r="U34" s="150"/>
    </row>
    <row r="35" spans="1:21" s="151" customFormat="1" x14ac:dyDescent="0.25">
      <c r="A35" s="230"/>
      <c r="B35" s="160"/>
      <c r="C35" s="182"/>
      <c r="D35" s="150" t="s">
        <v>231</v>
      </c>
      <c r="E35" s="165"/>
      <c r="F35" s="163">
        <v>5.8290000000000002E-2</v>
      </c>
      <c r="G35" s="163">
        <v>5.67E-2</v>
      </c>
      <c r="H35" s="163">
        <f>G35</f>
        <v>5.67E-2</v>
      </c>
      <c r="I35" s="163">
        <f>H35-G35</f>
        <v>0</v>
      </c>
      <c r="J35" s="165"/>
      <c r="K35" s="127"/>
      <c r="L35" s="127"/>
      <c r="M35" s="127"/>
      <c r="N35" s="127"/>
      <c r="O35" s="343"/>
      <c r="P35" s="178"/>
      <c r="Q35" s="150"/>
      <c r="R35" s="284"/>
      <c r="S35" s="150"/>
      <c r="T35" s="150"/>
      <c r="U35" s="150"/>
    </row>
    <row r="36" spans="1:21" s="151" customFormat="1" x14ac:dyDescent="0.25">
      <c r="A36" s="230"/>
      <c r="B36" s="160"/>
      <c r="C36" s="182"/>
      <c r="D36" s="150" t="s">
        <v>232</v>
      </c>
      <c r="E36" s="165"/>
      <c r="F36" s="31">
        <v>4.22</v>
      </c>
      <c r="G36" s="31">
        <f t="shared" ref="G36" si="1">F36</f>
        <v>4.22</v>
      </c>
      <c r="H36" s="161">
        <f>G36</f>
        <v>4.22</v>
      </c>
      <c r="I36" s="161">
        <f>H36-G36</f>
        <v>0</v>
      </c>
      <c r="J36" s="165"/>
      <c r="K36" s="127"/>
      <c r="L36" s="127"/>
      <c r="M36" s="127"/>
      <c r="N36" s="127"/>
      <c r="O36" s="343"/>
      <c r="P36" s="178"/>
      <c r="Q36" s="150"/>
      <c r="R36" s="150"/>
      <c r="S36" s="150"/>
      <c r="T36" s="150"/>
      <c r="U36" s="150"/>
    </row>
    <row r="37" spans="1:21" s="151" customFormat="1" ht="9" customHeight="1" x14ac:dyDescent="0.25">
      <c r="A37" s="230"/>
      <c r="B37" s="164"/>
      <c r="C37" s="183"/>
      <c r="D37" s="165"/>
      <c r="E37" s="165"/>
      <c r="F37" s="165"/>
      <c r="G37" s="165"/>
      <c r="H37" s="165"/>
      <c r="I37" s="165"/>
      <c r="J37" s="165"/>
      <c r="K37" s="166"/>
      <c r="L37" s="166"/>
      <c r="M37" s="166"/>
      <c r="N37" s="166"/>
      <c r="O37" s="344"/>
      <c r="P37" s="179"/>
      <c r="S37" s="150"/>
      <c r="T37" s="150"/>
      <c r="U37" s="150"/>
    </row>
    <row r="38" spans="1:21" s="151" customFormat="1" x14ac:dyDescent="0.25">
      <c r="A38" s="230">
        <v>8</v>
      </c>
      <c r="B38" s="2" t="str">
        <f>List!B13</f>
        <v>Sch VI - Outdoor Lighting - Security Lights</v>
      </c>
      <c r="C38" s="182" t="str">
        <f>List!C13</f>
        <v>S</v>
      </c>
      <c r="D38" s="150" t="s">
        <v>220</v>
      </c>
      <c r="E38" s="165"/>
      <c r="F38" s="31"/>
      <c r="G38" s="31"/>
      <c r="H38" s="161"/>
      <c r="I38" s="161"/>
      <c r="J38" s="165"/>
      <c r="K38" s="127">
        <f>S!I28</f>
        <v>1558544.6499999997</v>
      </c>
      <c r="L38" s="127">
        <f>S!L28</f>
        <v>1542775.05</v>
      </c>
      <c r="M38" s="127">
        <f>S!R28</f>
        <v>1542775.05</v>
      </c>
      <c r="N38" s="127">
        <f>S!R30</f>
        <v>0</v>
      </c>
      <c r="O38" s="343">
        <f>S!R32</f>
        <v>0</v>
      </c>
      <c r="P38" s="140">
        <f>S!R34</f>
        <v>0</v>
      </c>
      <c r="Q38" s="150"/>
      <c r="R38" s="150"/>
      <c r="S38" s="150"/>
      <c r="T38" s="150"/>
      <c r="U38" s="150"/>
    </row>
    <row r="39" spans="1:21" s="151" customFormat="1" ht="9.75" hidden="1" customHeight="1" x14ac:dyDescent="0.25">
      <c r="A39" s="230"/>
      <c r="B39" s="164"/>
      <c r="C39" s="183"/>
      <c r="D39" s="165"/>
      <c r="E39" s="165"/>
      <c r="F39" s="165"/>
      <c r="G39" s="165"/>
      <c r="H39" s="165"/>
      <c r="I39" s="165"/>
      <c r="J39" s="165"/>
      <c r="K39" s="166"/>
      <c r="L39" s="166"/>
      <c r="M39" s="166"/>
      <c r="N39" s="166"/>
      <c r="O39" s="344"/>
      <c r="P39" s="179"/>
      <c r="Q39" s="150"/>
      <c r="R39" s="150"/>
      <c r="S39" s="150"/>
      <c r="T39" s="150"/>
      <c r="U39" s="150"/>
    </row>
    <row r="40" spans="1:21" s="151" customFormat="1" hidden="1" x14ac:dyDescent="0.25">
      <c r="A40" s="230">
        <v>9</v>
      </c>
      <c r="B40" s="2" t="str">
        <f>List!B14</f>
        <v>reserved</v>
      </c>
      <c r="C40" s="182" t="str">
        <f>List!C14</f>
        <v>x</v>
      </c>
      <c r="D40" s="150"/>
      <c r="E40" s="165"/>
      <c r="F40" s="31"/>
      <c r="G40" s="31"/>
      <c r="H40" s="161"/>
      <c r="I40" s="161"/>
      <c r="J40" s="165"/>
      <c r="K40" s="127"/>
      <c r="L40" s="127"/>
      <c r="M40" s="127"/>
      <c r="N40" s="127"/>
      <c r="O40" s="343"/>
      <c r="P40" s="222"/>
      <c r="Q40" s="150"/>
      <c r="R40" s="150"/>
      <c r="S40" s="150"/>
      <c r="T40" s="150"/>
      <c r="U40" s="150"/>
    </row>
    <row r="41" spans="1:21" s="151" customFormat="1" hidden="1" x14ac:dyDescent="0.25">
      <c r="A41" s="230"/>
      <c r="B41" s="160"/>
      <c r="C41" s="182"/>
      <c r="D41" s="150"/>
      <c r="E41" s="165"/>
      <c r="F41" s="163"/>
      <c r="G41" s="163"/>
      <c r="H41" s="163"/>
      <c r="I41" s="163"/>
      <c r="J41" s="165"/>
      <c r="K41" s="127"/>
      <c r="L41" s="127"/>
      <c r="M41" s="127"/>
      <c r="N41" s="127"/>
      <c r="O41" s="343"/>
      <c r="P41" s="178"/>
      <c r="Q41" s="150"/>
      <c r="R41" s="150"/>
      <c r="S41" s="150"/>
      <c r="T41" s="150"/>
      <c r="U41" s="150"/>
    </row>
    <row r="42" spans="1:21" s="151" customFormat="1" ht="8.25" hidden="1" customHeight="1" x14ac:dyDescent="0.25">
      <c r="A42" s="230"/>
      <c r="B42" s="164"/>
      <c r="C42" s="183"/>
      <c r="D42" s="165"/>
      <c r="E42" s="165"/>
      <c r="F42" s="165"/>
      <c r="G42" s="165"/>
      <c r="H42" s="165"/>
      <c r="I42" s="165"/>
      <c r="J42" s="165"/>
      <c r="K42" s="166"/>
      <c r="L42" s="166"/>
      <c r="M42" s="166"/>
      <c r="N42" s="166"/>
      <c r="O42" s="344"/>
      <c r="P42" s="179"/>
      <c r="Q42" s="150"/>
      <c r="R42" s="150"/>
      <c r="S42" s="150"/>
      <c r="T42" s="150"/>
      <c r="U42" s="150"/>
    </row>
    <row r="43" spans="1:21" s="151" customFormat="1" hidden="1" x14ac:dyDescent="0.25">
      <c r="A43" s="230">
        <v>10</v>
      </c>
      <c r="B43" s="160" t="str">
        <f>List!B15</f>
        <v>reserved</v>
      </c>
      <c r="C43" s="182" t="str">
        <f>List!C15</f>
        <v>x</v>
      </c>
      <c r="D43" s="34"/>
      <c r="E43" s="165"/>
      <c r="F43" s="161"/>
      <c r="G43" s="161"/>
      <c r="H43" s="161"/>
      <c r="I43" s="161"/>
      <c r="J43" s="165"/>
      <c r="K43" s="201"/>
      <c r="L43" s="201"/>
      <c r="M43" s="201"/>
      <c r="N43" s="201"/>
      <c r="O43" s="342"/>
      <c r="P43" s="222"/>
      <c r="Q43" s="176"/>
      <c r="R43" s="162"/>
      <c r="S43" s="150"/>
      <c r="T43" s="150"/>
      <c r="U43" s="150"/>
    </row>
    <row r="44" spans="1:21" s="151" customFormat="1" hidden="1" x14ac:dyDescent="0.25">
      <c r="A44" s="230"/>
      <c r="B44" s="160"/>
      <c r="C44" s="182"/>
      <c r="D44" s="34"/>
      <c r="E44" s="165"/>
      <c r="F44" s="161"/>
      <c r="G44" s="161"/>
      <c r="H44" s="161"/>
      <c r="I44" s="161"/>
      <c r="J44" s="165"/>
      <c r="K44" s="127"/>
      <c r="L44" s="127"/>
      <c r="M44" s="127"/>
      <c r="N44" s="127"/>
      <c r="O44" s="343"/>
    </row>
    <row r="45" spans="1:21" s="151" customFormat="1" hidden="1" x14ac:dyDescent="0.25">
      <c r="A45" s="230"/>
      <c r="B45" s="160"/>
      <c r="C45" s="182"/>
      <c r="D45" s="34"/>
      <c r="E45" s="165"/>
      <c r="F45" s="161"/>
      <c r="G45" s="161"/>
      <c r="H45" s="161"/>
      <c r="I45" s="161"/>
      <c r="J45" s="165"/>
      <c r="K45" s="127"/>
      <c r="L45" s="127"/>
      <c r="M45" s="127"/>
      <c r="N45" s="127"/>
      <c r="O45" s="343"/>
      <c r="P45" s="67"/>
    </row>
    <row r="46" spans="1:21" s="151" customFormat="1" hidden="1" x14ac:dyDescent="0.25">
      <c r="A46" s="230"/>
      <c r="B46" s="160"/>
      <c r="C46" s="182"/>
      <c r="D46" s="34"/>
      <c r="E46" s="165"/>
      <c r="F46" s="161"/>
      <c r="G46" s="161"/>
      <c r="H46" s="161"/>
      <c r="I46" s="161"/>
      <c r="J46" s="165"/>
      <c r="K46" s="127"/>
      <c r="L46" s="127"/>
      <c r="M46" s="127"/>
      <c r="N46" s="127"/>
      <c r="O46" s="343"/>
      <c r="R46" s="162"/>
    </row>
    <row r="47" spans="1:21" s="151" customFormat="1" hidden="1" x14ac:dyDescent="0.25">
      <c r="A47" s="230"/>
      <c r="B47" s="160"/>
      <c r="C47" s="182"/>
      <c r="D47" s="34"/>
      <c r="E47" s="165"/>
      <c r="F47" s="161"/>
      <c r="G47" s="161"/>
      <c r="H47" s="161"/>
      <c r="I47" s="161"/>
      <c r="J47" s="165"/>
      <c r="K47" s="127"/>
      <c r="L47" s="127"/>
      <c r="M47" s="127"/>
      <c r="N47" s="127"/>
      <c r="O47" s="343"/>
    </row>
    <row r="48" spans="1:21" s="151" customFormat="1" ht="9" customHeight="1" x14ac:dyDescent="0.25">
      <c r="A48" s="230"/>
      <c r="B48" s="164"/>
      <c r="C48" s="184"/>
      <c r="D48" s="165"/>
      <c r="E48" s="165"/>
      <c r="F48" s="165"/>
      <c r="G48" s="165"/>
      <c r="H48" s="165"/>
      <c r="I48" s="165"/>
      <c r="J48" s="165"/>
      <c r="K48" s="166"/>
      <c r="L48" s="166"/>
      <c r="M48" s="166"/>
      <c r="N48" s="166"/>
      <c r="O48" s="344"/>
      <c r="P48" s="165"/>
    </row>
    <row r="49" spans="1:36" s="173" customFormat="1" ht="31.5" customHeight="1" thickBot="1" x14ac:dyDescent="0.3">
      <c r="A49" s="233"/>
      <c r="B49" s="169" t="s">
        <v>65</v>
      </c>
      <c r="C49" s="185"/>
      <c r="D49" s="169"/>
      <c r="E49" s="165"/>
      <c r="F49" s="169"/>
      <c r="G49" s="169"/>
      <c r="H49" s="169"/>
      <c r="I49" s="169"/>
      <c r="J49" s="165"/>
      <c r="K49" s="170">
        <f>SUM(K9:K48)</f>
        <v>41707629.514169998</v>
      </c>
      <c r="L49" s="170">
        <f>SUM(L9:L48)</f>
        <v>41032270.071559995</v>
      </c>
      <c r="M49" s="170">
        <f>SUM(M9:M48)</f>
        <v>41953465.211199999</v>
      </c>
      <c r="N49" s="171">
        <f>SUM(N9:N48)</f>
        <v>921195.13963999972</v>
      </c>
      <c r="O49" s="345">
        <f>N49/L49</f>
        <v>2.2450503909080384E-2</v>
      </c>
      <c r="P49" s="172"/>
      <c r="S49" s="162"/>
      <c r="T49" s="213"/>
      <c r="U49" s="176"/>
    </row>
    <row r="50" spans="1:36" s="173" customFormat="1" ht="15.75" customHeight="1" thickTop="1" x14ac:dyDescent="0.2">
      <c r="A50" s="233"/>
      <c r="B50" s="216"/>
      <c r="C50" s="217"/>
      <c r="D50" s="216"/>
      <c r="E50" s="216"/>
      <c r="F50" s="216"/>
      <c r="G50" s="216"/>
      <c r="H50" s="216"/>
      <c r="I50" s="216"/>
      <c r="J50" s="216"/>
      <c r="K50" s="218"/>
      <c r="L50" s="218"/>
      <c r="M50" s="218"/>
      <c r="N50" s="219"/>
      <c r="O50" s="220"/>
      <c r="P50" s="220"/>
      <c r="S50"/>
      <c r="T50"/>
      <c r="U50"/>
      <c r="V50"/>
    </row>
    <row r="51" spans="1:36" x14ac:dyDescent="0.25">
      <c r="G51" s="177"/>
      <c r="K51" s="177"/>
      <c r="L51" s="177"/>
      <c r="M51" s="395" t="s">
        <v>227</v>
      </c>
      <c r="N51" s="396">
        <v>921713.95704131993</v>
      </c>
      <c r="S51" s="376"/>
      <c r="T51" s="402"/>
      <c r="U51" s="402"/>
      <c r="V51" s="402"/>
    </row>
    <row r="52" spans="1:36" x14ac:dyDescent="0.25">
      <c r="D52" s="167"/>
      <c r="E52" s="167"/>
      <c r="F52" s="167"/>
      <c r="G52" s="167"/>
      <c r="H52" s="167"/>
      <c r="I52" s="167"/>
      <c r="J52" s="167"/>
      <c r="K52" s="167"/>
      <c r="L52" s="167"/>
      <c r="M52" s="215" t="s">
        <v>243</v>
      </c>
      <c r="N52" s="177">
        <f>N49-N51</f>
        <v>-518.81740132020786</v>
      </c>
      <c r="T52" s="398"/>
      <c r="U52" s="403"/>
    </row>
    <row r="53" spans="1:36" x14ac:dyDescent="0.25">
      <c r="M53" s="37"/>
      <c r="O53" s="168"/>
      <c r="T53" s="398"/>
      <c r="U53" s="399"/>
      <c r="V53" s="398"/>
    </row>
    <row r="54" spans="1:36" x14ac:dyDescent="0.25">
      <c r="F54" s="408" t="s">
        <v>242</v>
      </c>
      <c r="G54" s="409"/>
      <c r="M54" s="177"/>
      <c r="O54" s="152"/>
      <c r="T54" s="398"/>
      <c r="U54" s="399"/>
      <c r="V54" s="208"/>
    </row>
    <row r="55" spans="1:36" x14ac:dyDescent="0.25">
      <c r="F55" s="150" t="s">
        <v>132</v>
      </c>
      <c r="G55" s="132">
        <f>'R'!J28</f>
        <v>-469453.09998000041</v>
      </c>
      <c r="L55" s="215"/>
      <c r="M55" s="14"/>
      <c r="T55" s="215"/>
      <c r="U55" s="215"/>
      <c r="V55" s="215"/>
    </row>
    <row r="56" spans="1:36" x14ac:dyDescent="0.25">
      <c r="F56" s="150" t="s">
        <v>145</v>
      </c>
      <c r="G56" s="132">
        <f>TOD!J30</f>
        <v>-164.63177999999971</v>
      </c>
      <c r="M56" s="177"/>
      <c r="S56" s="376"/>
      <c r="T56" s="402"/>
      <c r="U56" s="402"/>
      <c r="V56" s="402"/>
    </row>
    <row r="57" spans="1:36" x14ac:dyDescent="0.25">
      <c r="F57" s="150" t="s">
        <v>133</v>
      </c>
      <c r="G57" s="132">
        <f>'C1'!J30</f>
        <v>-23050.393770000199</v>
      </c>
      <c r="L57" s="215"/>
      <c r="M57" s="14"/>
      <c r="T57" s="400"/>
      <c r="U57" s="400"/>
      <c r="V57" s="400"/>
    </row>
    <row r="58" spans="1:36" x14ac:dyDescent="0.25">
      <c r="F58" s="150" t="s">
        <v>134</v>
      </c>
      <c r="G58" s="132">
        <f>'C2'!J34</f>
        <v>-15729.164040000178</v>
      </c>
      <c r="M58" s="177"/>
      <c r="T58" s="401"/>
      <c r="U58" s="401"/>
      <c r="V58" s="401"/>
    </row>
    <row r="59" spans="1:36" x14ac:dyDescent="0.25">
      <c r="F59" s="150" t="s">
        <v>137</v>
      </c>
      <c r="G59" s="132">
        <f>IB!J31</f>
        <v>-18.976650000000063</v>
      </c>
      <c r="L59" s="215"/>
      <c r="M59" s="14"/>
      <c r="T59" s="400"/>
      <c r="U59" s="400"/>
      <c r="V59" s="400"/>
    </row>
    <row r="60" spans="1:36" s="151" customFormat="1" x14ac:dyDescent="0.25">
      <c r="A60" s="230"/>
      <c r="B60" s="150"/>
      <c r="C60" s="167"/>
      <c r="D60" s="150"/>
      <c r="E60" s="150"/>
      <c r="F60" s="150" t="s">
        <v>135</v>
      </c>
      <c r="G60" s="132">
        <f>'E1'!J27</f>
        <v>-23161.967249999754</v>
      </c>
      <c r="H60" s="150"/>
      <c r="I60" s="150"/>
      <c r="J60" s="150"/>
      <c r="K60" s="150"/>
      <c r="L60" s="150"/>
      <c r="M60" s="177"/>
      <c r="N60" s="150"/>
      <c r="O60" s="150"/>
      <c r="S60" s="150"/>
      <c r="T60" s="150"/>
      <c r="U60" s="150"/>
      <c r="V60" s="150"/>
      <c r="AD60" s="150"/>
      <c r="AF60" s="150"/>
      <c r="AH60" s="150"/>
      <c r="AJ60" s="150"/>
    </row>
    <row r="61" spans="1:36" s="151" customFormat="1" x14ac:dyDescent="0.25">
      <c r="A61" s="230"/>
      <c r="B61" s="150"/>
      <c r="C61" s="167"/>
      <c r="D61" s="150"/>
      <c r="E61" s="150"/>
      <c r="F61" s="150" t="s">
        <v>136</v>
      </c>
      <c r="G61" s="132">
        <f>'L1'!J33</f>
        <v>-128011.60913999937</v>
      </c>
      <c r="H61" s="150"/>
      <c r="I61" s="150"/>
      <c r="J61" s="150"/>
      <c r="K61" s="150"/>
      <c r="L61" s="150"/>
      <c r="M61" s="150"/>
      <c r="N61" s="150"/>
      <c r="O61" s="150"/>
      <c r="S61" s="150"/>
      <c r="U61" s="150"/>
      <c r="AD61" s="150"/>
      <c r="AF61" s="150"/>
      <c r="AH61" s="150"/>
      <c r="AJ61" s="150"/>
    </row>
    <row r="62" spans="1:36" s="151" customFormat="1" x14ac:dyDescent="0.25">
      <c r="A62" s="230"/>
      <c r="B62" s="150"/>
      <c r="C62" s="167"/>
      <c r="D62" s="150"/>
      <c r="E62" s="150"/>
      <c r="F62" s="150" t="s">
        <v>144</v>
      </c>
      <c r="G62" s="132">
        <f>S!L32</f>
        <v>-15769.599999999627</v>
      </c>
      <c r="H62" s="150"/>
      <c r="I62" s="150"/>
      <c r="J62" s="150"/>
      <c r="K62" s="150"/>
      <c r="L62" s="150"/>
      <c r="M62" s="150"/>
      <c r="N62" s="150"/>
      <c r="O62" s="150"/>
      <c r="S62" s="150"/>
      <c r="U62" s="150"/>
      <c r="AD62" s="150"/>
      <c r="AF62" s="150"/>
      <c r="AH62" s="150"/>
      <c r="AJ62" s="150"/>
    </row>
    <row r="63" spans="1:36" x14ac:dyDescent="0.25">
      <c r="F63" s="410" t="s">
        <v>84</v>
      </c>
      <c r="G63" s="407">
        <f>SUM(G55:G62)</f>
        <v>-675359.44260999956</v>
      </c>
    </row>
    <row r="66" spans="1:36" s="151" customFormat="1" x14ac:dyDescent="0.25">
      <c r="A66" s="230"/>
      <c r="B66" s="150"/>
      <c r="C66" s="167"/>
      <c r="D66" s="150"/>
      <c r="E66" s="150"/>
      <c r="F66" s="150"/>
      <c r="H66" s="150"/>
      <c r="I66" s="150"/>
      <c r="J66" s="150"/>
      <c r="K66" s="150"/>
      <c r="L66" s="150"/>
      <c r="M66" s="150"/>
      <c r="N66" s="150"/>
      <c r="O66" s="150"/>
      <c r="S66" s="150"/>
      <c r="U66" s="150"/>
      <c r="AD66" s="150"/>
      <c r="AF66" s="150"/>
      <c r="AH66" s="150"/>
      <c r="AJ66" s="150"/>
    </row>
    <row r="68" spans="1:36" s="151" customFormat="1" x14ac:dyDescent="0.25">
      <c r="A68" s="230"/>
      <c r="B68" s="150"/>
      <c r="C68" s="167"/>
      <c r="D68" s="150"/>
      <c r="E68" s="150"/>
      <c r="F68" s="150"/>
      <c r="H68" s="150"/>
      <c r="I68" s="150"/>
      <c r="J68" s="150"/>
      <c r="K68" s="150"/>
      <c r="L68" s="150"/>
      <c r="M68" s="150"/>
      <c r="N68" s="150"/>
      <c r="O68" s="150"/>
      <c r="S68" s="150"/>
      <c r="U68" s="150"/>
      <c r="AD68" s="150"/>
      <c r="AF68" s="150"/>
      <c r="AH68" s="150"/>
      <c r="AJ68" s="150"/>
    </row>
    <row r="75" spans="1:36" x14ac:dyDescent="0.25">
      <c r="F75" s="167"/>
      <c r="G75" s="150"/>
    </row>
    <row r="76" spans="1:36" x14ac:dyDescent="0.25">
      <c r="F76" s="167"/>
      <c r="G76" s="150"/>
    </row>
    <row r="77" spans="1:36" x14ac:dyDescent="0.25">
      <c r="C77" s="150"/>
      <c r="F77" s="177"/>
      <c r="G77" s="176"/>
    </row>
    <row r="78" spans="1:36" x14ac:dyDescent="0.25">
      <c r="C78" s="150"/>
    </row>
    <row r="79" spans="1:36" x14ac:dyDescent="0.25">
      <c r="C79" s="150"/>
    </row>
    <row r="80" spans="1:36" x14ac:dyDescent="0.25">
      <c r="C80" s="150"/>
    </row>
    <row r="81" spans="3:3" x14ac:dyDescent="0.25">
      <c r="C81" s="150"/>
    </row>
    <row r="82" spans="3:3" x14ac:dyDescent="0.25">
      <c r="C82" s="150"/>
    </row>
  </sheetData>
  <dataConsolidate/>
  <mergeCells count="4">
    <mergeCell ref="B4:D4"/>
    <mergeCell ref="K4:P4"/>
    <mergeCell ref="F4:I4"/>
    <mergeCell ref="S7:V7"/>
  </mergeCells>
  <printOptions horizontalCentered="1"/>
  <pageMargins left="0.5" right="0.5" top="1.5" bottom="0.5" header="0.3" footer="0.3"/>
  <pageSetup scale="58" orientation="landscape" r:id="rId1"/>
  <headerFooter>
    <oddFooter>&amp;RExhibit JW-9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5"/>
  <sheetViews>
    <sheetView view="pageBreakPreview" topLeftCell="A7" zoomScale="75" zoomScaleNormal="85" zoomScaleSheetLayoutView="75" workbookViewId="0">
      <selection activeCell="H15" sqref="H15"/>
    </sheetView>
  </sheetViews>
  <sheetFormatPr defaultRowHeight="15.75" x14ac:dyDescent="0.25"/>
  <cols>
    <col min="1" max="1" width="4.7109375" style="2" customWidth="1"/>
    <col min="2" max="2" width="15.42578125" style="2" customWidth="1"/>
    <col min="3" max="3" width="5.28515625" style="2" customWidth="1"/>
    <col min="4" max="4" width="16.140625" style="2" bestFit="1" customWidth="1"/>
    <col min="5" max="5" width="16.28515625" style="2" bestFit="1" customWidth="1"/>
    <col min="6" max="6" width="3.140625" style="2" customWidth="1"/>
    <col min="7" max="7" width="16.42578125" style="2" customWidth="1"/>
    <col min="8" max="8" width="2.7109375" style="2" customWidth="1"/>
    <col min="9" max="9" width="16.42578125" style="2" customWidth="1"/>
    <col min="10" max="10" width="17.140625" style="2" customWidth="1"/>
    <col min="11" max="12" width="2.85546875" style="2" customWidth="1"/>
    <col min="13" max="13" width="4.7109375" style="2" customWidth="1"/>
    <col min="14" max="14" width="15.85546875" style="2" customWidth="1"/>
    <col min="15" max="15" width="3" style="2" customWidth="1"/>
    <col min="16" max="16" width="15.7109375" style="2" customWidth="1"/>
    <col min="17" max="17" width="15.140625" style="2" customWidth="1"/>
    <col min="18" max="18" width="2.42578125" style="2" customWidth="1"/>
    <col min="19" max="19" width="17.42578125" style="2" customWidth="1"/>
    <col min="20" max="20" width="2.140625" style="2" customWidth="1"/>
    <col min="21" max="21" width="14.28515625" style="2" bestFit="1" customWidth="1"/>
    <col min="22" max="16384" width="9.140625" style="2"/>
  </cols>
  <sheetData>
    <row r="1" spans="1:19" x14ac:dyDescent="0.25">
      <c r="A1" s="1" t="str">
        <f>'Present and Proposed Rates'!B1</f>
        <v>Cumberland Valley Electric</v>
      </c>
      <c r="N1" s="1"/>
    </row>
    <row r="2" spans="1:19" x14ac:dyDescent="0.25">
      <c r="A2" s="59" t="str">
        <f>List!B6</f>
        <v>Sch I - Residential, Schools &amp; Churches</v>
      </c>
      <c r="N2" s="34"/>
      <c r="O2" s="34"/>
      <c r="P2" s="34"/>
      <c r="Q2" s="34"/>
      <c r="R2" s="34"/>
      <c r="S2" s="34"/>
    </row>
    <row r="3" spans="1:19" ht="16.5" thickBot="1" x14ac:dyDescent="0.3">
      <c r="A3" s="231" t="str">
        <f>List!C6</f>
        <v>R</v>
      </c>
      <c r="B3" s="34"/>
      <c r="C3" s="34"/>
      <c r="N3" s="34"/>
      <c r="O3" s="34"/>
      <c r="P3" s="34"/>
      <c r="Q3" s="34"/>
      <c r="R3" s="34"/>
      <c r="S3" s="34"/>
    </row>
    <row r="4" spans="1:19" x14ac:dyDescent="0.25">
      <c r="A4" s="34"/>
      <c r="B4" s="34"/>
      <c r="C4" s="34"/>
      <c r="D4" s="414" t="s">
        <v>30</v>
      </c>
      <c r="E4" s="415"/>
      <c r="F4" s="415"/>
      <c r="G4" s="416"/>
      <c r="H4" s="282"/>
      <c r="I4" s="414" t="s">
        <v>104</v>
      </c>
      <c r="J4" s="416"/>
      <c r="K4" s="186"/>
      <c r="L4" s="282"/>
      <c r="M4" s="34"/>
      <c r="N4" s="34"/>
      <c r="O4" s="34"/>
      <c r="P4" s="414" t="s">
        <v>88</v>
      </c>
      <c r="Q4" s="415"/>
      <c r="R4" s="415"/>
      <c r="S4" s="416"/>
    </row>
    <row r="5" spans="1:19" ht="16.5" thickBot="1" x14ac:dyDescent="0.3">
      <c r="A5" s="57"/>
      <c r="B5" s="109"/>
      <c r="C5" s="282"/>
      <c r="D5" s="417"/>
      <c r="E5" s="418"/>
      <c r="F5" s="418"/>
      <c r="G5" s="419"/>
      <c r="H5" s="282"/>
      <c r="I5" s="417"/>
      <c r="J5" s="419"/>
      <c r="K5" s="186"/>
      <c r="L5" s="282"/>
      <c r="M5" s="57"/>
      <c r="N5" s="109"/>
      <c r="O5" s="282"/>
      <c r="P5" s="417"/>
      <c r="Q5" s="418"/>
      <c r="R5" s="418"/>
      <c r="S5" s="419"/>
    </row>
    <row r="6" spans="1:19" x14ac:dyDescent="0.25">
      <c r="A6" s="4"/>
      <c r="B6" s="4"/>
      <c r="C6" s="4"/>
      <c r="D6" s="4" t="s">
        <v>1</v>
      </c>
      <c r="E6" s="4"/>
      <c r="F6" s="4"/>
      <c r="G6" s="4" t="s">
        <v>2</v>
      </c>
      <c r="H6" s="4"/>
      <c r="I6" s="4"/>
      <c r="J6" s="4" t="s">
        <v>2</v>
      </c>
      <c r="K6" s="187"/>
      <c r="L6" s="126"/>
      <c r="M6" s="4"/>
      <c r="N6" s="4"/>
      <c r="O6" s="4"/>
      <c r="P6" s="4" t="s">
        <v>1</v>
      </c>
      <c r="Q6" s="4"/>
      <c r="R6" s="4"/>
      <c r="S6" s="4" t="s">
        <v>2</v>
      </c>
    </row>
    <row r="7" spans="1:19" ht="16.5" thickBot="1" x14ac:dyDescent="0.3">
      <c r="A7" s="5"/>
      <c r="B7" s="5"/>
      <c r="C7" s="5"/>
      <c r="D7" s="5" t="s">
        <v>4</v>
      </c>
      <c r="E7" s="420" t="s">
        <v>5</v>
      </c>
      <c r="F7" s="420"/>
      <c r="G7" s="5" t="s">
        <v>6</v>
      </c>
      <c r="H7" s="5"/>
      <c r="I7" s="5" t="s">
        <v>5</v>
      </c>
      <c r="J7" s="5" t="s">
        <v>6</v>
      </c>
      <c r="K7" s="188"/>
      <c r="L7" s="5"/>
      <c r="M7" s="5"/>
      <c r="N7" s="5"/>
      <c r="O7" s="5"/>
      <c r="P7" s="5" t="s">
        <v>4</v>
      </c>
      <c r="Q7" s="420" t="s">
        <v>5</v>
      </c>
      <c r="R7" s="420"/>
      <c r="S7" s="5" t="s">
        <v>6</v>
      </c>
    </row>
    <row r="8" spans="1:19" x14ac:dyDescent="0.25">
      <c r="K8" s="189"/>
      <c r="L8" s="19"/>
    </row>
    <row r="9" spans="1:19" x14ac:dyDescent="0.25">
      <c r="A9" s="155" t="s">
        <v>10</v>
      </c>
      <c r="K9" s="189"/>
      <c r="L9" s="19"/>
      <c r="M9" s="155" t="s">
        <v>10</v>
      </c>
    </row>
    <row r="10" spans="1:19" x14ac:dyDescent="0.25">
      <c r="D10" s="204" t="s">
        <v>92</v>
      </c>
      <c r="E10" s="204" t="s">
        <v>93</v>
      </c>
      <c r="I10" s="204" t="s">
        <v>93</v>
      </c>
      <c r="K10" s="189"/>
      <c r="L10" s="19"/>
      <c r="P10" s="6" t="s">
        <v>92</v>
      </c>
      <c r="Q10" s="6" t="s">
        <v>93</v>
      </c>
    </row>
    <row r="11" spans="1:19" x14ac:dyDescent="0.25">
      <c r="B11" s="2" t="s">
        <v>149</v>
      </c>
      <c r="D11" s="117">
        <f>'Billing Determ'!C19</f>
        <v>254051</v>
      </c>
      <c r="E11" s="9">
        <f>'Present and Proposed Rates'!F9</f>
        <v>12</v>
      </c>
      <c r="G11" s="11">
        <f>D11*E11</f>
        <v>3048612</v>
      </c>
      <c r="H11" s="11"/>
      <c r="I11" s="9">
        <f>'Present and Proposed Rates'!G9</f>
        <v>12</v>
      </c>
      <c r="J11" s="11">
        <f>I11*D11</f>
        <v>3048612</v>
      </c>
      <c r="K11" s="190"/>
      <c r="L11" s="18"/>
      <c r="N11" s="2" t="s">
        <v>99</v>
      </c>
      <c r="P11" s="39">
        <f>D11</f>
        <v>254051</v>
      </c>
      <c r="Q11" s="9">
        <f>'Present and Proposed Rates'!H9</f>
        <v>17</v>
      </c>
      <c r="S11" s="11">
        <f>P11*Q11</f>
        <v>4318867</v>
      </c>
    </row>
    <row r="12" spans="1:19" x14ac:dyDescent="0.25">
      <c r="B12" s="2" t="s">
        <v>150</v>
      </c>
      <c r="D12" s="117">
        <f>'Billing Determ'!C37</f>
        <v>11678</v>
      </c>
      <c r="E12" s="9">
        <f>'Present and Proposed Rates'!F9+'Present and Proposed Rates'!F10</f>
        <v>15</v>
      </c>
      <c r="G12" s="11">
        <f>D12*E12</f>
        <v>175170</v>
      </c>
      <c r="H12" s="11"/>
      <c r="I12" s="9">
        <f>'Present and Proposed Rates'!G9+'Present and Proposed Rates'!G10</f>
        <v>15</v>
      </c>
      <c r="J12" s="11">
        <f>I12*D12</f>
        <v>175170</v>
      </c>
      <c r="K12" s="190"/>
      <c r="L12" s="18"/>
      <c r="N12" s="2" t="s">
        <v>99</v>
      </c>
      <c r="P12" s="39">
        <f>D12</f>
        <v>11678</v>
      </c>
      <c r="Q12" s="9">
        <f>'Present and Proposed Rates'!H10+'Present and Proposed Rates'!H9</f>
        <v>20</v>
      </c>
      <c r="S12" s="11">
        <f>P12*Q12</f>
        <v>233560</v>
      </c>
    </row>
    <row r="13" spans="1:19" x14ac:dyDescent="0.25">
      <c r="G13" s="11"/>
      <c r="H13" s="11"/>
      <c r="J13" s="11"/>
      <c r="K13" s="190"/>
      <c r="L13" s="18"/>
      <c r="P13" s="8"/>
      <c r="S13" s="11"/>
    </row>
    <row r="14" spans="1:19" x14ac:dyDescent="0.25">
      <c r="A14" s="1" t="s">
        <v>7</v>
      </c>
      <c r="D14" s="8"/>
      <c r="G14" s="11"/>
      <c r="H14" s="11"/>
      <c r="J14" s="11"/>
      <c r="K14" s="190"/>
      <c r="L14" s="18"/>
      <c r="M14" s="1" t="s">
        <v>7</v>
      </c>
      <c r="P14" s="8"/>
      <c r="S14" s="11"/>
    </row>
    <row r="15" spans="1:19" x14ac:dyDescent="0.25">
      <c r="D15" s="205" t="s">
        <v>8</v>
      </c>
      <c r="E15" s="206" t="s">
        <v>11</v>
      </c>
      <c r="G15" s="11"/>
      <c r="H15" s="11"/>
      <c r="I15" s="206" t="s">
        <v>11</v>
      </c>
      <c r="J15" s="11"/>
      <c r="K15" s="190"/>
      <c r="L15" s="18"/>
      <c r="P15" s="13" t="s">
        <v>8</v>
      </c>
      <c r="Q15" s="12" t="s">
        <v>11</v>
      </c>
      <c r="S15" s="11"/>
    </row>
    <row r="16" spans="1:19" x14ac:dyDescent="0.25">
      <c r="B16" s="2" t="s">
        <v>124</v>
      </c>
      <c r="D16" s="39">
        <f>('Billing Determ'!D19+'Billing Determ'!D37)</f>
        <v>295253522</v>
      </c>
      <c r="E16" s="40">
        <f>'Present and Proposed Rates'!F11</f>
        <v>8.5000000000000006E-2</v>
      </c>
      <c r="F16" s="19"/>
      <c r="G16" s="18">
        <f>D16*E16</f>
        <v>25096549.370000001</v>
      </c>
      <c r="H16" s="18"/>
      <c r="I16" s="40">
        <f>'Present and Proposed Rates'!G11</f>
        <v>8.3409999999999998E-2</v>
      </c>
      <c r="J16" s="18">
        <f>D16*I16</f>
        <v>24627096.270020001</v>
      </c>
      <c r="K16" s="190"/>
      <c r="L16" s="18"/>
      <c r="N16" s="2" t="s">
        <v>124</v>
      </c>
      <c r="P16" s="39">
        <f>D16</f>
        <v>295253522</v>
      </c>
      <c r="Q16" s="40">
        <f>'Present and Proposed Rates'!H11</f>
        <v>8.2030000000000006E-2</v>
      </c>
      <c r="R16" s="19"/>
      <c r="S16" s="18">
        <f>P16*Q16</f>
        <v>24219646.40966</v>
      </c>
    </row>
    <row r="17" spans="1:21" x14ac:dyDescent="0.25">
      <c r="A17" s="1"/>
      <c r="B17" s="59"/>
      <c r="C17" s="404" t="s">
        <v>228</v>
      </c>
      <c r="D17" s="361">
        <f>D16/(D11+D12)</f>
        <v>1111.1076397382296</v>
      </c>
      <c r="E17" s="70"/>
      <c r="F17" s="34"/>
      <c r="G17" s="18"/>
      <c r="H17" s="18"/>
      <c r="I17" s="18"/>
      <c r="J17" s="18"/>
      <c r="K17" s="191"/>
      <c r="L17" s="68"/>
      <c r="M17" s="1"/>
      <c r="N17" s="59"/>
      <c r="O17" s="147"/>
      <c r="P17" s="65"/>
      <c r="Q17" s="70"/>
      <c r="R17" s="34"/>
      <c r="S17" s="18"/>
    </row>
    <row r="18" spans="1:21" x14ac:dyDescent="0.25">
      <c r="A18" s="1" t="s">
        <v>97</v>
      </c>
      <c r="B18" s="59"/>
      <c r="C18" s="147"/>
      <c r="D18" s="65"/>
      <c r="E18" s="70"/>
      <c r="F18" s="34"/>
      <c r="G18" s="18"/>
      <c r="H18" s="18"/>
      <c r="I18" s="18"/>
      <c r="J18" s="18"/>
      <c r="K18" s="191"/>
      <c r="L18" s="68"/>
      <c r="M18" s="1" t="s">
        <v>97</v>
      </c>
      <c r="N18" s="59"/>
      <c r="O18" s="147"/>
      <c r="P18" s="65"/>
      <c r="Q18" s="70"/>
      <c r="R18" s="34"/>
      <c r="S18" s="18"/>
    </row>
    <row r="19" spans="1:21" x14ac:dyDescent="0.25">
      <c r="A19" s="1"/>
      <c r="B19" s="34" t="s">
        <v>91</v>
      </c>
      <c r="C19" s="147"/>
      <c r="D19" s="65"/>
      <c r="E19" s="70"/>
      <c r="F19" s="34"/>
      <c r="G19" s="18">
        <f>'Billing Determ'!L19+'Billing Determ'!L37</f>
        <v>-1278593.95</v>
      </c>
      <c r="H19" s="18"/>
      <c r="I19" s="18"/>
      <c r="J19" s="18">
        <f>G19</f>
        <v>-1278593.95</v>
      </c>
      <c r="K19" s="191"/>
      <c r="L19" s="68"/>
      <c r="M19" s="1"/>
      <c r="N19" s="34" t="s">
        <v>91</v>
      </c>
      <c r="O19" s="147"/>
      <c r="P19" s="65"/>
      <c r="Q19" s="70"/>
      <c r="R19" s="34"/>
      <c r="S19" s="18">
        <f>G19</f>
        <v>-1278593.95</v>
      </c>
    </row>
    <row r="20" spans="1:21" x14ac:dyDescent="0.25">
      <c r="A20" s="1"/>
      <c r="B20" s="34" t="s">
        <v>98</v>
      </c>
      <c r="C20" s="147"/>
      <c r="D20" s="65"/>
      <c r="E20" s="70"/>
      <c r="F20" s="34"/>
      <c r="G20" s="68">
        <f>'Billing Determ'!N19+'Billing Determ'!N37</f>
        <v>3041071.54</v>
      </c>
      <c r="H20" s="68"/>
      <c r="I20" s="68"/>
      <c r="J20" s="18">
        <f>G20</f>
        <v>3041071.54</v>
      </c>
      <c r="K20" s="191"/>
      <c r="L20" s="68"/>
      <c r="M20" s="1"/>
      <c r="N20" s="34" t="s">
        <v>98</v>
      </c>
      <c r="O20" s="147"/>
      <c r="P20" s="65"/>
      <c r="Q20" s="70"/>
      <c r="R20" s="34"/>
      <c r="S20" s="18">
        <f>G20</f>
        <v>3041071.54</v>
      </c>
    </row>
    <row r="21" spans="1:21" x14ac:dyDescent="0.25">
      <c r="A21" s="1"/>
      <c r="B21" s="34" t="s">
        <v>210</v>
      </c>
      <c r="C21" s="147"/>
      <c r="D21" s="65"/>
      <c r="E21" s="70"/>
      <c r="F21" s="34"/>
      <c r="G21" s="68">
        <f>'Billing Determ'!K19+'Billing Determ'!K37</f>
        <v>0</v>
      </c>
      <c r="H21" s="68"/>
      <c r="I21" s="68"/>
      <c r="J21" s="18">
        <f>G21</f>
        <v>0</v>
      </c>
      <c r="K21" s="191"/>
      <c r="L21" s="68"/>
      <c r="M21" s="1"/>
      <c r="N21" s="34" t="str">
        <f>B21</f>
        <v>Min Bill</v>
      </c>
      <c r="O21" s="147"/>
      <c r="P21" s="65"/>
      <c r="Q21" s="70"/>
      <c r="R21" s="34"/>
      <c r="S21" s="18">
        <f>J21</f>
        <v>0</v>
      </c>
    </row>
    <row r="22" spans="1:21" x14ac:dyDescent="0.25">
      <c r="A22" s="1"/>
      <c r="B22" s="34"/>
      <c r="C22" s="147"/>
      <c r="D22" s="65"/>
      <c r="E22" s="70"/>
      <c r="F22" s="34"/>
      <c r="G22" s="68"/>
      <c r="H22" s="68"/>
      <c r="I22" s="68"/>
      <c r="J22" s="18"/>
      <c r="K22" s="191"/>
      <c r="L22" s="68"/>
      <c r="M22" s="1"/>
      <c r="N22" s="34"/>
      <c r="O22" s="147"/>
      <c r="P22" s="65"/>
      <c r="Q22" s="70"/>
      <c r="R22" s="34"/>
      <c r="S22" s="18"/>
    </row>
    <row r="23" spans="1:21" x14ac:dyDescent="0.25">
      <c r="A23" s="1"/>
      <c r="D23" s="14"/>
      <c r="G23" s="18"/>
      <c r="H23" s="18"/>
      <c r="I23" s="18"/>
      <c r="J23" s="18"/>
      <c r="K23" s="190"/>
      <c r="L23" s="18"/>
      <c r="M23" s="1"/>
      <c r="S23" s="18"/>
    </row>
    <row r="24" spans="1:21" ht="16.5" thickBot="1" x14ac:dyDescent="0.3">
      <c r="A24" s="1" t="s">
        <v>80</v>
      </c>
      <c r="G24" s="29">
        <f>SUM(G11:G22)</f>
        <v>30082808.960000001</v>
      </c>
      <c r="H24" s="18"/>
      <c r="I24" s="18"/>
      <c r="J24" s="29">
        <f>SUM(J11:J22)</f>
        <v>29613355.86002</v>
      </c>
      <c r="K24" s="190"/>
      <c r="L24" s="18"/>
      <c r="M24" s="1" t="s">
        <v>80</v>
      </c>
      <c r="S24" s="29">
        <f>SUM(S11:S22)</f>
        <v>30534550.99966</v>
      </c>
    </row>
    <row r="25" spans="1:21" ht="16.5" thickTop="1" x14ac:dyDescent="0.25">
      <c r="A25" s="1"/>
      <c r="B25" s="1"/>
      <c r="G25" s="18"/>
      <c r="H25" s="18"/>
      <c r="I25" s="18"/>
      <c r="J25" s="18"/>
      <c r="K25" s="190"/>
      <c r="L25" s="18"/>
      <c r="M25" s="1"/>
      <c r="N25" s="1"/>
      <c r="S25" s="18"/>
    </row>
    <row r="26" spans="1:21" x14ac:dyDescent="0.25">
      <c r="A26" s="44" t="s">
        <v>19</v>
      </c>
      <c r="B26" s="10"/>
      <c r="G26" s="11">
        <f>'Billing Determ'!G19+'Billing Determ'!J19+'Billing Determ'!O19*0+'Billing Determ'!G37+'Billing Determ'!J37+'Billing Determ'!O37*0+SUM('Billing Determ'!L7:L18)+SUM('Billing Determ'!L25:L36)</f>
        <v>30074337.220000003</v>
      </c>
      <c r="H26" s="11"/>
      <c r="I26" s="11"/>
      <c r="J26" s="11"/>
      <c r="K26" s="190"/>
      <c r="L26" s="18"/>
      <c r="M26" s="119" t="s">
        <v>105</v>
      </c>
      <c r="N26" s="10"/>
      <c r="S26" s="37">
        <f>S24-J24</f>
        <v>921195.13963999972</v>
      </c>
    </row>
    <row r="27" spans="1:21" x14ac:dyDescent="0.25">
      <c r="A27" s="10"/>
      <c r="B27" s="10"/>
      <c r="G27" s="10"/>
      <c r="H27" s="10"/>
      <c r="I27" s="10"/>
      <c r="J27" s="10"/>
      <c r="K27" s="192"/>
      <c r="L27" s="17"/>
      <c r="M27" s="48"/>
      <c r="N27" s="10"/>
      <c r="S27" s="10"/>
    </row>
    <row r="28" spans="1:21" x14ac:dyDescent="0.25">
      <c r="A28" s="44" t="s">
        <v>13</v>
      </c>
      <c r="B28" s="10"/>
      <c r="G28" s="27">
        <f>G24-G26</f>
        <v>8471.7399999983609</v>
      </c>
      <c r="H28" s="27"/>
      <c r="I28" s="27"/>
      <c r="J28" s="27">
        <f>J24-G24</f>
        <v>-469453.09998000041</v>
      </c>
      <c r="K28" s="193"/>
      <c r="L28" s="203"/>
      <c r="M28" s="119" t="s">
        <v>106</v>
      </c>
      <c r="N28" s="10"/>
      <c r="S28" s="397">
        <f>S26/J24</f>
        <v>3.1107421394401112E-2</v>
      </c>
    </row>
    <row r="29" spans="1:21" x14ac:dyDescent="0.25">
      <c r="A29" s="10"/>
      <c r="B29" s="10"/>
      <c r="G29" s="11"/>
      <c r="H29" s="11"/>
      <c r="I29" s="11"/>
      <c r="J29" s="11"/>
      <c r="K29" s="190"/>
      <c r="L29" s="18"/>
      <c r="M29" s="34"/>
      <c r="N29" s="10"/>
      <c r="S29" s="11"/>
    </row>
    <row r="30" spans="1:21" x14ac:dyDescent="0.25">
      <c r="A30" s="44" t="s">
        <v>26</v>
      </c>
      <c r="B30" s="10"/>
      <c r="G30" s="28">
        <f>G28/G26</f>
        <v>2.8169332338152058E-4</v>
      </c>
      <c r="H30" s="28"/>
      <c r="I30" s="28"/>
      <c r="J30" s="28">
        <f>J28/G26</f>
        <v>-1.5609757134325315E-2</v>
      </c>
      <c r="K30" s="194"/>
      <c r="L30" s="28"/>
      <c r="M30" s="59" t="s">
        <v>85</v>
      </c>
      <c r="N30" s="10"/>
      <c r="S30" s="45">
        <f>S26/(P11+P12)</f>
        <v>3.466671457161242</v>
      </c>
    </row>
    <row r="31" spans="1:21" x14ac:dyDescent="0.25">
      <c r="A31" s="44"/>
      <c r="B31" s="10"/>
      <c r="G31" s="10"/>
      <c r="H31" s="28"/>
      <c r="I31" s="28"/>
      <c r="J31" s="10"/>
      <c r="K31" s="28"/>
      <c r="L31" s="28"/>
      <c r="M31" s="44"/>
      <c r="N31" s="10"/>
      <c r="S31" s="41"/>
      <c r="U31" s="10"/>
    </row>
    <row r="32" spans="1:21" x14ac:dyDescent="0.25">
      <c r="A32" s="44"/>
      <c r="B32" s="10"/>
      <c r="C32" s="10"/>
      <c r="D32" s="14"/>
      <c r="E32" s="10"/>
      <c r="F32" s="10"/>
      <c r="G32" s="10"/>
      <c r="H32" s="10"/>
      <c r="I32" s="10"/>
      <c r="J32" s="11"/>
      <c r="K32" s="10"/>
      <c r="L32" s="10"/>
      <c r="M32" s="10"/>
      <c r="N32" s="10"/>
      <c r="S32" s="28"/>
    </row>
    <row r="33" spans="1:20" x14ac:dyDescent="0.25">
      <c r="A33" s="44"/>
      <c r="B33" s="10"/>
      <c r="C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S33" s="28"/>
    </row>
    <row r="34" spans="1:20" x14ac:dyDescent="0.25">
      <c r="A34" s="44"/>
      <c r="B34" s="10"/>
      <c r="C34" s="10"/>
      <c r="D34" s="10"/>
      <c r="E34" s="10"/>
      <c r="F34" s="10"/>
      <c r="H34" s="10"/>
      <c r="I34" s="10"/>
      <c r="K34" s="10"/>
      <c r="L34" s="10"/>
      <c r="M34" s="10"/>
      <c r="N34" s="10"/>
    </row>
    <row r="35" spans="1:20" x14ac:dyDescent="0.25">
      <c r="A35" s="44"/>
      <c r="B35" s="10"/>
      <c r="G35" s="28"/>
      <c r="H35" s="28"/>
      <c r="I35" s="28"/>
      <c r="J35" s="28"/>
      <c r="K35" s="28"/>
      <c r="L35" s="28"/>
      <c r="M35" s="44"/>
      <c r="N35" s="10"/>
      <c r="S35" s="28"/>
    </row>
    <row r="36" spans="1:20" x14ac:dyDescent="0.25">
      <c r="A36" s="44"/>
      <c r="B36" s="10"/>
      <c r="G36" s="28"/>
      <c r="H36" s="28"/>
      <c r="I36" s="28"/>
      <c r="J36" s="28"/>
      <c r="K36" s="28"/>
      <c r="L36" s="28"/>
      <c r="M36" s="44"/>
      <c r="N36" s="10"/>
      <c r="S36" s="28"/>
    </row>
    <row r="37" spans="1:20" ht="18.75" customHeight="1" x14ac:dyDescent="0.25">
      <c r="A37" s="44"/>
      <c r="B37" s="11"/>
      <c r="G37" s="28"/>
      <c r="H37" s="28"/>
      <c r="I37" s="28"/>
      <c r="J37" s="28"/>
      <c r="K37" s="28"/>
      <c r="L37" s="28"/>
      <c r="N37" s="34"/>
    </row>
    <row r="38" spans="1:20" x14ac:dyDescent="0.25">
      <c r="E38" s="11"/>
      <c r="N38" s="34"/>
    </row>
    <row r="43" spans="1:20" x14ac:dyDescent="0.25">
      <c r="T43" s="91"/>
    </row>
    <row r="44" spans="1:20" x14ac:dyDescent="0.25">
      <c r="T44" s="91"/>
    </row>
    <row r="45" spans="1:20" x14ac:dyDescent="0.25">
      <c r="T45" s="91"/>
    </row>
    <row r="46" spans="1:20" x14ac:dyDescent="0.25">
      <c r="T46" s="91"/>
    </row>
    <row r="47" spans="1:20" x14ac:dyDescent="0.25">
      <c r="T47" s="91"/>
    </row>
    <row r="48" spans="1:20" x14ac:dyDescent="0.25">
      <c r="T48" s="91"/>
    </row>
    <row r="49" spans="20:20" x14ac:dyDescent="0.25">
      <c r="T49" s="91"/>
    </row>
    <row r="50" spans="20:20" x14ac:dyDescent="0.25">
      <c r="T50" s="91"/>
    </row>
    <row r="51" spans="20:20" x14ac:dyDescent="0.25">
      <c r="T51" s="91"/>
    </row>
    <row r="52" spans="20:20" ht="16.5" customHeight="1" x14ac:dyDescent="0.25">
      <c r="T52" s="91"/>
    </row>
    <row r="53" spans="20:20" x14ac:dyDescent="0.25">
      <c r="T53" s="91"/>
    </row>
    <row r="54" spans="20:20" x14ac:dyDescent="0.25">
      <c r="T54" s="91"/>
    </row>
    <row r="57" spans="20:20" x14ac:dyDescent="0.25">
      <c r="T57" s="53"/>
    </row>
    <row r="58" spans="20:20" x14ac:dyDescent="0.25">
      <c r="T58" s="53"/>
    </row>
    <row r="60" spans="20:20" x14ac:dyDescent="0.25">
      <c r="T60" s="53"/>
    </row>
    <row r="61" spans="20:20" x14ac:dyDescent="0.25">
      <c r="T61" s="53"/>
    </row>
    <row r="62" spans="20:20" x14ac:dyDescent="0.25">
      <c r="T62" s="53"/>
    </row>
    <row r="63" spans="20:20" x14ac:dyDescent="0.25">
      <c r="T63" s="53"/>
    </row>
    <row r="64" spans="20:20" x14ac:dyDescent="0.25">
      <c r="T64" s="53"/>
    </row>
    <row r="65" spans="20:20" x14ac:dyDescent="0.25">
      <c r="T65" s="53"/>
    </row>
    <row r="66" spans="20:20" x14ac:dyDescent="0.25">
      <c r="T66" s="53"/>
    </row>
    <row r="67" spans="20:20" x14ac:dyDescent="0.25">
      <c r="T67" s="53"/>
    </row>
    <row r="68" spans="20:20" x14ac:dyDescent="0.25">
      <c r="T68" s="53"/>
    </row>
    <row r="69" spans="20:20" x14ac:dyDescent="0.25">
      <c r="T69" s="53"/>
    </row>
    <row r="70" spans="20:20" x14ac:dyDescent="0.25">
      <c r="T70" s="53"/>
    </row>
    <row r="71" spans="20:20" x14ac:dyDescent="0.25">
      <c r="T71" s="53"/>
    </row>
    <row r="72" spans="20:20" x14ac:dyDescent="0.25">
      <c r="T72" s="99"/>
    </row>
    <row r="73" spans="20:20" x14ac:dyDescent="0.25">
      <c r="T73" s="99"/>
    </row>
    <row r="74" spans="20:20" x14ac:dyDescent="0.25">
      <c r="T74" s="99"/>
    </row>
    <row r="75" spans="20:20" x14ac:dyDescent="0.25">
      <c r="T75" s="99"/>
    </row>
    <row r="76" spans="20:20" x14ac:dyDescent="0.25">
      <c r="T76" s="99"/>
    </row>
    <row r="77" spans="20:20" x14ac:dyDescent="0.25">
      <c r="T77" s="99"/>
    </row>
    <row r="78" spans="20:20" x14ac:dyDescent="0.25">
      <c r="T78" s="99"/>
    </row>
    <row r="79" spans="20:20" x14ac:dyDescent="0.25">
      <c r="T79" s="99"/>
    </row>
    <row r="80" spans="20:20" x14ac:dyDescent="0.25">
      <c r="T80" s="99"/>
    </row>
    <row r="81" spans="20:20" x14ac:dyDescent="0.25">
      <c r="T81" s="99"/>
    </row>
    <row r="82" spans="20:20" x14ac:dyDescent="0.25">
      <c r="T82" s="99"/>
    </row>
    <row r="83" spans="20:20" x14ac:dyDescent="0.25">
      <c r="T83" s="99"/>
    </row>
    <row r="84" spans="20:20" x14ac:dyDescent="0.25">
      <c r="T84" s="99"/>
    </row>
    <row r="85" spans="20:20" ht="15" customHeight="1" x14ac:dyDescent="0.25">
      <c r="T85" s="99"/>
    </row>
    <row r="86" spans="20:20" x14ac:dyDescent="0.25">
      <c r="T86" s="99"/>
    </row>
    <row r="87" spans="20:20" x14ac:dyDescent="0.25">
      <c r="T87" s="99"/>
    </row>
    <row r="88" spans="20:20" x14ac:dyDescent="0.25">
      <c r="T88" s="99"/>
    </row>
    <row r="89" spans="20:20" x14ac:dyDescent="0.25">
      <c r="T89" s="99"/>
    </row>
    <row r="90" spans="20:20" x14ac:dyDescent="0.25">
      <c r="T90" s="99"/>
    </row>
    <row r="91" spans="20:20" x14ac:dyDescent="0.25">
      <c r="T91" s="99"/>
    </row>
    <row r="92" spans="20:20" x14ac:dyDescent="0.25">
      <c r="T92" s="99"/>
    </row>
    <row r="93" spans="20:20" x14ac:dyDescent="0.25">
      <c r="T93" s="99"/>
    </row>
    <row r="94" spans="20:20" x14ac:dyDescent="0.25">
      <c r="T94" s="99"/>
    </row>
    <row r="95" spans="20:20" x14ac:dyDescent="0.25">
      <c r="T95" s="99"/>
    </row>
    <row r="96" spans="20:20" x14ac:dyDescent="0.25">
      <c r="T96" s="99"/>
    </row>
    <row r="97" spans="20:20" x14ac:dyDescent="0.25">
      <c r="T97" s="99"/>
    </row>
    <row r="98" spans="20:20" x14ac:dyDescent="0.25">
      <c r="T98" s="99"/>
    </row>
    <row r="99" spans="20:20" x14ac:dyDescent="0.25">
      <c r="T99" s="99"/>
    </row>
    <row r="100" spans="20:20" x14ac:dyDescent="0.25">
      <c r="T100" s="99"/>
    </row>
    <row r="101" spans="20:20" x14ac:dyDescent="0.25">
      <c r="T101" s="99"/>
    </row>
    <row r="102" spans="20:20" x14ac:dyDescent="0.25">
      <c r="T102" s="99"/>
    </row>
    <row r="103" spans="20:20" x14ac:dyDescent="0.25">
      <c r="T103" s="99"/>
    </row>
    <row r="104" spans="20:20" x14ac:dyDescent="0.25">
      <c r="T104" s="99"/>
    </row>
    <row r="105" spans="20:20" x14ac:dyDescent="0.25">
      <c r="T105" s="99"/>
    </row>
    <row r="106" spans="20:20" x14ac:dyDescent="0.25">
      <c r="T106" s="99"/>
    </row>
    <row r="107" spans="20:20" x14ac:dyDescent="0.25">
      <c r="T107" s="99"/>
    </row>
    <row r="108" spans="20:20" x14ac:dyDescent="0.25">
      <c r="T108" s="99"/>
    </row>
    <row r="109" spans="20:20" x14ac:dyDescent="0.25">
      <c r="T109" s="99"/>
    </row>
    <row r="110" spans="20:20" x14ac:dyDescent="0.25">
      <c r="T110" s="99"/>
    </row>
    <row r="111" spans="20:20" x14ac:dyDescent="0.25">
      <c r="T111" s="99"/>
    </row>
    <row r="112" spans="20:20" x14ac:dyDescent="0.25">
      <c r="T112" s="99"/>
    </row>
    <row r="113" spans="20:20" x14ac:dyDescent="0.25">
      <c r="T113" s="99"/>
    </row>
    <row r="114" spans="20:20" x14ac:dyDescent="0.25">
      <c r="T114" s="99"/>
    </row>
    <row r="115" spans="20:20" x14ac:dyDescent="0.25">
      <c r="T115" s="99"/>
    </row>
    <row r="116" spans="20:20" x14ac:dyDescent="0.25">
      <c r="T116" s="99"/>
    </row>
    <row r="117" spans="20:20" x14ac:dyDescent="0.25">
      <c r="T117" s="99"/>
    </row>
    <row r="118" spans="20:20" x14ac:dyDescent="0.25">
      <c r="T118" s="19"/>
    </row>
    <row r="119" spans="20:20" x14ac:dyDescent="0.25">
      <c r="T119" s="19"/>
    </row>
    <row r="120" spans="20:20" x14ac:dyDescent="0.25">
      <c r="T120" s="19"/>
    </row>
    <row r="121" spans="20:20" x14ac:dyDescent="0.25">
      <c r="T121" s="19"/>
    </row>
    <row r="122" spans="20:20" x14ac:dyDescent="0.25">
      <c r="T122" s="19"/>
    </row>
    <row r="123" spans="20:20" x14ac:dyDescent="0.25">
      <c r="T123" s="19"/>
    </row>
    <row r="124" spans="20:20" x14ac:dyDescent="0.25">
      <c r="T124" s="19"/>
    </row>
    <row r="125" spans="20:20" x14ac:dyDescent="0.25">
      <c r="T125" s="19"/>
    </row>
    <row r="126" spans="20:20" x14ac:dyDescent="0.25">
      <c r="T126" s="19"/>
    </row>
    <row r="131" spans="2:14" x14ac:dyDescent="0.25">
      <c r="N131" s="53"/>
    </row>
    <row r="132" spans="2:14" x14ac:dyDescent="0.25">
      <c r="B132" s="19"/>
      <c r="C132" s="53"/>
      <c r="D132" s="53"/>
      <c r="E132" s="19"/>
      <c r="F132" s="19"/>
      <c r="G132" s="19"/>
      <c r="H132" s="19"/>
      <c r="I132" s="19"/>
      <c r="J132" s="19"/>
      <c r="K132" s="19"/>
      <c r="L132" s="19"/>
      <c r="N132" s="53"/>
    </row>
    <row r="133" spans="2:14" x14ac:dyDescent="0.25">
      <c r="B133" s="19"/>
      <c r="C133" s="55"/>
      <c r="D133" s="78"/>
      <c r="E133" s="83"/>
      <c r="F133" s="19"/>
      <c r="G133" s="19"/>
      <c r="H133" s="19"/>
      <c r="I133" s="19"/>
      <c r="J133" s="19"/>
      <c r="K133" s="19"/>
      <c r="L133" s="19"/>
      <c r="N133" s="53"/>
    </row>
    <row r="134" spans="2:14" x14ac:dyDescent="0.25">
      <c r="B134" s="19"/>
      <c r="C134" s="55"/>
      <c r="D134" s="78"/>
      <c r="E134" s="83"/>
      <c r="F134" s="19"/>
      <c r="G134" s="19"/>
      <c r="H134" s="19"/>
      <c r="I134" s="19"/>
      <c r="J134" s="19"/>
      <c r="K134" s="19"/>
      <c r="L134" s="19"/>
      <c r="N134" s="53"/>
    </row>
    <row r="135" spans="2:14" x14ac:dyDescent="0.25">
      <c r="B135" s="19"/>
      <c r="C135" s="55"/>
      <c r="D135" s="78"/>
      <c r="E135" s="83"/>
      <c r="F135" s="19"/>
      <c r="G135" s="19"/>
      <c r="H135" s="19"/>
      <c r="I135" s="19"/>
      <c r="J135" s="19"/>
      <c r="K135" s="19"/>
      <c r="L135" s="19"/>
      <c r="N135" s="53"/>
    </row>
  </sheetData>
  <mergeCells count="5">
    <mergeCell ref="D4:G5"/>
    <mergeCell ref="I4:J5"/>
    <mergeCell ref="P4:S5"/>
    <mergeCell ref="E7:F7"/>
    <mergeCell ref="Q7:R7"/>
  </mergeCells>
  <pageMargins left="0.75" right="0.75" top="1" bottom="1" header="0.5" footer="0.5"/>
  <pageSetup scale="63" orientation="landscape" r:id="rId1"/>
  <headerFooter alignWithMargins="0">
    <oddFooter>&amp;RExhibit JW-9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7"/>
  <sheetViews>
    <sheetView view="pageBreakPreview" zoomScale="75" zoomScaleNormal="85" zoomScaleSheetLayoutView="75" workbookViewId="0">
      <selection activeCell="H15" sqref="H15"/>
    </sheetView>
  </sheetViews>
  <sheetFormatPr defaultRowHeight="15.75" x14ac:dyDescent="0.25"/>
  <cols>
    <col min="1" max="1" width="4.7109375" style="2" customWidth="1"/>
    <col min="2" max="2" width="16.42578125" style="2" customWidth="1"/>
    <col min="3" max="3" width="2.5703125" style="2" customWidth="1"/>
    <col min="4" max="4" width="14.28515625" style="2" bestFit="1" customWidth="1"/>
    <col min="5" max="5" width="14.5703125" style="2" bestFit="1" customWidth="1"/>
    <col min="6" max="6" width="3.140625" style="2" customWidth="1"/>
    <col min="7" max="7" width="15" style="2" customWidth="1"/>
    <col min="8" max="8" width="3" style="2" customWidth="1"/>
    <col min="9" max="9" width="13.85546875" style="2" customWidth="1"/>
    <col min="10" max="10" width="14.42578125" style="2" customWidth="1"/>
    <col min="11" max="11" width="2" style="2" customWidth="1"/>
    <col min="12" max="12" width="2.85546875" style="2" customWidth="1"/>
    <col min="13" max="13" width="9.85546875" style="2" customWidth="1"/>
    <col min="14" max="14" width="18.28515625" style="2" customWidth="1"/>
    <col min="15" max="15" width="3.42578125" style="2" customWidth="1"/>
    <col min="16" max="16" width="12.7109375" style="2" bestFit="1" customWidth="1"/>
    <col min="17" max="17" width="14.5703125" style="2" bestFit="1" customWidth="1"/>
    <col min="18" max="18" width="4.28515625" style="2" customWidth="1"/>
    <col min="19" max="19" width="15.5703125" style="2" customWidth="1"/>
    <col min="20" max="16384" width="9.140625" style="2"/>
  </cols>
  <sheetData>
    <row r="1" spans="1:19" x14ac:dyDescent="0.25">
      <c r="A1" s="1" t="str">
        <f>'Present and Proposed Rates'!B1</f>
        <v>Cumberland Valley Electric</v>
      </c>
      <c r="N1" s="1"/>
    </row>
    <row r="2" spans="1:19" x14ac:dyDescent="0.25">
      <c r="A2" s="59" t="str">
        <f>List!B7</f>
        <v>Sch I - Res TOD</v>
      </c>
      <c r="N2" s="34"/>
      <c r="O2" s="34"/>
      <c r="P2" s="34"/>
      <c r="Q2" s="34"/>
      <c r="R2" s="34"/>
      <c r="S2" s="34"/>
    </row>
    <row r="3" spans="1:19" ht="16.5" thickBot="1" x14ac:dyDescent="0.3">
      <c r="A3" s="231" t="str">
        <f>List!C7</f>
        <v>TOD</v>
      </c>
      <c r="B3" s="34"/>
      <c r="C3" s="34"/>
      <c r="N3" s="34"/>
      <c r="O3" s="34"/>
      <c r="P3" s="34"/>
      <c r="Q3" s="34"/>
      <c r="R3" s="34"/>
      <c r="S3" s="34"/>
    </row>
    <row r="4" spans="1:19" x14ac:dyDescent="0.25">
      <c r="A4" s="34"/>
      <c r="B4" s="34"/>
      <c r="C4" s="34"/>
      <c r="D4" s="414" t="s">
        <v>30</v>
      </c>
      <c r="E4" s="415"/>
      <c r="F4" s="415"/>
      <c r="G4" s="416"/>
      <c r="H4" s="282"/>
      <c r="I4" s="414" t="s">
        <v>104</v>
      </c>
      <c r="J4" s="416"/>
      <c r="K4" s="189"/>
      <c r="L4" s="282"/>
      <c r="M4" s="34"/>
      <c r="N4" s="34"/>
      <c r="O4" s="34"/>
      <c r="P4" s="414" t="s">
        <v>88</v>
      </c>
      <c r="Q4" s="415"/>
      <c r="R4" s="415"/>
      <c r="S4" s="416"/>
    </row>
    <row r="5" spans="1:19" ht="16.5" thickBot="1" x14ac:dyDescent="0.3">
      <c r="A5" s="57"/>
      <c r="B5" s="109"/>
      <c r="C5" s="282"/>
      <c r="D5" s="417"/>
      <c r="E5" s="418"/>
      <c r="F5" s="418"/>
      <c r="G5" s="419"/>
      <c r="H5" s="282"/>
      <c r="I5" s="417"/>
      <c r="J5" s="419"/>
      <c r="K5" s="189"/>
      <c r="L5" s="282"/>
      <c r="M5" s="57"/>
      <c r="N5" s="109"/>
      <c r="O5" s="282"/>
      <c r="P5" s="417"/>
      <c r="Q5" s="418"/>
      <c r="R5" s="418"/>
      <c r="S5" s="419"/>
    </row>
    <row r="6" spans="1:19" x14ac:dyDescent="0.25">
      <c r="A6" s="4"/>
      <c r="B6" s="4"/>
      <c r="C6" s="4"/>
      <c r="D6" s="4" t="s">
        <v>1</v>
      </c>
      <c r="E6" s="4"/>
      <c r="F6" s="4"/>
      <c r="G6" s="4" t="s">
        <v>2</v>
      </c>
      <c r="H6" s="4"/>
      <c r="I6" s="4"/>
      <c r="J6" s="4" t="s">
        <v>2</v>
      </c>
      <c r="K6" s="189"/>
      <c r="L6" s="4"/>
      <c r="M6" s="4"/>
      <c r="N6" s="4"/>
      <c r="O6" s="4"/>
      <c r="P6" s="4" t="s">
        <v>1</v>
      </c>
      <c r="Q6" s="4"/>
      <c r="R6" s="4"/>
      <c r="S6" s="4" t="s">
        <v>2</v>
      </c>
    </row>
    <row r="7" spans="1:19" ht="16.5" thickBot="1" x14ac:dyDescent="0.3">
      <c r="A7" s="5"/>
      <c r="B7" s="5"/>
      <c r="C7" s="5"/>
      <c r="D7" s="5" t="s">
        <v>4</v>
      </c>
      <c r="E7" s="420" t="s">
        <v>5</v>
      </c>
      <c r="F7" s="420"/>
      <c r="G7" s="5" t="s">
        <v>6</v>
      </c>
      <c r="H7" s="5"/>
      <c r="I7" s="5" t="s">
        <v>5</v>
      </c>
      <c r="J7" s="5" t="s">
        <v>6</v>
      </c>
      <c r="K7" s="188"/>
      <c r="L7" s="5"/>
      <c r="M7" s="5"/>
      <c r="N7" s="5"/>
      <c r="O7" s="5"/>
      <c r="P7" s="5" t="s">
        <v>4</v>
      </c>
      <c r="Q7" s="420" t="s">
        <v>5</v>
      </c>
      <c r="R7" s="420"/>
      <c r="S7" s="5" t="s">
        <v>6</v>
      </c>
    </row>
    <row r="8" spans="1:19" x14ac:dyDescent="0.25">
      <c r="K8" s="189"/>
    </row>
    <row r="9" spans="1:19" x14ac:dyDescent="0.25">
      <c r="K9" s="189"/>
    </row>
    <row r="10" spans="1:19" x14ac:dyDescent="0.25">
      <c r="A10" s="155" t="s">
        <v>10</v>
      </c>
      <c r="K10" s="189"/>
      <c r="M10" s="155" t="s">
        <v>10</v>
      </c>
    </row>
    <row r="11" spans="1:19" ht="31.5" x14ac:dyDescent="0.25">
      <c r="D11" s="204" t="s">
        <v>92</v>
      </c>
      <c r="E11" s="204" t="s">
        <v>93</v>
      </c>
      <c r="I11" s="204" t="s">
        <v>93</v>
      </c>
      <c r="K11" s="189"/>
      <c r="P11" s="204" t="s">
        <v>92</v>
      </c>
      <c r="Q11" s="204" t="s">
        <v>93</v>
      </c>
    </row>
    <row r="12" spans="1:19" x14ac:dyDescent="0.25">
      <c r="B12" s="2" t="s">
        <v>103</v>
      </c>
      <c r="D12" s="39">
        <f>'Billing Determ'!C56</f>
        <v>144</v>
      </c>
      <c r="E12" s="9">
        <f>'Present and Proposed Rates'!F13</f>
        <v>20</v>
      </c>
      <c r="G12" s="11">
        <f>D12*E12</f>
        <v>2880</v>
      </c>
      <c r="H12" s="11"/>
      <c r="I12" s="208">
        <f>'Present and Proposed Rates'!G13</f>
        <v>20</v>
      </c>
      <c r="J12" s="11">
        <f>I12*D12</f>
        <v>2880</v>
      </c>
      <c r="K12" s="190"/>
      <c r="L12" s="11"/>
      <c r="N12" s="2" t="s">
        <v>99</v>
      </c>
      <c r="P12" s="39">
        <f>D12</f>
        <v>144</v>
      </c>
      <c r="Q12" s="9">
        <f>'Present and Proposed Rates'!H13</f>
        <v>20</v>
      </c>
      <c r="S12" s="11">
        <f>P12*Q12</f>
        <v>2880</v>
      </c>
    </row>
    <row r="13" spans="1:19" x14ac:dyDescent="0.25">
      <c r="B13" s="16"/>
      <c r="G13" s="11"/>
      <c r="H13" s="11"/>
      <c r="I13" s="52"/>
      <c r="J13" s="11"/>
      <c r="K13" s="190"/>
      <c r="L13" s="11"/>
      <c r="P13" s="8"/>
      <c r="S13" s="11"/>
    </row>
    <row r="14" spans="1:19" x14ac:dyDescent="0.25">
      <c r="A14" s="1" t="s">
        <v>7</v>
      </c>
      <c r="D14" s="8"/>
      <c r="G14" s="11"/>
      <c r="H14" s="11"/>
      <c r="I14" s="52"/>
      <c r="J14" s="11"/>
      <c r="K14" s="190"/>
      <c r="L14" s="11"/>
      <c r="M14" s="1" t="s">
        <v>7</v>
      </c>
      <c r="P14" s="210"/>
      <c r="Q14" s="52"/>
      <c r="S14" s="11"/>
    </row>
    <row r="15" spans="1:19" x14ac:dyDescent="0.25">
      <c r="D15" s="205" t="s">
        <v>8</v>
      </c>
      <c r="E15" s="206" t="s">
        <v>11</v>
      </c>
      <c r="G15" s="11"/>
      <c r="H15" s="11"/>
      <c r="I15" s="206" t="s">
        <v>11</v>
      </c>
      <c r="J15" s="11"/>
      <c r="K15" s="190"/>
      <c r="L15" s="11"/>
      <c r="P15" s="205" t="s">
        <v>8</v>
      </c>
      <c r="Q15" s="206" t="s">
        <v>11</v>
      </c>
      <c r="S15" s="11"/>
    </row>
    <row r="16" spans="1:19" x14ac:dyDescent="0.25">
      <c r="B16" s="2" t="s">
        <v>39</v>
      </c>
      <c r="D16" s="39">
        <f>'Billing Determ'!D56</f>
        <v>29638</v>
      </c>
      <c r="E16" s="40">
        <f>'Present and Proposed Rates'!F14</f>
        <v>9.9169999999999994E-2</v>
      </c>
      <c r="F16" s="19"/>
      <c r="G16" s="18">
        <f>D16*E16</f>
        <v>2939.20046</v>
      </c>
      <c r="H16" s="18"/>
      <c r="I16" s="207">
        <f>'Present and Proposed Rates'!G14</f>
        <v>9.758E-2</v>
      </c>
      <c r="J16" s="11">
        <f>I16*D16</f>
        <v>2892.0760399999999</v>
      </c>
      <c r="K16" s="190"/>
      <c r="L16" s="18"/>
      <c r="N16" s="2" t="s">
        <v>124</v>
      </c>
      <c r="P16" s="39">
        <f>D16</f>
        <v>29638</v>
      </c>
      <c r="Q16" s="40">
        <f>'Present and Proposed Rates'!H14</f>
        <v>9.758E-2</v>
      </c>
      <c r="R16" s="19"/>
      <c r="S16" s="18">
        <f>P16*Q16</f>
        <v>2892.0760399999999</v>
      </c>
    </row>
    <row r="17" spans="1:22" x14ac:dyDescent="0.25">
      <c r="B17" s="2" t="s">
        <v>40</v>
      </c>
      <c r="D17" s="39">
        <f>'Billing Determ'!E56</f>
        <v>73904</v>
      </c>
      <c r="E17" s="40">
        <f>'Present and Proposed Rates'!F15</f>
        <v>5.7509999999999999E-2</v>
      </c>
      <c r="F17" s="19"/>
      <c r="G17" s="18">
        <f>D17*E17</f>
        <v>4250.2190399999999</v>
      </c>
      <c r="H17" s="18"/>
      <c r="I17" s="207">
        <f>'Present and Proposed Rates'!G15</f>
        <v>5.5919999999999997E-2</v>
      </c>
      <c r="J17" s="11">
        <f>I17*D17</f>
        <v>4132.7116799999994</v>
      </c>
      <c r="K17" s="190"/>
      <c r="L17" s="18"/>
      <c r="N17" s="2" t="s">
        <v>124</v>
      </c>
      <c r="P17" s="39">
        <f>D17</f>
        <v>73904</v>
      </c>
      <c r="Q17" s="40">
        <f>'Present and Proposed Rates'!H15</f>
        <v>5.5919999999999997E-2</v>
      </c>
      <c r="R17" s="19"/>
      <c r="S17" s="18">
        <f>P17*Q17</f>
        <v>4132.7116799999994</v>
      </c>
    </row>
    <row r="18" spans="1:22" x14ac:dyDescent="0.25">
      <c r="A18" s="1"/>
      <c r="B18" s="19"/>
      <c r="C18" s="360"/>
      <c r="D18" s="361">
        <f>SUM(D16:D17)</f>
        <v>103542</v>
      </c>
      <c r="E18" s="385">
        <f>(E16*D16+E17*D17)/D18</f>
        <v>6.9434813891947222E-2</v>
      </c>
      <c r="F18" s="19"/>
      <c r="G18" s="19"/>
      <c r="H18" s="19"/>
      <c r="I18" s="19"/>
      <c r="J18" s="19"/>
      <c r="K18" s="18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x14ac:dyDescent="0.25">
      <c r="A19" s="1"/>
      <c r="B19" s="59"/>
      <c r="C19" s="404" t="s">
        <v>228</v>
      </c>
      <c r="D19" s="405">
        <f>D18/D12</f>
        <v>719.04166666666663</v>
      </c>
      <c r="E19" s="59"/>
      <c r="F19" s="59"/>
      <c r="G19" s="59"/>
      <c r="H19" s="59"/>
      <c r="I19" s="59"/>
      <c r="J19" s="59"/>
      <c r="K19" s="198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22" x14ac:dyDescent="0.25">
      <c r="A20" s="1" t="s">
        <v>97</v>
      </c>
      <c r="B20" s="59"/>
      <c r="C20" s="147"/>
      <c r="D20" s="65"/>
      <c r="E20" s="70"/>
      <c r="F20" s="34"/>
      <c r="G20" s="18"/>
      <c r="H20" s="18"/>
      <c r="I20" s="18"/>
      <c r="J20" s="18"/>
      <c r="K20" s="191"/>
      <c r="L20" s="68"/>
      <c r="M20" s="1" t="s">
        <v>97</v>
      </c>
      <c r="N20" s="59"/>
      <c r="O20" s="147"/>
      <c r="P20" s="65"/>
      <c r="Q20" s="70"/>
      <c r="R20" s="34"/>
      <c r="S20" s="18"/>
    </row>
    <row r="21" spans="1:22" x14ac:dyDescent="0.25">
      <c r="A21" s="1"/>
      <c r="B21" s="34" t="s">
        <v>91</v>
      </c>
      <c r="C21" s="147"/>
      <c r="D21" s="65"/>
      <c r="E21" s="70"/>
      <c r="F21" s="34"/>
      <c r="G21" s="18">
        <f>'Billing Determ'!L56+'Billing Determ'!M56</f>
        <v>-408.14000000000004</v>
      </c>
      <c r="H21" s="18"/>
      <c r="I21" s="18"/>
      <c r="J21" s="18">
        <f>G21</f>
        <v>-408.14000000000004</v>
      </c>
      <c r="K21" s="191"/>
      <c r="L21" s="68"/>
      <c r="M21" s="1"/>
      <c r="N21" s="34" t="s">
        <v>91</v>
      </c>
      <c r="O21" s="147"/>
      <c r="P21" s="65"/>
      <c r="Q21" s="70"/>
      <c r="R21" s="34"/>
      <c r="S21" s="18">
        <f>G21</f>
        <v>-408.14000000000004</v>
      </c>
    </row>
    <row r="22" spans="1:22" x14ac:dyDescent="0.25">
      <c r="A22" s="1"/>
      <c r="B22" s="34" t="s">
        <v>98</v>
      </c>
      <c r="C22" s="147"/>
      <c r="D22" s="65"/>
      <c r="E22" s="70"/>
      <c r="F22" s="34"/>
      <c r="G22" s="68">
        <f>'Billing Determ'!N56</f>
        <v>1021.54</v>
      </c>
      <c r="H22" s="68"/>
      <c r="I22" s="68"/>
      <c r="J22" s="18">
        <f>G22</f>
        <v>1021.54</v>
      </c>
      <c r="K22" s="191"/>
      <c r="L22" s="68"/>
      <c r="M22" s="1"/>
      <c r="N22" s="34" t="s">
        <v>98</v>
      </c>
      <c r="O22" s="147"/>
      <c r="P22" s="65"/>
      <c r="Q22" s="70"/>
      <c r="R22" s="34"/>
      <c r="S22" s="18">
        <f>G22</f>
        <v>1021.54</v>
      </c>
    </row>
    <row r="23" spans="1:22" x14ac:dyDescent="0.25">
      <c r="B23" s="19" t="s">
        <v>210</v>
      </c>
      <c r="C23" s="19"/>
      <c r="D23" s="39"/>
      <c r="E23" s="40"/>
      <c r="F23" s="19"/>
      <c r="G23" s="50">
        <f>'Billing Determ'!K56</f>
        <v>0</v>
      </c>
      <c r="H23" s="50"/>
      <c r="I23" s="50"/>
      <c r="J23" s="50">
        <f>G23</f>
        <v>0</v>
      </c>
      <c r="K23" s="190"/>
      <c r="L23" s="50"/>
      <c r="M23" s="155"/>
      <c r="N23" s="2" t="str">
        <f>B23</f>
        <v>Min Bill</v>
      </c>
      <c r="S23" s="11">
        <f>G23</f>
        <v>0</v>
      </c>
    </row>
    <row r="24" spans="1:22" x14ac:dyDescent="0.25">
      <c r="B24" s="19"/>
      <c r="C24" s="19"/>
      <c r="D24" s="39"/>
      <c r="E24" s="40"/>
      <c r="F24" s="19"/>
      <c r="G24" s="50"/>
      <c r="H24" s="50"/>
      <c r="I24" s="50"/>
      <c r="J24" s="50"/>
      <c r="K24" s="190"/>
      <c r="L24" s="50"/>
      <c r="M24" s="155"/>
      <c r="S24" s="11"/>
    </row>
    <row r="25" spans="1:22" x14ac:dyDescent="0.25">
      <c r="A25" s="1"/>
      <c r="D25" s="30"/>
      <c r="G25" s="18"/>
      <c r="H25" s="18"/>
      <c r="I25" s="18"/>
      <c r="J25" s="18"/>
      <c r="K25" s="190"/>
      <c r="L25" s="18"/>
      <c r="M25" s="1"/>
      <c r="S25" s="18"/>
    </row>
    <row r="26" spans="1:22" ht="16.5" thickBot="1" x14ac:dyDescent="0.3">
      <c r="A26" s="1" t="s">
        <v>80</v>
      </c>
      <c r="G26" s="29">
        <f>SUM(G12:G24)</f>
        <v>10682.819500000001</v>
      </c>
      <c r="H26" s="18"/>
      <c r="I26" s="18"/>
      <c r="J26" s="29">
        <f>SUM(J12:J24)</f>
        <v>10518.187720000002</v>
      </c>
      <c r="K26" s="190"/>
      <c r="L26" s="18"/>
      <c r="M26" s="1" t="s">
        <v>80</v>
      </c>
      <c r="S26" s="29">
        <f>SUM(S12:S24)</f>
        <v>10518.187720000002</v>
      </c>
    </row>
    <row r="27" spans="1:22" ht="16.5" thickTop="1" x14ac:dyDescent="0.25">
      <c r="A27" s="1"/>
      <c r="B27" s="1"/>
      <c r="G27" s="18"/>
      <c r="H27" s="18"/>
      <c r="I27" s="18"/>
      <c r="J27" s="18"/>
      <c r="K27" s="190"/>
      <c r="L27" s="18"/>
      <c r="M27" s="1"/>
      <c r="N27" s="1"/>
      <c r="S27" s="18"/>
    </row>
    <row r="28" spans="1:22" x14ac:dyDescent="0.25">
      <c r="A28" s="44" t="s">
        <v>19</v>
      </c>
      <c r="B28" s="10"/>
      <c r="G28" s="11">
        <f>'Billing Determ'!F56+'Billing Determ'!G56+'Billing Determ'!J56+'Billing Determ'!O56*0+SUM('Billing Determ'!L44:M55)+SUM('Billing Determ'!M44:M55)</f>
        <v>10494.95</v>
      </c>
      <c r="H28" s="11"/>
      <c r="I28" s="11"/>
      <c r="J28" s="11"/>
      <c r="K28" s="192"/>
      <c r="L28" s="11"/>
      <c r="M28" s="119" t="s">
        <v>105</v>
      </c>
      <c r="N28" s="10"/>
      <c r="S28" s="37">
        <f>S26-J26</f>
        <v>0</v>
      </c>
    </row>
    <row r="29" spans="1:22" x14ac:dyDescent="0.25">
      <c r="A29" s="10"/>
      <c r="B29" s="10"/>
      <c r="G29" s="10"/>
      <c r="H29" s="10"/>
      <c r="I29" s="10"/>
      <c r="J29" s="10"/>
      <c r="K29" s="193"/>
      <c r="L29" s="10"/>
      <c r="M29" s="48"/>
      <c r="N29" s="10"/>
      <c r="S29" s="10"/>
    </row>
    <row r="30" spans="1:22" x14ac:dyDescent="0.25">
      <c r="A30" s="44" t="s">
        <v>13</v>
      </c>
      <c r="B30" s="10"/>
      <c r="G30" s="27">
        <f>G26-G28</f>
        <v>187.8695000000007</v>
      </c>
      <c r="H30" s="27"/>
      <c r="I30" s="27"/>
      <c r="J30" s="27">
        <f>J26-G26</f>
        <v>-164.63177999999971</v>
      </c>
      <c r="K30" s="190"/>
      <c r="L30" s="27"/>
      <c r="M30" s="119" t="s">
        <v>106</v>
      </c>
      <c r="N30" s="10"/>
      <c r="S30" s="149">
        <f>S28/J26</f>
        <v>0</v>
      </c>
    </row>
    <row r="31" spans="1:22" x14ac:dyDescent="0.25">
      <c r="A31" s="10"/>
      <c r="B31" s="10"/>
      <c r="G31" s="11"/>
      <c r="H31" s="11"/>
      <c r="I31" s="11"/>
      <c r="J31" s="11"/>
      <c r="K31" s="194"/>
      <c r="L31" s="11"/>
      <c r="M31" s="34"/>
      <c r="N31" s="10"/>
      <c r="S31" s="11"/>
    </row>
    <row r="32" spans="1:22" x14ac:dyDescent="0.25">
      <c r="A32" s="44" t="s">
        <v>26</v>
      </c>
      <c r="B32" s="10"/>
      <c r="G32" s="28">
        <f>G30/G28</f>
        <v>1.7900942834410901E-2</v>
      </c>
      <c r="H32" s="28"/>
      <c r="I32" s="28"/>
      <c r="J32" s="28">
        <f>J30/G28</f>
        <v>-1.5686761728259752E-2</v>
      </c>
      <c r="K32" s="190"/>
      <c r="L32" s="28"/>
      <c r="M32" s="59" t="s">
        <v>85</v>
      </c>
      <c r="N32" s="10"/>
      <c r="S32" s="50">
        <f>S28/P12</f>
        <v>0</v>
      </c>
    </row>
    <row r="33" spans="1:19" x14ac:dyDescent="0.25">
      <c r="A33" s="44"/>
      <c r="B33" s="10"/>
      <c r="G33" s="28"/>
      <c r="H33" s="28"/>
      <c r="I33" s="28"/>
      <c r="J33" s="28"/>
      <c r="K33" s="28"/>
      <c r="L33" s="28"/>
      <c r="M33" s="44"/>
      <c r="N33" s="10"/>
      <c r="S33" s="28"/>
    </row>
    <row r="34" spans="1:19" x14ac:dyDescent="0.25">
      <c r="A34" s="44"/>
      <c r="B34" s="10"/>
      <c r="G34" s="203"/>
      <c r="H34" s="28"/>
      <c r="I34" s="28"/>
      <c r="J34" s="28"/>
      <c r="K34" s="28"/>
      <c r="L34" s="28"/>
      <c r="M34" s="44"/>
      <c r="N34" s="10"/>
      <c r="S34" s="28"/>
    </row>
    <row r="35" spans="1:19" x14ac:dyDescent="0.25">
      <c r="A35" s="44"/>
      <c r="B35" s="10"/>
      <c r="G35" s="203"/>
      <c r="H35" s="28"/>
      <c r="I35" s="28"/>
      <c r="J35" s="28"/>
      <c r="K35" s="28"/>
      <c r="L35" s="28"/>
      <c r="M35" s="44"/>
      <c r="N35" s="10"/>
      <c r="S35" s="28"/>
    </row>
    <row r="36" spans="1:19" x14ac:dyDescent="0.25">
      <c r="A36" s="44"/>
      <c r="B36" s="10"/>
      <c r="G36" s="203"/>
      <c r="H36" s="28"/>
      <c r="I36" s="28"/>
      <c r="J36" s="28"/>
      <c r="K36" s="28"/>
      <c r="L36" s="28"/>
      <c r="M36" s="44"/>
      <c r="N36" s="10"/>
      <c r="S36" s="28"/>
    </row>
    <row r="37" spans="1:19" x14ac:dyDescent="0.25">
      <c r="A37" s="44"/>
      <c r="B37" s="10"/>
      <c r="G37" s="42"/>
      <c r="H37" s="28"/>
      <c r="I37" s="28"/>
      <c r="J37" s="28"/>
      <c r="K37" s="28"/>
      <c r="L37" s="28"/>
      <c r="M37" s="44"/>
      <c r="N37" s="10"/>
      <c r="S37" s="28"/>
    </row>
    <row r="38" spans="1:19" x14ac:dyDescent="0.25">
      <c r="A38" s="44"/>
      <c r="B38" s="10"/>
      <c r="G38" s="28"/>
      <c r="H38" s="28"/>
      <c r="I38" s="28"/>
      <c r="J38" s="28"/>
      <c r="K38" s="28"/>
      <c r="L38" s="28"/>
      <c r="M38" s="44"/>
      <c r="N38" s="10"/>
      <c r="S38" s="28"/>
    </row>
    <row r="39" spans="1:19" ht="18.75" customHeight="1" x14ac:dyDescent="0.25">
      <c r="A39" s="44"/>
      <c r="B39" s="11"/>
      <c r="G39" s="28"/>
      <c r="H39" s="28"/>
      <c r="I39" s="28"/>
      <c r="J39" s="28"/>
      <c r="K39" s="28"/>
      <c r="L39" s="28"/>
      <c r="N39" s="34"/>
    </row>
    <row r="40" spans="1:19" x14ac:dyDescent="0.25">
      <c r="E40" s="11"/>
      <c r="N40" s="34"/>
    </row>
    <row r="54" ht="16.5" customHeight="1" x14ac:dyDescent="0.25"/>
    <row r="87" ht="15" customHeight="1" x14ac:dyDescent="0.25"/>
    <row r="133" spans="2:14" x14ac:dyDescent="0.25">
      <c r="N133" s="53"/>
    </row>
    <row r="134" spans="2:14" x14ac:dyDescent="0.25">
      <c r="B134" s="19"/>
      <c r="C134" s="53"/>
      <c r="D134" s="53"/>
      <c r="E134" s="19"/>
      <c r="F134" s="19"/>
      <c r="G134" s="19"/>
      <c r="H134" s="19"/>
      <c r="I134" s="19"/>
      <c r="J134" s="19"/>
      <c r="K134" s="19"/>
      <c r="L134" s="19"/>
      <c r="N134" s="53"/>
    </row>
    <row r="135" spans="2:14" x14ac:dyDescent="0.25">
      <c r="B135" s="19"/>
      <c r="C135" s="55"/>
      <c r="D135" s="78"/>
      <c r="E135" s="83"/>
      <c r="F135" s="19"/>
      <c r="G135" s="19"/>
      <c r="H135" s="19"/>
      <c r="I135" s="19"/>
      <c r="J135" s="19"/>
      <c r="K135" s="19"/>
      <c r="L135" s="19"/>
      <c r="N135" s="53"/>
    </row>
    <row r="136" spans="2:14" x14ac:dyDescent="0.25">
      <c r="B136" s="19"/>
      <c r="C136" s="55"/>
      <c r="D136" s="78"/>
      <c r="E136" s="83"/>
      <c r="F136" s="19"/>
      <c r="G136" s="19"/>
      <c r="H136" s="19"/>
      <c r="I136" s="19"/>
      <c r="J136" s="19"/>
      <c r="K136" s="19"/>
      <c r="L136" s="19"/>
      <c r="N136" s="53"/>
    </row>
    <row r="137" spans="2:14" x14ac:dyDescent="0.25">
      <c r="B137" s="19"/>
      <c r="C137" s="55"/>
      <c r="D137" s="78"/>
      <c r="E137" s="83"/>
      <c r="F137" s="19"/>
      <c r="G137" s="19"/>
      <c r="H137" s="19"/>
      <c r="I137" s="19"/>
      <c r="J137" s="19"/>
      <c r="K137" s="19"/>
      <c r="L137" s="19"/>
      <c r="N137" s="53"/>
    </row>
  </sheetData>
  <mergeCells count="5">
    <mergeCell ref="D4:G5"/>
    <mergeCell ref="I4:J5"/>
    <mergeCell ref="P4:S5"/>
    <mergeCell ref="E7:F7"/>
    <mergeCell ref="Q7:R7"/>
  </mergeCells>
  <pageMargins left="0.75" right="0.75" top="1" bottom="1" header="0.5" footer="0.5"/>
  <pageSetup scale="66" orientation="landscape" r:id="rId1"/>
  <headerFooter alignWithMargins="0">
    <oddFooter>&amp;RExhibit JW-9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7"/>
  <sheetViews>
    <sheetView view="pageBreakPreview" topLeftCell="A13" zoomScale="75" zoomScaleNormal="85" zoomScaleSheetLayoutView="75" workbookViewId="0">
      <selection activeCell="H15" sqref="H15"/>
    </sheetView>
  </sheetViews>
  <sheetFormatPr defaultRowHeight="15.75" x14ac:dyDescent="0.25"/>
  <cols>
    <col min="1" max="1" width="4.7109375" style="2" customWidth="1"/>
    <col min="2" max="2" width="16.42578125" style="2" customWidth="1"/>
    <col min="3" max="3" width="2.5703125" style="2" customWidth="1"/>
    <col min="4" max="4" width="14.5703125" style="2" customWidth="1"/>
    <col min="5" max="5" width="14.5703125" style="2" bestFit="1" customWidth="1"/>
    <col min="6" max="6" width="3.140625" style="2" customWidth="1"/>
    <col min="7" max="7" width="15" style="2" customWidth="1"/>
    <col min="8" max="8" width="3" style="2" customWidth="1"/>
    <col min="9" max="9" width="13.85546875" style="2" customWidth="1"/>
    <col min="10" max="10" width="14.42578125" style="2" customWidth="1"/>
    <col min="11" max="11" width="2" style="2" customWidth="1"/>
    <col min="12" max="12" width="2.85546875" style="2" customWidth="1"/>
    <col min="13" max="13" width="9.85546875" style="2" customWidth="1"/>
    <col min="14" max="14" width="18.28515625" style="2" customWidth="1"/>
    <col min="15" max="15" width="3.42578125" style="2" customWidth="1"/>
    <col min="16" max="16" width="12.7109375" style="2" bestFit="1" customWidth="1"/>
    <col min="17" max="17" width="14.5703125" style="2" bestFit="1" customWidth="1"/>
    <col min="18" max="18" width="4.28515625" style="2" customWidth="1"/>
    <col min="19" max="19" width="15.5703125" style="2" customWidth="1"/>
    <col min="20" max="16384" width="9.140625" style="2"/>
  </cols>
  <sheetData>
    <row r="1" spans="1:19" x14ac:dyDescent="0.25">
      <c r="A1" s="1" t="str">
        <f>'Present and Proposed Rates'!B1</f>
        <v>Cumberland Valley Electric</v>
      </c>
      <c r="N1" s="1"/>
    </row>
    <row r="2" spans="1:19" x14ac:dyDescent="0.25">
      <c r="A2" s="59" t="str">
        <f>List!B8</f>
        <v>Sch II - Small Commercial  Small Power</v>
      </c>
      <c r="N2" s="34"/>
      <c r="O2" s="34"/>
      <c r="P2" s="34"/>
      <c r="Q2" s="34"/>
      <c r="R2" s="34"/>
      <c r="S2" s="34"/>
    </row>
    <row r="3" spans="1:19" ht="16.5" thickBot="1" x14ac:dyDescent="0.3">
      <c r="A3" s="231" t="str">
        <f>List!C8</f>
        <v>C1</v>
      </c>
      <c r="B3" s="34"/>
      <c r="C3" s="34"/>
      <c r="N3" s="34"/>
      <c r="O3" s="34"/>
      <c r="P3" s="34"/>
      <c r="Q3" s="34"/>
      <c r="R3" s="34"/>
      <c r="S3" s="34"/>
    </row>
    <row r="4" spans="1:19" x14ac:dyDescent="0.25">
      <c r="A4" s="34"/>
      <c r="B4" s="34"/>
      <c r="C4" s="34"/>
      <c r="D4" s="414" t="s">
        <v>30</v>
      </c>
      <c r="E4" s="415"/>
      <c r="F4" s="415"/>
      <c r="G4" s="416"/>
      <c r="H4" s="282"/>
      <c r="I4" s="414" t="s">
        <v>104</v>
      </c>
      <c r="J4" s="416"/>
      <c r="K4" s="189"/>
      <c r="L4" s="282"/>
      <c r="M4" s="34"/>
      <c r="N4" s="34"/>
      <c r="O4" s="34"/>
      <c r="P4" s="414" t="s">
        <v>88</v>
      </c>
      <c r="Q4" s="415"/>
      <c r="R4" s="415"/>
      <c r="S4" s="416"/>
    </row>
    <row r="5" spans="1:19" ht="16.5" thickBot="1" x14ac:dyDescent="0.3">
      <c r="A5" s="57"/>
      <c r="B5" s="109"/>
      <c r="C5" s="282"/>
      <c r="D5" s="417"/>
      <c r="E5" s="418"/>
      <c r="F5" s="418"/>
      <c r="G5" s="419"/>
      <c r="H5" s="282"/>
      <c r="I5" s="417"/>
      <c r="J5" s="419"/>
      <c r="K5" s="189"/>
      <c r="L5" s="282"/>
      <c r="M5" s="57"/>
      <c r="N5" s="109"/>
      <c r="O5" s="282"/>
      <c r="P5" s="417"/>
      <c r="Q5" s="418"/>
      <c r="R5" s="418"/>
      <c r="S5" s="419"/>
    </row>
    <row r="6" spans="1:19" x14ac:dyDescent="0.25">
      <c r="A6" s="4"/>
      <c r="B6" s="4"/>
      <c r="C6" s="4"/>
      <c r="D6" s="4" t="s">
        <v>1</v>
      </c>
      <c r="E6" s="4"/>
      <c r="F6" s="4"/>
      <c r="G6" s="4" t="s">
        <v>2</v>
      </c>
      <c r="H6" s="4"/>
      <c r="I6" s="4"/>
      <c r="J6" s="4" t="s">
        <v>2</v>
      </c>
      <c r="K6" s="189"/>
      <c r="L6" s="4"/>
      <c r="M6" s="4"/>
      <c r="N6" s="4"/>
      <c r="O6" s="4"/>
      <c r="P6" s="4" t="s">
        <v>1</v>
      </c>
      <c r="Q6" s="4"/>
      <c r="R6" s="4"/>
      <c r="S6" s="4" t="s">
        <v>2</v>
      </c>
    </row>
    <row r="7" spans="1:19" ht="16.5" thickBot="1" x14ac:dyDescent="0.3">
      <c r="A7" s="5"/>
      <c r="B7" s="5"/>
      <c r="C7" s="5"/>
      <c r="D7" s="5" t="s">
        <v>4</v>
      </c>
      <c r="E7" s="420" t="s">
        <v>5</v>
      </c>
      <c r="F7" s="420"/>
      <c r="G7" s="5" t="s">
        <v>6</v>
      </c>
      <c r="H7" s="5"/>
      <c r="I7" s="5" t="s">
        <v>5</v>
      </c>
      <c r="J7" s="5" t="s">
        <v>6</v>
      </c>
      <c r="K7" s="188"/>
      <c r="L7" s="5"/>
      <c r="M7" s="5"/>
      <c r="N7" s="5"/>
      <c r="O7" s="5"/>
      <c r="P7" s="5" t="s">
        <v>4</v>
      </c>
      <c r="Q7" s="420" t="s">
        <v>5</v>
      </c>
      <c r="R7" s="420"/>
      <c r="S7" s="5" t="s">
        <v>6</v>
      </c>
    </row>
    <row r="8" spans="1:19" x14ac:dyDescent="0.25">
      <c r="K8" s="189"/>
    </row>
    <row r="9" spans="1:19" x14ac:dyDescent="0.25">
      <c r="K9" s="189"/>
    </row>
    <row r="10" spans="1:19" x14ac:dyDescent="0.25">
      <c r="A10" s="155" t="s">
        <v>10</v>
      </c>
      <c r="K10" s="189"/>
      <c r="M10" s="155" t="s">
        <v>10</v>
      </c>
    </row>
    <row r="11" spans="1:19" ht="31.5" x14ac:dyDescent="0.25">
      <c r="D11" s="204" t="s">
        <v>92</v>
      </c>
      <c r="E11" s="204" t="s">
        <v>93</v>
      </c>
      <c r="I11" s="204" t="s">
        <v>93</v>
      </c>
      <c r="K11" s="189"/>
      <c r="P11" s="204" t="s">
        <v>92</v>
      </c>
      <c r="Q11" s="204" t="s">
        <v>93</v>
      </c>
    </row>
    <row r="12" spans="1:19" x14ac:dyDescent="0.25">
      <c r="B12" s="2" t="s">
        <v>103</v>
      </c>
      <c r="D12" s="39">
        <f>'Billing Determ'!C75</f>
        <v>16119</v>
      </c>
      <c r="E12" s="9">
        <f>'Present and Proposed Rates'!F17</f>
        <v>14</v>
      </c>
      <c r="G12" s="11">
        <f>D12*E12</f>
        <v>225666</v>
      </c>
      <c r="H12" s="11"/>
      <c r="I12" s="208">
        <f>'Present and Proposed Rates'!G17</f>
        <v>14</v>
      </c>
      <c r="J12" s="11">
        <f>I12*D12</f>
        <v>225666</v>
      </c>
      <c r="K12" s="190"/>
      <c r="L12" s="11"/>
      <c r="N12" s="2" t="s">
        <v>99</v>
      </c>
      <c r="P12" s="39">
        <f>D12</f>
        <v>16119</v>
      </c>
      <c r="Q12" s="9">
        <f>'Present and Proposed Rates'!H17</f>
        <v>14</v>
      </c>
      <c r="S12" s="11">
        <f>P12*Q12</f>
        <v>225666</v>
      </c>
    </row>
    <row r="13" spans="1:19" x14ac:dyDescent="0.25">
      <c r="G13" s="11"/>
      <c r="H13" s="11"/>
      <c r="I13" s="52"/>
      <c r="J13" s="11"/>
      <c r="K13" s="190"/>
      <c r="L13" s="11"/>
      <c r="P13" s="8"/>
      <c r="S13" s="11"/>
    </row>
    <row r="14" spans="1:19" x14ac:dyDescent="0.25">
      <c r="A14" s="1" t="s">
        <v>7</v>
      </c>
      <c r="D14" s="8"/>
      <c r="G14" s="11"/>
      <c r="H14" s="11"/>
      <c r="I14" s="52"/>
      <c r="J14" s="11"/>
      <c r="K14" s="190"/>
      <c r="L14" s="11"/>
      <c r="M14" s="1" t="s">
        <v>7</v>
      </c>
      <c r="P14" s="210"/>
      <c r="Q14" s="52"/>
      <c r="S14" s="11"/>
    </row>
    <row r="15" spans="1:19" x14ac:dyDescent="0.25">
      <c r="D15" s="205" t="s">
        <v>8</v>
      </c>
      <c r="E15" s="206" t="s">
        <v>11</v>
      </c>
      <c r="G15" s="11"/>
      <c r="H15" s="11"/>
      <c r="I15" s="206" t="s">
        <v>11</v>
      </c>
      <c r="J15" s="11"/>
      <c r="K15" s="190"/>
      <c r="L15" s="11"/>
      <c r="P15" s="205" t="s">
        <v>8</v>
      </c>
      <c r="Q15" s="206" t="s">
        <v>11</v>
      </c>
      <c r="S15" s="11"/>
    </row>
    <row r="16" spans="1:19" x14ac:dyDescent="0.25">
      <c r="B16" s="2" t="s">
        <v>151</v>
      </c>
      <c r="D16" s="39">
        <f>'Billing Determ'!E75</f>
        <v>10874517</v>
      </c>
      <c r="E16" s="40">
        <f>'Present and Proposed Rates'!F18</f>
        <v>8.9510000000000006E-2</v>
      </c>
      <c r="F16" s="19"/>
      <c r="G16" s="18">
        <f>D16*E16</f>
        <v>973378.01667000004</v>
      </c>
      <c r="H16" s="18"/>
      <c r="I16" s="207">
        <f>'Present and Proposed Rates'!G18</f>
        <v>8.7919999999999998E-2</v>
      </c>
      <c r="J16" s="11">
        <f>I16*D16</f>
        <v>956087.53463999997</v>
      </c>
      <c r="K16" s="190"/>
      <c r="L16" s="18"/>
      <c r="N16" s="2" t="s">
        <v>124</v>
      </c>
      <c r="P16" s="39">
        <f>D16</f>
        <v>10874517</v>
      </c>
      <c r="Q16" s="40">
        <f>'Present and Proposed Rates'!H18</f>
        <v>8.7919999999999998E-2</v>
      </c>
      <c r="R16" s="19"/>
      <c r="S16" s="18">
        <f>P16*Q16</f>
        <v>956087.53463999997</v>
      </c>
    </row>
    <row r="17" spans="1:22" x14ac:dyDescent="0.25">
      <c r="B17" s="2" t="s">
        <v>152</v>
      </c>
      <c r="D17" s="39">
        <f>'Billing Determ'!F75</f>
        <v>3622586</v>
      </c>
      <c r="E17" s="40">
        <f>'Present and Proposed Rates'!F19</f>
        <v>8.5900000000000004E-2</v>
      </c>
      <c r="F17" s="19"/>
      <c r="G17" s="18">
        <f>D17*E17</f>
        <v>311180.13740000001</v>
      </c>
      <c r="H17" s="18"/>
      <c r="I17" s="207">
        <f>'Present and Proposed Rates'!G19</f>
        <v>8.4309999999999996E-2</v>
      </c>
      <c r="J17" s="11">
        <f>I17*D17</f>
        <v>305420.22566</v>
      </c>
      <c r="K17" s="190"/>
      <c r="L17" s="18"/>
      <c r="N17" s="2" t="s">
        <v>124</v>
      </c>
      <c r="P17" s="39">
        <f>D17</f>
        <v>3622586</v>
      </c>
      <c r="Q17" s="40">
        <f>'Present and Proposed Rates'!H19</f>
        <v>8.4309999999999996E-2</v>
      </c>
      <c r="R17" s="19"/>
      <c r="S17" s="18">
        <f>P17*Q17</f>
        <v>305420.22566</v>
      </c>
    </row>
    <row r="18" spans="1:22" x14ac:dyDescent="0.25">
      <c r="A18" s="1"/>
      <c r="B18" s="19"/>
      <c r="C18" s="360"/>
      <c r="D18" s="361">
        <f>SUM(D16:D17)</f>
        <v>14497103</v>
      </c>
      <c r="E18" s="385">
        <f>(E16*D16+E17*D17)/D18</f>
        <v>8.8607920773550425E-2</v>
      </c>
      <c r="F18" s="19"/>
      <c r="G18" s="19"/>
      <c r="H18" s="19"/>
      <c r="I18" s="19"/>
      <c r="J18" s="19"/>
      <c r="K18" s="18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x14ac:dyDescent="0.25">
      <c r="A19" s="1"/>
      <c r="B19" s="59"/>
      <c r="C19" s="404" t="s">
        <v>228</v>
      </c>
      <c r="D19" s="405">
        <f>D18/D12</f>
        <v>899.37980023574664</v>
      </c>
      <c r="E19" s="59"/>
      <c r="F19" s="59"/>
      <c r="G19" s="59"/>
      <c r="H19" s="59"/>
      <c r="I19" s="59"/>
      <c r="J19" s="59"/>
      <c r="K19" s="198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22" x14ac:dyDescent="0.25">
      <c r="A20" s="1" t="s">
        <v>97</v>
      </c>
      <c r="B20" s="59"/>
      <c r="C20" s="147"/>
      <c r="D20" s="65"/>
      <c r="E20" s="70"/>
      <c r="F20" s="34"/>
      <c r="G20" s="18"/>
      <c r="H20" s="18"/>
      <c r="I20" s="18"/>
      <c r="J20" s="18"/>
      <c r="K20" s="191"/>
      <c r="L20" s="68"/>
      <c r="M20" s="1" t="s">
        <v>97</v>
      </c>
      <c r="N20" s="59"/>
      <c r="O20" s="147"/>
      <c r="P20" s="65"/>
      <c r="Q20" s="70"/>
      <c r="R20" s="34"/>
      <c r="S20" s="18"/>
    </row>
    <row r="21" spans="1:22" x14ac:dyDescent="0.25">
      <c r="A21" s="1"/>
      <c r="B21" s="34" t="s">
        <v>91</v>
      </c>
      <c r="C21" s="147"/>
      <c r="D21" s="65"/>
      <c r="E21" s="70"/>
      <c r="F21" s="34"/>
      <c r="G21" s="18">
        <f>'Billing Determ'!L75</f>
        <v>-64763.219999999994</v>
      </c>
      <c r="H21" s="18"/>
      <c r="I21" s="18"/>
      <c r="J21" s="18">
        <f>G21</f>
        <v>-64763.219999999994</v>
      </c>
      <c r="K21" s="191"/>
      <c r="L21" s="68"/>
      <c r="M21" s="1"/>
      <c r="N21" s="34" t="s">
        <v>91</v>
      </c>
      <c r="O21" s="147"/>
      <c r="P21" s="65"/>
      <c r="Q21" s="70"/>
      <c r="R21" s="34"/>
      <c r="S21" s="18">
        <f>G21</f>
        <v>-64763.219999999994</v>
      </c>
    </row>
    <row r="22" spans="1:22" x14ac:dyDescent="0.25">
      <c r="A22" s="1"/>
      <c r="B22" s="34" t="s">
        <v>98</v>
      </c>
      <c r="C22" s="147"/>
      <c r="D22" s="65"/>
      <c r="E22" s="70"/>
      <c r="F22" s="34"/>
      <c r="G22" s="68">
        <f>'Billing Determ'!N75</f>
        <v>163281.91999999998</v>
      </c>
      <c r="H22" s="68"/>
      <c r="I22" s="68"/>
      <c r="J22" s="18">
        <f>G22</f>
        <v>163281.91999999998</v>
      </c>
      <c r="K22" s="191"/>
      <c r="L22" s="68"/>
      <c r="M22" s="1"/>
      <c r="N22" s="34" t="s">
        <v>98</v>
      </c>
      <c r="O22" s="147"/>
      <c r="P22" s="65"/>
      <c r="Q22" s="70"/>
      <c r="R22" s="34"/>
      <c r="S22" s="18">
        <f>G22</f>
        <v>163281.91999999998</v>
      </c>
    </row>
    <row r="23" spans="1:22" x14ac:dyDescent="0.25">
      <c r="B23" s="19" t="s">
        <v>210</v>
      </c>
      <c r="C23" s="19"/>
      <c r="D23" s="39"/>
      <c r="E23" s="40"/>
      <c r="F23" s="19"/>
      <c r="G23" s="50">
        <f>'Billing Determ'!K75</f>
        <v>2699.48</v>
      </c>
      <c r="H23" s="50"/>
      <c r="I23" s="50"/>
      <c r="J23" s="50">
        <f>G23</f>
        <v>2699.48</v>
      </c>
      <c r="K23" s="190"/>
      <c r="L23" s="50"/>
      <c r="M23" s="155"/>
      <c r="N23" s="2" t="str">
        <f>B23</f>
        <v>Min Bill</v>
      </c>
      <c r="S23" s="11">
        <f>G23</f>
        <v>2699.48</v>
      </c>
    </row>
    <row r="24" spans="1:22" x14ac:dyDescent="0.25">
      <c r="B24" s="19"/>
      <c r="C24" s="19"/>
      <c r="D24" s="39"/>
      <c r="E24" s="40"/>
      <c r="F24" s="19"/>
      <c r="G24" s="50"/>
      <c r="H24" s="50"/>
      <c r="I24" s="50"/>
      <c r="J24" s="50"/>
      <c r="K24" s="190"/>
      <c r="L24" s="50"/>
      <c r="M24" s="155"/>
      <c r="S24" s="11"/>
    </row>
    <row r="25" spans="1:22" x14ac:dyDescent="0.25">
      <c r="A25" s="1"/>
      <c r="D25" s="30"/>
      <c r="G25" s="18"/>
      <c r="H25" s="18"/>
      <c r="I25" s="18"/>
      <c r="J25" s="18"/>
      <c r="K25" s="190"/>
      <c r="L25" s="18"/>
      <c r="M25" s="1"/>
      <c r="S25" s="18"/>
    </row>
    <row r="26" spans="1:22" ht="16.5" thickBot="1" x14ac:dyDescent="0.3">
      <c r="A26" s="1" t="s">
        <v>80</v>
      </c>
      <c r="G26" s="29">
        <f>SUM(G12:G24)</f>
        <v>1611442.3340700001</v>
      </c>
      <c r="H26" s="18"/>
      <c r="I26" s="18"/>
      <c r="J26" s="29">
        <f>SUM(J12:J24)</f>
        <v>1588391.9402999999</v>
      </c>
      <c r="K26" s="190"/>
      <c r="L26" s="18"/>
      <c r="M26" s="1" t="s">
        <v>80</v>
      </c>
      <c r="S26" s="29">
        <f>SUM(S12:S24)</f>
        <v>1588391.9402999999</v>
      </c>
    </row>
    <row r="27" spans="1:22" ht="16.5" thickTop="1" x14ac:dyDescent="0.25">
      <c r="A27" s="1"/>
      <c r="B27" s="1"/>
      <c r="G27" s="18"/>
      <c r="H27" s="18"/>
      <c r="I27" s="18"/>
      <c r="J27" s="18"/>
      <c r="K27" s="190"/>
      <c r="L27" s="18"/>
      <c r="M27" s="1"/>
      <c r="N27" s="1"/>
      <c r="S27" s="18"/>
    </row>
    <row r="28" spans="1:22" x14ac:dyDescent="0.25">
      <c r="A28" s="44" t="s">
        <v>19</v>
      </c>
      <c r="B28" s="10"/>
      <c r="G28" s="11">
        <f>'Billing Determ'!G75+'Billing Determ'!J75+'Billing Determ'!O75*0+SUM('Billing Determ'!L63:L74)</f>
        <v>1612359.31</v>
      </c>
      <c r="H28" s="11"/>
      <c r="I28" s="11"/>
      <c r="J28" s="11"/>
      <c r="K28" s="192"/>
      <c r="L28" s="11"/>
      <c r="M28" s="119" t="s">
        <v>105</v>
      </c>
      <c r="N28" s="10"/>
      <c r="S28" s="37">
        <f>S26-J26</f>
        <v>0</v>
      </c>
    </row>
    <row r="29" spans="1:22" x14ac:dyDescent="0.25">
      <c r="A29" s="10"/>
      <c r="B29" s="10"/>
      <c r="G29" s="10"/>
      <c r="H29" s="10"/>
      <c r="I29" s="10"/>
      <c r="J29" s="10"/>
      <c r="K29" s="193"/>
      <c r="L29" s="10"/>
      <c r="M29" s="48"/>
      <c r="N29" s="10"/>
      <c r="S29" s="10"/>
    </row>
    <row r="30" spans="1:22" x14ac:dyDescent="0.25">
      <c r="A30" s="44" t="s">
        <v>13</v>
      </c>
      <c r="B30" s="10"/>
      <c r="G30" s="27">
        <f>G26-G28</f>
        <v>-916.97592999995686</v>
      </c>
      <c r="H30" s="27"/>
      <c r="I30" s="27"/>
      <c r="J30" s="27">
        <f>J26-G26</f>
        <v>-23050.393770000199</v>
      </c>
      <c r="K30" s="190"/>
      <c r="L30" s="27"/>
      <c r="M30" s="119" t="s">
        <v>106</v>
      </c>
      <c r="N30" s="10"/>
      <c r="S30" s="149">
        <f>S28/J26</f>
        <v>0</v>
      </c>
    </row>
    <row r="31" spans="1:22" x14ac:dyDescent="0.25">
      <c r="A31" s="10"/>
      <c r="B31" s="10"/>
      <c r="G31" s="11"/>
      <c r="H31" s="11"/>
      <c r="I31" s="11"/>
      <c r="J31" s="11"/>
      <c r="K31" s="194"/>
      <c r="L31" s="11"/>
      <c r="M31" s="34"/>
      <c r="N31" s="10"/>
      <c r="S31" s="11"/>
    </row>
    <row r="32" spans="1:22" x14ac:dyDescent="0.25">
      <c r="A32" s="44" t="s">
        <v>26</v>
      </c>
      <c r="B32" s="10"/>
      <c r="G32" s="28">
        <f>G30/G28</f>
        <v>-5.6871686373675403E-4</v>
      </c>
      <c r="H32" s="28"/>
      <c r="I32" s="28"/>
      <c r="J32" s="28">
        <f>J30/G28</f>
        <v>-1.4296065168005386E-2</v>
      </c>
      <c r="K32" s="190"/>
      <c r="L32" s="28"/>
      <c r="M32" s="59" t="s">
        <v>85</v>
      </c>
      <c r="N32" s="10"/>
      <c r="S32" s="50">
        <f>S28/P12</f>
        <v>0</v>
      </c>
    </row>
    <row r="33" spans="1:19" x14ac:dyDescent="0.25">
      <c r="A33" s="44"/>
      <c r="B33" s="10"/>
      <c r="G33" s="28"/>
      <c r="H33" s="28"/>
      <c r="I33" s="28"/>
      <c r="J33" s="28"/>
      <c r="K33" s="28"/>
      <c r="L33" s="28"/>
      <c r="M33" s="44"/>
      <c r="N33" s="10"/>
      <c r="S33" s="28"/>
    </row>
    <row r="34" spans="1:19" x14ac:dyDescent="0.25">
      <c r="A34" s="44"/>
      <c r="B34" s="10"/>
      <c r="G34" s="203"/>
      <c r="H34" s="28"/>
      <c r="I34" s="28"/>
      <c r="J34" s="203"/>
      <c r="K34" s="28"/>
      <c r="L34" s="28"/>
      <c r="M34" s="44"/>
      <c r="N34" s="10"/>
      <c r="S34" s="28"/>
    </row>
    <row r="35" spans="1:19" x14ac:dyDescent="0.25">
      <c r="A35" s="44"/>
      <c r="B35" s="10"/>
      <c r="G35" s="203"/>
      <c r="H35" s="28"/>
      <c r="I35" s="28"/>
      <c r="J35" s="28"/>
      <c r="K35" s="28"/>
      <c r="L35" s="28"/>
      <c r="M35" s="44"/>
      <c r="N35" s="10"/>
      <c r="S35" s="28"/>
    </row>
    <row r="36" spans="1:19" x14ac:dyDescent="0.25">
      <c r="A36" s="44"/>
      <c r="B36" s="10"/>
      <c r="G36" s="203"/>
      <c r="H36" s="28"/>
      <c r="I36" s="28"/>
      <c r="J36" s="28"/>
      <c r="K36" s="28"/>
      <c r="L36" s="28"/>
      <c r="M36" s="44"/>
      <c r="N36" s="10"/>
      <c r="S36" s="28"/>
    </row>
    <row r="37" spans="1:19" x14ac:dyDescent="0.25">
      <c r="A37" s="44"/>
      <c r="B37" s="10"/>
      <c r="G37" s="42"/>
      <c r="H37" s="28"/>
      <c r="I37" s="28"/>
      <c r="J37" s="28"/>
      <c r="K37" s="28"/>
      <c r="L37" s="28"/>
      <c r="M37" s="44"/>
      <c r="N37" s="10"/>
      <c r="S37" s="28"/>
    </row>
    <row r="38" spans="1:19" x14ac:dyDescent="0.25">
      <c r="A38" s="44"/>
      <c r="B38" s="10"/>
      <c r="G38" s="28"/>
      <c r="H38" s="28"/>
      <c r="I38" s="28"/>
      <c r="J38" s="28"/>
      <c r="K38" s="28"/>
      <c r="L38" s="28"/>
      <c r="M38" s="44"/>
      <c r="N38" s="10"/>
      <c r="S38" s="28"/>
    </row>
    <row r="39" spans="1:19" ht="18.75" customHeight="1" x14ac:dyDescent="0.25">
      <c r="A39" s="44"/>
      <c r="B39" s="11"/>
      <c r="G39" s="28"/>
      <c r="H39" s="28"/>
      <c r="I39" s="28"/>
      <c r="J39" s="28"/>
      <c r="K39" s="28"/>
      <c r="L39" s="28"/>
      <c r="N39" s="34"/>
    </row>
    <row r="40" spans="1:19" x14ac:dyDescent="0.25">
      <c r="E40" s="11"/>
      <c r="N40" s="34"/>
    </row>
    <row r="54" ht="16.5" customHeight="1" x14ac:dyDescent="0.25"/>
    <row r="87" ht="15" customHeight="1" x14ac:dyDescent="0.25"/>
    <row r="133" spans="2:14" x14ac:dyDescent="0.25">
      <c r="N133" s="53"/>
    </row>
    <row r="134" spans="2:14" x14ac:dyDescent="0.25">
      <c r="B134" s="19"/>
      <c r="C134" s="53"/>
      <c r="D134" s="53"/>
      <c r="E134" s="19"/>
      <c r="F134" s="19"/>
      <c r="G134" s="19"/>
      <c r="H134" s="19"/>
      <c r="I134" s="19"/>
      <c r="J134" s="19"/>
      <c r="K134" s="19"/>
      <c r="L134" s="19"/>
      <c r="N134" s="53"/>
    </row>
    <row r="135" spans="2:14" x14ac:dyDescent="0.25">
      <c r="B135" s="19"/>
      <c r="C135" s="55"/>
      <c r="D135" s="78"/>
      <c r="E135" s="83"/>
      <c r="F135" s="19"/>
      <c r="G135" s="19"/>
      <c r="H135" s="19"/>
      <c r="I135" s="19"/>
      <c r="J135" s="19"/>
      <c r="K135" s="19"/>
      <c r="L135" s="19"/>
      <c r="N135" s="53"/>
    </row>
    <row r="136" spans="2:14" x14ac:dyDescent="0.25">
      <c r="B136" s="19"/>
      <c r="C136" s="55"/>
      <c r="D136" s="78"/>
      <c r="E136" s="83"/>
      <c r="F136" s="19"/>
      <c r="G136" s="19"/>
      <c r="H136" s="19"/>
      <c r="I136" s="19"/>
      <c r="J136" s="19"/>
      <c r="K136" s="19"/>
      <c r="L136" s="19"/>
      <c r="N136" s="53"/>
    </row>
    <row r="137" spans="2:14" x14ac:dyDescent="0.25">
      <c r="B137" s="19"/>
      <c r="C137" s="55"/>
      <c r="D137" s="78"/>
      <c r="E137" s="83"/>
      <c r="F137" s="19"/>
      <c r="G137" s="19"/>
      <c r="H137" s="19"/>
      <c r="I137" s="19"/>
      <c r="J137" s="19"/>
      <c r="K137" s="19"/>
      <c r="L137" s="19"/>
      <c r="N137" s="53"/>
    </row>
  </sheetData>
  <mergeCells count="5">
    <mergeCell ref="D4:G5"/>
    <mergeCell ref="I4:J5"/>
    <mergeCell ref="P4:S5"/>
    <mergeCell ref="E7:F7"/>
    <mergeCell ref="Q7:R7"/>
  </mergeCells>
  <pageMargins left="0.75" right="0.75" top="1" bottom="1" header="0.5" footer="0.5"/>
  <pageSetup scale="66" orientation="landscape" r:id="rId1"/>
  <headerFooter alignWithMargins="0">
    <oddFooter>&amp;RExhibit JW-9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1"/>
  <sheetViews>
    <sheetView view="pageBreakPreview" topLeftCell="A16" zoomScale="75" zoomScaleNormal="85" zoomScaleSheetLayoutView="75" workbookViewId="0">
      <selection activeCell="H15" sqref="H15"/>
    </sheetView>
  </sheetViews>
  <sheetFormatPr defaultRowHeight="15.75" x14ac:dyDescent="0.25"/>
  <cols>
    <col min="1" max="1" width="4.7109375" style="2" customWidth="1"/>
    <col min="2" max="2" width="16.42578125" style="2" customWidth="1"/>
    <col min="3" max="3" width="2.5703125" style="2" customWidth="1"/>
    <col min="4" max="4" width="12.7109375" style="2" bestFit="1" customWidth="1"/>
    <col min="5" max="5" width="14.5703125" style="2" bestFit="1" customWidth="1"/>
    <col min="6" max="6" width="3.140625" style="2" customWidth="1"/>
    <col min="7" max="7" width="15" style="2" customWidth="1"/>
    <col min="8" max="8" width="3" style="2" customWidth="1"/>
    <col min="9" max="9" width="13.85546875" style="2" customWidth="1"/>
    <col min="10" max="10" width="14.42578125" style="2" customWidth="1"/>
    <col min="11" max="11" width="2" style="2" customWidth="1"/>
    <col min="12" max="12" width="2.85546875" style="2" customWidth="1"/>
    <col min="13" max="13" width="9.85546875" style="2" customWidth="1"/>
    <col min="14" max="14" width="18.28515625" style="2" customWidth="1"/>
    <col min="15" max="15" width="3.42578125" style="2" customWidth="1"/>
    <col min="16" max="16" width="12.7109375" style="2" bestFit="1" customWidth="1"/>
    <col min="17" max="17" width="14.5703125" style="2" bestFit="1" customWidth="1"/>
    <col min="18" max="18" width="4.28515625" style="2" customWidth="1"/>
    <col min="19" max="19" width="15.5703125" style="2" customWidth="1"/>
    <col min="20" max="16384" width="9.140625" style="2"/>
  </cols>
  <sheetData>
    <row r="1" spans="1:19" x14ac:dyDescent="0.25">
      <c r="A1" s="1" t="str">
        <f>'Present and Proposed Rates'!B1</f>
        <v>Cumberland Valley Electric</v>
      </c>
      <c r="N1" s="1"/>
    </row>
    <row r="2" spans="1:19" x14ac:dyDescent="0.25">
      <c r="A2" s="59" t="str">
        <f>List!B9</f>
        <v>Sch II - Small Commercial  Small Power</v>
      </c>
      <c r="N2" s="34"/>
      <c r="O2" s="34"/>
      <c r="P2" s="34"/>
      <c r="Q2" s="34"/>
      <c r="R2" s="34"/>
      <c r="S2" s="34"/>
    </row>
    <row r="3" spans="1:19" ht="16.5" thickBot="1" x14ac:dyDescent="0.3">
      <c r="A3" s="231" t="str">
        <f>List!C9</f>
        <v>C2</v>
      </c>
      <c r="B3" s="34"/>
      <c r="C3" s="34"/>
      <c r="N3" s="34"/>
      <c r="O3" s="34"/>
      <c r="P3" s="34"/>
      <c r="Q3" s="34"/>
      <c r="R3" s="34"/>
      <c r="S3" s="34"/>
    </row>
    <row r="4" spans="1:19" x14ac:dyDescent="0.25">
      <c r="A4" s="34"/>
      <c r="B4" s="34"/>
      <c r="C4" s="34"/>
      <c r="D4" s="414" t="s">
        <v>30</v>
      </c>
      <c r="E4" s="415"/>
      <c r="F4" s="415"/>
      <c r="G4" s="416"/>
      <c r="H4" s="282"/>
      <c r="I4" s="414" t="s">
        <v>104</v>
      </c>
      <c r="J4" s="416"/>
      <c r="K4" s="189"/>
      <c r="L4" s="282"/>
      <c r="M4" s="34"/>
      <c r="N4" s="34"/>
      <c r="O4" s="34"/>
      <c r="P4" s="414" t="s">
        <v>88</v>
      </c>
      <c r="Q4" s="415"/>
      <c r="R4" s="415"/>
      <c r="S4" s="416"/>
    </row>
    <row r="5" spans="1:19" ht="16.5" thickBot="1" x14ac:dyDescent="0.3">
      <c r="A5" s="57"/>
      <c r="B5" s="109"/>
      <c r="C5" s="282"/>
      <c r="D5" s="417"/>
      <c r="E5" s="418"/>
      <c r="F5" s="418"/>
      <c r="G5" s="419"/>
      <c r="H5" s="282"/>
      <c r="I5" s="417"/>
      <c r="J5" s="419"/>
      <c r="K5" s="189"/>
      <c r="L5" s="282"/>
      <c r="M5" s="57"/>
      <c r="N5" s="109"/>
      <c r="O5" s="282"/>
      <c r="P5" s="417"/>
      <c r="Q5" s="418"/>
      <c r="R5" s="418"/>
      <c r="S5" s="419"/>
    </row>
    <row r="6" spans="1:19" x14ac:dyDescent="0.25">
      <c r="A6" s="4"/>
      <c r="B6" s="4"/>
      <c r="C6" s="4"/>
      <c r="D6" s="4" t="s">
        <v>1</v>
      </c>
      <c r="E6" s="4"/>
      <c r="F6" s="4"/>
      <c r="G6" s="4" t="s">
        <v>2</v>
      </c>
      <c r="H6" s="4"/>
      <c r="I6" s="4"/>
      <c r="J6" s="4" t="s">
        <v>2</v>
      </c>
      <c r="K6" s="189"/>
      <c r="L6" s="4"/>
      <c r="M6" s="4"/>
      <c r="N6" s="4"/>
      <c r="O6" s="4"/>
      <c r="P6" s="4" t="s">
        <v>1</v>
      </c>
      <c r="Q6" s="4"/>
      <c r="R6" s="4"/>
      <c r="S6" s="4" t="s">
        <v>2</v>
      </c>
    </row>
    <row r="7" spans="1:19" ht="16.5" thickBot="1" x14ac:dyDescent="0.3">
      <c r="A7" s="5"/>
      <c r="B7" s="5"/>
      <c r="C7" s="5"/>
      <c r="D7" s="5" t="s">
        <v>4</v>
      </c>
      <c r="E7" s="420" t="s">
        <v>5</v>
      </c>
      <c r="F7" s="420"/>
      <c r="G7" s="5" t="s">
        <v>6</v>
      </c>
      <c r="H7" s="5"/>
      <c r="I7" s="5" t="s">
        <v>5</v>
      </c>
      <c r="J7" s="5" t="s">
        <v>6</v>
      </c>
      <c r="K7" s="188"/>
      <c r="L7" s="5"/>
      <c r="M7" s="5"/>
      <c r="N7" s="5"/>
      <c r="O7" s="5"/>
      <c r="P7" s="5" t="s">
        <v>4</v>
      </c>
      <c r="Q7" s="420" t="s">
        <v>5</v>
      </c>
      <c r="R7" s="420"/>
      <c r="S7" s="5" t="s">
        <v>6</v>
      </c>
    </row>
    <row r="8" spans="1:19" x14ac:dyDescent="0.25">
      <c r="K8" s="189"/>
    </row>
    <row r="9" spans="1:19" x14ac:dyDescent="0.25">
      <c r="K9" s="189"/>
    </row>
    <row r="10" spans="1:19" x14ac:dyDescent="0.25">
      <c r="A10" s="155" t="s">
        <v>10</v>
      </c>
      <c r="K10" s="189"/>
      <c r="M10" s="155" t="s">
        <v>10</v>
      </c>
    </row>
    <row r="11" spans="1:19" ht="31.5" x14ac:dyDescent="0.25">
      <c r="D11" s="204" t="s">
        <v>92</v>
      </c>
      <c r="E11" s="204" t="s">
        <v>93</v>
      </c>
      <c r="I11" s="204" t="s">
        <v>93</v>
      </c>
      <c r="K11" s="189"/>
      <c r="P11" s="204" t="s">
        <v>92</v>
      </c>
      <c r="Q11" s="204" t="s">
        <v>93</v>
      </c>
    </row>
    <row r="12" spans="1:19" x14ac:dyDescent="0.25">
      <c r="B12" s="2" t="s">
        <v>103</v>
      </c>
      <c r="D12" s="39">
        <f>'Billing Determ'!C92</f>
        <v>2017</v>
      </c>
      <c r="E12" s="9">
        <f>'Present and Proposed Rates'!F21</f>
        <v>25.55</v>
      </c>
      <c r="G12" s="11">
        <f>D12*E12</f>
        <v>51534.35</v>
      </c>
      <c r="H12" s="11"/>
      <c r="I12" s="208">
        <f>'Present and Proposed Rates'!G21</f>
        <v>25.55</v>
      </c>
      <c r="J12" s="11">
        <f>I12*D12</f>
        <v>51534.35</v>
      </c>
      <c r="K12" s="190"/>
      <c r="L12" s="11"/>
      <c r="N12" s="2" t="s">
        <v>99</v>
      </c>
      <c r="P12" s="39">
        <f>D12</f>
        <v>2017</v>
      </c>
      <c r="Q12" s="9">
        <f>'Present and Proposed Rates'!H21</f>
        <v>25.55</v>
      </c>
      <c r="S12" s="11">
        <f>P12*Q12</f>
        <v>51534.35</v>
      </c>
    </row>
    <row r="13" spans="1:19" x14ac:dyDescent="0.25">
      <c r="D13" s="8"/>
      <c r="G13" s="11"/>
      <c r="H13" s="11"/>
      <c r="I13" s="52"/>
      <c r="J13" s="11"/>
      <c r="K13" s="190"/>
      <c r="L13" s="11"/>
      <c r="P13" s="8"/>
      <c r="S13" s="11"/>
    </row>
    <row r="14" spans="1:19" x14ac:dyDescent="0.25">
      <c r="A14" s="1" t="s">
        <v>7</v>
      </c>
      <c r="D14" s="8"/>
      <c r="G14" s="11"/>
      <c r="H14" s="11"/>
      <c r="I14" s="52"/>
      <c r="J14" s="11"/>
      <c r="K14" s="190"/>
      <c r="L14" s="11"/>
      <c r="M14" s="1" t="s">
        <v>7</v>
      </c>
      <c r="P14" s="210"/>
      <c r="Q14" s="52"/>
      <c r="S14" s="11"/>
    </row>
    <row r="15" spans="1:19" x14ac:dyDescent="0.25">
      <c r="D15" s="205" t="s">
        <v>8</v>
      </c>
      <c r="E15" s="206" t="s">
        <v>11</v>
      </c>
      <c r="G15" s="11"/>
      <c r="H15" s="11"/>
      <c r="I15" s="206" t="s">
        <v>11</v>
      </c>
      <c r="J15" s="11"/>
      <c r="K15" s="190"/>
      <c r="L15" s="11"/>
      <c r="P15" s="205" t="s">
        <v>8</v>
      </c>
      <c r="Q15" s="206" t="s">
        <v>11</v>
      </c>
      <c r="S15" s="11"/>
    </row>
    <row r="16" spans="1:19" x14ac:dyDescent="0.25">
      <c r="B16" s="2" t="s">
        <v>153</v>
      </c>
      <c r="D16" s="39">
        <f>'Billing Determ'!E92</f>
        <v>3425696</v>
      </c>
      <c r="E16" s="40">
        <f>'Present and Proposed Rates'!F22</f>
        <v>8.9510000000000006E-2</v>
      </c>
      <c r="F16" s="19"/>
      <c r="G16" s="18">
        <f>D16*E16</f>
        <v>306634.04896000004</v>
      </c>
      <c r="H16" s="18"/>
      <c r="I16" s="207">
        <f>'Present and Proposed Rates'!G22</f>
        <v>8.7919999999999998E-2</v>
      </c>
      <c r="J16" s="11">
        <f>I16*D16</f>
        <v>301187.19231999997</v>
      </c>
      <c r="K16" s="190"/>
      <c r="L16" s="18"/>
      <c r="N16" s="2" t="s">
        <v>124</v>
      </c>
      <c r="P16" s="39">
        <f>D16</f>
        <v>3425696</v>
      </c>
      <c r="Q16" s="40">
        <f>'Present and Proposed Rates'!H22</f>
        <v>8.7919999999999998E-2</v>
      </c>
      <c r="R16" s="19"/>
      <c r="S16" s="18">
        <f>P16*Q16</f>
        <v>301187.19231999997</v>
      </c>
    </row>
    <row r="17" spans="1:22" x14ac:dyDescent="0.25">
      <c r="B17" s="2" t="s">
        <v>154</v>
      </c>
      <c r="D17" s="39">
        <f>'Billing Determ'!F92</f>
        <v>6466860</v>
      </c>
      <c r="E17" s="40">
        <f>'Present and Proposed Rates'!F23</f>
        <v>8.5900000000000004E-2</v>
      </c>
      <c r="F17" s="19"/>
      <c r="G17" s="18">
        <f>D17*E17</f>
        <v>555503.27399999998</v>
      </c>
      <c r="H17" s="18"/>
      <c r="I17" s="207">
        <f>'Present and Proposed Rates'!G23</f>
        <v>8.4309999999999996E-2</v>
      </c>
      <c r="J17" s="11">
        <f>I17*D17</f>
        <v>545220.96659999993</v>
      </c>
      <c r="K17" s="190"/>
      <c r="L17" s="18"/>
      <c r="N17" s="2" t="s">
        <v>124</v>
      </c>
      <c r="P17" s="39">
        <f>D17</f>
        <v>6466860</v>
      </c>
      <c r="Q17" s="40">
        <f>'Present and Proposed Rates'!H23</f>
        <v>8.4309999999999996E-2</v>
      </c>
      <c r="R17" s="19"/>
      <c r="S17" s="18">
        <f>P17*Q17</f>
        <v>545220.96659999993</v>
      </c>
    </row>
    <row r="18" spans="1:22" x14ac:dyDescent="0.25">
      <c r="A18" s="1"/>
      <c r="B18" s="19"/>
      <c r="C18" s="19"/>
      <c r="D18" s="361">
        <f>SUM(D16:D17)</f>
        <v>9892556</v>
      </c>
      <c r="E18" s="385">
        <f>(E16*D16+E17*D17)/D18</f>
        <v>8.7150107915487163E-2</v>
      </c>
      <c r="F18" s="19"/>
      <c r="G18" s="19"/>
      <c r="H18" s="19"/>
      <c r="I18" s="19"/>
      <c r="J18" s="19"/>
      <c r="K18" s="18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x14ac:dyDescent="0.25">
      <c r="A19" s="1"/>
      <c r="B19" s="19"/>
      <c r="C19" s="360" t="s">
        <v>228</v>
      </c>
      <c r="D19" s="405">
        <f>D18/D12</f>
        <v>4904.5889935547839</v>
      </c>
      <c r="E19" s="385"/>
      <c r="F19" s="19"/>
      <c r="G19" s="19"/>
      <c r="H19" s="19"/>
      <c r="I19" s="19"/>
      <c r="J19" s="19"/>
      <c r="K19" s="18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x14ac:dyDescent="0.25">
      <c r="A20" s="1" t="s">
        <v>94</v>
      </c>
      <c r="B20" s="19"/>
      <c r="C20" s="19"/>
      <c r="D20" s="49"/>
      <c r="E20" s="207"/>
      <c r="F20" s="19"/>
      <c r="G20" s="18"/>
      <c r="H20" s="18"/>
      <c r="I20" s="207"/>
      <c r="J20" s="18"/>
      <c r="K20" s="190"/>
      <c r="L20" s="18"/>
      <c r="M20" s="1" t="s">
        <v>94</v>
      </c>
      <c r="N20" s="19"/>
      <c r="O20" s="19"/>
      <c r="P20" s="39"/>
      <c r="Q20" s="40"/>
      <c r="R20" s="19"/>
      <c r="S20" s="18"/>
    </row>
    <row r="21" spans="1:22" x14ac:dyDescent="0.25">
      <c r="A21" s="1"/>
      <c r="C21" s="19"/>
      <c r="D21" s="205" t="s">
        <v>95</v>
      </c>
      <c r="E21" s="206" t="s">
        <v>96</v>
      </c>
      <c r="F21" s="19"/>
      <c r="G21" s="18"/>
      <c r="H21" s="18"/>
      <c r="I21" s="206" t="s">
        <v>96</v>
      </c>
      <c r="J21" s="18"/>
      <c r="K21" s="190"/>
      <c r="L21" s="18"/>
      <c r="M21" s="1"/>
      <c r="O21" s="19"/>
      <c r="P21" s="205" t="s">
        <v>95</v>
      </c>
      <c r="Q21" s="206" t="s">
        <v>96</v>
      </c>
      <c r="R21" s="19"/>
      <c r="S21" s="18"/>
    </row>
    <row r="22" spans="1:22" x14ac:dyDescent="0.25">
      <c r="A22" s="1"/>
      <c r="B22" s="19" t="s">
        <v>125</v>
      </c>
      <c r="C22" s="19"/>
      <c r="D22" s="117">
        <f>'Billing Determ'!I92/'C2'!E22</f>
        <v>36994.957345971568</v>
      </c>
      <c r="E22" s="180">
        <f>'Present and Proposed Rates'!F24</f>
        <v>4.22</v>
      </c>
      <c r="F22" s="19"/>
      <c r="G22" s="18">
        <f>D22*E22</f>
        <v>156118.72</v>
      </c>
      <c r="H22" s="18"/>
      <c r="I22" s="209">
        <f>'Present and Proposed Rates'!G24</f>
        <v>4.22</v>
      </c>
      <c r="J22" s="11">
        <f>I22*D22</f>
        <v>156118.72</v>
      </c>
      <c r="K22" s="198"/>
      <c r="L22" s="18"/>
      <c r="M22" s="1"/>
      <c r="N22" s="19" t="s">
        <v>126</v>
      </c>
      <c r="O22" s="19"/>
      <c r="P22" s="39">
        <f>D22</f>
        <v>36994.957345971568</v>
      </c>
      <c r="Q22" s="180">
        <f>'Present and Proposed Rates'!H24</f>
        <v>4.22</v>
      </c>
      <c r="R22" s="19"/>
      <c r="S22" s="18">
        <f>P22*Q22</f>
        <v>156118.72</v>
      </c>
    </row>
    <row r="23" spans="1:22" x14ac:dyDescent="0.25">
      <c r="A23" s="1"/>
      <c r="B23" s="59"/>
      <c r="C23" s="59"/>
      <c r="D23" s="59"/>
      <c r="E23" s="59"/>
      <c r="F23" s="59"/>
      <c r="G23" s="59"/>
      <c r="H23" s="59"/>
      <c r="I23" s="59"/>
      <c r="J23" s="59"/>
      <c r="K23" s="198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spans="1:22" x14ac:dyDescent="0.25">
      <c r="A24" s="1" t="s">
        <v>97</v>
      </c>
      <c r="B24" s="59"/>
      <c r="C24" s="147"/>
      <c r="D24" s="65"/>
      <c r="E24" s="70"/>
      <c r="F24" s="34"/>
      <c r="G24" s="18"/>
      <c r="H24" s="18"/>
      <c r="I24" s="18"/>
      <c r="J24" s="18"/>
      <c r="K24" s="191"/>
      <c r="L24" s="68"/>
      <c r="M24" s="1" t="s">
        <v>97</v>
      </c>
      <c r="N24" s="59"/>
      <c r="O24" s="147"/>
      <c r="P24" s="65"/>
      <c r="Q24" s="70"/>
      <c r="R24" s="34"/>
      <c r="S24" s="18"/>
    </row>
    <row r="25" spans="1:22" x14ac:dyDescent="0.25">
      <c r="A25" s="1"/>
      <c r="B25" s="34" t="s">
        <v>91</v>
      </c>
      <c r="C25" s="147"/>
      <c r="D25" s="65"/>
      <c r="E25" s="70"/>
      <c r="F25" s="34"/>
      <c r="G25" s="18">
        <f>'Billing Determ'!L92</f>
        <v>-43046.119999999995</v>
      </c>
      <c r="H25" s="18"/>
      <c r="I25" s="18"/>
      <c r="J25" s="18">
        <f>G25</f>
        <v>-43046.119999999995</v>
      </c>
      <c r="K25" s="191"/>
      <c r="L25" s="68"/>
      <c r="M25" s="1"/>
      <c r="N25" s="34" t="s">
        <v>91</v>
      </c>
      <c r="O25" s="147"/>
      <c r="P25" s="65"/>
      <c r="Q25" s="70"/>
      <c r="R25" s="34"/>
      <c r="S25" s="18">
        <f>G25</f>
        <v>-43046.119999999995</v>
      </c>
    </row>
    <row r="26" spans="1:22" x14ac:dyDescent="0.25">
      <c r="A26" s="1"/>
      <c r="B26" s="34" t="s">
        <v>98</v>
      </c>
      <c r="C26" s="147"/>
      <c r="D26" s="65"/>
      <c r="E26" s="70"/>
      <c r="F26" s="34"/>
      <c r="G26" s="68">
        <f>'Billing Determ'!N92</f>
        <v>110474.38</v>
      </c>
      <c r="H26" s="68"/>
      <c r="I26" s="68"/>
      <c r="J26" s="18">
        <f>G26</f>
        <v>110474.38</v>
      </c>
      <c r="K26" s="191"/>
      <c r="L26" s="68"/>
      <c r="M26" s="1"/>
      <c r="N26" s="34" t="s">
        <v>98</v>
      </c>
      <c r="O26" s="147"/>
      <c r="P26" s="65"/>
      <c r="Q26" s="70"/>
      <c r="R26" s="34"/>
      <c r="S26" s="18">
        <f>G26</f>
        <v>110474.38</v>
      </c>
    </row>
    <row r="27" spans="1:22" x14ac:dyDescent="0.25">
      <c r="B27" s="19" t="s">
        <v>210</v>
      </c>
      <c r="C27" s="19"/>
      <c r="D27" s="39"/>
      <c r="E27" s="40"/>
      <c r="F27" s="19"/>
      <c r="G27" s="50">
        <f>'Billing Determ'!K92</f>
        <v>37072.080000000002</v>
      </c>
      <c r="H27" s="50"/>
      <c r="I27" s="50"/>
      <c r="J27" s="50">
        <f>G27</f>
        <v>37072.080000000002</v>
      </c>
      <c r="K27" s="190"/>
      <c r="L27" s="50"/>
      <c r="M27" s="155"/>
      <c r="N27" s="2" t="str">
        <f>B27</f>
        <v>Min Bill</v>
      </c>
      <c r="S27" s="11">
        <f>G27</f>
        <v>37072.080000000002</v>
      </c>
    </row>
    <row r="28" spans="1:22" x14ac:dyDescent="0.25">
      <c r="B28" s="19"/>
      <c r="C28" s="19"/>
      <c r="D28" s="39"/>
      <c r="E28" s="40"/>
      <c r="F28" s="19"/>
      <c r="G28" s="50"/>
      <c r="H28" s="50"/>
      <c r="I28" s="50"/>
      <c r="J28" s="50"/>
      <c r="K28" s="190"/>
      <c r="L28" s="50"/>
      <c r="M28" s="155"/>
      <c r="S28" s="11"/>
    </row>
    <row r="29" spans="1:22" x14ac:dyDescent="0.25">
      <c r="A29" s="1"/>
      <c r="D29" s="30"/>
      <c r="G29" s="18"/>
      <c r="H29" s="18"/>
      <c r="I29" s="18"/>
      <c r="J29" s="18"/>
      <c r="K29" s="190"/>
      <c r="L29" s="18"/>
      <c r="M29" s="1"/>
      <c r="S29" s="18"/>
    </row>
    <row r="30" spans="1:22" ht="16.5" thickBot="1" x14ac:dyDescent="0.3">
      <c r="A30" s="1" t="s">
        <v>80</v>
      </c>
      <c r="G30" s="29">
        <f>SUM(G12:G28)</f>
        <v>1174290.7329600002</v>
      </c>
      <c r="H30" s="18"/>
      <c r="I30" s="18"/>
      <c r="J30" s="29">
        <f>SUM(J12:J28)</f>
        <v>1158561.56892</v>
      </c>
      <c r="K30" s="190"/>
      <c r="L30" s="18"/>
      <c r="M30" s="1" t="s">
        <v>80</v>
      </c>
      <c r="S30" s="29">
        <f>SUM(S12:S28)</f>
        <v>1158561.56892</v>
      </c>
    </row>
    <row r="31" spans="1:22" ht="16.5" thickTop="1" x14ac:dyDescent="0.25">
      <c r="A31" s="1"/>
      <c r="B31" s="1"/>
      <c r="G31" s="18"/>
      <c r="H31" s="18"/>
      <c r="I31" s="18"/>
      <c r="J31" s="18"/>
      <c r="K31" s="190"/>
      <c r="L31" s="18"/>
      <c r="M31" s="1"/>
      <c r="N31" s="1"/>
      <c r="S31" s="18"/>
    </row>
    <row r="32" spans="1:22" x14ac:dyDescent="0.25">
      <c r="A32" s="44" t="s">
        <v>19</v>
      </c>
      <c r="B32" s="10"/>
      <c r="G32" s="11">
        <f>'Billing Determ'!G92+'Billing Determ'!I92+'Billing Determ'!J92+'Billing Determ'!O92*0+SUM('Billing Determ'!L80:L91)</f>
        <v>1179306.5</v>
      </c>
      <c r="H32" s="11"/>
      <c r="I32" s="11"/>
      <c r="J32" s="11"/>
      <c r="K32" s="192"/>
      <c r="L32" s="11"/>
      <c r="M32" s="119" t="s">
        <v>105</v>
      </c>
      <c r="N32" s="10"/>
      <c r="S32" s="37">
        <f>S30-J30</f>
        <v>0</v>
      </c>
    </row>
    <row r="33" spans="1:19" x14ac:dyDescent="0.25">
      <c r="A33" s="10"/>
      <c r="B33" s="10"/>
      <c r="G33" s="10"/>
      <c r="H33" s="10"/>
      <c r="I33" s="10"/>
      <c r="J33" s="10"/>
      <c r="K33" s="193"/>
      <c r="L33" s="10"/>
      <c r="M33" s="48"/>
      <c r="N33" s="10"/>
      <c r="S33" s="10"/>
    </row>
    <row r="34" spans="1:19" x14ac:dyDescent="0.25">
      <c r="A34" s="44" t="s">
        <v>13</v>
      </c>
      <c r="B34" s="10"/>
      <c r="G34" s="27">
        <f>G30-G32</f>
        <v>-5015.7670399998315</v>
      </c>
      <c r="H34" s="27"/>
      <c r="I34" s="27"/>
      <c r="J34" s="27">
        <f>J30-G30</f>
        <v>-15729.164040000178</v>
      </c>
      <c r="K34" s="190"/>
      <c r="L34" s="27"/>
      <c r="M34" s="119" t="s">
        <v>106</v>
      </c>
      <c r="N34" s="10"/>
      <c r="S34" s="149">
        <f>S32/J30</f>
        <v>0</v>
      </c>
    </row>
    <row r="35" spans="1:19" x14ac:dyDescent="0.25">
      <c r="A35" s="10"/>
      <c r="B35" s="10"/>
      <c r="G35" s="11"/>
      <c r="H35" s="11"/>
      <c r="I35" s="11"/>
      <c r="J35" s="11"/>
      <c r="K35" s="194"/>
      <c r="L35" s="11"/>
      <c r="M35" s="34"/>
      <c r="N35" s="10"/>
      <c r="S35" s="11"/>
    </row>
    <row r="36" spans="1:19" x14ac:dyDescent="0.25">
      <c r="A36" s="44" t="s">
        <v>26</v>
      </c>
      <c r="B36" s="10"/>
      <c r="G36" s="28">
        <f>G34/G32</f>
        <v>-4.253149660414686E-3</v>
      </c>
      <c r="H36" s="28"/>
      <c r="I36" s="28"/>
      <c r="J36" s="28">
        <f>J34/G32</f>
        <v>-1.3337638722418792E-2</v>
      </c>
      <c r="K36" s="190"/>
      <c r="L36" s="28"/>
      <c r="M36" s="59" t="s">
        <v>85</v>
      </c>
      <c r="N36" s="10"/>
      <c r="S36" s="50">
        <f>S32/P12</f>
        <v>0</v>
      </c>
    </row>
    <row r="37" spans="1:19" x14ac:dyDescent="0.25">
      <c r="A37" s="44"/>
      <c r="B37" s="10"/>
      <c r="G37" s="28"/>
      <c r="H37" s="28"/>
      <c r="I37" s="28"/>
      <c r="J37" s="28"/>
      <c r="K37" s="28"/>
      <c r="L37" s="28"/>
      <c r="M37" s="44"/>
      <c r="N37" s="10"/>
      <c r="S37" s="28"/>
    </row>
    <row r="38" spans="1:19" x14ac:dyDescent="0.25">
      <c r="A38" s="44"/>
      <c r="B38" s="10"/>
      <c r="G38" s="203"/>
      <c r="H38" s="28"/>
      <c r="I38" s="28"/>
      <c r="J38" s="203"/>
      <c r="K38" s="28"/>
      <c r="L38" s="28"/>
      <c r="M38" s="44"/>
      <c r="N38" s="10"/>
      <c r="S38" s="28"/>
    </row>
    <row r="39" spans="1:19" x14ac:dyDescent="0.25">
      <c r="A39" s="44"/>
      <c r="B39" s="10"/>
      <c r="G39" s="203"/>
      <c r="H39" s="28"/>
      <c r="I39" s="28"/>
      <c r="J39" s="28"/>
      <c r="K39" s="28"/>
      <c r="L39" s="28"/>
      <c r="M39" s="44"/>
      <c r="N39" s="10"/>
      <c r="S39" s="28"/>
    </row>
    <row r="40" spans="1:19" x14ac:dyDescent="0.25">
      <c r="A40" s="44"/>
      <c r="B40" s="10"/>
      <c r="G40" s="203"/>
      <c r="H40" s="28"/>
      <c r="I40" s="28"/>
      <c r="J40" s="28"/>
      <c r="K40" s="28"/>
      <c r="L40" s="28"/>
      <c r="M40" s="44"/>
      <c r="N40" s="10"/>
      <c r="S40" s="28"/>
    </row>
    <row r="41" spans="1:19" x14ac:dyDescent="0.25">
      <c r="A41" s="44"/>
      <c r="B41" s="10"/>
      <c r="G41" s="42"/>
      <c r="H41" s="28"/>
      <c r="I41" s="28"/>
      <c r="J41" s="28"/>
      <c r="K41" s="28"/>
      <c r="L41" s="28"/>
      <c r="M41" s="44"/>
      <c r="N41" s="10"/>
      <c r="S41" s="28"/>
    </row>
    <row r="42" spans="1:19" x14ac:dyDescent="0.25">
      <c r="A42" s="44"/>
      <c r="B42" s="10"/>
      <c r="G42" s="28"/>
      <c r="H42" s="28"/>
      <c r="I42" s="28"/>
      <c r="J42" s="28"/>
      <c r="K42" s="28"/>
      <c r="L42" s="28"/>
      <c r="M42" s="44"/>
      <c r="N42" s="10"/>
      <c r="S42" s="28"/>
    </row>
    <row r="43" spans="1:19" ht="18.75" customHeight="1" x14ac:dyDescent="0.25">
      <c r="A43" s="44"/>
      <c r="B43" s="11"/>
      <c r="G43" s="28"/>
      <c r="H43" s="28"/>
      <c r="I43" s="28"/>
      <c r="J43" s="28"/>
      <c r="K43" s="28"/>
      <c r="L43" s="28"/>
      <c r="N43" s="34"/>
    </row>
    <row r="44" spans="1:19" x14ac:dyDescent="0.25">
      <c r="E44" s="11"/>
      <c r="N44" s="34"/>
    </row>
    <row r="58" ht="16.5" customHeight="1" x14ac:dyDescent="0.25"/>
    <row r="91" ht="15" customHeight="1" x14ac:dyDescent="0.25"/>
    <row r="137" spans="2:14" x14ac:dyDescent="0.25">
      <c r="N137" s="53"/>
    </row>
    <row r="138" spans="2:14" x14ac:dyDescent="0.25">
      <c r="B138" s="19"/>
      <c r="C138" s="53"/>
      <c r="D138" s="53"/>
      <c r="E138" s="19"/>
      <c r="F138" s="19"/>
      <c r="G138" s="19"/>
      <c r="H138" s="19"/>
      <c r="I138" s="19"/>
      <c r="J138" s="19"/>
      <c r="K138" s="19"/>
      <c r="L138" s="19"/>
      <c r="N138" s="53"/>
    </row>
    <row r="139" spans="2:14" x14ac:dyDescent="0.25">
      <c r="B139" s="19"/>
      <c r="C139" s="55"/>
      <c r="D139" s="78"/>
      <c r="E139" s="83"/>
      <c r="F139" s="19"/>
      <c r="G139" s="19"/>
      <c r="H139" s="19"/>
      <c r="I139" s="19"/>
      <c r="J139" s="19"/>
      <c r="K139" s="19"/>
      <c r="L139" s="19"/>
      <c r="N139" s="53"/>
    </row>
    <row r="140" spans="2:14" x14ac:dyDescent="0.25">
      <c r="B140" s="19"/>
      <c r="C140" s="55"/>
      <c r="D140" s="78"/>
      <c r="E140" s="83"/>
      <c r="F140" s="19"/>
      <c r="G140" s="19"/>
      <c r="H140" s="19"/>
      <c r="I140" s="19"/>
      <c r="J140" s="19"/>
      <c r="K140" s="19"/>
      <c r="L140" s="19"/>
      <c r="N140" s="53"/>
    </row>
    <row r="141" spans="2:14" x14ac:dyDescent="0.25">
      <c r="B141" s="19"/>
      <c r="C141" s="55"/>
      <c r="D141" s="78"/>
      <c r="E141" s="83"/>
      <c r="F141" s="19"/>
      <c r="G141" s="19"/>
      <c r="H141" s="19"/>
      <c r="I141" s="19"/>
      <c r="J141" s="19"/>
      <c r="K141" s="19"/>
      <c r="L141" s="19"/>
      <c r="N141" s="53"/>
    </row>
  </sheetData>
  <mergeCells count="5">
    <mergeCell ref="D4:G5"/>
    <mergeCell ref="I4:J5"/>
    <mergeCell ref="P4:S5"/>
    <mergeCell ref="E7:F7"/>
    <mergeCell ref="Q7:R7"/>
  </mergeCells>
  <pageMargins left="0.75" right="0.75" top="1" bottom="1" header="0.5" footer="0.5"/>
  <pageSetup scale="67" orientation="landscape" r:id="rId1"/>
  <headerFooter alignWithMargins="0">
    <oddFooter>&amp;RExhibit JW-9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8"/>
  <sheetViews>
    <sheetView view="pageBreakPreview" zoomScale="75" zoomScaleNormal="85" zoomScaleSheetLayoutView="75" workbookViewId="0">
      <selection activeCell="H15" sqref="H15"/>
    </sheetView>
  </sheetViews>
  <sheetFormatPr defaultRowHeight="15.75" x14ac:dyDescent="0.25"/>
  <cols>
    <col min="1" max="1" width="4.7109375" style="2" customWidth="1"/>
    <col min="2" max="2" width="16.42578125" style="2" customWidth="1"/>
    <col min="3" max="3" width="2.5703125" style="2" customWidth="1"/>
    <col min="4" max="4" width="12.7109375" style="2" bestFit="1" customWidth="1"/>
    <col min="5" max="5" width="14.5703125" style="2" bestFit="1" customWidth="1"/>
    <col min="6" max="6" width="3.140625" style="2" customWidth="1"/>
    <col min="7" max="7" width="15" style="2" customWidth="1"/>
    <col min="8" max="8" width="3" style="2" customWidth="1"/>
    <col min="9" max="9" width="13.85546875" style="2" customWidth="1"/>
    <col min="10" max="10" width="14.42578125" style="2" customWidth="1"/>
    <col min="11" max="11" width="2" style="2" customWidth="1"/>
    <col min="12" max="12" width="2.85546875" style="2" customWidth="1"/>
    <col min="13" max="13" width="9.85546875" style="2" customWidth="1"/>
    <col min="14" max="14" width="18.28515625" style="2" customWidth="1"/>
    <col min="15" max="15" width="3.42578125" style="2" customWidth="1"/>
    <col min="16" max="16" width="12.7109375" style="2" bestFit="1" customWidth="1"/>
    <col min="17" max="17" width="14.5703125" style="2" bestFit="1" customWidth="1"/>
    <col min="18" max="18" width="4.28515625" style="2" customWidth="1"/>
    <col min="19" max="19" width="15.5703125" style="2" customWidth="1"/>
    <col min="20" max="16384" width="9.140625" style="2"/>
  </cols>
  <sheetData>
    <row r="1" spans="1:19" x14ac:dyDescent="0.25">
      <c r="A1" s="1" t="str">
        <f>'Present and Proposed Rates'!B1</f>
        <v>Cumberland Valley Electric</v>
      </c>
      <c r="N1" s="1"/>
    </row>
    <row r="2" spans="1:19" x14ac:dyDescent="0.25">
      <c r="A2" s="59" t="str">
        <f>List!B10</f>
        <v>Sch VII - Inclining Block Rate</v>
      </c>
      <c r="N2" s="34"/>
      <c r="O2" s="34"/>
      <c r="P2" s="34"/>
      <c r="Q2" s="34"/>
      <c r="R2" s="34"/>
      <c r="S2" s="34"/>
    </row>
    <row r="3" spans="1:19" ht="16.5" thickBot="1" x14ac:dyDescent="0.3">
      <c r="A3" s="231" t="str">
        <f>List!C10</f>
        <v>IB</v>
      </c>
      <c r="B3" s="34"/>
      <c r="C3" s="34"/>
      <c r="N3" s="34"/>
      <c r="O3" s="34"/>
      <c r="P3" s="34"/>
      <c r="Q3" s="34"/>
      <c r="R3" s="34"/>
      <c r="S3" s="34"/>
    </row>
    <row r="4" spans="1:19" x14ac:dyDescent="0.25">
      <c r="A4" s="34"/>
      <c r="B4" s="34"/>
      <c r="C4" s="34"/>
      <c r="D4" s="414" t="s">
        <v>30</v>
      </c>
      <c r="E4" s="415"/>
      <c r="F4" s="415"/>
      <c r="G4" s="416"/>
      <c r="H4" s="282"/>
      <c r="I4" s="414" t="s">
        <v>104</v>
      </c>
      <c r="J4" s="416"/>
      <c r="K4" s="189"/>
      <c r="L4" s="282"/>
      <c r="M4" s="34"/>
      <c r="N4" s="34"/>
      <c r="O4" s="34"/>
      <c r="P4" s="414" t="s">
        <v>88</v>
      </c>
      <c r="Q4" s="415"/>
      <c r="R4" s="415"/>
      <c r="S4" s="416"/>
    </row>
    <row r="5" spans="1:19" ht="16.5" thickBot="1" x14ac:dyDescent="0.3">
      <c r="A5" s="57"/>
      <c r="B5" s="109"/>
      <c r="C5" s="282"/>
      <c r="D5" s="417"/>
      <c r="E5" s="418"/>
      <c r="F5" s="418"/>
      <c r="G5" s="419"/>
      <c r="H5" s="282"/>
      <c r="I5" s="417"/>
      <c r="J5" s="419"/>
      <c r="K5" s="189"/>
      <c r="L5" s="282"/>
      <c r="M5" s="57"/>
      <c r="N5" s="109"/>
      <c r="O5" s="282"/>
      <c r="P5" s="417"/>
      <c r="Q5" s="418"/>
      <c r="R5" s="418"/>
      <c r="S5" s="419"/>
    </row>
    <row r="6" spans="1:19" x14ac:dyDescent="0.25">
      <c r="A6" s="4"/>
      <c r="B6" s="4"/>
      <c r="C6" s="4"/>
      <c r="D6" s="4" t="s">
        <v>1</v>
      </c>
      <c r="E6" s="4"/>
      <c r="F6" s="4"/>
      <c r="G6" s="4" t="s">
        <v>2</v>
      </c>
      <c r="H6" s="4"/>
      <c r="I6" s="4"/>
      <c r="J6" s="4" t="s">
        <v>2</v>
      </c>
      <c r="K6" s="189"/>
      <c r="L6" s="4"/>
      <c r="M6" s="4"/>
      <c r="N6" s="4"/>
      <c r="O6" s="4"/>
      <c r="P6" s="4" t="s">
        <v>1</v>
      </c>
      <c r="Q6" s="4"/>
      <c r="R6" s="4"/>
      <c r="S6" s="4" t="s">
        <v>2</v>
      </c>
    </row>
    <row r="7" spans="1:19" ht="16.5" thickBot="1" x14ac:dyDescent="0.3">
      <c r="A7" s="5"/>
      <c r="B7" s="5"/>
      <c r="C7" s="5"/>
      <c r="D7" s="5" t="s">
        <v>4</v>
      </c>
      <c r="E7" s="420" t="s">
        <v>5</v>
      </c>
      <c r="F7" s="420"/>
      <c r="G7" s="5" t="s">
        <v>6</v>
      </c>
      <c r="H7" s="5"/>
      <c r="I7" s="5" t="s">
        <v>5</v>
      </c>
      <c r="J7" s="5" t="s">
        <v>6</v>
      </c>
      <c r="K7" s="188"/>
      <c r="L7" s="5"/>
      <c r="M7" s="5"/>
      <c r="N7" s="5"/>
      <c r="O7" s="5"/>
      <c r="P7" s="5" t="s">
        <v>4</v>
      </c>
      <c r="Q7" s="420" t="s">
        <v>5</v>
      </c>
      <c r="R7" s="420"/>
      <c r="S7" s="5" t="s">
        <v>6</v>
      </c>
    </row>
    <row r="8" spans="1:19" x14ac:dyDescent="0.25">
      <c r="K8" s="189"/>
    </row>
    <row r="9" spans="1:19" x14ac:dyDescent="0.25">
      <c r="K9" s="189"/>
    </row>
    <row r="10" spans="1:19" x14ac:dyDescent="0.25">
      <c r="A10" s="155" t="s">
        <v>10</v>
      </c>
      <c r="K10" s="189"/>
      <c r="M10" s="155" t="s">
        <v>10</v>
      </c>
    </row>
    <row r="11" spans="1:19" ht="31.5" x14ac:dyDescent="0.25">
      <c r="D11" s="204" t="s">
        <v>92</v>
      </c>
      <c r="E11" s="204" t="s">
        <v>93</v>
      </c>
      <c r="I11" s="204" t="s">
        <v>93</v>
      </c>
      <c r="K11" s="189"/>
      <c r="P11" s="204" t="s">
        <v>92</v>
      </c>
      <c r="Q11" s="204" t="s">
        <v>93</v>
      </c>
    </row>
    <row r="12" spans="1:19" x14ac:dyDescent="0.25">
      <c r="B12" s="2" t="s">
        <v>103</v>
      </c>
      <c r="D12" s="39">
        <f>'Billing Determ'!C110</f>
        <v>260</v>
      </c>
      <c r="E12" s="9">
        <f>'Present and Proposed Rates'!F26</f>
        <v>9.9</v>
      </c>
      <c r="G12" s="11">
        <f>D12*E12</f>
        <v>2574</v>
      </c>
      <c r="H12" s="11"/>
      <c r="I12" s="208">
        <f>'Present and Proposed Rates'!G26</f>
        <v>9.9</v>
      </c>
      <c r="J12" s="11">
        <f>I12*D12</f>
        <v>2574</v>
      </c>
      <c r="K12" s="190"/>
      <c r="L12" s="11"/>
      <c r="N12" s="2" t="s">
        <v>99</v>
      </c>
      <c r="P12" s="39">
        <f>D12</f>
        <v>260</v>
      </c>
      <c r="Q12" s="9">
        <f>'Present and Proposed Rates'!H26</f>
        <v>9.9</v>
      </c>
      <c r="S12" s="11">
        <f>P12*Q12</f>
        <v>2574</v>
      </c>
    </row>
    <row r="13" spans="1:19" x14ac:dyDescent="0.25">
      <c r="D13" s="8"/>
      <c r="G13" s="11"/>
      <c r="H13" s="11"/>
      <c r="I13" s="52"/>
      <c r="J13" s="11"/>
      <c r="K13" s="190"/>
      <c r="L13" s="11"/>
      <c r="P13" s="8"/>
      <c r="S13" s="11"/>
    </row>
    <row r="14" spans="1:19" x14ac:dyDescent="0.25">
      <c r="A14" s="1" t="s">
        <v>7</v>
      </c>
      <c r="D14" s="8"/>
      <c r="G14" s="11"/>
      <c r="H14" s="11"/>
      <c r="I14" s="52"/>
      <c r="J14" s="11"/>
      <c r="K14" s="190"/>
      <c r="L14" s="11"/>
      <c r="M14" s="1" t="s">
        <v>7</v>
      </c>
      <c r="P14" s="210"/>
      <c r="Q14" s="52"/>
      <c r="S14" s="11"/>
    </row>
    <row r="15" spans="1:19" x14ac:dyDescent="0.25">
      <c r="D15" s="205" t="s">
        <v>8</v>
      </c>
      <c r="E15" s="206" t="s">
        <v>11</v>
      </c>
      <c r="G15" s="11"/>
      <c r="H15" s="11"/>
      <c r="I15" s="206" t="s">
        <v>11</v>
      </c>
      <c r="J15" s="11"/>
      <c r="K15" s="190"/>
      <c r="L15" s="11"/>
      <c r="P15" s="205" t="s">
        <v>8</v>
      </c>
      <c r="Q15" s="206" t="s">
        <v>11</v>
      </c>
      <c r="S15" s="11"/>
    </row>
    <row r="16" spans="1:19" x14ac:dyDescent="0.25">
      <c r="B16" s="2" t="s">
        <v>153</v>
      </c>
      <c r="D16" s="39">
        <f>'Billing Determ'!E110</f>
        <v>9535</v>
      </c>
      <c r="E16" s="40">
        <f>'Present and Proposed Rates'!F27</f>
        <v>8.5930000000000006E-2</v>
      </c>
      <c r="F16" s="19"/>
      <c r="G16" s="18">
        <f>D16*E16</f>
        <v>819.34255000000007</v>
      </c>
      <c r="H16" s="18"/>
      <c r="I16" s="207">
        <f>'Present and Proposed Rates'!G27</f>
        <v>8.4339999999999998E-2</v>
      </c>
      <c r="J16" s="11">
        <f>I16*D16</f>
        <v>804.18189999999993</v>
      </c>
      <c r="K16" s="190"/>
      <c r="L16" s="18"/>
      <c r="N16" s="2" t="s">
        <v>124</v>
      </c>
      <c r="P16" s="39">
        <f>D16</f>
        <v>9535</v>
      </c>
      <c r="Q16" s="40">
        <f>'Present and Proposed Rates'!H27</f>
        <v>8.4339999999999998E-2</v>
      </c>
      <c r="R16" s="19"/>
      <c r="S16" s="18">
        <f>P16*Q16</f>
        <v>804.18189999999993</v>
      </c>
    </row>
    <row r="17" spans="1:22" x14ac:dyDescent="0.25">
      <c r="B17" s="2" t="s">
        <v>154</v>
      </c>
      <c r="D17" s="39">
        <f>'Billing Determ'!F110</f>
        <v>2400</v>
      </c>
      <c r="E17" s="40">
        <f>'Present and Proposed Rates'!F28</f>
        <v>9.0929999999999997E-2</v>
      </c>
      <c r="F17" s="19"/>
      <c r="G17" s="18">
        <f>D17*E17</f>
        <v>218.232</v>
      </c>
      <c r="H17" s="18"/>
      <c r="I17" s="207">
        <f>'Present and Proposed Rates'!G28</f>
        <v>8.9340000000000003E-2</v>
      </c>
      <c r="J17" s="11">
        <f>I17*D17</f>
        <v>214.416</v>
      </c>
      <c r="K17" s="190"/>
      <c r="L17" s="18"/>
      <c r="N17" s="2" t="s">
        <v>124</v>
      </c>
      <c r="P17" s="39">
        <f>D17</f>
        <v>2400</v>
      </c>
      <c r="Q17" s="40">
        <f>'Present and Proposed Rates'!H28</f>
        <v>8.9340000000000003E-2</v>
      </c>
      <c r="R17" s="19"/>
      <c r="S17" s="18">
        <f>P17*Q17</f>
        <v>214.416</v>
      </c>
    </row>
    <row r="18" spans="1:22" x14ac:dyDescent="0.25">
      <c r="B18" s="2" t="s">
        <v>155</v>
      </c>
      <c r="D18" s="39">
        <f>'Billing Determ'!G110</f>
        <v>0</v>
      </c>
      <c r="E18" s="40">
        <f>'Present and Proposed Rates'!F29</f>
        <v>9.5930000000000001E-2</v>
      </c>
      <c r="F18" s="19"/>
      <c r="G18" s="18">
        <f>D18*E18</f>
        <v>0</v>
      </c>
      <c r="H18" s="18"/>
      <c r="I18" s="207">
        <f>'Present and Proposed Rates'!G29</f>
        <v>9.4339999999999993E-2</v>
      </c>
      <c r="J18" s="11">
        <f>I18*D18</f>
        <v>0</v>
      </c>
      <c r="K18" s="190"/>
      <c r="L18" s="18"/>
      <c r="N18" s="2" t="s">
        <v>124</v>
      </c>
      <c r="P18" s="39">
        <f>D18</f>
        <v>0</v>
      </c>
      <c r="Q18" s="40">
        <f>'Present and Proposed Rates'!H29</f>
        <v>9.4339999999999993E-2</v>
      </c>
      <c r="R18" s="19"/>
      <c r="S18" s="18">
        <f>P18*Q18</f>
        <v>0</v>
      </c>
    </row>
    <row r="19" spans="1:22" x14ac:dyDescent="0.25">
      <c r="A19" s="1"/>
      <c r="B19" s="19"/>
      <c r="C19" s="19"/>
      <c r="D19" s="361">
        <f>SUM(D16:D17)</f>
        <v>11935</v>
      </c>
      <c r="E19" s="385">
        <f>(E16*D16+E17*D17)/D19</f>
        <v>8.6935446166736499E-2</v>
      </c>
      <c r="F19" s="19"/>
      <c r="G19" s="19"/>
      <c r="H19" s="19"/>
      <c r="I19" s="19"/>
      <c r="J19" s="19"/>
      <c r="K19" s="18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x14ac:dyDescent="0.25">
      <c r="A20" s="1"/>
      <c r="B20" s="59"/>
      <c r="C20" s="195" t="s">
        <v>228</v>
      </c>
      <c r="D20" s="405">
        <f>D19/D12</f>
        <v>45.903846153846153</v>
      </c>
      <c r="E20" s="59"/>
      <c r="F20" s="59"/>
      <c r="G20" s="59"/>
      <c r="H20" s="59"/>
      <c r="I20" s="59"/>
      <c r="J20" s="59"/>
      <c r="K20" s="198"/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1:22" x14ac:dyDescent="0.25">
      <c r="A21" s="1" t="s">
        <v>97</v>
      </c>
      <c r="B21" s="59"/>
      <c r="C21" s="147"/>
      <c r="D21" s="65"/>
      <c r="E21" s="70"/>
      <c r="F21" s="34"/>
      <c r="G21" s="18"/>
      <c r="H21" s="18"/>
      <c r="I21" s="18"/>
      <c r="J21" s="18"/>
      <c r="K21" s="191"/>
      <c r="L21" s="68"/>
      <c r="M21" s="1" t="s">
        <v>97</v>
      </c>
      <c r="N21" s="59"/>
      <c r="O21" s="147"/>
      <c r="P21" s="65"/>
      <c r="Q21" s="70"/>
      <c r="R21" s="34"/>
      <c r="S21" s="18"/>
    </row>
    <row r="22" spans="1:22" x14ac:dyDescent="0.25">
      <c r="A22" s="1"/>
      <c r="B22" s="34" t="s">
        <v>91</v>
      </c>
      <c r="C22" s="147"/>
      <c r="D22" s="65"/>
      <c r="E22" s="70"/>
      <c r="F22" s="34"/>
      <c r="G22" s="18">
        <f>'Billing Determ'!L110</f>
        <v>-74.550000000000011</v>
      </c>
      <c r="H22" s="18"/>
      <c r="I22" s="18"/>
      <c r="J22" s="18">
        <f>G22</f>
        <v>-74.550000000000011</v>
      </c>
      <c r="K22" s="191"/>
      <c r="L22" s="68"/>
      <c r="M22" s="1"/>
      <c r="N22" s="34" t="s">
        <v>91</v>
      </c>
      <c r="O22" s="147"/>
      <c r="P22" s="65"/>
      <c r="Q22" s="70"/>
      <c r="R22" s="34"/>
      <c r="S22" s="18">
        <f>G22</f>
        <v>-74.550000000000011</v>
      </c>
    </row>
    <row r="23" spans="1:22" x14ac:dyDescent="0.25">
      <c r="A23" s="1"/>
      <c r="B23" s="34" t="s">
        <v>98</v>
      </c>
      <c r="C23" s="147"/>
      <c r="D23" s="65"/>
      <c r="E23" s="70"/>
      <c r="F23" s="34"/>
      <c r="G23" s="68">
        <f>'Billing Determ'!N110</f>
        <v>474.14</v>
      </c>
      <c r="H23" s="68"/>
      <c r="I23" s="68"/>
      <c r="J23" s="18">
        <f>G23</f>
        <v>474.14</v>
      </c>
      <c r="K23" s="191"/>
      <c r="L23" s="68"/>
      <c r="M23" s="1"/>
      <c r="N23" s="34" t="s">
        <v>98</v>
      </c>
      <c r="O23" s="147"/>
      <c r="P23" s="65"/>
      <c r="Q23" s="70"/>
      <c r="R23" s="34"/>
      <c r="S23" s="18">
        <f>G23</f>
        <v>474.14</v>
      </c>
    </row>
    <row r="24" spans="1:22" x14ac:dyDescent="0.25">
      <c r="B24" s="19" t="s">
        <v>210</v>
      </c>
      <c r="C24" s="19"/>
      <c r="D24" s="39"/>
      <c r="E24" s="40"/>
      <c r="F24" s="19"/>
      <c r="G24" s="50">
        <f>'Billing Determ'!K110</f>
        <v>0</v>
      </c>
      <c r="H24" s="50"/>
      <c r="I24" s="50"/>
      <c r="J24" s="50">
        <f>G24</f>
        <v>0</v>
      </c>
      <c r="K24" s="190"/>
      <c r="L24" s="50"/>
      <c r="M24" s="155"/>
      <c r="N24" s="2" t="str">
        <f>B24</f>
        <v>Min Bill</v>
      </c>
      <c r="S24" s="11">
        <f>G24</f>
        <v>0</v>
      </c>
    </row>
    <row r="25" spans="1:22" x14ac:dyDescent="0.25">
      <c r="B25" s="19"/>
      <c r="C25" s="19"/>
      <c r="D25" s="39"/>
      <c r="E25" s="40"/>
      <c r="F25" s="19"/>
      <c r="G25" s="50"/>
      <c r="H25" s="50"/>
      <c r="I25" s="50"/>
      <c r="J25" s="50"/>
      <c r="K25" s="190"/>
      <c r="L25" s="50"/>
      <c r="M25" s="155"/>
      <c r="S25" s="11"/>
    </row>
    <row r="26" spans="1:22" x14ac:dyDescent="0.25">
      <c r="A26" s="1"/>
      <c r="D26" s="30"/>
      <c r="G26" s="18"/>
      <c r="H26" s="18"/>
      <c r="I26" s="18"/>
      <c r="J26" s="18"/>
      <c r="K26" s="190"/>
      <c r="L26" s="18"/>
      <c r="M26" s="1"/>
      <c r="S26" s="18"/>
    </row>
    <row r="27" spans="1:22" ht="16.5" thickBot="1" x14ac:dyDescent="0.3">
      <c r="A27" s="1" t="s">
        <v>80</v>
      </c>
      <c r="G27" s="29">
        <f>SUM(G12:G25)</f>
        <v>4011.16455</v>
      </c>
      <c r="H27" s="18"/>
      <c r="I27" s="18"/>
      <c r="J27" s="29">
        <f>SUM(J12:J25)</f>
        <v>3992.1878999999999</v>
      </c>
      <c r="K27" s="190"/>
      <c r="L27" s="18"/>
      <c r="M27" s="1" t="s">
        <v>80</v>
      </c>
      <c r="S27" s="29">
        <f>SUM(S12:S25)</f>
        <v>3992.1878999999999</v>
      </c>
    </row>
    <row r="28" spans="1:22" ht="16.5" thickTop="1" x14ac:dyDescent="0.25">
      <c r="A28" s="1"/>
      <c r="B28" s="1"/>
      <c r="G28" s="18"/>
      <c r="H28" s="18"/>
      <c r="I28" s="18"/>
      <c r="J28" s="18"/>
      <c r="K28" s="190"/>
      <c r="L28" s="18"/>
      <c r="M28" s="1"/>
      <c r="N28" s="1"/>
      <c r="S28" s="18"/>
    </row>
    <row r="29" spans="1:22" x14ac:dyDescent="0.25">
      <c r="A29" s="44" t="s">
        <v>19</v>
      </c>
      <c r="B29" s="10"/>
      <c r="G29" s="11">
        <f>'Billing Determ'!H110+'Billing Determ'!I110+'Billing Determ'!J110+'Billing Determ'!O110*0+SUM('Billing Determ'!L98:L109)</f>
        <v>4044.26</v>
      </c>
      <c r="H29" s="11"/>
      <c r="I29" s="11"/>
      <c r="J29" s="11"/>
      <c r="K29" s="192"/>
      <c r="L29" s="11"/>
      <c r="M29" s="119" t="s">
        <v>105</v>
      </c>
      <c r="N29" s="10"/>
      <c r="S29" s="37">
        <f>S27-J27</f>
        <v>0</v>
      </c>
    </row>
    <row r="30" spans="1:22" x14ac:dyDescent="0.25">
      <c r="A30" s="10"/>
      <c r="B30" s="10"/>
      <c r="G30" s="10"/>
      <c r="H30" s="10"/>
      <c r="I30" s="10"/>
      <c r="J30" s="10"/>
      <c r="K30" s="193"/>
      <c r="L30" s="10"/>
      <c r="M30" s="48"/>
      <c r="N30" s="10"/>
      <c r="S30" s="10"/>
    </row>
    <row r="31" spans="1:22" x14ac:dyDescent="0.25">
      <c r="A31" s="44" t="s">
        <v>13</v>
      </c>
      <c r="B31" s="10"/>
      <c r="G31" s="27">
        <f>G27-G29</f>
        <v>-33.095450000000255</v>
      </c>
      <c r="H31" s="27"/>
      <c r="I31" s="27"/>
      <c r="J31" s="27">
        <f>J27-G27</f>
        <v>-18.976650000000063</v>
      </c>
      <c r="K31" s="190"/>
      <c r="L31" s="27"/>
      <c r="M31" s="119" t="s">
        <v>106</v>
      </c>
      <c r="N31" s="10"/>
      <c r="S31" s="149">
        <f>S29/J27</f>
        <v>0</v>
      </c>
    </row>
    <row r="32" spans="1:22" x14ac:dyDescent="0.25">
      <c r="A32" s="10"/>
      <c r="B32" s="10"/>
      <c r="G32" s="11"/>
      <c r="H32" s="11"/>
      <c r="I32" s="11"/>
      <c r="J32" s="11"/>
      <c r="K32" s="194"/>
      <c r="L32" s="11"/>
      <c r="M32" s="34"/>
      <c r="N32" s="10"/>
      <c r="S32" s="11"/>
    </row>
    <row r="33" spans="1:19" x14ac:dyDescent="0.25">
      <c r="A33" s="44" t="s">
        <v>26</v>
      </c>
      <c r="B33" s="10"/>
      <c r="G33" s="28">
        <f>G31/G29</f>
        <v>-8.1833141291608978E-3</v>
      </c>
      <c r="H33" s="28"/>
      <c r="I33" s="28"/>
      <c r="J33" s="28">
        <f>J31/G29</f>
        <v>-4.6922428330522922E-3</v>
      </c>
      <c r="K33" s="190"/>
      <c r="L33" s="28"/>
      <c r="M33" s="59" t="s">
        <v>85</v>
      </c>
      <c r="N33" s="10"/>
      <c r="S33" s="45">
        <f>S29/P12</f>
        <v>0</v>
      </c>
    </row>
    <row r="34" spans="1:19" x14ac:dyDescent="0.25">
      <c r="A34" s="44"/>
      <c r="B34" s="10"/>
      <c r="G34" s="28"/>
      <c r="H34" s="28"/>
      <c r="I34" s="28"/>
      <c r="J34" s="28"/>
      <c r="K34" s="28"/>
      <c r="L34" s="28"/>
      <c r="M34" s="44"/>
      <c r="N34" s="10"/>
      <c r="S34" s="28"/>
    </row>
    <row r="35" spans="1:19" x14ac:dyDescent="0.25">
      <c r="A35" s="44"/>
      <c r="B35" s="10"/>
      <c r="G35" s="203"/>
      <c r="H35" s="28"/>
      <c r="I35" s="28"/>
      <c r="J35" s="28"/>
      <c r="K35" s="28"/>
      <c r="L35" s="28"/>
      <c r="M35" s="44"/>
      <c r="N35" s="10"/>
      <c r="S35" s="28"/>
    </row>
    <row r="36" spans="1:19" x14ac:dyDescent="0.25">
      <c r="A36" s="44"/>
      <c r="B36" s="10"/>
      <c r="G36" s="203"/>
      <c r="H36" s="28"/>
      <c r="I36" s="28"/>
      <c r="J36" s="203"/>
      <c r="K36" s="28"/>
      <c r="L36" s="28"/>
      <c r="M36" s="44"/>
      <c r="N36" s="10"/>
      <c r="S36" s="28"/>
    </row>
    <row r="37" spans="1:19" x14ac:dyDescent="0.25">
      <c r="A37" s="44"/>
      <c r="B37" s="10"/>
      <c r="G37" s="203"/>
      <c r="H37" s="28"/>
      <c r="I37" s="28"/>
      <c r="J37" s="28"/>
      <c r="K37" s="28"/>
      <c r="L37" s="28"/>
      <c r="M37" s="44"/>
      <c r="N37" s="10"/>
      <c r="S37" s="28"/>
    </row>
    <row r="38" spans="1:19" x14ac:dyDescent="0.25">
      <c r="A38" s="44"/>
      <c r="B38" s="10"/>
      <c r="G38" s="42"/>
      <c r="H38" s="28"/>
      <c r="I38" s="28"/>
      <c r="J38" s="28"/>
      <c r="K38" s="28"/>
      <c r="L38" s="28"/>
      <c r="M38" s="44"/>
      <c r="N38" s="10"/>
      <c r="S38" s="28"/>
    </row>
    <row r="39" spans="1:19" x14ac:dyDescent="0.25">
      <c r="A39" s="44"/>
      <c r="B39" s="10"/>
      <c r="G39" s="28"/>
      <c r="H39" s="28"/>
      <c r="I39" s="28"/>
      <c r="J39" s="28"/>
      <c r="K39" s="28"/>
      <c r="L39" s="28"/>
      <c r="M39" s="44"/>
      <c r="N39" s="10"/>
      <c r="S39" s="28"/>
    </row>
    <row r="40" spans="1:19" ht="18.75" customHeight="1" x14ac:dyDescent="0.25">
      <c r="A40" s="44"/>
      <c r="B40" s="11"/>
      <c r="G40" s="28"/>
      <c r="H40" s="28"/>
      <c r="I40" s="28"/>
      <c r="J40" s="28"/>
      <c r="K40" s="28"/>
      <c r="L40" s="28"/>
      <c r="N40" s="34"/>
    </row>
    <row r="41" spans="1:19" x14ac:dyDescent="0.25">
      <c r="E41" s="11"/>
      <c r="N41" s="34"/>
    </row>
    <row r="55" ht="16.5" customHeight="1" x14ac:dyDescent="0.25"/>
    <row r="88" ht="15" customHeight="1" x14ac:dyDescent="0.25"/>
    <row r="134" spans="2:14" x14ac:dyDescent="0.25">
      <c r="N134" s="53"/>
    </row>
    <row r="135" spans="2:14" x14ac:dyDescent="0.25">
      <c r="B135" s="19"/>
      <c r="C135" s="53"/>
      <c r="D135" s="53"/>
      <c r="E135" s="19"/>
      <c r="F135" s="19"/>
      <c r="G135" s="19"/>
      <c r="H135" s="19"/>
      <c r="I135" s="19"/>
      <c r="J135" s="19"/>
      <c r="K135" s="19"/>
      <c r="L135" s="19"/>
      <c r="N135" s="53"/>
    </row>
    <row r="136" spans="2:14" x14ac:dyDescent="0.25">
      <c r="B136" s="19"/>
      <c r="C136" s="55"/>
      <c r="D136" s="78"/>
      <c r="E136" s="83"/>
      <c r="F136" s="19"/>
      <c r="G136" s="19"/>
      <c r="H136" s="19"/>
      <c r="I136" s="19"/>
      <c r="J136" s="19"/>
      <c r="K136" s="19"/>
      <c r="L136" s="19"/>
      <c r="N136" s="53"/>
    </row>
    <row r="137" spans="2:14" x14ac:dyDescent="0.25">
      <c r="B137" s="19"/>
      <c r="C137" s="55"/>
      <c r="D137" s="78"/>
      <c r="E137" s="83"/>
      <c r="F137" s="19"/>
      <c r="G137" s="19"/>
      <c r="H137" s="19"/>
      <c r="I137" s="19"/>
      <c r="J137" s="19"/>
      <c r="K137" s="19"/>
      <c r="L137" s="19"/>
      <c r="N137" s="53"/>
    </row>
    <row r="138" spans="2:14" x14ac:dyDescent="0.25">
      <c r="B138" s="19"/>
      <c r="C138" s="55"/>
      <c r="D138" s="78"/>
      <c r="E138" s="83"/>
      <c r="F138" s="19"/>
      <c r="G138" s="19"/>
      <c r="H138" s="19"/>
      <c r="I138" s="19"/>
      <c r="J138" s="19"/>
      <c r="K138" s="19"/>
      <c r="L138" s="19"/>
      <c r="N138" s="53"/>
    </row>
  </sheetData>
  <mergeCells count="5">
    <mergeCell ref="D4:G5"/>
    <mergeCell ref="I4:J5"/>
    <mergeCell ref="P4:S5"/>
    <mergeCell ref="E7:F7"/>
    <mergeCell ref="Q7:R7"/>
  </mergeCells>
  <pageMargins left="0.75" right="0.75" top="1" bottom="1" header="0.5" footer="0.5"/>
  <pageSetup scale="67" orientation="landscape" r:id="rId1"/>
  <headerFooter alignWithMargins="0">
    <oddFooter>&amp;RExhibit JW-9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4"/>
  <sheetViews>
    <sheetView view="pageBreakPreview" topLeftCell="A4" zoomScale="75" zoomScaleNormal="85" zoomScaleSheetLayoutView="75" workbookViewId="0">
      <selection activeCell="H15" sqref="H15"/>
    </sheetView>
  </sheetViews>
  <sheetFormatPr defaultRowHeight="15.75" x14ac:dyDescent="0.25"/>
  <cols>
    <col min="1" max="1" width="4.7109375" style="2" customWidth="1"/>
    <col min="2" max="2" width="15.42578125" style="2" customWidth="1"/>
    <col min="3" max="3" width="5.28515625" style="2" customWidth="1"/>
    <col min="4" max="4" width="15" style="2" bestFit="1" customWidth="1"/>
    <col min="5" max="5" width="16.28515625" style="2" bestFit="1" customWidth="1"/>
    <col min="6" max="6" width="3.140625" style="2" customWidth="1"/>
    <col min="7" max="7" width="16.42578125" style="2" customWidth="1"/>
    <col min="8" max="8" width="2.7109375" style="2" customWidth="1"/>
    <col min="9" max="10" width="16.42578125" style="2" customWidth="1"/>
    <col min="11" max="12" width="2.85546875" style="2" customWidth="1"/>
    <col min="13" max="13" width="4.7109375" style="2" customWidth="1"/>
    <col min="14" max="14" width="15.85546875" style="2" customWidth="1"/>
    <col min="15" max="15" width="3" style="2" customWidth="1"/>
    <col min="16" max="16" width="15.7109375" style="2" customWidth="1"/>
    <col min="17" max="17" width="15.140625" style="2" customWidth="1"/>
    <col min="18" max="18" width="2.42578125" style="2" customWidth="1"/>
    <col min="19" max="19" width="17.42578125" style="2" customWidth="1"/>
    <col min="20" max="20" width="2.140625" style="2" customWidth="1"/>
    <col min="21" max="21" width="14.28515625" style="2" bestFit="1" customWidth="1"/>
    <col min="22" max="16384" width="9.140625" style="2"/>
  </cols>
  <sheetData>
    <row r="1" spans="1:19" x14ac:dyDescent="0.25">
      <c r="A1" s="1" t="str">
        <f>'Present and Proposed Rates'!B1</f>
        <v>Cumberland Valley Electric</v>
      </c>
      <c r="N1" s="1"/>
    </row>
    <row r="2" spans="1:19" x14ac:dyDescent="0.25">
      <c r="A2" s="59" t="str">
        <f>List!B11</f>
        <v>Sch III - All 3Phase Schools &amp; Churches</v>
      </c>
      <c r="N2" s="34"/>
      <c r="O2" s="34"/>
      <c r="P2" s="34"/>
      <c r="Q2" s="34"/>
      <c r="R2" s="34"/>
      <c r="S2" s="34"/>
    </row>
    <row r="3" spans="1:19" ht="16.5" thickBot="1" x14ac:dyDescent="0.3">
      <c r="A3" s="231" t="str">
        <f>List!C11</f>
        <v>E1</v>
      </c>
      <c r="B3" s="34"/>
      <c r="C3" s="34"/>
      <c r="N3" s="34"/>
      <c r="O3" s="34"/>
      <c r="P3" s="34"/>
      <c r="Q3" s="34"/>
      <c r="R3" s="34"/>
      <c r="S3" s="34"/>
    </row>
    <row r="4" spans="1:19" x14ac:dyDescent="0.25">
      <c r="A4" s="34"/>
      <c r="B4" s="34"/>
      <c r="C4" s="34"/>
      <c r="D4" s="414" t="s">
        <v>30</v>
      </c>
      <c r="E4" s="415"/>
      <c r="F4" s="415"/>
      <c r="G4" s="416"/>
      <c r="H4" s="282"/>
      <c r="I4" s="414" t="s">
        <v>104</v>
      </c>
      <c r="J4" s="416"/>
      <c r="K4" s="186"/>
      <c r="L4" s="282"/>
      <c r="M4" s="34"/>
      <c r="N4" s="34"/>
      <c r="O4" s="34"/>
      <c r="P4" s="414" t="s">
        <v>88</v>
      </c>
      <c r="Q4" s="415"/>
      <c r="R4" s="415"/>
      <c r="S4" s="416"/>
    </row>
    <row r="5" spans="1:19" ht="16.5" thickBot="1" x14ac:dyDescent="0.3">
      <c r="A5" s="57"/>
      <c r="B5" s="109"/>
      <c r="C5" s="282"/>
      <c r="D5" s="417"/>
      <c r="E5" s="418"/>
      <c r="F5" s="418"/>
      <c r="G5" s="419"/>
      <c r="H5" s="282"/>
      <c r="I5" s="417"/>
      <c r="J5" s="419"/>
      <c r="K5" s="186"/>
      <c r="L5" s="282"/>
      <c r="M5" s="57"/>
      <c r="N5" s="109"/>
      <c r="O5" s="282"/>
      <c r="P5" s="417"/>
      <c r="Q5" s="418"/>
      <c r="R5" s="418"/>
      <c r="S5" s="419"/>
    </row>
    <row r="6" spans="1:19" x14ac:dyDescent="0.25">
      <c r="A6" s="4"/>
      <c r="B6" s="4"/>
      <c r="C6" s="4"/>
      <c r="D6" s="4" t="s">
        <v>1</v>
      </c>
      <c r="E6" s="4"/>
      <c r="F6" s="4"/>
      <c r="G6" s="4" t="s">
        <v>2</v>
      </c>
      <c r="H6" s="4"/>
      <c r="I6" s="4"/>
      <c r="J6" s="4" t="s">
        <v>2</v>
      </c>
      <c r="K6" s="187"/>
      <c r="L6" s="126"/>
      <c r="M6" s="4"/>
      <c r="N6" s="4"/>
      <c r="O6" s="4"/>
      <c r="P6" s="4" t="s">
        <v>1</v>
      </c>
      <c r="Q6" s="4"/>
      <c r="R6" s="4"/>
      <c r="S6" s="4" t="s">
        <v>2</v>
      </c>
    </row>
    <row r="7" spans="1:19" ht="16.5" thickBot="1" x14ac:dyDescent="0.3">
      <c r="A7" s="5"/>
      <c r="B7" s="5"/>
      <c r="C7" s="5"/>
      <c r="D7" s="5" t="s">
        <v>4</v>
      </c>
      <c r="E7" s="420" t="s">
        <v>5</v>
      </c>
      <c r="F7" s="420"/>
      <c r="G7" s="5" t="s">
        <v>6</v>
      </c>
      <c r="H7" s="5"/>
      <c r="I7" s="5" t="s">
        <v>5</v>
      </c>
      <c r="J7" s="5" t="s">
        <v>6</v>
      </c>
      <c r="K7" s="188"/>
      <c r="L7" s="5"/>
      <c r="M7" s="5"/>
      <c r="N7" s="5"/>
      <c r="O7" s="5"/>
      <c r="P7" s="5" t="s">
        <v>4</v>
      </c>
      <c r="Q7" s="420" t="s">
        <v>5</v>
      </c>
      <c r="R7" s="420"/>
      <c r="S7" s="5" t="s">
        <v>6</v>
      </c>
    </row>
    <row r="8" spans="1:19" x14ac:dyDescent="0.25">
      <c r="K8" s="189"/>
      <c r="L8" s="19"/>
    </row>
    <row r="9" spans="1:19" x14ac:dyDescent="0.25">
      <c r="A9" s="155" t="s">
        <v>10</v>
      </c>
      <c r="K9" s="189"/>
      <c r="L9" s="19"/>
      <c r="M9" s="155" t="s">
        <v>10</v>
      </c>
    </row>
    <row r="10" spans="1:19" x14ac:dyDescent="0.25">
      <c r="D10" s="204" t="s">
        <v>92</v>
      </c>
      <c r="E10" s="204" t="s">
        <v>93</v>
      </c>
      <c r="I10" s="204" t="s">
        <v>93</v>
      </c>
      <c r="K10" s="189"/>
      <c r="L10" s="19"/>
      <c r="P10" s="6" t="s">
        <v>92</v>
      </c>
      <c r="Q10" s="6" t="s">
        <v>93</v>
      </c>
    </row>
    <row r="11" spans="1:19" x14ac:dyDescent="0.25">
      <c r="B11" s="2" t="s">
        <v>103</v>
      </c>
      <c r="D11" s="39">
        <f>'Billing Determ'!C127</f>
        <v>512</v>
      </c>
      <c r="E11" s="9">
        <f>'Present and Proposed Rates'!F31</f>
        <v>45</v>
      </c>
      <c r="G11" s="11">
        <f>D11*E11</f>
        <v>23040</v>
      </c>
      <c r="H11" s="11"/>
      <c r="I11" s="9">
        <f>'Present and Proposed Rates'!G31</f>
        <v>45</v>
      </c>
      <c r="J11" s="11">
        <f>I11*D11</f>
        <v>23040</v>
      </c>
      <c r="K11" s="190"/>
      <c r="L11" s="18"/>
      <c r="N11" s="2" t="s">
        <v>99</v>
      </c>
      <c r="P11" s="39">
        <f>D11</f>
        <v>512</v>
      </c>
      <c r="Q11" s="9">
        <f>'Present and Proposed Rates'!H31</f>
        <v>45</v>
      </c>
      <c r="S11" s="11">
        <f>P11*Q11</f>
        <v>23040</v>
      </c>
    </row>
    <row r="12" spans="1:19" x14ac:dyDescent="0.25">
      <c r="D12" s="8"/>
      <c r="G12" s="11"/>
      <c r="H12" s="11"/>
      <c r="J12" s="11"/>
      <c r="K12" s="190"/>
      <c r="L12" s="18"/>
      <c r="P12" s="8"/>
      <c r="S12" s="11"/>
    </row>
    <row r="13" spans="1:19" x14ac:dyDescent="0.25">
      <c r="A13" s="1" t="s">
        <v>7</v>
      </c>
      <c r="D13" s="8"/>
      <c r="G13" s="11"/>
      <c r="H13" s="11"/>
      <c r="J13" s="11"/>
      <c r="K13" s="190"/>
      <c r="L13" s="18"/>
      <c r="M13" s="1" t="s">
        <v>7</v>
      </c>
      <c r="P13" s="8"/>
      <c r="S13" s="11"/>
    </row>
    <row r="14" spans="1:19" x14ac:dyDescent="0.25">
      <c r="D14" s="205" t="s">
        <v>8</v>
      </c>
      <c r="E14" s="206" t="s">
        <v>11</v>
      </c>
      <c r="G14" s="11"/>
      <c r="H14" s="11"/>
      <c r="I14" s="206" t="s">
        <v>11</v>
      </c>
      <c r="J14" s="11"/>
      <c r="K14" s="190"/>
      <c r="L14" s="18"/>
      <c r="P14" s="13" t="s">
        <v>8</v>
      </c>
      <c r="Q14" s="12" t="s">
        <v>11</v>
      </c>
      <c r="S14" s="11"/>
    </row>
    <row r="15" spans="1:19" x14ac:dyDescent="0.25">
      <c r="B15" s="2" t="s">
        <v>124</v>
      </c>
      <c r="D15" s="39">
        <f>'Billing Determ'!D127</f>
        <v>14567275</v>
      </c>
      <c r="E15" s="40">
        <f>'Present and Proposed Rates'!F32</f>
        <v>7.7329999999999996E-2</v>
      </c>
      <c r="F15" s="19"/>
      <c r="G15" s="18">
        <f>D15*E15</f>
        <v>1126487.3757499999</v>
      </c>
      <c r="H15" s="18"/>
      <c r="I15" s="40">
        <f>'Present and Proposed Rates'!G32</f>
        <v>7.5740000000000002E-2</v>
      </c>
      <c r="J15" s="18">
        <f>D15*I15</f>
        <v>1103325.4085000001</v>
      </c>
      <c r="K15" s="190"/>
      <c r="L15" s="18"/>
      <c r="N15" s="2" t="s">
        <v>124</v>
      </c>
      <c r="P15" s="39">
        <f>D15</f>
        <v>14567275</v>
      </c>
      <c r="Q15" s="40">
        <f>'Present and Proposed Rates'!H32</f>
        <v>7.5740000000000002E-2</v>
      </c>
      <c r="R15" s="19"/>
      <c r="S15" s="18">
        <f>P15*Q15</f>
        <v>1103325.4085000001</v>
      </c>
    </row>
    <row r="16" spans="1:19" x14ac:dyDescent="0.25">
      <c r="A16" s="1"/>
      <c r="B16" s="59"/>
      <c r="C16" s="147" t="s">
        <v>228</v>
      </c>
      <c r="D16" s="359">
        <f>D15/D11</f>
        <v>28451.708984375</v>
      </c>
      <c r="E16" s="70"/>
      <c r="F16" s="34"/>
      <c r="G16" s="18"/>
      <c r="H16" s="18"/>
      <c r="I16" s="18"/>
      <c r="J16" s="18"/>
      <c r="K16" s="191"/>
      <c r="L16" s="68"/>
      <c r="M16" s="1"/>
      <c r="N16" s="59"/>
      <c r="O16" s="147"/>
      <c r="P16" s="65"/>
      <c r="Q16" s="70"/>
      <c r="R16" s="34"/>
      <c r="S16" s="18"/>
    </row>
    <row r="17" spans="1:19" x14ac:dyDescent="0.25">
      <c r="A17" s="1" t="s">
        <v>97</v>
      </c>
      <c r="B17" s="59"/>
      <c r="C17" s="147"/>
      <c r="D17" s="65"/>
      <c r="E17" s="70"/>
      <c r="F17" s="34"/>
      <c r="G17" s="18"/>
      <c r="H17" s="18"/>
      <c r="I17" s="18"/>
      <c r="J17" s="18"/>
      <c r="K17" s="191"/>
      <c r="L17" s="68"/>
      <c r="M17" s="1" t="s">
        <v>97</v>
      </c>
      <c r="N17" s="59"/>
      <c r="O17" s="147"/>
      <c r="P17" s="65"/>
      <c r="Q17" s="70"/>
      <c r="R17" s="34"/>
      <c r="S17" s="18"/>
    </row>
    <row r="18" spans="1:19" x14ac:dyDescent="0.25">
      <c r="A18" s="1"/>
      <c r="B18" s="34" t="s">
        <v>91</v>
      </c>
      <c r="C18" s="147"/>
      <c r="D18" s="65"/>
      <c r="E18" s="70"/>
      <c r="F18" s="34"/>
      <c r="G18" s="18">
        <f>'Billing Determ'!L127</f>
        <v>-63007.08</v>
      </c>
      <c r="H18" s="18"/>
      <c r="I18" s="18"/>
      <c r="J18" s="18">
        <f>G18</f>
        <v>-63007.08</v>
      </c>
      <c r="K18" s="191"/>
      <c r="L18" s="68"/>
      <c r="M18" s="1"/>
      <c r="N18" s="34" t="s">
        <v>91</v>
      </c>
      <c r="O18" s="147"/>
      <c r="P18" s="65"/>
      <c r="Q18" s="70"/>
      <c r="R18" s="34"/>
      <c r="S18" s="18">
        <f>G18</f>
        <v>-63007.08</v>
      </c>
    </row>
    <row r="19" spans="1:19" x14ac:dyDescent="0.25">
      <c r="A19" s="1"/>
      <c r="B19" s="34" t="s">
        <v>98</v>
      </c>
      <c r="C19" s="147"/>
      <c r="D19" s="65"/>
      <c r="E19" s="70"/>
      <c r="F19" s="34"/>
      <c r="G19" s="68">
        <f>'Billing Determ'!N127</f>
        <v>113704.61999999998</v>
      </c>
      <c r="H19" s="68"/>
      <c r="I19" s="68"/>
      <c r="J19" s="18">
        <f>G19</f>
        <v>113704.61999999998</v>
      </c>
      <c r="K19" s="191"/>
      <c r="L19" s="68"/>
      <c r="M19" s="1"/>
      <c r="N19" s="34" t="s">
        <v>98</v>
      </c>
      <c r="O19" s="147"/>
      <c r="P19" s="65"/>
      <c r="Q19" s="70"/>
      <c r="R19" s="34"/>
      <c r="S19" s="18">
        <f>G19</f>
        <v>113704.61999999998</v>
      </c>
    </row>
    <row r="20" spans="1:19" x14ac:dyDescent="0.25">
      <c r="A20" s="1"/>
      <c r="B20" s="34" t="s">
        <v>210</v>
      </c>
      <c r="C20" s="147"/>
      <c r="D20" s="65"/>
      <c r="E20" s="70"/>
      <c r="F20" s="34"/>
      <c r="G20" s="68">
        <f>'Billing Determ'!K127</f>
        <v>0</v>
      </c>
      <c r="H20" s="68"/>
      <c r="I20" s="68"/>
      <c r="J20" s="18">
        <f>G20</f>
        <v>0</v>
      </c>
      <c r="K20" s="191"/>
      <c r="L20" s="68"/>
      <c r="M20" s="1"/>
      <c r="N20" s="34" t="str">
        <f>B20</f>
        <v>Min Bill</v>
      </c>
      <c r="O20" s="147"/>
      <c r="P20" s="65"/>
      <c r="Q20" s="70"/>
      <c r="R20" s="34"/>
      <c r="S20" s="18">
        <f>J20</f>
        <v>0</v>
      </c>
    </row>
    <row r="21" spans="1:19" x14ac:dyDescent="0.25">
      <c r="A21" s="1"/>
      <c r="B21" s="34"/>
      <c r="C21" s="147"/>
      <c r="D21" s="65"/>
      <c r="E21" s="70"/>
      <c r="F21" s="34"/>
      <c r="G21" s="68"/>
      <c r="H21" s="68"/>
      <c r="I21" s="68"/>
      <c r="J21" s="18"/>
      <c r="K21" s="191"/>
      <c r="L21" s="68"/>
      <c r="M21" s="1"/>
      <c r="N21" s="34"/>
      <c r="O21" s="147"/>
      <c r="P21" s="65"/>
      <c r="Q21" s="70"/>
      <c r="R21" s="34"/>
      <c r="S21" s="18"/>
    </row>
    <row r="22" spans="1:19" x14ac:dyDescent="0.25">
      <c r="A22" s="1"/>
      <c r="D22" s="14"/>
      <c r="G22" s="18"/>
      <c r="H22" s="18"/>
      <c r="I22" s="18"/>
      <c r="J22" s="18"/>
      <c r="K22" s="190"/>
      <c r="L22" s="18"/>
      <c r="M22" s="1"/>
      <c r="S22" s="18"/>
    </row>
    <row r="23" spans="1:19" ht="16.5" thickBot="1" x14ac:dyDescent="0.3">
      <c r="A23" s="1" t="s">
        <v>80</v>
      </c>
      <c r="G23" s="29">
        <f>SUM(G11:G21)</f>
        <v>1200224.9157499997</v>
      </c>
      <c r="H23" s="18"/>
      <c r="I23" s="18"/>
      <c r="J23" s="29">
        <f>SUM(J11:J21)</f>
        <v>1177062.9484999999</v>
      </c>
      <c r="K23" s="190"/>
      <c r="L23" s="18"/>
      <c r="M23" s="1" t="s">
        <v>80</v>
      </c>
      <c r="S23" s="29">
        <f>SUM(S11:S21)</f>
        <v>1177062.9484999999</v>
      </c>
    </row>
    <row r="24" spans="1:19" ht="16.5" thickTop="1" x14ac:dyDescent="0.25">
      <c r="A24" s="1"/>
      <c r="B24" s="1"/>
      <c r="G24" s="18"/>
      <c r="H24" s="18"/>
      <c r="I24" s="18"/>
      <c r="J24" s="18"/>
      <c r="K24" s="190"/>
      <c r="L24" s="18"/>
      <c r="M24" s="1"/>
      <c r="N24" s="1"/>
      <c r="S24" s="18"/>
    </row>
    <row r="25" spans="1:19" x14ac:dyDescent="0.25">
      <c r="A25" s="44" t="s">
        <v>19</v>
      </c>
      <c r="B25" s="10"/>
      <c r="G25" s="11">
        <f>'Billing Determ'!G127+'Billing Determ'!J127+'Billing Determ'!O127*0+SUM('Billing Determ'!L115:L126)</f>
        <v>1204220.47</v>
      </c>
      <c r="H25" s="11"/>
      <c r="I25" s="11"/>
      <c r="J25" s="11"/>
      <c r="K25" s="190"/>
      <c r="L25" s="18"/>
      <c r="M25" s="119" t="s">
        <v>105</v>
      </c>
      <c r="N25" s="10"/>
      <c r="S25" s="37">
        <f>S23-J23</f>
        <v>0</v>
      </c>
    </row>
    <row r="26" spans="1:19" x14ac:dyDescent="0.25">
      <c r="A26" s="10"/>
      <c r="B26" s="10"/>
      <c r="G26" s="10"/>
      <c r="H26" s="10"/>
      <c r="I26" s="10"/>
      <c r="J26" s="10"/>
      <c r="K26" s="192"/>
      <c r="L26" s="17"/>
      <c r="M26" s="48"/>
      <c r="N26" s="10"/>
      <c r="S26" s="10"/>
    </row>
    <row r="27" spans="1:19" x14ac:dyDescent="0.25">
      <c r="A27" s="44" t="s">
        <v>13</v>
      </c>
      <c r="B27" s="10"/>
      <c r="G27" s="27">
        <f>G23-G25</f>
        <v>-3995.5542500002775</v>
      </c>
      <c r="H27" s="27"/>
      <c r="I27" s="27"/>
      <c r="J27" s="27">
        <f>J23-G23</f>
        <v>-23161.967249999754</v>
      </c>
      <c r="K27" s="193"/>
      <c r="L27" s="203"/>
      <c r="M27" s="119" t="s">
        <v>106</v>
      </c>
      <c r="N27" s="10"/>
      <c r="S27" s="221">
        <f>S25/J23</f>
        <v>0</v>
      </c>
    </row>
    <row r="28" spans="1:19" x14ac:dyDescent="0.25">
      <c r="A28" s="10"/>
      <c r="B28" s="10"/>
      <c r="G28" s="11"/>
      <c r="H28" s="11"/>
      <c r="I28" s="11"/>
      <c r="J28" s="11"/>
      <c r="K28" s="190"/>
      <c r="L28" s="18"/>
      <c r="M28" s="34"/>
      <c r="N28" s="10"/>
      <c r="S28" s="11"/>
    </row>
    <row r="29" spans="1:19" x14ac:dyDescent="0.25">
      <c r="A29" s="44" t="s">
        <v>26</v>
      </c>
      <c r="B29" s="10"/>
      <c r="G29" s="28">
        <f>G27/G25</f>
        <v>-3.3179590860137743E-3</v>
      </c>
      <c r="H29" s="28"/>
      <c r="I29" s="28"/>
      <c r="J29" s="28">
        <f>J27/G25</f>
        <v>-1.9233992302090459E-2</v>
      </c>
      <c r="K29" s="194"/>
      <c r="L29" s="28"/>
      <c r="M29" s="59" t="s">
        <v>85</v>
      </c>
      <c r="N29" s="10"/>
      <c r="S29" s="45">
        <f>S25/P11</f>
        <v>0</v>
      </c>
    </row>
    <row r="30" spans="1:19" x14ac:dyDescent="0.25">
      <c r="A30" s="44"/>
      <c r="B30" s="10"/>
      <c r="G30" s="28"/>
      <c r="H30" s="28"/>
      <c r="I30" s="28"/>
      <c r="J30" s="28"/>
      <c r="K30" s="28"/>
      <c r="L30" s="28"/>
      <c r="M30" s="44"/>
      <c r="N30" s="10"/>
      <c r="S30" s="28"/>
    </row>
    <row r="31" spans="1:19" x14ac:dyDescent="0.25">
      <c r="A31" s="44"/>
      <c r="B31" s="10"/>
      <c r="C31" s="10"/>
      <c r="D31" s="14"/>
      <c r="E31" s="10"/>
      <c r="F31" s="10"/>
      <c r="G31" s="10"/>
      <c r="H31" s="10"/>
      <c r="I31" s="10"/>
      <c r="J31" s="10"/>
      <c r="K31" s="10"/>
      <c r="L31" s="10"/>
      <c r="M31" s="10"/>
      <c r="N31" s="10"/>
      <c r="S31" s="28"/>
    </row>
    <row r="32" spans="1:19" x14ac:dyDescent="0.25">
      <c r="A32" s="44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S32" s="28"/>
    </row>
    <row r="33" spans="1:20" x14ac:dyDescent="0.25">
      <c r="A33" s="44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S33" s="28"/>
    </row>
    <row r="34" spans="1:20" x14ac:dyDescent="0.25">
      <c r="A34" s="44"/>
      <c r="B34" s="10"/>
      <c r="G34" s="28"/>
      <c r="H34" s="28"/>
      <c r="I34" s="28"/>
      <c r="J34" s="28"/>
      <c r="K34" s="28"/>
      <c r="L34" s="28"/>
      <c r="M34" s="44"/>
      <c r="N34" s="10"/>
      <c r="S34" s="28"/>
    </row>
    <row r="35" spans="1:20" x14ac:dyDescent="0.25">
      <c r="A35" s="44"/>
      <c r="B35" s="10"/>
      <c r="G35" s="28"/>
      <c r="H35" s="28"/>
      <c r="I35" s="28"/>
      <c r="J35" s="28"/>
      <c r="K35" s="28"/>
      <c r="L35" s="28"/>
      <c r="M35" s="44"/>
      <c r="N35" s="10"/>
      <c r="S35" s="28"/>
    </row>
    <row r="36" spans="1:20" ht="18.75" customHeight="1" x14ac:dyDescent="0.25">
      <c r="A36" s="44"/>
      <c r="B36" s="11"/>
      <c r="G36" s="28"/>
      <c r="H36" s="28"/>
      <c r="I36" s="28"/>
      <c r="J36" s="28"/>
      <c r="K36" s="28"/>
      <c r="L36" s="28"/>
      <c r="N36" s="34"/>
    </row>
    <row r="37" spans="1:20" x14ac:dyDescent="0.25">
      <c r="E37" s="11"/>
      <c r="N37" s="34"/>
    </row>
    <row r="42" spans="1:20" x14ac:dyDescent="0.25">
      <c r="T42" s="91"/>
    </row>
    <row r="43" spans="1:20" x14ac:dyDescent="0.25">
      <c r="T43" s="91"/>
    </row>
    <row r="44" spans="1:20" x14ac:dyDescent="0.25">
      <c r="T44" s="91"/>
    </row>
    <row r="45" spans="1:20" x14ac:dyDescent="0.25">
      <c r="T45" s="91"/>
    </row>
    <row r="46" spans="1:20" x14ac:dyDescent="0.25">
      <c r="T46" s="91"/>
    </row>
    <row r="47" spans="1:20" x14ac:dyDescent="0.25">
      <c r="T47" s="91"/>
    </row>
    <row r="48" spans="1:20" x14ac:dyDescent="0.25">
      <c r="T48" s="91"/>
    </row>
    <row r="49" spans="20:20" x14ac:dyDescent="0.25">
      <c r="T49" s="91"/>
    </row>
    <row r="50" spans="20:20" x14ac:dyDescent="0.25">
      <c r="T50" s="91"/>
    </row>
    <row r="51" spans="20:20" ht="16.5" customHeight="1" x14ac:dyDescent="0.25">
      <c r="T51" s="91"/>
    </row>
    <row r="52" spans="20:20" x14ac:dyDescent="0.25">
      <c r="T52" s="91"/>
    </row>
    <row r="53" spans="20:20" x14ac:dyDescent="0.25">
      <c r="T53" s="91"/>
    </row>
    <row r="56" spans="20:20" x14ac:dyDescent="0.25">
      <c r="T56" s="53"/>
    </row>
    <row r="57" spans="20:20" x14ac:dyDescent="0.25">
      <c r="T57" s="53"/>
    </row>
    <row r="59" spans="20:20" x14ac:dyDescent="0.25">
      <c r="T59" s="53"/>
    </row>
    <row r="60" spans="20:20" x14ac:dyDescent="0.25">
      <c r="T60" s="53"/>
    </row>
    <row r="61" spans="20:20" x14ac:dyDescent="0.25">
      <c r="T61" s="53"/>
    </row>
    <row r="62" spans="20:20" x14ac:dyDescent="0.25">
      <c r="T62" s="53"/>
    </row>
    <row r="63" spans="20:20" x14ac:dyDescent="0.25">
      <c r="T63" s="53"/>
    </row>
    <row r="64" spans="20:20" x14ac:dyDescent="0.25">
      <c r="T64" s="53"/>
    </row>
    <row r="65" spans="20:20" x14ac:dyDescent="0.25">
      <c r="T65" s="53"/>
    </row>
    <row r="66" spans="20:20" x14ac:dyDescent="0.25">
      <c r="T66" s="53"/>
    </row>
    <row r="67" spans="20:20" x14ac:dyDescent="0.25">
      <c r="T67" s="53"/>
    </row>
    <row r="68" spans="20:20" x14ac:dyDescent="0.25">
      <c r="T68" s="53"/>
    </row>
    <row r="69" spans="20:20" x14ac:dyDescent="0.25">
      <c r="T69" s="53"/>
    </row>
    <row r="70" spans="20:20" x14ac:dyDescent="0.25">
      <c r="T70" s="53"/>
    </row>
    <row r="71" spans="20:20" x14ac:dyDescent="0.25">
      <c r="T71" s="99"/>
    </row>
    <row r="72" spans="20:20" x14ac:dyDescent="0.25">
      <c r="T72" s="99"/>
    </row>
    <row r="73" spans="20:20" x14ac:dyDescent="0.25">
      <c r="T73" s="99"/>
    </row>
    <row r="74" spans="20:20" x14ac:dyDescent="0.25">
      <c r="T74" s="99"/>
    </row>
    <row r="75" spans="20:20" x14ac:dyDescent="0.25">
      <c r="T75" s="99"/>
    </row>
    <row r="76" spans="20:20" x14ac:dyDescent="0.25">
      <c r="T76" s="99"/>
    </row>
    <row r="77" spans="20:20" x14ac:dyDescent="0.25">
      <c r="T77" s="99"/>
    </row>
    <row r="78" spans="20:20" x14ac:dyDescent="0.25">
      <c r="T78" s="99"/>
    </row>
    <row r="79" spans="20:20" x14ac:dyDescent="0.25">
      <c r="T79" s="99"/>
    </row>
    <row r="80" spans="20:20" x14ac:dyDescent="0.25">
      <c r="T80" s="99"/>
    </row>
    <row r="81" spans="20:20" x14ac:dyDescent="0.25">
      <c r="T81" s="99"/>
    </row>
    <row r="82" spans="20:20" x14ac:dyDescent="0.25">
      <c r="T82" s="99"/>
    </row>
    <row r="83" spans="20:20" x14ac:dyDescent="0.25">
      <c r="T83" s="99"/>
    </row>
    <row r="84" spans="20:20" ht="15" customHeight="1" x14ac:dyDescent="0.25">
      <c r="T84" s="99"/>
    </row>
    <row r="85" spans="20:20" x14ac:dyDescent="0.25">
      <c r="T85" s="99"/>
    </row>
    <row r="86" spans="20:20" x14ac:dyDescent="0.25">
      <c r="T86" s="99"/>
    </row>
    <row r="87" spans="20:20" x14ac:dyDescent="0.25">
      <c r="T87" s="99"/>
    </row>
    <row r="88" spans="20:20" x14ac:dyDescent="0.25">
      <c r="T88" s="99"/>
    </row>
    <row r="89" spans="20:20" x14ac:dyDescent="0.25">
      <c r="T89" s="99"/>
    </row>
    <row r="90" spans="20:20" x14ac:dyDescent="0.25">
      <c r="T90" s="99"/>
    </row>
    <row r="91" spans="20:20" x14ac:dyDescent="0.25">
      <c r="T91" s="99"/>
    </row>
    <row r="92" spans="20:20" x14ac:dyDescent="0.25">
      <c r="T92" s="99"/>
    </row>
    <row r="93" spans="20:20" x14ac:dyDescent="0.25">
      <c r="T93" s="99"/>
    </row>
    <row r="94" spans="20:20" x14ac:dyDescent="0.25">
      <c r="T94" s="99"/>
    </row>
    <row r="95" spans="20:20" x14ac:dyDescent="0.25">
      <c r="T95" s="99"/>
    </row>
    <row r="96" spans="20:20" x14ac:dyDescent="0.25">
      <c r="T96" s="99"/>
    </row>
    <row r="97" spans="20:20" x14ac:dyDescent="0.25">
      <c r="T97" s="99"/>
    </row>
    <row r="98" spans="20:20" x14ac:dyDescent="0.25">
      <c r="T98" s="99"/>
    </row>
    <row r="99" spans="20:20" x14ac:dyDescent="0.25">
      <c r="T99" s="99"/>
    </row>
    <row r="100" spans="20:20" x14ac:dyDescent="0.25">
      <c r="T100" s="99"/>
    </row>
    <row r="101" spans="20:20" x14ac:dyDescent="0.25">
      <c r="T101" s="99"/>
    </row>
    <row r="102" spans="20:20" x14ac:dyDescent="0.25">
      <c r="T102" s="99"/>
    </row>
    <row r="103" spans="20:20" x14ac:dyDescent="0.25">
      <c r="T103" s="99"/>
    </row>
    <row r="104" spans="20:20" x14ac:dyDescent="0.25">
      <c r="T104" s="99"/>
    </row>
    <row r="105" spans="20:20" x14ac:dyDescent="0.25">
      <c r="T105" s="99"/>
    </row>
    <row r="106" spans="20:20" x14ac:dyDescent="0.25">
      <c r="T106" s="99"/>
    </row>
    <row r="107" spans="20:20" x14ac:dyDescent="0.25">
      <c r="T107" s="99"/>
    </row>
    <row r="108" spans="20:20" x14ac:dyDescent="0.25">
      <c r="T108" s="99"/>
    </row>
    <row r="109" spans="20:20" x14ac:dyDescent="0.25">
      <c r="T109" s="99"/>
    </row>
    <row r="110" spans="20:20" x14ac:dyDescent="0.25">
      <c r="T110" s="99"/>
    </row>
    <row r="111" spans="20:20" x14ac:dyDescent="0.25">
      <c r="T111" s="99"/>
    </row>
    <row r="112" spans="20:20" x14ac:dyDescent="0.25">
      <c r="T112" s="99"/>
    </row>
    <row r="113" spans="20:20" x14ac:dyDescent="0.25">
      <c r="T113" s="99"/>
    </row>
    <row r="114" spans="20:20" x14ac:dyDescent="0.25">
      <c r="T114" s="99"/>
    </row>
    <row r="115" spans="20:20" x14ac:dyDescent="0.25">
      <c r="T115" s="99"/>
    </row>
    <row r="116" spans="20:20" x14ac:dyDescent="0.25">
      <c r="T116" s="99"/>
    </row>
    <row r="117" spans="20:20" x14ac:dyDescent="0.25">
      <c r="T117" s="19"/>
    </row>
    <row r="118" spans="20:20" x14ac:dyDescent="0.25">
      <c r="T118" s="19"/>
    </row>
    <row r="119" spans="20:20" x14ac:dyDescent="0.25">
      <c r="T119" s="19"/>
    </row>
    <row r="120" spans="20:20" x14ac:dyDescent="0.25">
      <c r="T120" s="19"/>
    </row>
    <row r="121" spans="20:20" x14ac:dyDescent="0.25">
      <c r="T121" s="19"/>
    </row>
    <row r="122" spans="20:20" x14ac:dyDescent="0.25">
      <c r="T122" s="19"/>
    </row>
    <row r="123" spans="20:20" x14ac:dyDescent="0.25">
      <c r="T123" s="19"/>
    </row>
    <row r="124" spans="20:20" x14ac:dyDescent="0.25">
      <c r="T124" s="19"/>
    </row>
    <row r="125" spans="20:20" x14ac:dyDescent="0.25">
      <c r="T125" s="19"/>
    </row>
    <row r="130" spans="2:14" x14ac:dyDescent="0.25">
      <c r="N130" s="53"/>
    </row>
    <row r="131" spans="2:14" x14ac:dyDescent="0.25">
      <c r="B131" s="19"/>
      <c r="C131" s="53"/>
      <c r="D131" s="53"/>
      <c r="E131" s="19"/>
      <c r="F131" s="19"/>
      <c r="G131" s="19"/>
      <c r="H131" s="19"/>
      <c r="I131" s="19"/>
      <c r="J131" s="19"/>
      <c r="K131" s="19"/>
      <c r="L131" s="19"/>
      <c r="N131" s="53"/>
    </row>
    <row r="132" spans="2:14" x14ac:dyDescent="0.25">
      <c r="B132" s="19"/>
      <c r="C132" s="55"/>
      <c r="D132" s="78"/>
      <c r="E132" s="83"/>
      <c r="F132" s="19"/>
      <c r="G132" s="19"/>
      <c r="H132" s="19"/>
      <c r="I132" s="19"/>
      <c r="J132" s="19"/>
      <c r="K132" s="19"/>
      <c r="L132" s="19"/>
      <c r="N132" s="53"/>
    </row>
    <row r="133" spans="2:14" x14ac:dyDescent="0.25">
      <c r="B133" s="19"/>
      <c r="C133" s="55"/>
      <c r="D133" s="78"/>
      <c r="E133" s="83"/>
      <c r="F133" s="19"/>
      <c r="G133" s="19"/>
      <c r="H133" s="19"/>
      <c r="I133" s="19"/>
      <c r="J133" s="19"/>
      <c r="K133" s="19"/>
      <c r="L133" s="19"/>
      <c r="N133" s="53"/>
    </row>
    <row r="134" spans="2:14" x14ac:dyDescent="0.25">
      <c r="B134" s="19"/>
      <c r="C134" s="55"/>
      <c r="D134" s="78"/>
      <c r="E134" s="83"/>
      <c r="F134" s="19"/>
      <c r="G134" s="19"/>
      <c r="H134" s="19"/>
      <c r="I134" s="19"/>
      <c r="J134" s="19"/>
      <c r="K134" s="19"/>
      <c r="L134" s="19"/>
      <c r="N134" s="53"/>
    </row>
  </sheetData>
  <mergeCells count="5">
    <mergeCell ref="D4:G5"/>
    <mergeCell ref="I4:J5"/>
    <mergeCell ref="P4:S5"/>
    <mergeCell ref="E7:F7"/>
    <mergeCell ref="Q7:R7"/>
  </mergeCells>
  <pageMargins left="0.75" right="0.75" top="1" bottom="1" header="0.5" footer="0.5"/>
  <pageSetup scale="64" orientation="landscape" r:id="rId1"/>
  <headerFooter alignWithMargins="0">
    <oddFooter>&amp;RExhibit JW-9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16</vt:i4>
      </vt:variant>
    </vt:vector>
  </HeadingPairs>
  <TitlesOfParts>
    <vt:vector size="31" baseType="lpstr">
      <vt:lpstr>Residential NonTOU</vt:lpstr>
      <vt:lpstr>Resid. - TOU</vt:lpstr>
      <vt:lpstr>Present and Proposed Rates</vt:lpstr>
      <vt:lpstr>R</vt:lpstr>
      <vt:lpstr>TOD</vt:lpstr>
      <vt:lpstr>C1</vt:lpstr>
      <vt:lpstr>C2</vt:lpstr>
      <vt:lpstr>IB</vt:lpstr>
      <vt:lpstr>E1</vt:lpstr>
      <vt:lpstr>L1</vt:lpstr>
      <vt:lpstr>S</vt:lpstr>
      <vt:lpstr>Act-vs-Calc</vt:lpstr>
      <vt:lpstr>ResIncr</vt:lpstr>
      <vt:lpstr>Billing Determ</vt:lpstr>
      <vt:lpstr>List</vt:lpstr>
      <vt:lpstr>'Act-vs-Calc'!Print_Area</vt:lpstr>
      <vt:lpstr>'Billing Determ'!Print_Area</vt:lpstr>
      <vt:lpstr>'C1'!Print_Area</vt:lpstr>
      <vt:lpstr>'C2'!Print_Area</vt:lpstr>
      <vt:lpstr>'E1'!Print_Area</vt:lpstr>
      <vt:lpstr>IB!Print_Area</vt:lpstr>
      <vt:lpstr>'L1'!Print_Area</vt:lpstr>
      <vt:lpstr>List!Print_Area</vt:lpstr>
      <vt:lpstr>'Present and Proposed Rates'!Print_Area</vt:lpstr>
      <vt:lpstr>'R'!Print_Area</vt:lpstr>
      <vt:lpstr>'Resid. - TOU'!Print_Area</vt:lpstr>
      <vt:lpstr>'Residential NonTOU'!Print_Area</vt:lpstr>
      <vt:lpstr>ResIncr!Print_Area</vt:lpstr>
      <vt:lpstr>S!Print_Area</vt:lpstr>
      <vt:lpstr>TOD!Print_Area</vt:lpstr>
      <vt:lpstr>ResIncr!Print_Titles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John Wolfram</cp:lastModifiedBy>
  <cp:lastPrinted>2020-09-09T19:50:13Z</cp:lastPrinted>
  <dcterms:created xsi:type="dcterms:W3CDTF">2000-07-10T18:54:31Z</dcterms:created>
  <dcterms:modified xsi:type="dcterms:W3CDTF">2020-09-09T20:59:15Z</dcterms:modified>
</cp:coreProperties>
</file>