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35" windowWidth="4635" windowHeight="2010" activeTab="7"/>
  </bookViews>
  <sheets>
    <sheet name="Description" sheetId="1" r:id="rId1"/>
    <sheet name="Debt" sheetId="4" r:id="rId2"/>
    <sheet name="Rates" sheetId="8" r:id="rId3"/>
    <sheet name="Usage" sheetId="2" r:id="rId4"/>
    <sheet name="Improvements" sheetId="10" r:id="rId5"/>
    <sheet name="Swr Rev" sheetId="7" r:id="rId6"/>
    <sheet name="Wtr Rev" sheetId="9" r:id="rId7"/>
    <sheet name="Budget" sheetId="3" r:id="rId8"/>
  </sheets>
  <definedNames>
    <definedName name="_xlnm.Print_Area" localSheetId="7">Budget!$A$2:$I$158</definedName>
    <definedName name="_xlnm.Print_Area" localSheetId="1">Debt!$A$1:$J$46</definedName>
    <definedName name="_xlnm.Print_Area" localSheetId="0">Description!$A$1:$H$123</definedName>
    <definedName name="_xlnm.Print_Area" localSheetId="4">Improvements!$A$1:$H$110</definedName>
    <definedName name="_xlnm.Print_Area" localSheetId="2">Rates!$A$1:$I$53</definedName>
    <definedName name="_xlnm.Print_Area" localSheetId="5">'Swr Rev'!$A$1:$J$108</definedName>
    <definedName name="_xlnm.Print_Area" localSheetId="3">Usage!$A$1:$H$151</definedName>
    <definedName name="_xlnm.Print_Area" localSheetId="6">'Wtr Rev'!$A$1:$K$351</definedName>
    <definedName name="Text10" localSheetId="0">Usage!#REF!</definedName>
    <definedName name="Text100" localSheetId="0">Usage!#REF!</definedName>
    <definedName name="Text101" localSheetId="0">Usage!#REF!</definedName>
    <definedName name="Text102" localSheetId="0">Usage!#REF!</definedName>
    <definedName name="Text103" localSheetId="0">Usage!#REF!</definedName>
    <definedName name="Text104" localSheetId="0">Usage!#REF!</definedName>
    <definedName name="Text105" localSheetId="0">Usage!#REF!</definedName>
    <definedName name="Text106" localSheetId="0">Usage!#REF!</definedName>
    <definedName name="Text107" localSheetId="0">Usage!#REF!</definedName>
    <definedName name="Text108" localSheetId="0">Usage!#REF!</definedName>
    <definedName name="Text109" localSheetId="0">Usage!#REF!</definedName>
    <definedName name="Text11" localSheetId="0">Usage!#REF!</definedName>
    <definedName name="Text110" localSheetId="0">Usage!#REF!</definedName>
    <definedName name="Text111" localSheetId="0">Usage!#REF!</definedName>
    <definedName name="Text112" localSheetId="0">Usage!#REF!</definedName>
    <definedName name="Text113" localSheetId="0">Usage!#REF!</definedName>
    <definedName name="Text114" localSheetId="0">Usage!#REF!</definedName>
    <definedName name="Text115" localSheetId="0">Usage!#REF!</definedName>
    <definedName name="Text116" localSheetId="0">Usage!#REF!</definedName>
    <definedName name="Text117" localSheetId="0">Usage!#REF!</definedName>
    <definedName name="Text118" localSheetId="0">Usage!#REF!</definedName>
    <definedName name="Text119" localSheetId="0">Usage!#REF!</definedName>
    <definedName name="Text12" localSheetId="0">Usage!#REF!</definedName>
    <definedName name="Text120" localSheetId="0">Usage!#REF!</definedName>
    <definedName name="Text121" localSheetId="0">Usage!#REF!</definedName>
    <definedName name="Text122" localSheetId="0">Usage!#REF!</definedName>
    <definedName name="Text123" localSheetId="0">Usage!#REF!</definedName>
    <definedName name="Text124" localSheetId="0">Usage!#REF!</definedName>
    <definedName name="Text125" localSheetId="0">Usage!#REF!</definedName>
    <definedName name="Text126" localSheetId="0">Usage!#REF!</definedName>
    <definedName name="Text127" localSheetId="0">Usage!#REF!</definedName>
    <definedName name="Text128" localSheetId="0">Usage!#REF!</definedName>
    <definedName name="Text129" localSheetId="0">Usage!#REF!</definedName>
    <definedName name="Text13" localSheetId="0">Usage!#REF!</definedName>
    <definedName name="Text130" localSheetId="0">Usage!#REF!</definedName>
    <definedName name="Text131" localSheetId="0">Usage!#REF!</definedName>
    <definedName name="Text132" localSheetId="0">Usage!#REF!</definedName>
    <definedName name="Text133" localSheetId="0">Usage!#REF!</definedName>
    <definedName name="Text134" localSheetId="0">Usage!#REF!</definedName>
    <definedName name="Text135" localSheetId="0">Usage!#REF!</definedName>
    <definedName name="Text136" localSheetId="0">Usage!#REF!</definedName>
    <definedName name="Text137" localSheetId="0">Usage!#REF!</definedName>
    <definedName name="Text138" localSheetId="0">Usage!#REF!</definedName>
    <definedName name="Text139" localSheetId="0">Usage!#REF!</definedName>
    <definedName name="Text14" localSheetId="0">Usage!#REF!</definedName>
    <definedName name="Text140" localSheetId="0">Usage!#REF!</definedName>
    <definedName name="Text141" localSheetId="0">Usage!#REF!</definedName>
    <definedName name="Text142" localSheetId="0">Usage!#REF!</definedName>
    <definedName name="Text143" localSheetId="0">Usage!#REF!</definedName>
    <definedName name="Text144" localSheetId="0">Usage!#REF!</definedName>
    <definedName name="Text145" localSheetId="0">Usage!#REF!</definedName>
    <definedName name="Text146" localSheetId="0">Usage!#REF!</definedName>
    <definedName name="Text147" localSheetId="0">Usage!#REF!</definedName>
    <definedName name="Text148" localSheetId="0">Usage!#REF!</definedName>
    <definedName name="Text149" localSheetId="0">Usage!#REF!</definedName>
    <definedName name="Text15" localSheetId="0">Usage!#REF!</definedName>
    <definedName name="Text150" localSheetId="0">Usage!#REF!</definedName>
    <definedName name="Text151" localSheetId="0">Usage!#REF!</definedName>
    <definedName name="Text152" localSheetId="0">Usage!#REF!</definedName>
    <definedName name="Text153" localSheetId="0">Usage!#REF!</definedName>
    <definedName name="Text154" localSheetId="0">Usage!#REF!</definedName>
    <definedName name="Text155" localSheetId="0">Usage!#REF!</definedName>
    <definedName name="Text156" localSheetId="0">Usage!#REF!</definedName>
    <definedName name="Text157" localSheetId="0">Usage!#REF!</definedName>
    <definedName name="Text158" localSheetId="0">Usage!#REF!</definedName>
    <definedName name="Text159" localSheetId="0">Usage!#REF!</definedName>
    <definedName name="Text16" localSheetId="0">Usage!#REF!</definedName>
    <definedName name="Text160" localSheetId="0">Usage!#REF!</definedName>
    <definedName name="Text161" localSheetId="0">Usage!#REF!</definedName>
    <definedName name="Text162" localSheetId="0">Usage!#REF!</definedName>
    <definedName name="Text163" localSheetId="0">Usage!#REF!</definedName>
    <definedName name="Text164" localSheetId="0">Usage!#REF!</definedName>
    <definedName name="Text165" localSheetId="0">Usage!#REF!</definedName>
    <definedName name="Text166" localSheetId="0">Usage!#REF!</definedName>
    <definedName name="Text167" localSheetId="0">Usage!#REF!</definedName>
    <definedName name="Text168" localSheetId="0">Usage!#REF!</definedName>
    <definedName name="Text169" localSheetId="0">Usage!#REF!</definedName>
    <definedName name="Text17" localSheetId="0">Usage!#REF!</definedName>
    <definedName name="Text170" localSheetId="0">Usage!#REF!</definedName>
    <definedName name="Text171" localSheetId="0">Usage!#REF!</definedName>
    <definedName name="Text172" localSheetId="0">Usage!#REF!</definedName>
    <definedName name="Text173" localSheetId="0">Usage!#REF!</definedName>
    <definedName name="Text174" localSheetId="0">Usage!#REF!</definedName>
    <definedName name="Text175" localSheetId="0">Usage!#REF!</definedName>
    <definedName name="Text176" localSheetId="0">Usage!#REF!</definedName>
    <definedName name="Text177" localSheetId="0">Usage!#REF!</definedName>
    <definedName name="Text178" localSheetId="0">Usage!#REF!</definedName>
    <definedName name="Text179" localSheetId="0">Usage!#REF!</definedName>
    <definedName name="Text18" localSheetId="0">Usage!#REF!</definedName>
    <definedName name="Text180" localSheetId="0">Usage!#REF!</definedName>
    <definedName name="Text181" localSheetId="0">Usage!#REF!</definedName>
    <definedName name="Text182" localSheetId="0">Usage!#REF!</definedName>
    <definedName name="Text183" localSheetId="0">Usage!#REF!</definedName>
    <definedName name="Text184" localSheetId="0">Usage!#REF!</definedName>
    <definedName name="Text185" localSheetId="0">Usage!#REF!</definedName>
    <definedName name="Text186" localSheetId="0">Usage!#REF!</definedName>
    <definedName name="Text187" localSheetId="0">Usage!#REF!</definedName>
    <definedName name="Text188" localSheetId="0">Usage!#REF!</definedName>
    <definedName name="Text189" localSheetId="0">Usage!#REF!</definedName>
    <definedName name="Text190" localSheetId="0">Usage!#REF!</definedName>
    <definedName name="Text191" localSheetId="0">Usage!#REF!</definedName>
    <definedName name="Text192" localSheetId="0">Usage!#REF!</definedName>
    <definedName name="Text193" localSheetId="0">Usage!#REF!</definedName>
    <definedName name="Text194" localSheetId="0">Usage!#REF!</definedName>
    <definedName name="Text195" localSheetId="0">Description!#REF!</definedName>
    <definedName name="Text196" localSheetId="0">Usage!#REF!</definedName>
    <definedName name="Text197" localSheetId="0">Usage!#REF!</definedName>
    <definedName name="Text199" localSheetId="0">Improvements!#REF!</definedName>
    <definedName name="Text200" localSheetId="0">Description!#REF!</definedName>
    <definedName name="Text201" localSheetId="0">Description!#REF!</definedName>
    <definedName name="Text202" localSheetId="0">Description!#REF!</definedName>
    <definedName name="Text203" localSheetId="0">Description!#REF!</definedName>
    <definedName name="Text204" localSheetId="0">Description!#REF!</definedName>
    <definedName name="Text205" localSheetId="0">Description!#REF!</definedName>
    <definedName name="Text206" localSheetId="0">Description!#REF!</definedName>
    <definedName name="Text207" localSheetId="0">Improvements!#REF!</definedName>
    <definedName name="Text208" localSheetId="0">Description!#REF!</definedName>
    <definedName name="Text209" localSheetId="0">Improvements!#REF!</definedName>
    <definedName name="Text212" localSheetId="0">Improvements!#REF!</definedName>
    <definedName name="Text213" localSheetId="0">Improvements!#REF!</definedName>
    <definedName name="Text214" localSheetId="0">Improvements!#REF!</definedName>
    <definedName name="Text215" localSheetId="0">Usage!#REF!</definedName>
    <definedName name="Text216" localSheetId="0">Usage!#REF!</definedName>
    <definedName name="Text217" localSheetId="0">Usage!#REF!</definedName>
    <definedName name="Text218" localSheetId="0">Usage!#REF!</definedName>
    <definedName name="Text219" localSheetId="0">Usage!#REF!</definedName>
    <definedName name="Text22" localSheetId="0">Description!#REF!</definedName>
    <definedName name="Text220" localSheetId="0">Usage!#REF!</definedName>
    <definedName name="Text221" localSheetId="0">Description!#REF!</definedName>
    <definedName name="Text222" localSheetId="0">Usage!#REF!</definedName>
    <definedName name="Text223" localSheetId="0">Usage!#REF!</definedName>
    <definedName name="Text224" localSheetId="0">Usage!#REF!</definedName>
    <definedName name="Text225" localSheetId="0">Usage!#REF!</definedName>
    <definedName name="Text226" localSheetId="0">Usage!#REF!</definedName>
    <definedName name="Text227" localSheetId="0">Usage!#REF!</definedName>
    <definedName name="Text228" localSheetId="0">Usage!#REF!</definedName>
    <definedName name="Text229" localSheetId="0">Usage!#REF!</definedName>
    <definedName name="Text23" localSheetId="0">Description!#REF!</definedName>
    <definedName name="Text230" localSheetId="0">Usage!#REF!</definedName>
    <definedName name="Text231" localSheetId="0">Usage!#REF!</definedName>
    <definedName name="Text232" localSheetId="0">Usage!#REF!</definedName>
    <definedName name="Text233" localSheetId="0">Usage!#REF!</definedName>
    <definedName name="Text244" localSheetId="0">Debt!#REF!</definedName>
    <definedName name="Text245" localSheetId="0">Debt!#REF!</definedName>
    <definedName name="Text246" localSheetId="0">Debt!#REF!</definedName>
    <definedName name="Text247" localSheetId="0">Debt!#REF!</definedName>
    <definedName name="Text248" localSheetId="0">Debt!#REF!</definedName>
    <definedName name="Text249" localSheetId="0">Debt!#REF!</definedName>
    <definedName name="Text250" localSheetId="0">Debt!#REF!</definedName>
    <definedName name="Text252" localSheetId="0">Rates!#REF!</definedName>
    <definedName name="Text254" localSheetId="0">Rates!#REF!</definedName>
    <definedName name="Text255" localSheetId="0">Rates!#REF!</definedName>
    <definedName name="Text256" localSheetId="0">Rates!#REF!</definedName>
    <definedName name="Text257" localSheetId="0">Usage!#REF!</definedName>
    <definedName name="Text258" localSheetId="0">Usage!#REF!</definedName>
    <definedName name="Text259" localSheetId="0">Usage!#REF!</definedName>
    <definedName name="Text260" localSheetId="0">Usage!#REF!</definedName>
    <definedName name="Text261" localSheetId="0">Usage!#REF!</definedName>
    <definedName name="Text262" localSheetId="0">Usage!#REF!</definedName>
    <definedName name="Text263" localSheetId="0">Usage!#REF!</definedName>
    <definedName name="Text264" localSheetId="0">Usage!#REF!</definedName>
    <definedName name="Text265" localSheetId="0">Usage!#REF!</definedName>
    <definedName name="Text266" localSheetId="0">Usage!#REF!</definedName>
    <definedName name="Text267" localSheetId="0">Usage!#REF!</definedName>
    <definedName name="Text268" localSheetId="0">Usage!#REF!</definedName>
    <definedName name="Text269" localSheetId="0">Usage!#REF!</definedName>
    <definedName name="Text270" localSheetId="0">Usage!#REF!</definedName>
    <definedName name="Text271" localSheetId="0">Usage!#REF!</definedName>
    <definedName name="Text272" localSheetId="0">Usage!#REF!</definedName>
    <definedName name="Text273" localSheetId="0">Usage!#REF!</definedName>
    <definedName name="Text274" localSheetId="0">Usage!#REF!</definedName>
    <definedName name="Text275" localSheetId="0">Usage!#REF!</definedName>
    <definedName name="Text276" localSheetId="0">Usage!#REF!</definedName>
    <definedName name="Text277" localSheetId="0">Debt!$E$35</definedName>
    <definedName name="Text278" localSheetId="0">Debt!$E$36</definedName>
    <definedName name="Text279" localSheetId="0">Debt!$E$37</definedName>
    <definedName name="Text280" localSheetId="0">Debt!$F$38</definedName>
    <definedName name="Text281" localSheetId="0">Debt!$F$39</definedName>
    <definedName name="Text282" localSheetId="0">Debt!$G$39</definedName>
    <definedName name="Text283" localSheetId="0">Debt!$G$37</definedName>
    <definedName name="Text284" localSheetId="0">Debt!$G$36</definedName>
    <definedName name="Text286" localSheetId="0">Debt!$G$38</definedName>
    <definedName name="Text288" localSheetId="0">Debt!$E$44</definedName>
    <definedName name="Text289" localSheetId="0">Debt!#REF!</definedName>
    <definedName name="Text290" localSheetId="0">Debt!#REF!</definedName>
    <definedName name="Text291" localSheetId="0">Debt!#REF!</definedName>
    <definedName name="Text292" localSheetId="0">Debt!#REF!</definedName>
    <definedName name="Text293" localSheetId="0">Debt!#REF!</definedName>
    <definedName name="Text294" localSheetId="0">Debt!#REF!</definedName>
    <definedName name="Text296" localSheetId="0">Description!#REF!</definedName>
    <definedName name="Text297" localSheetId="0">Debt!#REF!</definedName>
    <definedName name="Text298" localSheetId="0">Debt!#REF!</definedName>
    <definedName name="Text301" localSheetId="0">Debt!#REF!</definedName>
    <definedName name="Text303" localSheetId="0">Debt!#REF!</definedName>
    <definedName name="Text304" localSheetId="0">Debt!#REF!</definedName>
    <definedName name="Text305" localSheetId="0">Debt!#REF!</definedName>
    <definedName name="Text306" localSheetId="0">Debt!#REF!</definedName>
    <definedName name="Text307" localSheetId="0">Debt!#REF!</definedName>
    <definedName name="Text308" localSheetId="0">Description!$K$148</definedName>
    <definedName name="Text309" localSheetId="0">Debt!#REF!</definedName>
    <definedName name="Text310" localSheetId="0">Debt!#REF!</definedName>
    <definedName name="Text318" localSheetId="0">Description!$B$14</definedName>
    <definedName name="Text319" localSheetId="0">Description!$B$18</definedName>
    <definedName name="Text320" localSheetId="0">Description!$B$22</definedName>
    <definedName name="Text321" localSheetId="0">Description!$B$25</definedName>
    <definedName name="Text322" localSheetId="0">Description!$B$27</definedName>
    <definedName name="Text324" localSheetId="0">Description!#REF!</definedName>
    <definedName name="Text325" localSheetId="0">Description!#REF!</definedName>
    <definedName name="Text326" localSheetId="0">Description!#REF!</definedName>
    <definedName name="Text327" localSheetId="0">Description!#REF!</definedName>
    <definedName name="Text328" localSheetId="0">Description!#REF!</definedName>
    <definedName name="Text329" localSheetId="0">Description!#REF!</definedName>
    <definedName name="Text330" localSheetId="0">Description!#REF!</definedName>
    <definedName name="Text331" localSheetId="0">Description!#REF!</definedName>
    <definedName name="Text332" localSheetId="0">Description!#REF!</definedName>
    <definedName name="Text333" localSheetId="0">Description!#REF!</definedName>
    <definedName name="Text334" localSheetId="0">Description!#REF!</definedName>
    <definedName name="Text335" localSheetId="0">Description!#REF!</definedName>
    <definedName name="Text336" localSheetId="0">Description!$A$67</definedName>
    <definedName name="Text337" localSheetId="0">Description!$B$77</definedName>
    <definedName name="Text338" localSheetId="0">Description!$D$88</definedName>
    <definedName name="Text339" localSheetId="0">Description!$E$88</definedName>
    <definedName name="Text340" localSheetId="0">Description!#REF!</definedName>
    <definedName name="Text341" localSheetId="0">Description!#REF!</definedName>
    <definedName name="Text342" localSheetId="0">Description!#REF!</definedName>
    <definedName name="Text343" localSheetId="0">Description!#REF!</definedName>
    <definedName name="Text344" localSheetId="0">Description!#REF!</definedName>
    <definedName name="Text345" localSheetId="0">Description!$B$98</definedName>
    <definedName name="Text346" localSheetId="0">Description!$D$101</definedName>
    <definedName name="Text347" localSheetId="0">Description!$D$102</definedName>
    <definedName name="Text348" localSheetId="0">Description!$F$101</definedName>
    <definedName name="Text349" localSheetId="0">Description!$F$102</definedName>
    <definedName name="Text351" localSheetId="0">Description!$F$100</definedName>
    <definedName name="Text352" localSheetId="0">Description!$B$105</definedName>
    <definedName name="Text353" localSheetId="0">Description!$B$104</definedName>
    <definedName name="Text354" localSheetId="0">Description!$A$112</definedName>
    <definedName name="Text355" localSheetId="0">Description!$B$120</definedName>
    <definedName name="Text356" localSheetId="0">Debt!#REF!</definedName>
    <definedName name="Text357" localSheetId="0">Debt!#REF!</definedName>
    <definedName name="Text358" localSheetId="0">Debt!#REF!</definedName>
    <definedName name="Text359" localSheetId="0">Debt!#REF!</definedName>
    <definedName name="Text360" localSheetId="0">Debt!#REF!</definedName>
    <definedName name="Text361" localSheetId="0">Debt!#REF!</definedName>
    <definedName name="Text362" localSheetId="0">Description!$M$169</definedName>
    <definedName name="Text363" localSheetId="0">Description!$T$169</definedName>
    <definedName name="Text364" localSheetId="0">Debt!$D$19</definedName>
    <definedName name="Text365" localSheetId="0">Debt!$F$19</definedName>
    <definedName name="Text366" localSheetId="0">Debt!$H$19</definedName>
    <definedName name="Text367" localSheetId="0">Debt!#REF!</definedName>
    <definedName name="Text369" localSheetId="0">Rates!#REF!</definedName>
    <definedName name="Text370" localSheetId="0">Rates!#REF!</definedName>
    <definedName name="Text371" localSheetId="0">Rates!$B$13</definedName>
    <definedName name="Text372" localSheetId="0">Rates!#REF!</definedName>
    <definedName name="Text376" localSheetId="0">Rates!#REF!</definedName>
    <definedName name="Text377" localSheetId="0">Usage!#REF!</definedName>
    <definedName name="Text378" localSheetId="0">Usage!#REF!</definedName>
    <definedName name="Text380" localSheetId="0">Improvements!$B$23</definedName>
    <definedName name="Text384" localSheetId="0">Improvements!#REF!</definedName>
    <definedName name="Text385" localSheetId="0">Improvements!$C$27</definedName>
    <definedName name="Text386" localSheetId="0">Improvements!$F$29</definedName>
    <definedName name="Text387" localSheetId="0">Improvements!$E$30</definedName>
    <definedName name="Text388" localSheetId="0">Improvements!$C$28</definedName>
    <definedName name="Text389" localSheetId="0">Usage!#REF!</definedName>
    <definedName name="Text390" localSheetId="0">Improvements!#REF!</definedName>
    <definedName name="Text391" localSheetId="0">Improvements!#REF!</definedName>
    <definedName name="Text392" localSheetId="0">Improvements!#REF!</definedName>
    <definedName name="Text393" localSheetId="0">Improvements!#REF!</definedName>
    <definedName name="Text394" localSheetId="0">Improvements!#REF!</definedName>
    <definedName name="Text395" localSheetId="0">Improvements!#REF!</definedName>
    <definedName name="Text396" localSheetId="0">Improvements!#REF!</definedName>
    <definedName name="Text397" localSheetId="0">Improvements!#REF!</definedName>
    <definedName name="Text398" localSheetId="0">Improvements!#REF!</definedName>
    <definedName name="Text399" localSheetId="0">Improvements!#REF!</definedName>
    <definedName name="Text400" localSheetId="0">Improvements!#REF!</definedName>
    <definedName name="Text401" localSheetId="0">Improvements!$C$68</definedName>
    <definedName name="Text41" localSheetId="0">Usage!#REF!</definedName>
    <definedName name="Text42" localSheetId="0">Usage!#REF!</definedName>
    <definedName name="Text425" localSheetId="0">Usage!#REF!</definedName>
    <definedName name="Text431" localSheetId="0">Rates!#REF!</definedName>
    <definedName name="Text432" localSheetId="0">Rates!#REF!</definedName>
    <definedName name="Text433" localSheetId="0">Rates!#REF!</definedName>
    <definedName name="Text434" localSheetId="0">Rates!#REF!</definedName>
    <definedName name="Text435" localSheetId="0">Rates!#REF!</definedName>
    <definedName name="Text436" localSheetId="0">Rates!#REF!</definedName>
    <definedName name="Text437" localSheetId="0">Rates!#REF!</definedName>
    <definedName name="Text439" localSheetId="0">Usage!#REF!</definedName>
    <definedName name="Text440" localSheetId="0">Usage!#REF!</definedName>
    <definedName name="Text441" localSheetId="0">Usage!#REF!</definedName>
    <definedName name="Text442" localSheetId="0">Usage!#REF!</definedName>
    <definedName name="Text443" localSheetId="0">Usage!#REF!</definedName>
    <definedName name="Text444" localSheetId="0">Usage!#REF!</definedName>
    <definedName name="Text445" localSheetId="0">Usage!#REF!</definedName>
    <definedName name="Text446" localSheetId="0">Usage!#REF!</definedName>
    <definedName name="Text447" localSheetId="0">Usage!#REF!</definedName>
    <definedName name="Text448" localSheetId="0">Usage!#REF!</definedName>
    <definedName name="Text449" localSheetId="0">Usage!#REF!</definedName>
    <definedName name="Text450" localSheetId="0">Usage!#REF!</definedName>
    <definedName name="Text451" localSheetId="0">Usage!#REF!</definedName>
    <definedName name="Text452" localSheetId="0">Usage!#REF!</definedName>
    <definedName name="Text453" localSheetId="0">Usage!#REF!</definedName>
    <definedName name="Text454" localSheetId="0">Usage!#REF!</definedName>
    <definedName name="Text455" localSheetId="0">Usage!#REF!</definedName>
    <definedName name="Text456" localSheetId="0">Usage!#REF!</definedName>
    <definedName name="Text457" localSheetId="0">Usage!#REF!</definedName>
    <definedName name="Text458" localSheetId="0">Usage!#REF!</definedName>
    <definedName name="Text459" localSheetId="0">Usage!#REF!</definedName>
    <definedName name="Text460" localSheetId="0">Usage!#REF!</definedName>
    <definedName name="Text461" localSheetId="0">Usage!#REF!</definedName>
    <definedName name="Text462" localSheetId="0">Usage!#REF!</definedName>
    <definedName name="Text463" localSheetId="0">Usage!#REF!</definedName>
    <definedName name="Text464" localSheetId="0">Usage!#REF!</definedName>
    <definedName name="Text465" localSheetId="0">Usage!#REF!</definedName>
    <definedName name="Text466" localSheetId="0">Debt!#REF!</definedName>
    <definedName name="Text467" localSheetId="0">Usage!#REF!</definedName>
    <definedName name="Text468" localSheetId="0">Debt!$G$44</definedName>
    <definedName name="Text469" localSheetId="0">Improvements!$F$86</definedName>
    <definedName name="Text470" localSheetId="0">Improvements!#REF!</definedName>
    <definedName name="Text471" localSheetId="0">Improvements!#REF!</definedName>
    <definedName name="Text472" localSheetId="0">Improvements!#REF!</definedName>
    <definedName name="Text473" localSheetId="0">Improvements!#REF!</definedName>
    <definedName name="Text474" localSheetId="0">Improvements!$F$89</definedName>
    <definedName name="Text475" localSheetId="0">Description!#REF!</definedName>
    <definedName name="Text476" localSheetId="0">Description!$C$100</definedName>
    <definedName name="Text477" localSheetId="0">Debt!#REF!</definedName>
    <definedName name="Text478" localSheetId="0">Debt!$G$35</definedName>
    <definedName name="Text479" localSheetId="0">Rates!$C$6</definedName>
    <definedName name="Text480" localSheetId="0">Rates!$C$7</definedName>
    <definedName name="Text481" localSheetId="0">Rates!$C$8</definedName>
    <definedName name="Text482" localSheetId="0">Rates!$C$9</definedName>
    <definedName name="Text483" localSheetId="0">Rates!$C$10</definedName>
    <definedName name="Text484" localSheetId="0">Rates!$E$6</definedName>
    <definedName name="Text485" localSheetId="0">Rates!$F$7</definedName>
    <definedName name="Text486" localSheetId="0">Rates!$F$8</definedName>
    <definedName name="Text487" localSheetId="0">Rates!$F$9</definedName>
    <definedName name="Text488" localSheetId="0">Rates!$F$10</definedName>
    <definedName name="Text489" localSheetId="0">Usage!#REF!</definedName>
    <definedName name="Text49" localSheetId="0">Usage!#REF!</definedName>
    <definedName name="Text50" localSheetId="0">Usage!#REF!</definedName>
    <definedName name="Text51" localSheetId="0">Usage!#REF!</definedName>
    <definedName name="Text52" localSheetId="0">Usage!#REF!</definedName>
    <definedName name="Text53" localSheetId="0">Usage!#REF!</definedName>
    <definedName name="Text54" localSheetId="0">Usage!#REF!</definedName>
    <definedName name="Text55" localSheetId="0">Usage!#REF!</definedName>
    <definedName name="Text56" localSheetId="0">Usage!#REF!</definedName>
    <definedName name="Text57" localSheetId="0">Usage!#REF!</definedName>
    <definedName name="Text58" localSheetId="0">Usage!#REF!</definedName>
    <definedName name="Text59" localSheetId="0">Usage!#REF!</definedName>
    <definedName name="Text60" localSheetId="0">Usage!#REF!</definedName>
    <definedName name="Text61" localSheetId="0">Usage!#REF!</definedName>
    <definedName name="Text62" localSheetId="0">Usage!#REF!</definedName>
    <definedName name="Text63" localSheetId="0">Usage!#REF!</definedName>
    <definedName name="Text64" localSheetId="0">Usage!#REF!</definedName>
    <definedName name="Text65" localSheetId="0">Usage!#REF!</definedName>
    <definedName name="Text66" localSheetId="0">Usage!#REF!</definedName>
    <definedName name="Text67" localSheetId="0">Usage!#REF!</definedName>
    <definedName name="Text68" localSheetId="0">Usage!#REF!</definedName>
    <definedName name="Text69" localSheetId="0">Usage!#REF!</definedName>
    <definedName name="Text7" localSheetId="0">Usage!#REF!</definedName>
    <definedName name="Text70" localSheetId="0">Usage!#REF!</definedName>
    <definedName name="Text71" localSheetId="0">Usage!#REF!</definedName>
    <definedName name="Text72" localSheetId="0">Usage!#REF!</definedName>
    <definedName name="Text73" localSheetId="0">Usage!#REF!</definedName>
    <definedName name="Text74" localSheetId="0">Usage!#REF!</definedName>
    <definedName name="Text75" localSheetId="0">Usage!#REF!</definedName>
    <definedName name="Text76" localSheetId="0">Usage!#REF!</definedName>
    <definedName name="Text77" localSheetId="0">Usage!#REF!</definedName>
    <definedName name="Text78" localSheetId="0">Usage!#REF!</definedName>
    <definedName name="Text79" localSheetId="0">Usage!#REF!</definedName>
    <definedName name="Text8" localSheetId="0">Usage!#REF!</definedName>
    <definedName name="Text80" localSheetId="0">Usage!#REF!</definedName>
    <definedName name="Text81" localSheetId="0">Usage!#REF!</definedName>
    <definedName name="Text82" localSheetId="0">Usage!#REF!</definedName>
    <definedName name="Text83" localSheetId="0">Usage!#REF!</definedName>
    <definedName name="Text84" localSheetId="0">Usage!#REF!</definedName>
    <definedName name="Text85" localSheetId="0">Usage!#REF!</definedName>
    <definedName name="Text86" localSheetId="0">Usage!#REF!</definedName>
    <definedName name="Text87" localSheetId="0">Usage!#REF!</definedName>
    <definedName name="Text88" localSheetId="0">Usage!#REF!</definedName>
    <definedName name="Text89" localSheetId="0">Usage!#REF!</definedName>
    <definedName name="Text9" localSheetId="0">Usage!#REF!</definedName>
    <definedName name="Text90" localSheetId="0">Usage!#REF!</definedName>
    <definedName name="Text91" localSheetId="0">Usage!#REF!</definedName>
    <definedName name="Text92" localSheetId="0">Usage!#REF!</definedName>
    <definedName name="Text93" localSheetId="0">Usage!#REF!</definedName>
    <definedName name="Text94" localSheetId="0">Usage!#REF!</definedName>
    <definedName name="Text95" localSheetId="0">Usage!#REF!</definedName>
    <definedName name="Text96" localSheetId="0">Usage!#REF!</definedName>
    <definedName name="Text97" localSheetId="0">Usage!#REF!</definedName>
    <definedName name="Text98" localSheetId="0">Usage!#REF!</definedName>
    <definedName name="Text99" localSheetId="0">Usage!#REF!</definedName>
  </definedNames>
  <calcPr calcId="145621"/>
</workbook>
</file>

<file path=xl/calcChain.xml><?xml version="1.0" encoding="utf-8"?>
<calcChain xmlns="http://schemas.openxmlformats.org/spreadsheetml/2006/main">
  <c r="F107" i="10" l="1"/>
  <c r="F106" i="10"/>
  <c r="F105" i="10"/>
  <c r="F104" i="10"/>
  <c r="F101" i="10"/>
  <c r="F100" i="10"/>
  <c r="F99" i="10"/>
  <c r="F98" i="10"/>
  <c r="F95" i="10"/>
  <c r="F94" i="10"/>
  <c r="F93" i="10"/>
  <c r="F92" i="10"/>
  <c r="F89" i="10"/>
  <c r="F88" i="10"/>
  <c r="F87" i="10"/>
  <c r="F86" i="10"/>
  <c r="F83" i="10"/>
  <c r="F82" i="10"/>
  <c r="F81" i="10"/>
  <c r="F80" i="10"/>
  <c r="F218" i="9" l="1"/>
  <c r="E110" i="10"/>
  <c r="F117" i="9" l="1"/>
  <c r="F105" i="9"/>
  <c r="F93" i="9"/>
  <c r="H137" i="3" l="1"/>
  <c r="F180" i="9"/>
  <c r="F168" i="9"/>
  <c r="F156" i="9"/>
  <c r="F192" i="9"/>
  <c r="I83" i="2"/>
  <c r="G85" i="2"/>
  <c r="F84" i="2"/>
  <c r="H184" i="9"/>
  <c r="H186" i="9" s="1"/>
  <c r="G220" i="9"/>
  <c r="I206" i="9"/>
  <c r="H206" i="9"/>
  <c r="G205" i="9"/>
  <c r="I205" i="9" s="1"/>
  <c r="G204" i="9"/>
  <c r="E204" i="9"/>
  <c r="I195" i="9"/>
  <c r="H195" i="9"/>
  <c r="I183" i="9"/>
  <c r="G184" i="9"/>
  <c r="I171" i="9"/>
  <c r="H171" i="9"/>
  <c r="I170" i="9"/>
  <c r="H170" i="9"/>
  <c r="I159" i="9"/>
  <c r="H159" i="9"/>
  <c r="I158" i="9"/>
  <c r="H158" i="9"/>
  <c r="F81" i="9"/>
  <c r="G144" i="2"/>
  <c r="G146" i="2" s="1"/>
  <c r="G148" i="2" s="1"/>
  <c r="F96" i="2"/>
  <c r="F146" i="2"/>
  <c r="F137" i="2"/>
  <c r="G135" i="2"/>
  <c r="G137" i="2" s="1"/>
  <c r="F125" i="2"/>
  <c r="G122" i="2"/>
  <c r="E122" i="2"/>
  <c r="G121" i="2"/>
  <c r="E121" i="2" s="1"/>
  <c r="G120" i="2"/>
  <c r="E120" i="2" s="1"/>
  <c r="F113" i="2"/>
  <c r="G110" i="2"/>
  <c r="E110" i="2"/>
  <c r="G109" i="2"/>
  <c r="E109" i="2" s="1"/>
  <c r="G108" i="2"/>
  <c r="E108" i="2" s="1"/>
  <c r="H204" i="9" l="1"/>
  <c r="G208" i="9"/>
  <c r="G113" i="2"/>
  <c r="G115" i="2" s="1"/>
  <c r="H143" i="9"/>
  <c r="H218" i="9" s="1"/>
  <c r="H220" i="9" s="1"/>
  <c r="H222" i="9" s="1"/>
  <c r="G125" i="2"/>
  <c r="E135" i="2"/>
  <c r="G82" i="9"/>
  <c r="G157" i="9" s="1"/>
  <c r="I180" i="9"/>
  <c r="I204" i="9"/>
  <c r="H205" i="9"/>
  <c r="E144" i="2"/>
  <c r="G127" i="2"/>
  <c r="G126" i="2"/>
  <c r="G139" i="2"/>
  <c r="G138" i="2"/>
  <c r="G147" i="2"/>
  <c r="H120" i="3"/>
  <c r="H113" i="3"/>
  <c r="G145" i="9"/>
  <c r="I131" i="9"/>
  <c r="H131" i="9"/>
  <c r="G130" i="9"/>
  <c r="H130" i="9" s="1"/>
  <c r="G129" i="9"/>
  <c r="I129" i="9" s="1"/>
  <c r="E129" i="9"/>
  <c r="I120" i="9"/>
  <c r="H120" i="9"/>
  <c r="I108" i="9"/>
  <c r="H108" i="9"/>
  <c r="I96" i="9"/>
  <c r="H96" i="9"/>
  <c r="I95" i="9"/>
  <c r="H95" i="9"/>
  <c r="I84" i="9"/>
  <c r="H84" i="9"/>
  <c r="I83" i="9"/>
  <c r="H83" i="9"/>
  <c r="F23" i="4"/>
  <c r="F22" i="4"/>
  <c r="F21" i="4"/>
  <c r="F20" i="4"/>
  <c r="F19" i="4"/>
  <c r="F10" i="2"/>
  <c r="G10" i="2" s="1"/>
  <c r="F9" i="2"/>
  <c r="G114" i="2" l="1"/>
  <c r="G9" i="2"/>
  <c r="I130" i="9"/>
  <c r="G133" i="9"/>
  <c r="H129" i="9"/>
  <c r="G81" i="9" l="1"/>
  <c r="G84" i="2"/>
  <c r="G89" i="2" s="1"/>
  <c r="F89" i="2"/>
  <c r="J55" i="2"/>
  <c r="G60" i="2"/>
  <c r="F71" i="2"/>
  <c r="G35" i="2"/>
  <c r="G34" i="2"/>
  <c r="G33" i="2"/>
  <c r="G47" i="2"/>
  <c r="G46" i="2"/>
  <c r="G45" i="2"/>
  <c r="AA199" i="2"/>
  <c r="S22" i="2" s="1"/>
  <c r="G22" i="2" s="1"/>
  <c r="Z199" i="2"/>
  <c r="R22" i="2" s="1"/>
  <c r="F22" i="2" s="1"/>
  <c r="F97" i="2" s="1"/>
  <c r="X199" i="2"/>
  <c r="S21" i="2" s="1"/>
  <c r="G21" i="2" s="1"/>
  <c r="W199" i="2"/>
  <c r="R21" i="2" s="1"/>
  <c r="F21" i="2" s="1"/>
  <c r="AO6" i="2"/>
  <c r="AP7" i="2" s="1"/>
  <c r="AP6" i="2"/>
  <c r="AL7" i="2"/>
  <c r="AM7" i="2"/>
  <c r="AJ24" i="2"/>
  <c r="AJ25" i="2" s="1"/>
  <c r="AI24" i="2"/>
  <c r="AJ30" i="2" s="1"/>
  <c r="AG26" i="2"/>
  <c r="AG27" i="2" s="1"/>
  <c r="AF26" i="2"/>
  <c r="Z159" i="2"/>
  <c r="AA164" i="2" s="1"/>
  <c r="W159" i="2"/>
  <c r="R9" i="2" s="1"/>
  <c r="X159" i="2"/>
  <c r="X160" i="2" s="1"/>
  <c r="AA158" i="2"/>
  <c r="AA147" i="2"/>
  <c r="AA69" i="2"/>
  <c r="AA65" i="2"/>
  <c r="AA60" i="2"/>
  <c r="AA58" i="2"/>
  <c r="AA56" i="2"/>
  <c r="AA52" i="2"/>
  <c r="AA48" i="2"/>
  <c r="AA47" i="2"/>
  <c r="AA42" i="2"/>
  <c r="AA41" i="2"/>
  <c r="AA40" i="2"/>
  <c r="AA39" i="2"/>
  <c r="AA38" i="2"/>
  <c r="AA35" i="2"/>
  <c r="AA34" i="2"/>
  <c r="AA30" i="2"/>
  <c r="AA29" i="2"/>
  <c r="AA10" i="2"/>
  <c r="AA5" i="2"/>
  <c r="AA159" i="2" l="1"/>
  <c r="AA165" i="2" s="1"/>
  <c r="AM8" i="2"/>
  <c r="S9" i="2"/>
  <c r="F101" i="2"/>
  <c r="AA160" i="2"/>
  <c r="S10" i="2"/>
  <c r="AJ31" i="2"/>
  <c r="I85" i="2"/>
  <c r="R10" i="2"/>
  <c r="G90" i="2"/>
  <c r="G91" i="2"/>
  <c r="G156" i="9"/>
  <c r="I81" i="9"/>
  <c r="G103" i="1"/>
  <c r="G102" i="1"/>
  <c r="D102" i="1"/>
  <c r="G101" i="1"/>
  <c r="D101" i="1"/>
  <c r="G100" i="1"/>
  <c r="D100" i="1"/>
  <c r="R33" i="2"/>
  <c r="Q33" i="2" s="1"/>
  <c r="R34" i="2"/>
  <c r="R45" i="2"/>
  <c r="R50" i="2" s="1"/>
  <c r="Q51" i="2" s="1"/>
  <c r="R62" i="2"/>
  <c r="S60" i="2"/>
  <c r="S62" i="2" s="1"/>
  <c r="S48" i="2"/>
  <c r="S47" i="2"/>
  <c r="Q47" i="2" s="1"/>
  <c r="S46" i="2"/>
  <c r="Q46" i="2" s="1"/>
  <c r="S45" i="2"/>
  <c r="S50" i="2" s="1"/>
  <c r="S52" i="2" s="1"/>
  <c r="S36" i="2"/>
  <c r="S35" i="2"/>
  <c r="S34" i="2"/>
  <c r="Q34" i="2"/>
  <c r="S33" i="2"/>
  <c r="S12" i="2"/>
  <c r="Z47" i="8"/>
  <c r="Z48" i="8"/>
  <c r="Z49" i="8"/>
  <c r="Z46" i="8"/>
  <c r="Z41" i="8"/>
  <c r="Z42" i="8"/>
  <c r="Z43" i="8"/>
  <c r="Z40" i="8"/>
  <c r="Z37" i="8"/>
  <c r="Z35" i="8"/>
  <c r="Z36" i="8"/>
  <c r="Z34" i="8"/>
  <c r="Z31" i="8"/>
  <c r="Z29" i="8"/>
  <c r="Z30" i="8"/>
  <c r="Z28" i="8"/>
  <c r="Z24" i="8"/>
  <c r="Z25" i="8"/>
  <c r="Z23" i="8"/>
  <c r="Z22" i="8"/>
  <c r="P49" i="8"/>
  <c r="P48" i="8"/>
  <c r="P47" i="8"/>
  <c r="P46" i="8"/>
  <c r="P43" i="8"/>
  <c r="P42" i="8"/>
  <c r="P35" i="8"/>
  <c r="P36" i="8"/>
  <c r="P37" i="8"/>
  <c r="P41" i="8"/>
  <c r="P40" i="8"/>
  <c r="P34" i="8"/>
  <c r="P31" i="8"/>
  <c r="P30" i="8"/>
  <c r="P29" i="8"/>
  <c r="P28" i="8"/>
  <c r="P25" i="8"/>
  <c r="P24" i="8"/>
  <c r="P23" i="8"/>
  <c r="P22" i="8"/>
  <c r="H77" i="3"/>
  <c r="H70" i="3"/>
  <c r="H38" i="3"/>
  <c r="H31" i="3"/>
  <c r="H61" i="3"/>
  <c r="H104" i="3" s="1"/>
  <c r="H59" i="3"/>
  <c r="H102" i="3" s="1"/>
  <c r="H58" i="3"/>
  <c r="H101" i="3" s="1"/>
  <c r="H57" i="3"/>
  <c r="H100" i="3" s="1"/>
  <c r="H56" i="3"/>
  <c r="H99" i="3" s="1"/>
  <c r="H55" i="3"/>
  <c r="H98" i="3" s="1"/>
  <c r="H54" i="3"/>
  <c r="H97" i="3" s="1"/>
  <c r="H62" i="3"/>
  <c r="H105" i="3" s="1"/>
  <c r="R38" i="2" l="1"/>
  <c r="Q39" i="2" s="1"/>
  <c r="I156" i="9"/>
  <c r="G160" i="9"/>
  <c r="S38" i="2"/>
  <c r="Q60" i="2"/>
  <c r="S26" i="2"/>
  <c r="S28" i="2" s="1"/>
  <c r="R26" i="2"/>
  <c r="Q27" i="2" s="1"/>
  <c r="Q21" i="2"/>
  <c r="Q10" i="2"/>
  <c r="Q45" i="2"/>
  <c r="Q35" i="2"/>
  <c r="Q22" i="2"/>
  <c r="S64" i="2"/>
  <c r="S63" i="2"/>
  <c r="S40" i="2"/>
  <c r="S39" i="2"/>
  <c r="S14" i="2"/>
  <c r="S51" i="2"/>
  <c r="G14" i="2"/>
  <c r="E47" i="2"/>
  <c r="G69" i="2"/>
  <c r="G71" i="2" s="1"/>
  <c r="G73" i="2" l="1"/>
  <c r="G72" i="2"/>
  <c r="S27" i="2"/>
  <c r="S16" i="2"/>
  <c r="E69" i="2"/>
  <c r="E67" i="9" s="1"/>
  <c r="G69" i="9"/>
  <c r="H57" i="9"/>
  <c r="G55" i="9"/>
  <c r="F43" i="9"/>
  <c r="G45" i="9"/>
  <c r="G119" i="9" s="1"/>
  <c r="G194" i="9" s="1"/>
  <c r="G56" i="9"/>
  <c r="E55" i="9"/>
  <c r="I46" i="9"/>
  <c r="H46" i="9"/>
  <c r="F67" i="9" l="1"/>
  <c r="H67" i="9"/>
  <c r="I57" i="9"/>
  <c r="G59" i="9"/>
  <c r="I56" i="9"/>
  <c r="H55" i="9"/>
  <c r="I55" i="9"/>
  <c r="H56" i="9"/>
  <c r="E35" i="2"/>
  <c r="E33" i="9" s="1"/>
  <c r="G31" i="9"/>
  <c r="G105" i="9" s="1"/>
  <c r="F31" i="9"/>
  <c r="G33" i="9"/>
  <c r="I34" i="9"/>
  <c r="H34" i="9"/>
  <c r="F19" i="9"/>
  <c r="I22" i="9"/>
  <c r="H22" i="9"/>
  <c r="I21" i="9"/>
  <c r="H21" i="9"/>
  <c r="F7" i="9"/>
  <c r="H10" i="9"/>
  <c r="E60" i="2"/>
  <c r="E58" i="9" s="1"/>
  <c r="G44" i="9"/>
  <c r="G118" i="9" s="1"/>
  <c r="G193" i="9" s="1"/>
  <c r="G43" i="9"/>
  <c r="G117" i="9" s="1"/>
  <c r="G192" i="9" s="1"/>
  <c r="I192" i="9" s="1"/>
  <c r="G19" i="9"/>
  <c r="G196" i="9" l="1"/>
  <c r="G93" i="9"/>
  <c r="G168" i="9" s="1"/>
  <c r="I19" i="9"/>
  <c r="F58" i="9"/>
  <c r="I58" i="9" s="1"/>
  <c r="I59" i="9" s="1"/>
  <c r="E132" i="9"/>
  <c r="I105" i="9"/>
  <c r="E143" i="9"/>
  <c r="E218" i="9" s="1"/>
  <c r="I218" i="9" s="1"/>
  <c r="I220" i="9" s="1"/>
  <c r="H145" i="9"/>
  <c r="H147" i="9" s="1"/>
  <c r="I117" i="9"/>
  <c r="G121" i="9"/>
  <c r="H69" i="9"/>
  <c r="H71" i="9" s="1"/>
  <c r="I67" i="9"/>
  <c r="I69" i="9" s="1"/>
  <c r="I70" i="9" s="1"/>
  <c r="F33" i="9"/>
  <c r="I43" i="9"/>
  <c r="E34" i="2"/>
  <c r="E32" i="9" s="1"/>
  <c r="E106" i="9" s="1"/>
  <c r="G26" i="2"/>
  <c r="G28" i="2" s="1"/>
  <c r="H58" i="9"/>
  <c r="E22" i="2"/>
  <c r="G32" i="9"/>
  <c r="G106" i="9" s="1"/>
  <c r="G62" i="2"/>
  <c r="G64" i="2" s="1"/>
  <c r="E45" i="2"/>
  <c r="E43" i="9" s="1"/>
  <c r="E117" i="9" s="1"/>
  <c r="E192" i="9" s="1"/>
  <c r="F50" i="2"/>
  <c r="G20" i="9"/>
  <c r="G94" i="9" s="1"/>
  <c r="E46" i="2"/>
  <c r="E44" i="9" s="1"/>
  <c r="E118" i="9" s="1"/>
  <c r="H33" i="9"/>
  <c r="H107" i="9" s="1"/>
  <c r="F26" i="2"/>
  <c r="E45" i="9"/>
  <c r="G47" i="9"/>
  <c r="E8" i="9"/>
  <c r="E82" i="9" s="1"/>
  <c r="E157" i="9" s="1"/>
  <c r="G8" i="9"/>
  <c r="I31" i="9"/>
  <c r="I9" i="9"/>
  <c r="H9" i="9"/>
  <c r="I10" i="9"/>
  <c r="F62" i="2"/>
  <c r="G50" i="2"/>
  <c r="E33" i="2"/>
  <c r="E31" i="9" s="1"/>
  <c r="E105" i="9" s="1"/>
  <c r="E180" i="9" s="1"/>
  <c r="F38" i="2"/>
  <c r="G38" i="2"/>
  <c r="E21" i="2"/>
  <c r="G16" i="2"/>
  <c r="F157" i="9" l="1"/>
  <c r="I157" i="9" s="1"/>
  <c r="I160" i="9" s="1"/>
  <c r="I93" i="9"/>
  <c r="I222" i="9"/>
  <c r="I221" i="9"/>
  <c r="E19" i="9"/>
  <c r="E93" i="9" s="1"/>
  <c r="E168" i="9" s="1"/>
  <c r="E96" i="2"/>
  <c r="G96" i="2" s="1"/>
  <c r="I168" i="9"/>
  <c r="E20" i="9"/>
  <c r="E94" i="9" s="1"/>
  <c r="E97" i="2"/>
  <c r="G97" i="2" s="1"/>
  <c r="F118" i="9"/>
  <c r="I118" i="9" s="1"/>
  <c r="E193" i="9"/>
  <c r="F132" i="9"/>
  <c r="I132" i="9" s="1"/>
  <c r="I133" i="9" s="1"/>
  <c r="I135" i="9" s="1"/>
  <c r="E207" i="9"/>
  <c r="G97" i="9"/>
  <c r="G169" i="9"/>
  <c r="G172" i="9" s="1"/>
  <c r="F106" i="9"/>
  <c r="I106" i="9" s="1"/>
  <c r="E181" i="9"/>
  <c r="F82" i="9"/>
  <c r="I82" i="9" s="1"/>
  <c r="H82" i="9"/>
  <c r="H157" i="9" s="1"/>
  <c r="F143" i="9"/>
  <c r="I143" i="9" s="1"/>
  <c r="I145" i="9" s="1"/>
  <c r="E119" i="9"/>
  <c r="E107" i="9"/>
  <c r="G109" i="9"/>
  <c r="I134" i="9"/>
  <c r="H59" i="9"/>
  <c r="H61" i="9" s="1"/>
  <c r="H132" i="9"/>
  <c r="I71" i="9"/>
  <c r="F45" i="9"/>
  <c r="F44" i="9"/>
  <c r="I44" i="9" s="1"/>
  <c r="H43" i="9"/>
  <c r="H117" i="9" s="1"/>
  <c r="H192" i="9" s="1"/>
  <c r="H31" i="9"/>
  <c r="H105" i="9" s="1"/>
  <c r="G35" i="9"/>
  <c r="F32" i="9"/>
  <c r="I32" i="9" s="1"/>
  <c r="F8" i="9"/>
  <c r="I8" i="9" s="1"/>
  <c r="I33" i="9"/>
  <c r="H45" i="9"/>
  <c r="H119" i="9" s="1"/>
  <c r="H194" i="9" s="1"/>
  <c r="G63" i="2"/>
  <c r="G23" i="9"/>
  <c r="H32" i="9"/>
  <c r="H106" i="9" s="1"/>
  <c r="H44" i="9"/>
  <c r="H118" i="9" s="1"/>
  <c r="H193" i="9" s="1"/>
  <c r="I61" i="9"/>
  <c r="I60" i="9"/>
  <c r="G27" i="2"/>
  <c r="H8" i="9"/>
  <c r="G52" i="2"/>
  <c r="G51" i="2"/>
  <c r="G39" i="2"/>
  <c r="G40" i="2"/>
  <c r="F20" i="9" l="1"/>
  <c r="I20" i="9" s="1"/>
  <c r="I23" i="9" s="1"/>
  <c r="H20" i="9"/>
  <c r="H94" i="9" s="1"/>
  <c r="H169" i="9" s="1"/>
  <c r="H19" i="9"/>
  <c r="H93" i="9" s="1"/>
  <c r="H168" i="9" s="1"/>
  <c r="I161" i="9"/>
  <c r="I162" i="9"/>
  <c r="F181" i="9"/>
  <c r="I181" i="9" s="1"/>
  <c r="F207" i="9"/>
  <c r="I207" i="9" s="1"/>
  <c r="I208" i="9" s="1"/>
  <c r="F193" i="9"/>
  <c r="I193" i="9" s="1"/>
  <c r="G101" i="2"/>
  <c r="F119" i="9"/>
  <c r="I119" i="9" s="1"/>
  <c r="I121" i="9" s="1"/>
  <c r="I122" i="9" s="1"/>
  <c r="E194" i="9"/>
  <c r="G103" i="2"/>
  <c r="G102" i="2"/>
  <c r="H133" i="9"/>
  <c r="H135" i="9" s="1"/>
  <c r="H207" i="9"/>
  <c r="H208" i="9" s="1"/>
  <c r="H210" i="9" s="1"/>
  <c r="H196" i="9"/>
  <c r="H198" i="9" s="1"/>
  <c r="F107" i="9"/>
  <c r="I107" i="9" s="1"/>
  <c r="I109" i="9" s="1"/>
  <c r="I110" i="9" s="1"/>
  <c r="E182" i="9"/>
  <c r="F94" i="9"/>
  <c r="I94" i="9" s="1"/>
  <c r="I97" i="9" s="1"/>
  <c r="I99" i="9" s="1"/>
  <c r="E169" i="9"/>
  <c r="I147" i="9"/>
  <c r="I146" i="9"/>
  <c r="H109" i="9"/>
  <c r="H111" i="9" s="1"/>
  <c r="H121" i="9"/>
  <c r="H123" i="9" s="1"/>
  <c r="H35" i="9"/>
  <c r="H37" i="9" s="1"/>
  <c r="I45" i="9"/>
  <c r="I47" i="9" s="1"/>
  <c r="I48" i="9" s="1"/>
  <c r="I35" i="9"/>
  <c r="I36" i="9" s="1"/>
  <c r="H47" i="9"/>
  <c r="H49" i="9" s="1"/>
  <c r="I24" i="9"/>
  <c r="I25" i="9"/>
  <c r="H23" i="9" l="1"/>
  <c r="H25" i="9" s="1"/>
  <c r="H172" i="9"/>
  <c r="H174" i="9" s="1"/>
  <c r="I98" i="9"/>
  <c r="H97" i="9"/>
  <c r="H99" i="9" s="1"/>
  <c r="I209" i="9"/>
  <c r="I210" i="9"/>
  <c r="I111" i="9"/>
  <c r="F169" i="9"/>
  <c r="I169" i="9" s="1"/>
  <c r="I172" i="9" s="1"/>
  <c r="F194" i="9"/>
  <c r="I194" i="9" s="1"/>
  <c r="I196" i="9" s="1"/>
  <c r="F182" i="9"/>
  <c r="I182" i="9" s="1"/>
  <c r="I184" i="9" s="1"/>
  <c r="I123" i="9"/>
  <c r="I49" i="9"/>
  <c r="I37" i="9"/>
  <c r="I185" i="9" l="1"/>
  <c r="I186" i="9"/>
  <c r="I197" i="9"/>
  <c r="I198" i="9"/>
  <c r="I174" i="9"/>
  <c r="I173" i="9"/>
  <c r="H24" i="3"/>
  <c r="H60" i="3"/>
  <c r="H12" i="3"/>
  <c r="D103" i="1"/>
  <c r="H91" i="3" l="1"/>
  <c r="I212" i="9"/>
  <c r="I224" i="9" s="1"/>
  <c r="H63" i="3"/>
  <c r="H103" i="3"/>
  <c r="H106" i="3" s="1"/>
  <c r="H25" i="3"/>
  <c r="H33" i="3" s="1"/>
  <c r="H40" i="3" s="1"/>
  <c r="H143" i="3" l="1"/>
  <c r="P66" i="3" l="1"/>
  <c r="P67" i="3" l="1"/>
  <c r="H155" i="3"/>
  <c r="P70" i="3" l="1"/>
  <c r="F14" i="2" l="1"/>
  <c r="E7" i="9"/>
  <c r="E81" i="9" s="1"/>
  <c r="G7" i="9"/>
  <c r="Q9" i="2"/>
  <c r="H81" i="9" l="1"/>
  <c r="H156" i="9" s="1"/>
  <c r="H160" i="9" s="1"/>
  <c r="H162" i="9" s="1"/>
  <c r="E156" i="9"/>
  <c r="I13" i="2"/>
  <c r="I14" i="2" s="1"/>
  <c r="I82" i="2"/>
  <c r="F66" i="10" s="1"/>
  <c r="I85" i="9"/>
  <c r="G85" i="9"/>
  <c r="H7" i="9"/>
  <c r="I7" i="9"/>
  <c r="I11" i="9" s="1"/>
  <c r="I13" i="9" s="1"/>
  <c r="G15" i="2"/>
  <c r="E44" i="4"/>
  <c r="G11" i="9"/>
  <c r="R14" i="2"/>
  <c r="H11" i="9" l="1"/>
  <c r="H13" i="9" s="1"/>
  <c r="H85" i="9"/>
  <c r="H87" i="9" s="1"/>
  <c r="I86" i="9"/>
  <c r="I87" i="9"/>
  <c r="I12" i="9"/>
  <c r="S15" i="2"/>
  <c r="Q15" i="2"/>
  <c r="H94" i="3" l="1"/>
  <c r="H107" i="3" s="1"/>
  <c r="I137" i="9"/>
  <c r="H48" i="3" l="1"/>
  <c r="H51" i="3" s="1"/>
  <c r="H64" i="3" s="1"/>
  <c r="H72" i="3" s="1"/>
  <c r="H115" i="3"/>
  <c r="H126" i="3"/>
  <c r="H83" i="3" l="1"/>
  <c r="K83" i="3" s="1"/>
  <c r="K351" i="9"/>
</calcChain>
</file>

<file path=xl/sharedStrings.xml><?xml version="1.0" encoding="utf-8"?>
<sst xmlns="http://schemas.openxmlformats.org/spreadsheetml/2006/main" count="2425" uniqueCount="361">
  <si>
    <t>A.</t>
  </si>
  <si>
    <t>II.</t>
  </si>
  <si>
    <t>Cost per 1,000 gallons if sewage treatment is contracted:</t>
  </si>
  <si>
    <t>B.</t>
  </si>
  <si>
    <t>C.</t>
  </si>
  <si>
    <t>D.</t>
  </si>
  <si>
    <t>E.</t>
  </si>
  <si>
    <t>Sewage Collection System:</t>
  </si>
  <si>
    <t>8"</t>
  </si>
  <si>
    <t>10"</t>
  </si>
  <si>
    <t>F.</t>
  </si>
  <si>
    <t>III.</t>
  </si>
  <si>
    <t>FACILITY CHARACTERISTICS OF EXISTING WATER SYSTEM</t>
  </si>
  <si>
    <t>Seller(s):</t>
  </si>
  <si>
    <t>Price/1,000 gallons:</t>
  </si>
  <si>
    <t>(Original cost per books – before depreciation)</t>
  </si>
  <si>
    <t>Water Storage:</t>
  </si>
  <si>
    <t>Type:</t>
  </si>
  <si>
    <t xml:space="preserve">Ground Storage Tank </t>
  </si>
  <si>
    <t>Elevated Tank</t>
  </si>
  <si>
    <t xml:space="preserve">Standpipe </t>
  </si>
  <si>
    <t>Other</t>
  </si>
  <si>
    <t xml:space="preserve">Number of Storage Structures </t>
  </si>
  <si>
    <t>Total Storage Volume Capacity</t>
  </si>
  <si>
    <t xml:space="preserve">Date Storage Tank(s) Constructed </t>
  </si>
  <si>
    <t>Water Distribution System:</t>
  </si>
  <si>
    <t>Lineal Feet of Pipe:  Piping sizes vary from 2” to 8” in diameter</t>
  </si>
  <si>
    <t xml:space="preserve"> 3"        </t>
  </si>
  <si>
    <t xml:space="preserve"> 6"</t>
  </si>
  <si>
    <t xml:space="preserve">  </t>
  </si>
  <si>
    <t>Condition of Existing Water System:</t>
  </si>
  <si>
    <t>EXISTING LONG-TERM INDEBTEDNESS</t>
  </si>
  <si>
    <t>Date</t>
  </si>
  <si>
    <t>Principal</t>
  </si>
  <si>
    <t>Bond Type</t>
  </si>
  <si>
    <t>of Issue</t>
  </si>
  <si>
    <t>Holder</t>
  </si>
  <si>
    <t>Balance</t>
  </si>
  <si>
    <t>Water/Sewer*</t>
  </si>
  <si>
    <t>Interest</t>
  </si>
  <si>
    <t>V.</t>
  </si>
  <si>
    <t>EXISTING SHORT-TERM INDEBTEDNESS</t>
  </si>
  <si>
    <t>VI.</t>
  </si>
  <si>
    <t>LAND AND RIGHTS - EXISTING SYSTEM(S)</t>
  </si>
  <si>
    <t>Number of Treatment Plant Sites:</t>
  </si>
  <si>
    <t>Number of Storage Tank Sites</t>
  </si>
  <si>
    <t>Sewer</t>
  </si>
  <si>
    <t>Number of Pump Stations:</t>
  </si>
  <si>
    <t>Total Acreage:</t>
  </si>
  <si>
    <t>Acres</t>
  </si>
  <si>
    <t>Purchase Price:</t>
  </si>
  <si>
    <r>
      <t xml:space="preserve">Water  </t>
    </r>
    <r>
      <rPr>
        <u/>
        <sz val="12"/>
        <rFont val="Times New Roman"/>
        <family val="1"/>
      </rPr>
      <t>$</t>
    </r>
  </si>
  <si>
    <t>VII.</t>
  </si>
  <si>
    <t>NUMBER OF EXISTING USERS</t>
  </si>
  <si>
    <t>Water</t>
  </si>
  <si>
    <t>Total</t>
  </si>
  <si>
    <t>Number to Total Potential Users Living in the Service Area</t>
  </si>
  <si>
    <t>VIII.</t>
  </si>
  <si>
    <t>Meter Size</t>
  </si>
  <si>
    <t>Water Connection Fee</t>
  </si>
  <si>
    <t>Sewer Connection Fee</t>
  </si>
  <si>
    <t>5/8"  x  3/4"</t>
  </si>
  <si>
    <t>IX.</t>
  </si>
  <si>
    <t>First</t>
  </si>
  <si>
    <t>Gallons</t>
  </si>
  <si>
    <t>@</t>
  </si>
  <si>
    <t>per 1,000 Gallons.</t>
  </si>
  <si>
    <t>Next</t>
  </si>
  <si>
    <t>Over</t>
  </si>
  <si>
    <t>Monthly Sewer Usage</t>
  </si>
  <si>
    <t>Average</t>
  </si>
  <si>
    <t>No. of</t>
  </si>
  <si>
    <t>Usage</t>
  </si>
  <si>
    <t>Users</t>
  </si>
  <si>
    <t>(     )</t>
  </si>
  <si>
    <t>Average Usage</t>
  </si>
  <si>
    <t xml:space="preserve">Number and Capacity of Sewage Lift Stations </t>
  </si>
  <si>
    <t>XIV.</t>
  </si>
  <si>
    <t>Number of Treatment Plant Sites</t>
  </si>
  <si>
    <t>Number of Pump Sites</t>
  </si>
  <si>
    <t>Number of Other Sites</t>
  </si>
  <si>
    <t>Total Acreage</t>
  </si>
  <si>
    <t>Purchase Price</t>
  </si>
  <si>
    <t>XVIII.</t>
  </si>
  <si>
    <t>XIX.</t>
  </si>
  <si>
    <t>Meter</t>
  </si>
  <si>
    <t>Size*</t>
  </si>
  <si>
    <t>Rate</t>
  </si>
  <si>
    <t xml:space="preserve">         Non-Residential         </t>
  </si>
  <si>
    <t>Income</t>
  </si>
  <si>
    <t>Users**</t>
  </si>
  <si>
    <t>Inch</t>
  </si>
  <si>
    <t>______</t>
  </si>
  <si>
    <t>Sub-Total</t>
  </si>
  <si>
    <t>Average Monthly Rate</t>
  </si>
  <si>
    <t>Average Monthly Usage</t>
  </si>
  <si>
    <t>1-</t>
  </si>
  <si>
    <t>(_____)</t>
  </si>
  <si>
    <t>2-</t>
  </si>
  <si>
    <t>3-</t>
  </si>
  <si>
    <t>4-</t>
  </si>
  <si>
    <t>*</t>
  </si>
  <si>
    <t>**</t>
  </si>
  <si>
    <t>Number of users should reflect the actual number of "meter settings".</t>
  </si>
  <si>
    <t>If billed as a typical user, the information should be included in the residential information above.  If not billed as a typical residential user, please explain below.</t>
  </si>
  <si>
    <t>Name</t>
  </si>
  <si>
    <t>Number</t>
  </si>
  <si>
    <t>Revenue</t>
  </si>
  <si>
    <t>of Unit</t>
  </si>
  <si>
    <t>of Units</t>
  </si>
  <si>
    <t>of Meters</t>
  </si>
  <si>
    <t>Calculations</t>
  </si>
  <si>
    <t>_____________________</t>
  </si>
  <si>
    <t>_______</t>
  </si>
  <si>
    <t>_____________________________________</t>
  </si>
  <si>
    <t>(No New Sewer Customers)</t>
  </si>
  <si>
    <t xml:space="preserve">        Residential        </t>
  </si>
  <si>
    <t>5-</t>
  </si>
  <si>
    <t>6-</t>
  </si>
  <si>
    <t>TOTALS</t>
  </si>
  <si>
    <t>XXV.</t>
  </si>
  <si>
    <t>Operating Income:</t>
  </si>
  <si>
    <t>Total Operating Income</t>
  </si>
  <si>
    <t>Net Operating Income</t>
  </si>
  <si>
    <t>Non-Operating Income:</t>
  </si>
  <si>
    <t>Interest Income</t>
  </si>
  <si>
    <t>Total Non-Operating Income</t>
  </si>
  <si>
    <t>Net Income</t>
  </si>
  <si>
    <t>Balance Available for Coverage</t>
  </si>
  <si>
    <t>Operation and Maintenance Expenses:</t>
  </si>
  <si>
    <t xml:space="preserve">Water Sales  </t>
  </si>
  <si>
    <t>Total Operating Expenses</t>
  </si>
  <si>
    <t>Land and Rights</t>
  </si>
  <si>
    <t>Legal</t>
  </si>
  <si>
    <t>Engineering</t>
  </si>
  <si>
    <t>Construction</t>
  </si>
  <si>
    <t>Contingencies</t>
  </si>
  <si>
    <t>TOTAL</t>
  </si>
  <si>
    <t>RUS Loan</t>
  </si>
  <si>
    <t>RUS Grant</t>
  </si>
  <si>
    <t>ARC Grant (If applicable)</t>
  </si>
  <si>
    <t>CDBG (If applicable)</t>
  </si>
  <si>
    <t>Other (Specify)</t>
  </si>
  <si>
    <t>Applicant - User Connection Fees</t>
  </si>
  <si>
    <t>Other Applicant Contribution</t>
  </si>
  <si>
    <t>(1000)</t>
  </si>
  <si>
    <t>If  the applicant purchases water:</t>
  </si>
  <si>
    <r>
      <t>Pipe Material</t>
    </r>
    <r>
      <rPr>
        <u/>
        <sz val="12"/>
        <rFont val="Times New Roman"/>
        <family val="1"/>
      </rPr>
      <t xml:space="preserve"> </t>
    </r>
  </si>
  <si>
    <t>12"</t>
  </si>
  <si>
    <t>4"</t>
  </si>
  <si>
    <t>Date(s) Water Lines Constructed</t>
  </si>
  <si>
    <t>Number and Capacity of Pump Station(s)</t>
  </si>
  <si>
    <t>Percentage of Water Loss Existing System.</t>
  </si>
  <si>
    <t>Bond/</t>
  </si>
  <si>
    <t>Note</t>
  </si>
  <si>
    <t>% Swr</t>
  </si>
  <si>
    <t>% Wtr</t>
  </si>
  <si>
    <t>A.  List of All Short Term Debts:  (Do Not Show Any Debt Listed in Paragraph IV Above)</t>
  </si>
  <si>
    <t>A.  List of Bonds and Notes:</t>
  </si>
  <si>
    <t xml:space="preserve">Present Estimated Market Value of Existing System:  </t>
  </si>
  <si>
    <t>X.</t>
  </si>
  <si>
    <t>WATER RATES - EXISTING SYSTEM</t>
  </si>
  <si>
    <t>Ductile Iron, PVC, AC, Cast Iron</t>
  </si>
  <si>
    <t>3"</t>
  </si>
  <si>
    <t>Lineal Feet of Pipe:</t>
  </si>
  <si>
    <t xml:space="preserve">6" </t>
  </si>
  <si>
    <t xml:space="preserve">10" </t>
  </si>
  <si>
    <t>Pipe Material:</t>
  </si>
  <si>
    <t xml:space="preserve">XXXI.  PROPOSED OPERATING BUDGET - (WATER SYSTEM) - EXISTING SYSTEM </t>
  </si>
  <si>
    <t>XX.  PROPOSED WATER CONNECTION FEES FOR EACH SIZE WATER METER CONNECTION:</t>
  </si>
  <si>
    <t>XVI.  LAND AND RIGHTS - PROPOSED WATER SYSTEM</t>
  </si>
  <si>
    <t>1-1/2</t>
  </si>
  <si>
    <t>Issue</t>
  </si>
  <si>
    <t>Amount</t>
  </si>
  <si>
    <t>PROPOSED SEWER CONNECTION FEES FOR EACH SIZE WATER METER CONNECTION</t>
  </si>
  <si>
    <t>G.</t>
  </si>
  <si>
    <t>N/A</t>
  </si>
  <si>
    <t>Date This Rate Went Into Effect      </t>
  </si>
  <si>
    <t xml:space="preserve">Type  </t>
  </si>
  <si>
    <t>Salaries and Benefits</t>
  </si>
  <si>
    <t xml:space="preserve">Type of Sewage Collector System (Describe) </t>
  </si>
  <si>
    <t xml:space="preserve">Method of Sludge Disposal </t>
  </si>
  <si>
    <t>Development (Admin and Planning)</t>
  </si>
  <si>
    <t>Short Lived Assets</t>
  </si>
  <si>
    <t>Project</t>
  </si>
  <si>
    <t>RD Loan</t>
  </si>
  <si>
    <t>EDA</t>
  </si>
  <si>
    <t>Funding:</t>
  </si>
  <si>
    <t>RD Grant</t>
  </si>
  <si>
    <r>
      <t>Water Storage</t>
    </r>
    <r>
      <rPr>
        <b/>
        <sz val="12"/>
        <rFont val="Times New Roman"/>
        <family val="1"/>
      </rPr>
      <t xml:space="preserve">:  </t>
    </r>
  </si>
  <si>
    <t>Number of Other Sites (Storage)</t>
  </si>
  <si>
    <t>Loan:</t>
  </si>
  <si>
    <t>Additional Linear Feet</t>
  </si>
  <si>
    <t>Minimum</t>
  </si>
  <si>
    <t>Int Rate</t>
  </si>
  <si>
    <t>Monthly</t>
  </si>
  <si>
    <t>Annual Usage/ Revenues</t>
  </si>
  <si>
    <t>Average Bill</t>
  </si>
  <si>
    <t>14"</t>
  </si>
  <si>
    <t>Total Monthly</t>
  </si>
  <si>
    <t>Additional Facilities</t>
  </si>
  <si>
    <t xml:space="preserve">Over </t>
  </si>
  <si>
    <t>new tank project</t>
  </si>
  <si>
    <t xml:space="preserve">Total </t>
  </si>
  <si>
    <t>unknown</t>
  </si>
  <si>
    <t>Number of Storage Structures</t>
  </si>
  <si>
    <t>Total Storage Volume / Capacity</t>
  </si>
  <si>
    <t>USERS -  EXISTING RATES</t>
  </si>
  <si>
    <t>FORECAST OF WATER USAGE - INCOME - EXISTING SYSTEM - EXISTING USERS - EXISTING RATES</t>
  </si>
  <si>
    <t xml:space="preserve">Breakdown of meter size usage is not required unless different sewer rates are charged based </t>
  </si>
  <si>
    <t>on size of meter.</t>
  </si>
  <si>
    <r>
      <t xml:space="preserve">MULTI-FAMILY AND APARTMENT USER ANALYSIS </t>
    </r>
    <r>
      <rPr>
        <b/>
        <i/>
        <sz val="12"/>
        <rFont val="Times New Roman"/>
        <family val="1"/>
      </rPr>
      <t>- (NOT APPLICABLE)</t>
    </r>
  </si>
  <si>
    <t>MULTI-FAMILY AND APARTMENT USER ANALYSIS - (NOT APPLICABLE)</t>
  </si>
  <si>
    <t xml:space="preserve">XXXII.  PROPOSED OPERATING BUDGET - (WATER SYSTEM) - EXISTING SYSTEM - </t>
  </si>
  <si>
    <t>XXXIV.  PROPOSED PROJECT FUNDING - SEWER (NOT APPLICABLE)</t>
  </si>
  <si>
    <t>WATER METER CONNECTION</t>
  </si>
  <si>
    <t>IV.</t>
  </si>
  <si>
    <t>Sewage Treatment: (NOT APPLICABLE)</t>
  </si>
  <si>
    <t>Elevated Storage Tank</t>
  </si>
  <si>
    <t>gallons</t>
  </si>
  <si>
    <t>NO CHANGE</t>
  </si>
  <si>
    <t>XVII.  NUMBER OF NEW SEWER USERS (NOT APPLICABLE)</t>
  </si>
  <si>
    <t>(NOT APPLICABLE)</t>
  </si>
  <si>
    <t>(NO CHANGE)</t>
  </si>
  <si>
    <r>
      <t xml:space="preserve">MULTI-FAMILY AND APARTMENT USER ANALYSIS </t>
    </r>
    <r>
      <rPr>
        <sz val="12"/>
        <rFont val="Times New Roman"/>
        <family val="1"/>
      </rPr>
      <t>- (NOT APPLICABLE)</t>
    </r>
  </si>
  <si>
    <t xml:space="preserve">MULTI-FAMILY AND APARTMENT USER ANALYSIS - </t>
  </si>
  <si>
    <t>XXVI.</t>
  </si>
  <si>
    <r>
      <t>XXVII FORECAST OF WATER USAGE - INCOME - NEW USERS - EXTENSION ONLY</t>
    </r>
    <r>
      <rPr>
        <sz val="12"/>
        <rFont val="Times New Roman"/>
        <family val="1"/>
      </rPr>
      <t xml:space="preserve">- </t>
    </r>
  </si>
  <si>
    <t xml:space="preserve"> XXVIV .PROPOSED OPERATING BUDGET - (SEWER SYSTEM) - EXISTING SYSTEM  </t>
  </si>
  <si>
    <t>Not Applicable</t>
  </si>
  <si>
    <r>
      <t xml:space="preserve">CURRENT WATER AND </t>
    </r>
    <r>
      <rPr>
        <b/>
        <u/>
        <sz val="12"/>
        <rFont val="Times New Roman"/>
        <family val="1"/>
      </rPr>
      <t>SEWER</t>
    </r>
    <r>
      <rPr>
        <u/>
        <sz val="12"/>
        <rFont val="Times New Roman"/>
        <family val="1"/>
      </rPr>
      <t xml:space="preserve"> CONNECTION FEES FOR EACH SIZE </t>
    </r>
  </si>
  <si>
    <t>Miscellaneous</t>
  </si>
  <si>
    <t>&lt; 15%</t>
  </si>
  <si>
    <t xml:space="preserve">XIII.  FACILITY CHARACTERISTICS OF PROPOSED SEWER SYSTEM </t>
  </si>
  <si>
    <t xml:space="preserve"> N/A</t>
  </si>
  <si>
    <t xml:space="preserve">Treatment Capacity of Sewage Treatment Plant  </t>
  </si>
  <si>
    <t>LAND AND RIGHTS - PROPOSED SEWER SYSTEM</t>
  </si>
  <si>
    <t>SIZE</t>
  </si>
  <si>
    <t>LENGTH (LF)</t>
  </si>
  <si>
    <t>8-INCH</t>
  </si>
  <si>
    <t>6-INCH</t>
  </si>
  <si>
    <t>10-INCH</t>
  </si>
  <si>
    <t>ACRES</t>
  </si>
  <si>
    <t>(DONE BY EASEMENT)</t>
  </si>
  <si>
    <t>1960-Present</t>
  </si>
  <si>
    <t>16"</t>
  </si>
  <si>
    <t>Annual</t>
  </si>
  <si>
    <t>Disconnect/Reconnect/Late Charge Fees / Miscellaneous</t>
  </si>
  <si>
    <t>5/8" X 3/4" Meter</t>
  </si>
  <si>
    <t>1-1/2" Meter</t>
  </si>
  <si>
    <t>1" Meter</t>
  </si>
  <si>
    <t>2" Meter</t>
  </si>
  <si>
    <t>4" Meter</t>
  </si>
  <si>
    <t xml:space="preserve">Water Usage </t>
  </si>
  <si>
    <t>1-1/2" Meter (Combined)</t>
  </si>
  <si>
    <t>2" Meter (Combined)</t>
  </si>
  <si>
    <t>1" Meter (Combined)</t>
  </si>
  <si>
    <t>5/8" x 3/4" Meter (Combined)</t>
  </si>
  <si>
    <t>4" Meter (Combined)</t>
  </si>
  <si>
    <t>XXIII.  FORECAST OF SEWER USAGE - INCOME - EXISTING SYSTEM - EXISTING  (NOT APPLICABLE)</t>
  </si>
  <si>
    <t>XXIV FORECAST OF SEWER USAGE - INCOME - NEW USERS - EXTENSION ONLY (NOT APPLICABLE)</t>
  </si>
  <si>
    <t>SEWER RATES - EXISTING SYSTEM (NOT APPLICABLE)</t>
  </si>
  <si>
    <t>1"</t>
  </si>
  <si>
    <t>1-1/2"</t>
  </si>
  <si>
    <t xml:space="preserve">2" </t>
  </si>
  <si>
    <t xml:space="preserve">4" </t>
  </si>
  <si>
    <t>Date This Rate Went Into Effect:     </t>
  </si>
  <si>
    <t>Existing Rate Schedule</t>
  </si>
  <si>
    <t>800</t>
  </si>
  <si>
    <t>Bond Series 2005</t>
  </si>
  <si>
    <t>(12/31/17)</t>
  </si>
  <si>
    <t>Bond Series 2008C</t>
  </si>
  <si>
    <t>Bond Series 2010A</t>
  </si>
  <si>
    <t>Bond Series 2010B</t>
  </si>
  <si>
    <t>Bond Series 2012E</t>
  </si>
  <si>
    <t>Bond Series 2014</t>
  </si>
  <si>
    <t xml:space="preserve">Maturity </t>
  </si>
  <si>
    <t>2037</t>
  </si>
  <si>
    <t>2051</t>
  </si>
  <si>
    <t>2049</t>
  </si>
  <si>
    <t>2033</t>
  </si>
  <si>
    <t>2055</t>
  </si>
  <si>
    <t>4-6%</t>
  </si>
  <si>
    <t>2.35-4.55%</t>
  </si>
  <si>
    <t>3.375%</t>
  </si>
  <si>
    <t>3%</t>
  </si>
  <si>
    <t>2.2-3.55%</t>
  </si>
  <si>
    <t>2.75%</t>
  </si>
  <si>
    <t>n/a</t>
  </si>
  <si>
    <t>Combined Customers</t>
  </si>
  <si>
    <t>Total Combined Annual Revenue from Meter Sales FYE 2017</t>
  </si>
  <si>
    <t>Purchase Power</t>
  </si>
  <si>
    <t>Chemicals</t>
  </si>
  <si>
    <t>Materials and Supplies</t>
  </si>
  <si>
    <t>Contract Services</t>
  </si>
  <si>
    <t>Transportation Services</t>
  </si>
  <si>
    <t>Insurance</t>
  </si>
  <si>
    <t>Taxes</t>
  </si>
  <si>
    <t>Federal Interest Subsidy</t>
  </si>
  <si>
    <t>Long Term Debt Repayment:</t>
  </si>
  <si>
    <t>XXX.  CURRENT OPERATING BUDGET - (WATER SYSTEM TAKEN FROM FYE AUDIT 2017)</t>
  </si>
  <si>
    <t>Wholesale Customers (Combined)</t>
  </si>
  <si>
    <t>Wholesale Meter (Combined)</t>
  </si>
  <si>
    <t>Wholesale Rate - $2.23 / 1,000 gallon</t>
  </si>
  <si>
    <t>H.</t>
  </si>
  <si>
    <t>WATER RATES - EXISTING SYSTEM (12% Increase)</t>
  </si>
  <si>
    <t>WATER RATES - EXISTING SYSTEM (10% Increase)</t>
  </si>
  <si>
    <t>XII.  ANALYSIS OF ACTUAL WATER USAGE - EXISTING SYSTEM (1.5% Growth 2019</t>
  </si>
  <si>
    <t>FACILITY CHARACTERISTICS OF EXISTING SEWER SYSTEM - NOT APPLICABLE</t>
  </si>
  <si>
    <t xml:space="preserve">According to FYE 2017 Audit the net position of the District is $ 7,238,692 </t>
  </si>
  <si>
    <t>with Assets valued at $ 15,166,523.</t>
  </si>
  <si>
    <t>5/8 res 0-2K</t>
  </si>
  <si>
    <t>5/8 res 2-100K</t>
  </si>
  <si>
    <t>5/8 res 100-500k</t>
  </si>
  <si>
    <t>5/8 com 0-2K</t>
  </si>
  <si>
    <t>5/8 com 2-100K</t>
  </si>
  <si>
    <t>5/8 Ind 0-2K</t>
  </si>
  <si>
    <t>5/8 ind 2-100K</t>
  </si>
  <si>
    <t>1 res 0-4K</t>
  </si>
  <si>
    <t>1 res 4-100K</t>
  </si>
  <si>
    <t>B.  Principal and Interest Payments: According to FYE 2017 Audit</t>
  </si>
  <si>
    <t>Maturity</t>
  </si>
  <si>
    <t xml:space="preserve">Water Sales (Audit shows 3.21 % Increase: assumed more modest 1% growth  </t>
  </si>
  <si>
    <t>over 2 year period plus 10% increase in wholesale sales to Lyon County)</t>
  </si>
  <si>
    <t>Proposed Rate Schedule with RUS 25% Grant:</t>
  </si>
  <si>
    <t>EXISTING CUSTOMERS - RECOMMENDED RATES (1st Full Year of Operation Ending 2020)</t>
  </si>
  <si>
    <r>
      <t>EXISTING RATES - EXISTING CUSTOMERS 3.21% Residential annual growth and 10%</t>
    </r>
    <r>
      <rPr>
        <sz val="12"/>
        <rFont val="Times New Roman"/>
        <family val="1"/>
      </rPr>
      <t xml:space="preserve">  growth</t>
    </r>
  </si>
  <si>
    <t>in wholesale sales to Lyon County (1st Full Year of  Operation Year Ending 2020)</t>
  </si>
  <si>
    <t xml:space="preserve">MAINTAINING THE SAME AVERAGE USAGE PER CUSTOMER- EXISTING </t>
  </si>
  <si>
    <t>SYSTEM (12 MONTH PERIOD)</t>
  </si>
  <si>
    <t>FORECAST OF WATER USAGE - INCOME - EXISTING SYSTEM - 3.21 % GROWTH RESIDENTIAL CUSTOMERS &amp; 10%</t>
  </si>
  <si>
    <t>GROWTH LYON COUNTY WHOLESALE SALES - EXISTING RATES</t>
  </si>
  <si>
    <t>GALLONS</t>
  </si>
  <si>
    <t>XXVII.</t>
  </si>
  <si>
    <t>GROWTH LYON COUNTY WHOLESALE SALES - PROPOSED RATES</t>
  </si>
  <si>
    <t>XV.  FACILITY CHARACTERISTICS OF PROPOSED WATER SYSTEM</t>
  </si>
  <si>
    <t>0.5 ACRES</t>
  </si>
  <si>
    <t>NUMBER OF NEW WATER USERS (3% GROWTH ANNUALLY APPLIED TO 5/8" METER)</t>
  </si>
  <si>
    <t>5/8" METER</t>
  </si>
  <si>
    <t>UNKNOWN</t>
  </si>
  <si>
    <r>
      <t xml:space="preserve">XXI.  SEWER RATES – PROPOSED (NOT APPLICABLE) </t>
    </r>
    <r>
      <rPr>
        <b/>
        <i/>
        <sz val="12"/>
        <rFont val="Times New Roman"/>
        <family val="1"/>
      </rPr>
      <t xml:space="preserve">        </t>
    </r>
  </si>
  <si>
    <t>* LYON COUNTY WHOLESALE SALES ARE APPROX.</t>
  </si>
  <si>
    <t xml:space="preserve">XII.  ANALYSIS OF PROJECTED WATER USAGE W/ 3.2% ANNUAL GROWTH </t>
  </si>
  <si>
    <t>PE</t>
  </si>
  <si>
    <r>
      <t xml:space="preserve">Number and Capacity of Pump Station(s)   </t>
    </r>
    <r>
      <rPr>
        <sz val="12"/>
        <color rgb="FFC00000"/>
        <rFont val="Times New Roman"/>
        <family val="1"/>
      </rPr>
      <t>1 PS TRIPLEX CONFIG 100GPM</t>
    </r>
  </si>
  <si>
    <t xml:space="preserve"> XXVIII.  CURRENT OPERATING BUDGET - NOT APPLICABLE</t>
  </si>
  <si>
    <t xml:space="preserve"> AND NEW USERS  NOT APPLICABLE</t>
  </si>
  <si>
    <t>XXXIII.  ESTIMATED PROJECT COST - NOT APPLICABLE</t>
  </si>
  <si>
    <t xml:space="preserve">XXXV.  ESTIMATED PROJECT COST - WATER </t>
  </si>
  <si>
    <t>XXXVI.  PROPOSED PROJECT FUNDING</t>
  </si>
  <si>
    <t>XI.  ANALYSIS OF ACTUAL SEWER USAGE - EXISTING SYSTEM (N/A)</t>
  </si>
  <si>
    <t xml:space="preserve">XII.  ANALYSIS OF ACTUAL WATER USAGE - EXISTING SYSTEM (12 MONTH </t>
  </si>
  <si>
    <t xml:space="preserve"> PERIOD JANUARY 2017 - DECEMBER 2017)</t>
  </si>
  <si>
    <t xml:space="preserve">* 10% INCREASE IN SALES TO LYON INCREASES OVERALL WHOLESALE SALES </t>
  </si>
  <si>
    <t>BY APPROX. 1,000,000 GALLONS PER YEAR</t>
  </si>
  <si>
    <t>FORECAST OF WATER USAGE - INCOME - EXISTING SYSTEM - 3.2 %  ANNUAL GROWTH RESIDENTIAL CUSTOMERS &amp; 10%</t>
  </si>
  <si>
    <t>Wholesale Rate  (10% Increase) -</t>
  </si>
  <si>
    <t xml:space="preserve"> </t>
  </si>
  <si>
    <t>New RD Loan and Interest Payment (100% @ 1.875%)</t>
  </si>
  <si>
    <t>XXII.  WATER RATES – PROPOSED (6% FLAT RATE INCREASE TO ALL NON-WHOLESALE RATES)</t>
  </si>
  <si>
    <t>New RD Loan and Interest Payment (100% @ 1.875)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</si>
</sst>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_(* #,##0.000_);_(* \(#,##0.000\);_(* &quot;-&quot;??_);_(@_)"/>
    <numFmt numFmtId="168" formatCode="0.0%"/>
    <numFmt numFmtId="169" formatCode="0.000%"/>
    <numFmt numFmtId="170" formatCode="#,##0.0_);\(#,##0.0\)"/>
  </numFmts>
  <fonts count="46" x14ac:knownFonts="1">
    <font>
      <sz val="10"/>
      <name val="Arial"/>
    </font>
    <font>
      <sz val="10"/>
      <name val="Arial"/>
      <family val="2"/>
    </font>
    <font>
      <sz val="12"/>
      <name val="Times New Roman"/>
      <family val="1"/>
    </font>
    <font>
      <u/>
      <sz val="12"/>
      <name val="Times New Roman"/>
      <family val="1"/>
    </font>
    <font>
      <b/>
      <sz val="12"/>
      <name val="Times New Roman"/>
      <family val="1"/>
    </font>
    <font>
      <b/>
      <i/>
      <sz val="12"/>
      <name val="Times New Roman"/>
      <family val="1"/>
    </font>
    <font>
      <b/>
      <i/>
      <u/>
      <sz val="12"/>
      <name val="Times New Roman"/>
      <family val="1"/>
    </font>
    <font>
      <b/>
      <u/>
      <sz val="12"/>
      <name val="Times New Roman"/>
      <family val="1"/>
    </font>
    <font>
      <u val="double"/>
      <sz val="12"/>
      <name val="Times New Roman"/>
      <family val="1"/>
    </font>
    <font>
      <u val="singleAccounting"/>
      <sz val="12"/>
      <name val="Times New Roman"/>
      <family val="1"/>
    </font>
    <font>
      <b/>
      <i/>
      <u val="singleAccounting"/>
      <sz val="12"/>
      <name val="Times New Roman"/>
      <family val="1"/>
    </font>
    <font>
      <b/>
      <i/>
      <sz val="11"/>
      <name val="Times New Roman"/>
      <family val="1"/>
    </font>
    <font>
      <sz val="11"/>
      <name val="Times New Roman"/>
      <family val="1"/>
    </font>
    <font>
      <b/>
      <i/>
      <u val="singleAccounting"/>
      <sz val="11"/>
      <name val="Times New Roman"/>
      <family val="1"/>
    </font>
    <font>
      <sz val="8"/>
      <name val="Arial"/>
      <family val="2"/>
    </font>
    <font>
      <b/>
      <sz val="10"/>
      <name val="Arial"/>
      <family val="2"/>
    </font>
    <font>
      <u/>
      <sz val="10"/>
      <name val="Arial"/>
      <family val="2"/>
    </font>
    <font>
      <u val="singleAccounting"/>
      <sz val="10"/>
      <name val="Arial"/>
      <family val="2"/>
    </font>
    <font>
      <u/>
      <sz val="11"/>
      <name val="Times New Roman"/>
      <family val="1"/>
    </font>
    <font>
      <sz val="12"/>
      <name val="Arial Narrow"/>
      <family val="2"/>
    </font>
    <font>
      <b/>
      <i/>
      <sz val="10"/>
      <name val="Arial"/>
      <family val="2"/>
    </font>
    <font>
      <sz val="12"/>
      <color indexed="12"/>
      <name val="Times New Roman"/>
      <family val="1"/>
    </font>
    <font>
      <sz val="10"/>
      <name val="Arial"/>
      <family val="2"/>
    </font>
    <font>
      <sz val="10"/>
      <name val="Arial"/>
      <family val="2"/>
    </font>
    <font>
      <sz val="10"/>
      <name val="Arial"/>
      <family val="2"/>
    </font>
    <font>
      <sz val="14"/>
      <name val="Times New Roman"/>
      <family val="1"/>
    </font>
    <font>
      <u/>
      <sz val="14"/>
      <name val="Times New Roman"/>
      <family val="1"/>
    </font>
    <font>
      <sz val="10"/>
      <color indexed="18"/>
      <name val="Arial"/>
      <family val="2"/>
    </font>
    <font>
      <b/>
      <i/>
      <sz val="10"/>
      <name val="Times New Roman"/>
      <family val="1"/>
    </font>
    <font>
      <sz val="12"/>
      <color rgb="FFFF0000"/>
      <name val="Times New Roman"/>
      <family val="1"/>
    </font>
    <font>
      <sz val="10"/>
      <color rgb="FFFF0000"/>
      <name val="Arial"/>
      <family val="2"/>
    </font>
    <font>
      <sz val="10"/>
      <color rgb="FF0000FF"/>
      <name val="Arial"/>
      <family val="2"/>
    </font>
    <font>
      <b/>
      <u/>
      <sz val="12"/>
      <color rgb="FF0000FF"/>
      <name val="Times New Roman"/>
      <family val="1"/>
    </font>
    <font>
      <b/>
      <i/>
      <sz val="12"/>
      <color rgb="FF0000FF"/>
      <name val="Times New Roman"/>
      <family val="1"/>
    </font>
    <font>
      <sz val="10"/>
      <color rgb="FF0070C0"/>
      <name val="Arial"/>
      <family val="2"/>
    </font>
    <font>
      <sz val="10"/>
      <color rgb="FF00B050"/>
      <name val="Arial"/>
      <family val="2"/>
    </font>
    <font>
      <u val="singleAccounting"/>
      <sz val="11"/>
      <name val="Times New Roman"/>
      <family val="1"/>
    </font>
    <font>
      <sz val="12"/>
      <color rgb="FFC00000"/>
      <name val="Times New Roman"/>
      <family val="1"/>
    </font>
    <font>
      <sz val="12"/>
      <color rgb="FF0066FF"/>
      <name val="Times New Roman"/>
      <family val="1"/>
    </font>
    <font>
      <sz val="10"/>
      <color theme="1"/>
      <name val="Arial"/>
      <family val="2"/>
    </font>
    <font>
      <sz val="12"/>
      <color theme="1"/>
      <name val="Times New Roman"/>
      <family val="1"/>
    </font>
    <font>
      <b/>
      <i/>
      <u/>
      <sz val="10"/>
      <name val="Arial"/>
      <family val="2"/>
    </font>
    <font>
      <sz val="10"/>
      <name val="Times New Roman"/>
      <family val="1"/>
    </font>
    <font>
      <sz val="14"/>
      <color theme="1"/>
      <name val="Times New Roman"/>
      <family val="1"/>
    </font>
    <font>
      <u/>
      <sz val="12"/>
      <color theme="1"/>
      <name val="Times New Roman"/>
      <family val="1"/>
    </font>
    <font>
      <u/>
      <sz val="10"/>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dashed">
        <color indexed="64"/>
      </right>
      <top/>
      <bottom style="thin">
        <color indexed="64"/>
      </bottom>
      <diagonal/>
    </border>
    <border>
      <left/>
      <right/>
      <top/>
      <bottom style="medium">
        <color indexed="64"/>
      </bottom>
      <diagonal/>
    </border>
    <border>
      <left style="dashed">
        <color indexed="64"/>
      </left>
      <right/>
      <top/>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79">
    <xf numFmtId="0" fontId="0" fillId="0" borderId="0" xfId="0"/>
    <xf numFmtId="164" fontId="3" fillId="0" borderId="0" xfId="1" applyNumberFormat="1" applyFont="1"/>
    <xf numFmtId="164" fontId="5" fillId="0" borderId="0" xfId="1" applyNumberFormat="1" applyFont="1"/>
    <xf numFmtId="164" fontId="6" fillId="0" borderId="0" xfId="1" applyNumberFormat="1" applyFont="1"/>
    <xf numFmtId="164" fontId="2" fillId="0" borderId="0" xfId="1" applyNumberFormat="1" applyFont="1"/>
    <xf numFmtId="164" fontId="2" fillId="0" borderId="0" xfId="1" applyNumberFormat="1" applyFont="1" applyAlignment="1">
      <alignment horizontal="left"/>
    </xf>
    <xf numFmtId="164" fontId="2" fillId="0" borderId="0" xfId="1" applyNumberFormat="1" applyFont="1" applyAlignment="1">
      <alignment horizontal="left" indent="3"/>
    </xf>
    <xf numFmtId="164" fontId="5" fillId="0" borderId="0" xfId="1" applyNumberFormat="1" applyFont="1" applyBorder="1"/>
    <xf numFmtId="164" fontId="2" fillId="0" borderId="0" xfId="1" applyNumberFormat="1" applyFont="1" applyBorder="1"/>
    <xf numFmtId="164" fontId="2" fillId="0" borderId="1" xfId="1" applyNumberFormat="1" applyFont="1" applyBorder="1"/>
    <xf numFmtId="164" fontId="2" fillId="0" borderId="0" xfId="1" applyNumberFormat="1" applyFont="1" applyAlignment="1">
      <alignment horizontal="left" indent="2"/>
    </xf>
    <xf numFmtId="164" fontId="2" fillId="0" borderId="0" xfId="1" applyNumberFormat="1" applyFont="1" applyAlignment="1">
      <alignment horizontal="left" indent="6"/>
    </xf>
    <xf numFmtId="164" fontId="3" fillId="0" borderId="0" xfId="1" applyNumberFormat="1" applyFont="1" applyAlignment="1">
      <alignment horizontal="left" indent="6"/>
    </xf>
    <xf numFmtId="164" fontId="2" fillId="0" borderId="0" xfId="1" quotePrefix="1" applyNumberFormat="1" applyFont="1" applyBorder="1" applyAlignment="1">
      <alignment horizontal="right"/>
    </xf>
    <xf numFmtId="164" fontId="2" fillId="0" borderId="0" xfId="1" quotePrefix="1" applyNumberFormat="1" applyFont="1" applyAlignment="1">
      <alignment horizontal="right"/>
    </xf>
    <xf numFmtId="164" fontId="2" fillId="0" borderId="2" xfId="1" applyNumberFormat="1" applyFont="1" applyBorder="1"/>
    <xf numFmtId="164" fontId="2" fillId="0" borderId="1" xfId="1" applyNumberFormat="1" applyFont="1" applyBorder="1" applyAlignment="1">
      <alignment horizontal="center"/>
    </xf>
    <xf numFmtId="164" fontId="4" fillId="0" borderId="0" xfId="1" applyNumberFormat="1" applyFont="1"/>
    <xf numFmtId="164" fontId="2" fillId="0" borderId="0" xfId="1" applyNumberFormat="1" applyFont="1" applyAlignment="1">
      <alignment horizontal="center"/>
    </xf>
    <xf numFmtId="164" fontId="2" fillId="0" borderId="0" xfId="1" applyNumberFormat="1" applyFont="1" applyAlignment="1">
      <alignment horizontal="justify"/>
    </xf>
    <xf numFmtId="164" fontId="2" fillId="0" borderId="1" xfId="1" quotePrefix="1" applyNumberFormat="1" applyFont="1" applyBorder="1" applyAlignment="1">
      <alignment horizontal="center"/>
    </xf>
    <xf numFmtId="164" fontId="2" fillId="0" borderId="0" xfId="1" applyNumberFormat="1" applyFont="1" applyAlignment="1">
      <alignment horizontal="left" indent="4"/>
    </xf>
    <xf numFmtId="164" fontId="2" fillId="0" borderId="0" xfId="1" applyNumberFormat="1" applyFont="1" applyAlignment="1"/>
    <xf numFmtId="164" fontId="3" fillId="0" borderId="0" xfId="1" applyNumberFormat="1" applyFont="1" applyAlignment="1"/>
    <xf numFmtId="164" fontId="9" fillId="0" borderId="0" xfId="1" applyNumberFormat="1" applyFont="1"/>
    <xf numFmtId="164" fontId="10" fillId="0" borderId="0" xfId="1" applyNumberFormat="1" applyFont="1"/>
    <xf numFmtId="164" fontId="5" fillId="0" borderId="1" xfId="1" applyNumberFormat="1" applyFont="1" applyBorder="1"/>
    <xf numFmtId="164" fontId="5" fillId="0" borderId="0" xfId="1" applyNumberFormat="1" applyFont="1" applyAlignment="1">
      <alignment horizontal="left" indent="4"/>
    </xf>
    <xf numFmtId="164" fontId="5" fillId="0" borderId="0" xfId="1" applyNumberFormat="1" applyFont="1" applyAlignment="1"/>
    <xf numFmtId="164" fontId="6" fillId="0" borderId="0" xfId="1" applyNumberFormat="1" applyFont="1" applyAlignment="1"/>
    <xf numFmtId="164" fontId="5" fillId="0" borderId="0" xfId="1" applyNumberFormat="1" applyFont="1" applyAlignment="1">
      <alignment horizontal="center"/>
    </xf>
    <xf numFmtId="164" fontId="3" fillId="0" borderId="0" xfId="1" applyNumberFormat="1" applyFont="1" applyAlignment="1">
      <alignment horizontal="left"/>
    </xf>
    <xf numFmtId="164" fontId="2" fillId="0" borderId="0" xfId="1" applyNumberFormat="1" applyFont="1" applyAlignment="1">
      <alignment horizontal="right"/>
    </xf>
    <xf numFmtId="164" fontId="5" fillId="0" borderId="0" xfId="1" applyNumberFormat="1" applyFont="1" applyAlignment="1">
      <alignment horizontal="left"/>
    </xf>
    <xf numFmtId="44" fontId="2" fillId="0" borderId="0" xfId="2" applyFont="1" applyBorder="1"/>
    <xf numFmtId="164" fontId="9" fillId="0" borderId="0" xfId="1" applyNumberFormat="1" applyFont="1" applyBorder="1"/>
    <xf numFmtId="164" fontId="10" fillId="0" borderId="0" xfId="1" applyNumberFormat="1" applyFont="1" applyBorder="1"/>
    <xf numFmtId="44" fontId="2" fillId="0" borderId="0" xfId="2" applyFont="1"/>
    <xf numFmtId="164" fontId="2" fillId="0" borderId="0" xfId="1" applyNumberFormat="1" applyFont="1" applyAlignment="1">
      <alignment horizontal="left" indent="1"/>
    </xf>
    <xf numFmtId="164" fontId="5" fillId="0" borderId="0" xfId="1" applyNumberFormat="1" applyFont="1" applyAlignment="1">
      <alignment horizontal="right"/>
    </xf>
    <xf numFmtId="164" fontId="11" fillId="0" borderId="0" xfId="1" applyNumberFormat="1" applyFont="1"/>
    <xf numFmtId="164" fontId="12" fillId="0" borderId="0" xfId="1" applyNumberFormat="1" applyFont="1"/>
    <xf numFmtId="164" fontId="13" fillId="0" borderId="0" xfId="1" applyNumberFormat="1" applyFont="1"/>
    <xf numFmtId="0" fontId="0" fillId="0" borderId="0" xfId="0" applyAlignment="1">
      <alignment horizontal="center"/>
    </xf>
    <xf numFmtId="164" fontId="5" fillId="0" borderId="0" xfId="1" applyNumberFormat="1" applyFont="1" applyBorder="1" applyAlignment="1">
      <alignment horizontal="center"/>
    </xf>
    <xf numFmtId="9" fontId="2" fillId="0" borderId="0" xfId="3" applyFont="1"/>
    <xf numFmtId="43" fontId="0" fillId="0" borderId="0" xfId="0" applyNumberFormat="1"/>
    <xf numFmtId="164" fontId="0" fillId="0" borderId="0" xfId="1" applyNumberFormat="1" applyFont="1"/>
    <xf numFmtId="164" fontId="0" fillId="0" borderId="0" xfId="0" applyNumberFormat="1"/>
    <xf numFmtId="164" fontId="2" fillId="0" borderId="0" xfId="1" quotePrefix="1" applyNumberFormat="1" applyFont="1"/>
    <xf numFmtId="0" fontId="16" fillId="0" borderId="0" xfId="0" applyFont="1" applyAlignment="1">
      <alignment horizontal="center"/>
    </xf>
    <xf numFmtId="0" fontId="16" fillId="0" borderId="0" xfId="0" applyFont="1"/>
    <xf numFmtId="167" fontId="2" fillId="0" borderId="0" xfId="1" applyNumberFormat="1" applyFont="1"/>
    <xf numFmtId="14" fontId="3" fillId="0" borderId="0" xfId="1" applyNumberFormat="1" applyFont="1"/>
    <xf numFmtId="0" fontId="3" fillId="0" borderId="0" xfId="1" applyNumberFormat="1" applyFont="1" applyAlignment="1">
      <alignment horizontal="center"/>
    </xf>
    <xf numFmtId="164" fontId="11" fillId="0" borderId="0" xfId="1" applyNumberFormat="1" applyFont="1" applyBorder="1"/>
    <xf numFmtId="164" fontId="6" fillId="0" borderId="0" xfId="1" applyNumberFormat="1" applyFont="1" applyAlignment="1">
      <alignment horizontal="left" indent="1"/>
    </xf>
    <xf numFmtId="164" fontId="5" fillId="0" borderId="0" xfId="1" quotePrefix="1" applyNumberFormat="1" applyFont="1"/>
    <xf numFmtId="0" fontId="0" fillId="0" borderId="0" xfId="0" applyAlignment="1">
      <alignment horizontal="right"/>
    </xf>
    <xf numFmtId="0" fontId="0" fillId="0" borderId="0" xfId="0" quotePrefix="1" applyAlignment="1">
      <alignment horizontal="right"/>
    </xf>
    <xf numFmtId="14" fontId="3" fillId="0" borderId="0" xfId="1" applyNumberFormat="1" applyFont="1" applyAlignment="1">
      <alignment horizontal="center"/>
    </xf>
    <xf numFmtId="166" fontId="12" fillId="0" borderId="0" xfId="2" applyNumberFormat="1" applyFont="1"/>
    <xf numFmtId="164" fontId="12" fillId="0" borderId="0" xfId="0" applyNumberFormat="1" applyFont="1"/>
    <xf numFmtId="164" fontId="18" fillId="0" borderId="0" xfId="1" quotePrefix="1" applyNumberFormat="1" applyFont="1" applyAlignment="1">
      <alignment horizontal="center"/>
    </xf>
    <xf numFmtId="9" fontId="2" fillId="0" borderId="0" xfId="3" applyFont="1" applyAlignment="1">
      <alignment horizontal="center"/>
    </xf>
    <xf numFmtId="166" fontId="2" fillId="0" borderId="0" xfId="2" applyNumberFormat="1" applyFont="1"/>
    <xf numFmtId="164" fontId="2" fillId="0" borderId="0" xfId="1" quotePrefix="1" applyNumberFormat="1" applyFont="1" applyAlignment="1">
      <alignment horizontal="center"/>
    </xf>
    <xf numFmtId="9" fontId="3" fillId="0" borderId="0" xfId="3" applyFont="1" applyAlignment="1">
      <alignment horizontal="center"/>
    </xf>
    <xf numFmtId="166" fontId="8" fillId="0" borderId="0" xfId="2" applyNumberFormat="1" applyFont="1"/>
    <xf numFmtId="164" fontId="19" fillId="0" borderId="0" xfId="1" applyNumberFormat="1" applyFont="1"/>
    <xf numFmtId="164" fontId="19" fillId="0" borderId="0" xfId="1" applyNumberFormat="1" applyFont="1" applyAlignment="1">
      <alignment horizontal="left"/>
    </xf>
    <xf numFmtId="164" fontId="2" fillId="0" borderId="5" xfId="1" applyNumberFormat="1" applyFont="1" applyBorder="1"/>
    <xf numFmtId="0" fontId="0" fillId="0" borderId="5" xfId="0" applyBorder="1"/>
    <xf numFmtId="0" fontId="0" fillId="0" borderId="5" xfId="0" applyBorder="1" applyAlignment="1">
      <alignment horizontal="center"/>
    </xf>
    <xf numFmtId="164" fontId="2" fillId="0" borderId="5" xfId="1" applyNumberFormat="1" applyFont="1" applyBorder="1" applyAlignment="1">
      <alignment horizontal="center"/>
    </xf>
    <xf numFmtId="164" fontId="5" fillId="0" borderId="5" xfId="1" applyNumberFormat="1" applyFont="1" applyBorder="1" applyAlignment="1">
      <alignment horizontal="center"/>
    </xf>
    <xf numFmtId="0" fontId="0" fillId="0" borderId="0" xfId="0" applyBorder="1"/>
    <xf numFmtId="0" fontId="0" fillId="0" borderId="1" xfId="0" applyBorder="1"/>
    <xf numFmtId="164" fontId="5" fillId="0" borderId="4" xfId="1" quotePrefix="1" applyNumberFormat="1" applyFont="1" applyBorder="1" applyAlignment="1">
      <alignment horizontal="center"/>
    </xf>
    <xf numFmtId="0" fontId="20" fillId="0" borderId="0" xfId="0" applyFont="1"/>
    <xf numFmtId="164" fontId="0" fillId="0" borderId="5" xfId="0" applyNumberFormat="1" applyBorder="1"/>
    <xf numFmtId="44" fontId="0" fillId="0" borderId="0" xfId="0" applyNumberFormat="1"/>
    <xf numFmtId="0" fontId="16" fillId="0" borderId="5" xfId="0" applyFont="1" applyBorder="1"/>
    <xf numFmtId="9" fontId="2" fillId="0" borderId="5" xfId="3" applyFont="1" applyBorder="1"/>
    <xf numFmtId="166" fontId="9" fillId="0" borderId="0" xfId="2" applyNumberFormat="1" applyFont="1"/>
    <xf numFmtId="0" fontId="0" fillId="0" borderId="0" xfId="0" quotePrefix="1"/>
    <xf numFmtId="0" fontId="6" fillId="0" borderId="0" xfId="1" applyNumberFormat="1" applyFont="1" applyAlignment="1">
      <alignment horizontal="left"/>
    </xf>
    <xf numFmtId="14" fontId="6" fillId="0" borderId="0" xfId="1" applyNumberFormat="1" applyFont="1" applyAlignment="1">
      <alignment horizontal="center"/>
    </xf>
    <xf numFmtId="9" fontId="5" fillId="0" borderId="0" xfId="3" applyFont="1" applyAlignment="1">
      <alignment horizontal="center"/>
    </xf>
    <xf numFmtId="9" fontId="6" fillId="0" borderId="0" xfId="3" applyFont="1" applyAlignment="1">
      <alignment horizontal="center"/>
    </xf>
    <xf numFmtId="164" fontId="6" fillId="0" borderId="0" xfId="1" quotePrefix="1" applyNumberFormat="1" applyFont="1" applyAlignment="1">
      <alignment horizontal="left"/>
    </xf>
    <xf numFmtId="9" fontId="6" fillId="0" borderId="0" xfId="3" applyFont="1"/>
    <xf numFmtId="0" fontId="6" fillId="0" borderId="0" xfId="1" applyNumberFormat="1" applyFont="1" applyAlignment="1">
      <alignment horizontal="center"/>
    </xf>
    <xf numFmtId="0" fontId="22" fillId="0" borderId="0" xfId="0" applyFont="1"/>
    <xf numFmtId="0" fontId="24" fillId="0" borderId="0" xfId="0" applyFont="1"/>
    <xf numFmtId="0" fontId="1" fillId="0" borderId="0" xfId="0" applyFont="1" applyAlignment="1">
      <alignment horizontal="center"/>
    </xf>
    <xf numFmtId="166" fontId="2" fillId="0" borderId="0" xfId="2" applyNumberFormat="1" applyFont="1" applyBorder="1"/>
    <xf numFmtId="9" fontId="2" fillId="0" borderId="0" xfId="3" applyFont="1" applyBorder="1"/>
    <xf numFmtId="43" fontId="2" fillId="0" borderId="0" xfId="1" applyNumberFormat="1" applyFont="1"/>
    <xf numFmtId="164" fontId="21" fillId="0" borderId="0" xfId="1" applyNumberFormat="1" applyFont="1"/>
    <xf numFmtId="0" fontId="0" fillId="0" borderId="7" xfId="0" applyBorder="1"/>
    <xf numFmtId="164" fontId="2" fillId="0" borderId="7" xfId="1" applyNumberFormat="1" applyFont="1" applyBorder="1"/>
    <xf numFmtId="9" fontId="22" fillId="0" borderId="0" xfId="0" applyNumberFormat="1" applyFont="1"/>
    <xf numFmtId="9" fontId="22" fillId="0" borderId="0" xfId="3" applyFont="1"/>
    <xf numFmtId="0" fontId="20" fillId="0" borderId="7" xfId="0" applyFont="1" applyBorder="1"/>
    <xf numFmtId="164" fontId="5" fillId="0" borderId="8" xfId="1" applyNumberFormat="1" applyFont="1" applyBorder="1" applyAlignment="1">
      <alignment horizontal="center"/>
    </xf>
    <xf numFmtId="0" fontId="20" fillId="0" borderId="0" xfId="0" applyFont="1" applyBorder="1"/>
    <xf numFmtId="0" fontId="20" fillId="0" borderId="8" xfId="0" applyFont="1" applyBorder="1"/>
    <xf numFmtId="9" fontId="20" fillId="0" borderId="0" xfId="0" applyNumberFormat="1" applyFont="1" applyBorder="1"/>
    <xf numFmtId="9" fontId="20" fillId="0" borderId="0" xfId="3" applyFont="1" applyBorder="1"/>
    <xf numFmtId="9" fontId="5" fillId="0" borderId="0" xfId="3" applyFont="1" applyBorder="1" applyAlignment="1">
      <alignment horizontal="center"/>
    </xf>
    <xf numFmtId="164" fontId="5" fillId="0" borderId="7" xfId="1" applyNumberFormat="1" applyFont="1" applyBorder="1"/>
    <xf numFmtId="166" fontId="5" fillId="0" borderId="8" xfId="2" applyNumberFormat="1" applyFont="1" applyBorder="1"/>
    <xf numFmtId="164" fontId="10" fillId="0" borderId="8" xfId="1" applyNumberFormat="1" applyFont="1" applyBorder="1"/>
    <xf numFmtId="164" fontId="5" fillId="0" borderId="9" xfId="1" applyNumberFormat="1" applyFont="1" applyBorder="1"/>
    <xf numFmtId="166" fontId="5" fillId="0" borderId="10" xfId="2" applyNumberFormat="1" applyFont="1" applyBorder="1"/>
    <xf numFmtId="44" fontId="21" fillId="0" borderId="0" xfId="2" applyFont="1"/>
    <xf numFmtId="168" fontId="0" fillId="0" borderId="0" xfId="3" applyNumberFormat="1" applyFont="1"/>
    <xf numFmtId="165" fontId="0" fillId="0" borderId="0" xfId="0" applyNumberFormat="1"/>
    <xf numFmtId="164" fontId="5" fillId="0" borderId="0" xfId="1" quotePrefix="1" applyNumberFormat="1" applyFont="1" applyAlignment="1"/>
    <xf numFmtId="164" fontId="2" fillId="0" borderId="0" xfId="1" quotePrefix="1" applyNumberFormat="1" applyFont="1" applyAlignment="1">
      <alignment horizontal="left"/>
    </xf>
    <xf numFmtId="0" fontId="30" fillId="0" borderId="0" xfId="0" quotePrefix="1" applyFont="1" applyBorder="1" applyAlignment="1"/>
    <xf numFmtId="0" fontId="30" fillId="0" borderId="0" xfId="0" applyFont="1" applyBorder="1" applyAlignment="1"/>
    <xf numFmtId="0" fontId="23" fillId="0" borderId="0" xfId="0" applyFont="1"/>
    <xf numFmtId="0" fontId="31" fillId="0" borderId="0" xfId="0" quotePrefix="1" applyFont="1"/>
    <xf numFmtId="0" fontId="31" fillId="0" borderId="0" xfId="0" applyFont="1"/>
    <xf numFmtId="44" fontId="33" fillId="0" borderId="0" xfId="2" applyFont="1"/>
    <xf numFmtId="164" fontId="5" fillId="0" borderId="7" xfId="1" quotePrefix="1" applyNumberFormat="1" applyFont="1" applyBorder="1" applyAlignment="1">
      <alignment horizontal="left"/>
    </xf>
    <xf numFmtId="164" fontId="0" fillId="0" borderId="0" xfId="0" applyNumberFormat="1" applyBorder="1"/>
    <xf numFmtId="10" fontId="2" fillId="0" borderId="0" xfId="3" applyNumberFormat="1" applyFont="1" applyBorder="1"/>
    <xf numFmtId="164" fontId="9" fillId="0" borderId="0" xfId="1" applyNumberFormat="1" applyFont="1" applyBorder="1" applyAlignment="1">
      <alignment horizontal="center"/>
    </xf>
    <xf numFmtId="164" fontId="29" fillId="0" borderId="0" xfId="1" quotePrefix="1" applyNumberFormat="1" applyFont="1" applyBorder="1" applyAlignment="1">
      <alignment horizontal="left" wrapText="1"/>
    </xf>
    <xf numFmtId="0" fontId="1" fillId="0" borderId="0" xfId="0" applyFont="1"/>
    <xf numFmtId="166" fontId="2" fillId="0" borderId="0" xfId="3" applyNumberFormat="1" applyFont="1" applyBorder="1"/>
    <xf numFmtId="164" fontId="2" fillId="0" borderId="0" xfId="3" applyNumberFormat="1" applyFont="1" applyBorder="1"/>
    <xf numFmtId="164" fontId="5" fillId="0" borderId="0" xfId="1" quotePrefix="1" applyNumberFormat="1" applyFont="1" applyAlignment="1">
      <alignment horizontal="center"/>
    </xf>
    <xf numFmtId="164" fontId="10" fillId="0" borderId="8" xfId="1" applyNumberFormat="1" applyFont="1" applyBorder="1" applyAlignment="1">
      <alignment horizontal="center"/>
    </xf>
    <xf numFmtId="0" fontId="20" fillId="0" borderId="7" xfId="0" applyFont="1" applyFill="1" applyBorder="1"/>
    <xf numFmtId="169" fontId="0" fillId="0" borderId="8" xfId="3" applyNumberFormat="1" applyFont="1" applyBorder="1"/>
    <xf numFmtId="164" fontId="2" fillId="0" borderId="3" xfId="1" applyNumberFormat="1" applyFont="1" applyBorder="1"/>
    <xf numFmtId="44" fontId="5" fillId="0" borderId="0" xfId="1" applyNumberFormat="1" applyFont="1"/>
    <xf numFmtId="164" fontId="3" fillId="0" borderId="0" xfId="1" applyNumberFormat="1" applyFont="1" applyAlignment="1">
      <alignment horizontal="center"/>
    </xf>
    <xf numFmtId="164" fontId="29" fillId="0" borderId="0" xfId="1" quotePrefix="1" applyNumberFormat="1" applyFont="1" applyAlignment="1">
      <alignment horizontal="left"/>
    </xf>
    <xf numFmtId="0" fontId="2" fillId="0" borderId="1" xfId="1" quotePrefix="1" applyNumberFormat="1" applyFont="1" applyBorder="1" applyAlignment="1">
      <alignment horizontal="left"/>
    </xf>
    <xf numFmtId="164" fontId="2" fillId="0" borderId="1" xfId="1" quotePrefix="1" applyNumberFormat="1" applyFont="1" applyBorder="1" applyAlignment="1">
      <alignment horizontal="left"/>
    </xf>
    <xf numFmtId="164" fontId="29" fillId="0" borderId="0" xfId="1" applyNumberFormat="1" applyFont="1"/>
    <xf numFmtId="164" fontId="10" fillId="0" borderId="0" xfId="1" applyNumberFormat="1" applyFont="1" applyAlignment="1">
      <alignment horizontal="center"/>
    </xf>
    <xf numFmtId="164" fontId="2" fillId="0" borderId="0" xfId="1" applyNumberFormat="1" applyFont="1" applyAlignment="1">
      <alignment horizontal="center"/>
    </xf>
    <xf numFmtId="170" fontId="2" fillId="0" borderId="0" xfId="1" applyNumberFormat="1" applyFont="1"/>
    <xf numFmtId="170" fontId="3" fillId="0" borderId="0" xfId="1" applyNumberFormat="1" applyFont="1"/>
    <xf numFmtId="164" fontId="2" fillId="0" borderId="0" xfId="1" applyNumberFormat="1" applyFont="1" applyAlignment="1">
      <alignment horizontal="left"/>
    </xf>
    <xf numFmtId="164" fontId="3" fillId="0" borderId="0" xfId="1" applyNumberFormat="1" applyFont="1" applyAlignment="1">
      <alignment horizontal="center"/>
    </xf>
    <xf numFmtId="164" fontId="2" fillId="0" borderId="0" xfId="1" applyNumberFormat="1" applyFont="1" applyAlignment="1">
      <alignment horizontal="center"/>
    </xf>
    <xf numFmtId="164" fontId="2" fillId="0" borderId="0" xfId="0" applyNumberFormat="1" applyFont="1"/>
    <xf numFmtId="166" fontId="10" fillId="0" borderId="0" xfId="2" applyNumberFormat="1" applyFont="1"/>
    <xf numFmtId="164" fontId="1" fillId="0" borderId="0" xfId="0" applyNumberFormat="1" applyFont="1"/>
    <xf numFmtId="43" fontId="1" fillId="0" borderId="0" xfId="0" applyNumberFormat="1" applyFont="1"/>
    <xf numFmtId="166" fontId="1" fillId="0" borderId="0" xfId="0" applyNumberFormat="1" applyFont="1"/>
    <xf numFmtId="164" fontId="9" fillId="0" borderId="0" xfId="1" applyNumberFormat="1" applyFont="1" applyAlignment="1">
      <alignment horizontal="left"/>
    </xf>
    <xf numFmtId="0" fontId="2" fillId="0" borderId="0" xfId="1" applyNumberFormat="1" applyFont="1"/>
    <xf numFmtId="44" fontId="2" fillId="0" borderId="0" xfId="2" quotePrefix="1" applyFont="1" applyAlignment="1">
      <alignment horizontal="left"/>
    </xf>
    <xf numFmtId="44" fontId="2" fillId="0" borderId="0" xfId="2" applyNumberFormat="1" applyFont="1"/>
    <xf numFmtId="44" fontId="2" fillId="0" borderId="0" xfId="2" applyFont="1" applyAlignment="1">
      <alignment horizontal="center"/>
    </xf>
    <xf numFmtId="166" fontId="2" fillId="0" borderId="0" xfId="2" applyNumberFormat="1" applyFont="1" applyAlignment="1">
      <alignment horizontal="center"/>
    </xf>
    <xf numFmtId="164" fontId="36" fillId="0" borderId="0" xfId="1" applyNumberFormat="1" applyFont="1" applyBorder="1" applyAlignment="1">
      <alignment horizontal="center"/>
    </xf>
    <xf numFmtId="43" fontId="2" fillId="0" borderId="0" xfId="0" applyNumberFormat="1" applyFont="1"/>
    <xf numFmtId="0" fontId="0" fillId="0" borderId="0" xfId="0" applyAlignment="1">
      <alignment horizontal="center"/>
    </xf>
    <xf numFmtId="164" fontId="9" fillId="0" borderId="0" xfId="1" applyNumberFormat="1" applyFont="1" applyAlignment="1">
      <alignment horizontal="center"/>
    </xf>
    <xf numFmtId="164" fontId="5" fillId="0" borderId="0" xfId="1" applyNumberFormat="1" applyFont="1" applyAlignment="1">
      <alignment horizontal="center"/>
    </xf>
    <xf numFmtId="164" fontId="2" fillId="0" borderId="0" xfId="1" applyNumberFormat="1" applyFont="1" applyAlignment="1">
      <alignment horizontal="center"/>
    </xf>
    <xf numFmtId="39" fontId="2" fillId="0" borderId="0" xfId="2" applyNumberFormat="1" applyFont="1" applyBorder="1"/>
    <xf numFmtId="164" fontId="2" fillId="0" borderId="0" xfId="1" applyNumberFormat="1" applyFont="1" applyAlignment="1">
      <alignment horizontal="left"/>
    </xf>
    <xf numFmtId="164" fontId="2" fillId="0" borderId="0" xfId="1" applyNumberFormat="1" applyFont="1" applyAlignment="1">
      <alignment horizontal="center"/>
    </xf>
    <xf numFmtId="164" fontId="36" fillId="0" borderId="0" xfId="1" applyNumberFormat="1" applyFont="1" applyBorder="1" applyAlignment="1">
      <alignment horizontal="center"/>
    </xf>
    <xf numFmtId="164" fontId="2" fillId="0" borderId="8" xfId="1" applyNumberFormat="1" applyFont="1" applyBorder="1"/>
    <xf numFmtId="164" fontId="3" fillId="0" borderId="0" xfId="1" applyNumberFormat="1" applyFont="1" applyAlignment="1">
      <alignment horizontal="left" indent="1"/>
    </xf>
    <xf numFmtId="9" fontId="0" fillId="0" borderId="0" xfId="0" applyNumberFormat="1"/>
    <xf numFmtId="164" fontId="38" fillId="0" borderId="0" xfId="1" quotePrefix="1" applyNumberFormat="1" applyFont="1"/>
    <xf numFmtId="164" fontId="26" fillId="0" borderId="0" xfId="1" applyNumberFormat="1" applyFont="1" applyAlignment="1">
      <alignment horizontal="center"/>
    </xf>
    <xf numFmtId="164" fontId="9" fillId="0" borderId="0" xfId="1" applyNumberFormat="1" applyFont="1" applyAlignment="1">
      <alignment horizontal="center"/>
    </xf>
    <xf numFmtId="0" fontId="2" fillId="0" borderId="0" xfId="1" applyNumberFormat="1" applyFont="1" applyAlignment="1">
      <alignment horizontal="center"/>
    </xf>
    <xf numFmtId="7" fontId="2" fillId="0" borderId="0" xfId="1" applyNumberFormat="1" applyFont="1"/>
    <xf numFmtId="14" fontId="32" fillId="0" borderId="0" xfId="3" applyNumberFormat="1" applyFont="1" applyFill="1" applyBorder="1" applyAlignment="1">
      <alignment horizontal="center"/>
    </xf>
    <xf numFmtId="0" fontId="39" fillId="0" borderId="0" xfId="0" applyFont="1"/>
    <xf numFmtId="164" fontId="2" fillId="0" borderId="10" xfId="1" applyNumberFormat="1" applyFont="1" applyBorder="1"/>
    <xf numFmtId="164" fontId="5" fillId="0" borderId="10" xfId="1" applyNumberFormat="1" applyFont="1" applyBorder="1"/>
    <xf numFmtId="164" fontId="2" fillId="0" borderId="0" xfId="1" quotePrefix="1" applyNumberFormat="1" applyFont="1" applyAlignment="1"/>
    <xf numFmtId="0" fontId="20" fillId="0" borderId="10" xfId="0" applyFont="1" applyBorder="1"/>
    <xf numFmtId="164" fontId="5" fillId="0" borderId="2" xfId="1" applyNumberFormat="1" applyFont="1" applyBorder="1"/>
    <xf numFmtId="164" fontId="5" fillId="0" borderId="14" xfId="1" applyNumberFormat="1" applyFont="1" applyBorder="1"/>
    <xf numFmtId="0" fontId="41" fillId="0" borderId="0" xfId="0" applyFont="1" applyAlignment="1">
      <alignment horizontal="center"/>
    </xf>
    <xf numFmtId="0" fontId="20" fillId="0" borderId="0" xfId="0" applyFont="1" applyAlignment="1">
      <alignment horizontal="center"/>
    </xf>
    <xf numFmtId="164" fontId="28" fillId="0" borderId="0" xfId="1" applyNumberFormat="1" applyFont="1" applyAlignment="1">
      <alignment horizontal="center"/>
    </xf>
    <xf numFmtId="43" fontId="2" fillId="0" borderId="0" xfId="1" applyFont="1" applyBorder="1"/>
    <xf numFmtId="166" fontId="2" fillId="0" borderId="0" xfId="2" quotePrefix="1" applyNumberFormat="1" applyFont="1" applyFill="1" applyBorder="1"/>
    <xf numFmtId="164" fontId="2" fillId="0" borderId="0" xfId="1" applyNumberFormat="1" applyFont="1" applyFill="1"/>
    <xf numFmtId="9" fontId="2" fillId="0" borderId="1" xfId="3" quotePrefix="1" applyFont="1" applyFill="1" applyBorder="1"/>
    <xf numFmtId="42" fontId="2" fillId="0" borderId="0" xfId="2" applyNumberFormat="1" applyFont="1"/>
    <xf numFmtId="0" fontId="42" fillId="0" borderId="0" xfId="0" applyFont="1"/>
    <xf numFmtId="164" fontId="5" fillId="0" borderId="0" xfId="1" quotePrefix="1" applyNumberFormat="1" applyFont="1" applyBorder="1" applyAlignment="1">
      <alignment horizontal="center"/>
    </xf>
    <xf numFmtId="0" fontId="2" fillId="0" borderId="0" xfId="0" applyFont="1" applyAlignment="1">
      <alignment horizontal="left"/>
    </xf>
    <xf numFmtId="164" fontId="2" fillId="0" borderId="0" xfId="1" applyNumberFormat="1" applyFont="1" applyAlignment="1">
      <alignment horizontal="center"/>
    </xf>
    <xf numFmtId="164" fontId="9" fillId="0" borderId="0" xfId="1" applyNumberFormat="1" applyFont="1" applyAlignment="1">
      <alignment horizontal="center"/>
    </xf>
    <xf numFmtId="164" fontId="2" fillId="0" borderId="0" xfId="1" applyNumberFormat="1" applyFont="1" applyAlignment="1">
      <alignment horizontal="left"/>
    </xf>
    <xf numFmtId="164" fontId="3" fillId="0" borderId="0" xfId="1" applyNumberFormat="1" applyFont="1" applyAlignment="1">
      <alignment horizontal="center"/>
    </xf>
    <xf numFmtId="164" fontId="5" fillId="0" borderId="0" xfId="1" applyNumberFormat="1" applyFont="1" applyAlignment="1">
      <alignment horizontal="center"/>
    </xf>
    <xf numFmtId="164" fontId="2" fillId="0" borderId="0" xfId="1" applyNumberFormat="1" applyFont="1" applyAlignment="1">
      <alignment horizontal="center"/>
    </xf>
    <xf numFmtId="164" fontId="2" fillId="0" borderId="0" xfId="1" applyNumberFormat="1" applyFont="1" applyBorder="1" applyAlignment="1">
      <alignment horizontal="center"/>
    </xf>
    <xf numFmtId="164" fontId="9" fillId="0" borderId="0" xfId="1" applyNumberFormat="1" applyFont="1" applyAlignment="1">
      <alignment horizontal="center"/>
    </xf>
    <xf numFmtId="0" fontId="2" fillId="0" borderId="0" xfId="0" applyFont="1" applyBorder="1" applyAlignment="1">
      <alignment horizontal="left"/>
    </xf>
    <xf numFmtId="3" fontId="2" fillId="0" borderId="0" xfId="1" applyNumberFormat="1" applyFont="1"/>
    <xf numFmtId="3" fontId="2" fillId="0" borderId="0" xfId="1" applyNumberFormat="1" applyFont="1" applyAlignment="1">
      <alignment horizontal="right"/>
    </xf>
    <xf numFmtId="170" fontId="2" fillId="0" borderId="1" xfId="1" applyNumberFormat="1" applyFont="1" applyBorder="1"/>
    <xf numFmtId="37" fontId="2" fillId="0" borderId="0" xfId="0" applyNumberFormat="1" applyFont="1"/>
    <xf numFmtId="7" fontId="2" fillId="0" borderId="0" xfId="2" applyNumberFormat="1" applyFont="1"/>
    <xf numFmtId="164" fontId="9" fillId="0" borderId="0" xfId="1" applyNumberFormat="1" applyFont="1" applyAlignment="1">
      <alignment horizontal="left"/>
    </xf>
    <xf numFmtId="164" fontId="36" fillId="0" borderId="0" xfId="1" applyNumberFormat="1" applyFont="1" applyBorder="1" applyAlignment="1"/>
    <xf numFmtId="164" fontId="2" fillId="0" borderId="0" xfId="1" applyNumberFormat="1" applyFont="1" applyAlignment="1">
      <alignment horizontal="left"/>
    </xf>
    <xf numFmtId="164" fontId="9" fillId="0" borderId="0" xfId="1" applyNumberFormat="1" applyFont="1" applyAlignment="1">
      <alignment horizontal="left"/>
    </xf>
    <xf numFmtId="164" fontId="2" fillId="0" borderId="0" xfId="1" applyNumberFormat="1" applyFont="1" applyAlignment="1">
      <alignment horizontal="center"/>
    </xf>
    <xf numFmtId="164" fontId="2" fillId="0" borderId="0" xfId="1" applyNumberFormat="1" applyFont="1" applyBorder="1" applyAlignment="1">
      <alignment horizontal="center"/>
    </xf>
    <xf numFmtId="164" fontId="9" fillId="0" borderId="0" xfId="1" applyNumberFormat="1" applyFont="1" applyAlignment="1">
      <alignment horizontal="center"/>
    </xf>
    <xf numFmtId="10" fontId="0" fillId="0" borderId="0" xfId="3" applyNumberFormat="1" applyFont="1" applyBorder="1"/>
    <xf numFmtId="0" fontId="1" fillId="0" borderId="0" xfId="0" applyFont="1" applyBorder="1"/>
    <xf numFmtId="43" fontId="0" fillId="0" borderId="0" xfId="0" applyNumberFormat="1" applyBorder="1"/>
    <xf numFmtId="44" fontId="0" fillId="0" borderId="0" xfId="0" applyNumberFormat="1" applyBorder="1"/>
    <xf numFmtId="164" fontId="2" fillId="0" borderId="0" xfId="1" applyNumberFormat="1" applyFont="1" applyBorder="1" applyAlignment="1"/>
    <xf numFmtId="164" fontId="3" fillId="0" borderId="0" xfId="1" applyNumberFormat="1" applyFont="1" applyBorder="1" applyAlignment="1"/>
    <xf numFmtId="164" fontId="3" fillId="0" borderId="0" xfId="1" applyNumberFormat="1" applyFont="1" applyBorder="1" applyAlignment="1">
      <alignment horizontal="center"/>
    </xf>
    <xf numFmtId="43" fontId="0" fillId="0" borderId="0" xfId="1" applyFont="1" applyBorder="1"/>
    <xf numFmtId="164" fontId="2" fillId="0" borderId="0" xfId="1" quotePrefix="1" applyNumberFormat="1" applyFont="1" applyBorder="1" applyAlignment="1">
      <alignment horizontal="center"/>
    </xf>
    <xf numFmtId="0" fontId="2" fillId="0" borderId="0" xfId="1" applyNumberFormat="1" applyFont="1" applyBorder="1" applyAlignment="1">
      <alignment horizontal="center"/>
    </xf>
    <xf numFmtId="14" fontId="2" fillId="0" borderId="1" xfId="3" applyNumberFormat="1" applyFont="1" applyFill="1" applyBorder="1" applyAlignment="1">
      <alignment horizontal="center"/>
    </xf>
    <xf numFmtId="0" fontId="2" fillId="0" borderId="0" xfId="0" applyFont="1" applyAlignment="1">
      <alignment horizontal="right"/>
    </xf>
    <xf numFmtId="170" fontId="2" fillId="0" borderId="0" xfId="1" applyNumberFormat="1" applyFont="1" applyAlignment="1">
      <alignment horizontal="center"/>
    </xf>
    <xf numFmtId="164" fontId="1" fillId="0" borderId="0" xfId="0" applyNumberFormat="1" applyFont="1" applyAlignment="1">
      <alignment horizontal="center"/>
    </xf>
    <xf numFmtId="43" fontId="2" fillId="0" borderId="0" xfId="1" applyNumberFormat="1" applyFont="1" applyAlignment="1">
      <alignment horizontal="center"/>
    </xf>
    <xf numFmtId="37" fontId="2" fillId="0" borderId="0" xfId="0" applyNumberFormat="1" applyFont="1" applyAlignment="1">
      <alignment horizontal="center"/>
    </xf>
    <xf numFmtId="170" fontId="2" fillId="0" borderId="0" xfId="1" applyNumberFormat="1" applyFont="1" applyAlignment="1"/>
    <xf numFmtId="164" fontId="2" fillId="0" borderId="1" xfId="1" applyNumberFormat="1" applyFont="1" applyBorder="1" applyAlignment="1"/>
    <xf numFmtId="170" fontId="2" fillId="0" borderId="1" xfId="1" applyNumberFormat="1" applyFont="1" applyBorder="1" applyAlignment="1"/>
    <xf numFmtId="49" fontId="2" fillId="0" borderId="0" xfId="1" quotePrefix="1" applyNumberFormat="1" applyFont="1" applyAlignment="1">
      <alignment horizontal="center"/>
    </xf>
    <xf numFmtId="164" fontId="38" fillId="0" borderId="0" xfId="1" quotePrefix="1" applyNumberFormat="1" applyFont="1" applyAlignment="1">
      <alignment horizontal="center"/>
    </xf>
    <xf numFmtId="0" fontId="44" fillId="0" borderId="0" xfId="1" applyNumberFormat="1" applyFont="1" applyAlignment="1">
      <alignment horizontal="center"/>
    </xf>
    <xf numFmtId="164" fontId="44" fillId="0" borderId="0" xfId="1" applyNumberFormat="1" applyFont="1" applyAlignment="1">
      <alignment horizontal="center"/>
    </xf>
    <xf numFmtId="164" fontId="40" fillId="0" borderId="0" xfId="1" applyNumberFormat="1" applyFont="1" applyAlignment="1">
      <alignment horizontal="center"/>
    </xf>
    <xf numFmtId="164" fontId="5" fillId="0" borderId="6" xfId="1" quotePrefix="1" applyNumberFormat="1" applyFont="1" applyBorder="1" applyAlignment="1">
      <alignment horizontal="center"/>
    </xf>
    <xf numFmtId="164" fontId="6" fillId="0" borderId="4" xfId="1" applyNumberFormat="1" applyFont="1" applyBorder="1" applyAlignment="1">
      <alignment horizontal="center"/>
    </xf>
    <xf numFmtId="0" fontId="0" fillId="0" borderId="0" xfId="0" applyBorder="1" applyAlignment="1">
      <alignment horizontal="center"/>
    </xf>
    <xf numFmtId="164" fontId="2" fillId="0" borderId="0" xfId="1" quotePrefix="1" applyNumberFormat="1" applyFont="1" applyBorder="1" applyAlignment="1"/>
    <xf numFmtId="164" fontId="2" fillId="0" borderId="0" xfId="1" applyNumberFormat="1" applyFont="1" applyAlignment="1">
      <alignment horizontal="center"/>
    </xf>
    <xf numFmtId="0" fontId="2" fillId="0" borderId="0" xfId="0" applyFont="1" applyAlignment="1">
      <alignment horizontal="left"/>
    </xf>
    <xf numFmtId="164" fontId="26" fillId="0" borderId="0" xfId="1" applyNumberFormat="1" applyFont="1" applyAlignment="1">
      <alignment horizontal="center"/>
    </xf>
    <xf numFmtId="164" fontId="2" fillId="0" borderId="0" xfId="1" applyNumberFormat="1" applyFont="1" applyBorder="1" applyAlignment="1">
      <alignment horizontal="center"/>
    </xf>
    <xf numFmtId="164" fontId="9" fillId="0" borderId="0" xfId="1" applyNumberFormat="1" applyFont="1" applyAlignment="1">
      <alignment horizontal="center"/>
    </xf>
    <xf numFmtId="0" fontId="30" fillId="0" borderId="0" xfId="0" applyFont="1" applyBorder="1"/>
    <xf numFmtId="164" fontId="34" fillId="0" borderId="0" xfId="0" applyNumberFormat="1" applyFont="1" applyBorder="1"/>
    <xf numFmtId="164" fontId="35" fillId="0" borderId="0" xfId="0" applyNumberFormat="1" applyFont="1" applyBorder="1"/>
    <xf numFmtId="0" fontId="34" fillId="0" borderId="0" xfId="0" applyFont="1" applyBorder="1"/>
    <xf numFmtId="0" fontId="35" fillId="0" borderId="0" xfId="0" applyFont="1" applyBorder="1"/>
    <xf numFmtId="42" fontId="2" fillId="0" borderId="0" xfId="2" applyNumberFormat="1" applyFont="1" applyBorder="1"/>
    <xf numFmtId="42" fontId="2" fillId="0" borderId="1" xfId="2" applyNumberFormat="1" applyFont="1" applyBorder="1"/>
    <xf numFmtId="164" fontId="2" fillId="0" borderId="1" xfId="1" applyNumberFormat="1" applyFont="1" applyBorder="1" applyAlignment="1">
      <alignment horizontal="center"/>
    </xf>
    <xf numFmtId="164" fontId="2" fillId="0" borderId="0" xfId="1" applyNumberFormat="1" applyFont="1" applyAlignment="1">
      <alignment horizontal="center"/>
    </xf>
    <xf numFmtId="170" fontId="2" fillId="0" borderId="0" xfId="1" applyNumberFormat="1" applyFont="1" applyBorder="1"/>
    <xf numFmtId="43" fontId="2" fillId="0" borderId="0" xfId="1" applyNumberFormat="1" applyFont="1" applyBorder="1"/>
    <xf numFmtId="0" fontId="1" fillId="0" borderId="0" xfId="0" applyFont="1" applyBorder="1" applyAlignment="1">
      <alignment horizontal="center"/>
    </xf>
    <xf numFmtId="164" fontId="1" fillId="0" borderId="0" xfId="0" applyNumberFormat="1" applyFont="1" applyBorder="1" applyAlignment="1">
      <alignment horizontal="center"/>
    </xf>
    <xf numFmtId="37" fontId="2" fillId="0" borderId="0" xfId="0" applyNumberFormat="1" applyFont="1" applyBorder="1" applyAlignment="1">
      <alignment horizontal="center"/>
    </xf>
    <xf numFmtId="37" fontId="0" fillId="0" borderId="0" xfId="0" applyNumberFormat="1" applyBorder="1"/>
    <xf numFmtId="3" fontId="2" fillId="0" borderId="0" xfId="1" applyNumberFormat="1" applyFont="1" applyBorder="1"/>
    <xf numFmtId="170" fontId="2" fillId="0" borderId="0" xfId="1" applyNumberFormat="1" applyFont="1" applyBorder="1" applyAlignment="1">
      <alignment horizontal="center"/>
    </xf>
    <xf numFmtId="0" fontId="2" fillId="0" borderId="0" xfId="0" applyFont="1" applyBorder="1" applyAlignment="1"/>
    <xf numFmtId="164" fontId="25" fillId="0" borderId="0" xfId="1" applyNumberFormat="1" applyFont="1" applyBorder="1" applyAlignment="1"/>
    <xf numFmtId="17" fontId="2" fillId="0" borderId="0" xfId="1" applyNumberFormat="1" applyFont="1" applyBorder="1" applyAlignment="1">
      <alignment horizontal="center"/>
    </xf>
    <xf numFmtId="39" fontId="2" fillId="0" borderId="0" xfId="1" applyNumberFormat="1" applyFont="1"/>
    <xf numFmtId="0" fontId="42" fillId="0" borderId="0" xfId="0" applyFont="1" applyAlignment="1">
      <alignment horizontal="center"/>
    </xf>
    <xf numFmtId="0" fontId="30" fillId="0" borderId="0" xfId="0" applyFont="1"/>
    <xf numFmtId="166" fontId="2" fillId="0" borderId="1" xfId="2" applyNumberFormat="1" applyFont="1" applyBorder="1"/>
    <xf numFmtId="39" fontId="2" fillId="0" borderId="0" xfId="1" applyNumberFormat="1" applyFont="1" applyBorder="1"/>
    <xf numFmtId="170" fontId="22" fillId="0" borderId="0" xfId="0" applyNumberFormat="1" applyFont="1"/>
    <xf numFmtId="164" fontId="2" fillId="0" borderId="1" xfId="1" applyNumberFormat="1" applyFont="1" applyBorder="1" applyAlignment="1">
      <alignment horizontal="center" vertical="center"/>
    </xf>
    <xf numFmtId="164" fontId="2" fillId="0" borderId="2" xfId="1" applyNumberFormat="1" applyFont="1" applyBorder="1" applyAlignment="1">
      <alignment horizontal="center" vertical="center"/>
    </xf>
    <xf numFmtId="164" fontId="2" fillId="0" borderId="2" xfId="1" quotePrefix="1" applyNumberFormat="1" applyFont="1" applyBorder="1" applyAlignment="1">
      <alignment horizontal="left"/>
    </xf>
    <xf numFmtId="164" fontId="2" fillId="0" borderId="0" xfId="1" applyNumberFormat="1" applyFont="1" applyAlignment="1">
      <alignment horizontal="center"/>
    </xf>
    <xf numFmtId="164" fontId="3" fillId="0" borderId="0" xfId="1" applyNumberFormat="1" applyFont="1" applyAlignment="1">
      <alignment horizontal="center"/>
    </xf>
    <xf numFmtId="164" fontId="2" fillId="0" borderId="0" xfId="1" applyNumberFormat="1" applyFont="1" applyAlignment="1">
      <alignment horizontal="left"/>
    </xf>
    <xf numFmtId="0" fontId="2" fillId="0" borderId="0" xfId="0" applyFont="1" applyAlignment="1">
      <alignment horizontal="left"/>
    </xf>
    <xf numFmtId="164" fontId="2" fillId="0" borderId="0" xfId="1" applyNumberFormat="1" applyFont="1" applyAlignment="1">
      <alignment horizontal="right"/>
    </xf>
    <xf numFmtId="164" fontId="2" fillId="0" borderId="0" xfId="1" applyNumberFormat="1" applyFont="1" applyBorder="1" applyAlignment="1">
      <alignment horizontal="center"/>
    </xf>
    <xf numFmtId="164" fontId="9" fillId="0" borderId="0" xfId="1" applyNumberFormat="1" applyFont="1" applyAlignment="1">
      <alignment horizontal="center"/>
    </xf>
    <xf numFmtId="0" fontId="0" fillId="0" borderId="0" xfId="0" applyFill="1" applyBorder="1"/>
    <xf numFmtId="0" fontId="0" fillId="0" borderId="0" xfId="0" applyFont="1" applyFill="1" applyBorder="1"/>
    <xf numFmtId="164" fontId="2" fillId="0" borderId="0" xfId="1" applyNumberFormat="1" applyFont="1" applyFill="1" applyBorder="1"/>
    <xf numFmtId="0" fontId="1" fillId="0" borderId="0" xfId="0" applyFont="1" applyAlignment="1">
      <alignment horizontal="center"/>
    </xf>
    <xf numFmtId="164" fontId="2" fillId="0" borderId="1" xfId="1" applyNumberFormat="1" applyFont="1" applyFill="1" applyBorder="1"/>
    <xf numFmtId="0" fontId="0" fillId="0" borderId="1" xfId="0" applyFill="1" applyBorder="1"/>
    <xf numFmtId="164" fontId="2" fillId="0" borderId="0" xfId="1" applyNumberFormat="1" applyFont="1" applyAlignment="1">
      <alignment horizontal="center"/>
    </xf>
    <xf numFmtId="164" fontId="2" fillId="0" borderId="0" xfId="1" applyNumberFormat="1" applyFont="1" applyAlignment="1">
      <alignment horizontal="left"/>
    </xf>
    <xf numFmtId="164" fontId="2" fillId="0" borderId="0" xfId="1" applyNumberFormat="1" applyFont="1" applyAlignment="1">
      <alignment horizontal="right"/>
    </xf>
    <xf numFmtId="0" fontId="2" fillId="0" borderId="0" xfId="0" applyFont="1" applyAlignment="1">
      <alignment horizontal="right"/>
    </xf>
    <xf numFmtId="0" fontId="1" fillId="0" borderId="0" xfId="0" applyFont="1" applyAlignment="1">
      <alignment horizontal="center"/>
    </xf>
    <xf numFmtId="164" fontId="26" fillId="0" borderId="0" xfId="1" applyNumberFormat="1" applyFont="1" applyAlignment="1">
      <alignment horizontal="center"/>
    </xf>
    <xf numFmtId="164" fontId="9" fillId="0" borderId="0" xfId="1" applyNumberFormat="1" applyFont="1" applyAlignment="1">
      <alignment horizontal="center"/>
    </xf>
    <xf numFmtId="164" fontId="2" fillId="0" borderId="0" xfId="0" applyNumberFormat="1" applyFont="1" applyAlignment="1">
      <alignment horizontal="center"/>
    </xf>
    <xf numFmtId="49" fontId="2" fillId="0" borderId="0" xfId="0" applyNumberFormat="1" applyFont="1" applyAlignment="1">
      <alignment horizontal="center"/>
    </xf>
    <xf numFmtId="1" fontId="2" fillId="0" borderId="0" xfId="0" applyNumberFormat="1" applyFont="1" applyAlignment="1">
      <alignment horizontal="center"/>
    </xf>
    <xf numFmtId="49" fontId="2" fillId="0" borderId="0" xfId="1" applyNumberFormat="1" applyFont="1" applyAlignment="1">
      <alignment horizontal="center"/>
    </xf>
    <xf numFmtId="164" fontId="3" fillId="0" borderId="0" xfId="1" quotePrefix="1" applyNumberFormat="1" applyFont="1" applyAlignment="1">
      <alignment horizontal="center"/>
    </xf>
    <xf numFmtId="1" fontId="2" fillId="0" borderId="0" xfId="0" applyNumberFormat="1" applyFont="1" applyAlignment="1">
      <alignment horizontal="right"/>
    </xf>
    <xf numFmtId="44" fontId="2" fillId="0" borderId="0" xfId="2" quotePrefix="1" applyFont="1" applyAlignment="1"/>
    <xf numFmtId="0" fontId="3" fillId="0" borderId="0" xfId="1" quotePrefix="1" applyNumberFormat="1" applyFont="1" applyAlignment="1"/>
    <xf numFmtId="44" fontId="2" fillId="0" borderId="0" xfId="1" quotePrefix="1" applyNumberFormat="1" applyFont="1" applyAlignment="1"/>
    <xf numFmtId="164" fontId="9" fillId="0" borderId="0" xfId="1" applyNumberFormat="1" applyFont="1" applyBorder="1" applyAlignment="1">
      <alignment horizontal="left"/>
    </xf>
    <xf numFmtId="164" fontId="3" fillId="0" borderId="0" xfId="1" applyNumberFormat="1" applyFont="1" applyBorder="1"/>
    <xf numFmtId="0" fontId="2" fillId="0" borderId="0" xfId="1" applyNumberFormat="1" applyFont="1" applyBorder="1"/>
    <xf numFmtId="164" fontId="2" fillId="0" borderId="0" xfId="0" applyNumberFormat="1" applyFont="1" applyBorder="1"/>
    <xf numFmtId="7" fontId="2" fillId="0" borderId="0" xfId="2" applyNumberFormat="1" applyFont="1" applyBorder="1"/>
    <xf numFmtId="164" fontId="2" fillId="0" borderId="0" xfId="1" applyNumberFormat="1" applyFont="1" applyBorder="1" applyAlignment="1">
      <alignment horizontal="right"/>
    </xf>
    <xf numFmtId="166" fontId="9" fillId="0" borderId="0" xfId="2" applyNumberFormat="1" applyFont="1" applyBorder="1"/>
    <xf numFmtId="164" fontId="2" fillId="0" borderId="0" xfId="1" quotePrefix="1" applyNumberFormat="1" applyFont="1" applyBorder="1" applyAlignment="1">
      <alignment horizontal="left"/>
    </xf>
    <xf numFmtId="44" fontId="2" fillId="0" borderId="0" xfId="2" applyNumberFormat="1" applyFont="1" applyBorder="1"/>
    <xf numFmtId="164" fontId="1" fillId="0" borderId="0" xfId="0" applyNumberFormat="1" applyFont="1" applyBorder="1"/>
    <xf numFmtId="44" fontId="2" fillId="0" borderId="0" xfId="2" quotePrefix="1" applyFont="1" applyBorder="1" applyAlignment="1">
      <alignment horizontal="left"/>
    </xf>
    <xf numFmtId="166" fontId="2" fillId="0" borderId="0" xfId="2" applyNumberFormat="1" applyFont="1" applyBorder="1" applyAlignment="1">
      <alignment horizontal="center"/>
    </xf>
    <xf numFmtId="164" fontId="2" fillId="0" borderId="0" xfId="1" applyNumberFormat="1" applyFont="1" applyBorder="1" applyAlignment="1">
      <alignment horizontal="left"/>
    </xf>
    <xf numFmtId="43" fontId="2" fillId="0" borderId="0" xfId="0" applyNumberFormat="1" applyFont="1" applyBorder="1"/>
    <xf numFmtId="39" fontId="42" fillId="0" borderId="0" xfId="2" applyNumberFormat="1" applyFont="1" applyBorder="1" applyAlignment="1">
      <alignment horizontal="center"/>
    </xf>
    <xf numFmtId="39" fontId="42" fillId="0" borderId="0" xfId="2" applyNumberFormat="1" applyFont="1" applyFill="1" applyBorder="1" applyAlignment="1">
      <alignment horizontal="center"/>
    </xf>
    <xf numFmtId="43" fontId="9" fillId="0" borderId="0" xfId="1" applyNumberFormat="1" applyFont="1"/>
    <xf numFmtId="4" fontId="0" fillId="0" borderId="0" xfId="0" applyNumberFormat="1" applyBorder="1"/>
    <xf numFmtId="44" fontId="3" fillId="0" borderId="0" xfId="2" applyFont="1" applyAlignment="1">
      <alignment horizontal="center"/>
    </xf>
    <xf numFmtId="4" fontId="2" fillId="0" borderId="0" xfId="0" applyNumberFormat="1" applyFont="1" applyAlignment="1">
      <alignment horizontal="center"/>
    </xf>
    <xf numFmtId="0" fontId="2" fillId="0" borderId="0" xfId="0" applyFont="1"/>
    <xf numFmtId="0" fontId="2" fillId="0" borderId="0" xfId="0" applyFont="1" applyAlignment="1">
      <alignment horizontal="center"/>
    </xf>
    <xf numFmtId="166" fontId="5" fillId="0" borderId="0" xfId="2" applyNumberFormat="1" applyFont="1" applyBorder="1"/>
    <xf numFmtId="164" fontId="4" fillId="0" borderId="0" xfId="1" applyNumberFormat="1" applyFont="1" applyBorder="1"/>
    <xf numFmtId="5" fontId="2" fillId="0" borderId="0" xfId="1" applyNumberFormat="1" applyFont="1" applyBorder="1"/>
    <xf numFmtId="39" fontId="45" fillId="0" borderId="0" xfId="2" applyNumberFormat="1" applyFont="1" applyBorder="1" applyAlignment="1">
      <alignment horizontal="center"/>
    </xf>
    <xf numFmtId="0" fontId="27" fillId="0" borderId="0" xfId="0" applyFont="1" applyBorder="1"/>
    <xf numFmtId="0" fontId="17" fillId="0" borderId="0" xfId="0" applyFont="1" applyBorder="1"/>
    <xf numFmtId="164" fontId="17" fillId="0" borderId="0" xfId="1" applyNumberFormat="1" applyFont="1" applyBorder="1"/>
    <xf numFmtId="164" fontId="2" fillId="0" borderId="0" xfId="1" applyNumberFormat="1" applyFont="1" applyAlignment="1">
      <alignment horizontal="center"/>
    </xf>
    <xf numFmtId="164" fontId="3" fillId="0" borderId="0" xfId="1" applyNumberFormat="1" applyFont="1" applyAlignment="1">
      <alignment horizontal="center"/>
    </xf>
    <xf numFmtId="164" fontId="2" fillId="0" borderId="0" xfId="1" applyNumberFormat="1" applyFont="1" applyAlignment="1">
      <alignment horizontal="left"/>
    </xf>
    <xf numFmtId="0" fontId="3" fillId="0" borderId="0" xfId="1" quotePrefix="1" applyNumberFormat="1" applyFont="1" applyAlignment="1">
      <alignment horizontal="center"/>
    </xf>
    <xf numFmtId="0" fontId="2" fillId="0" borderId="0" xfId="0" applyFont="1" applyAlignment="1">
      <alignment horizontal="left"/>
    </xf>
    <xf numFmtId="0" fontId="2" fillId="0" borderId="13" xfId="0" applyFont="1" applyBorder="1" applyAlignment="1">
      <alignment horizontal="left"/>
    </xf>
    <xf numFmtId="0" fontId="2" fillId="0" borderId="1" xfId="1" applyNumberFormat="1" applyFont="1" applyBorder="1" applyAlignment="1">
      <alignment horizontal="center"/>
    </xf>
    <xf numFmtId="0" fontId="2" fillId="0" borderId="3" xfId="1" applyNumberFormat="1" applyFont="1" applyBorder="1" applyAlignment="1">
      <alignment horizontal="center"/>
    </xf>
    <xf numFmtId="164" fontId="5" fillId="0" borderId="0" xfId="1" applyNumberFormat="1" applyFont="1" applyAlignment="1">
      <alignment horizontal="center"/>
    </xf>
    <xf numFmtId="49" fontId="2" fillId="0" borderId="0" xfId="2" applyNumberFormat="1" applyFont="1" applyBorder="1" applyAlignment="1">
      <alignment horizontal="center"/>
    </xf>
    <xf numFmtId="44" fontId="5" fillId="0" borderId="0" xfId="2" applyFont="1" applyBorder="1" applyAlignment="1">
      <alignment horizontal="center"/>
    </xf>
    <xf numFmtId="0" fontId="3" fillId="0" borderId="0" xfId="1" applyNumberFormat="1" applyFont="1" applyAlignment="1">
      <alignment horizontal="left"/>
    </xf>
    <xf numFmtId="0" fontId="2" fillId="0" borderId="0" xfId="0" applyFont="1" applyAlignment="1">
      <alignment horizontal="right"/>
    </xf>
    <xf numFmtId="164" fontId="25" fillId="0" borderId="1" xfId="1" applyNumberFormat="1" applyFont="1" applyBorder="1" applyAlignment="1">
      <alignment horizontal="center"/>
    </xf>
    <xf numFmtId="164" fontId="2" fillId="0" borderId="0" xfId="1" applyNumberFormat="1" applyFont="1" applyAlignment="1">
      <alignment horizontal="right"/>
    </xf>
    <xf numFmtId="164" fontId="43" fillId="0" borderId="1" xfId="1" applyNumberFormat="1" applyFont="1" applyBorder="1" applyAlignment="1">
      <alignment horizontal="center"/>
    </xf>
    <xf numFmtId="164" fontId="26" fillId="0" borderId="0" xfId="1"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41" fillId="0" borderId="0" xfId="0" applyFont="1" applyAlignment="1">
      <alignment horizontal="center"/>
    </xf>
    <xf numFmtId="0" fontId="20" fillId="0" borderId="1" xfId="0" applyFont="1" applyBorder="1" applyAlignment="1">
      <alignment horizontal="center"/>
    </xf>
    <xf numFmtId="0" fontId="20" fillId="0" borderId="2" xfId="0" applyFont="1" applyBorder="1" applyAlignment="1">
      <alignment horizontal="center"/>
    </xf>
    <xf numFmtId="164" fontId="5" fillId="0" borderId="0" xfId="1" applyNumberFormat="1" applyFont="1" applyAlignment="1">
      <alignment horizontal="left" vertical="top" wrapText="1"/>
    </xf>
    <xf numFmtId="0" fontId="15" fillId="0" borderId="0" xfId="0" applyFont="1" applyBorder="1" applyAlignment="1">
      <alignment vertical="top" wrapText="1"/>
    </xf>
    <xf numFmtId="164" fontId="2" fillId="0" borderId="1" xfId="1" applyNumberFormat="1" applyFont="1" applyBorder="1" applyAlignment="1">
      <alignment horizontal="center"/>
    </xf>
    <xf numFmtId="164" fontId="2" fillId="0" borderId="0" xfId="1" applyNumberFormat="1" applyFont="1" applyAlignment="1">
      <alignment horizontal="left" vertical="top" wrapText="1"/>
    </xf>
    <xf numFmtId="164" fontId="2" fillId="0" borderId="0" xfId="1" applyNumberFormat="1" applyFont="1" applyBorder="1" applyAlignment="1">
      <alignment horizontal="center"/>
    </xf>
    <xf numFmtId="164" fontId="29" fillId="0" borderId="0" xfId="1" quotePrefix="1" applyNumberFormat="1" applyFont="1" applyBorder="1" applyAlignment="1">
      <alignment horizontal="left" vertical="top" wrapText="1"/>
    </xf>
    <xf numFmtId="164" fontId="29" fillId="0" borderId="0" xfId="1" applyNumberFormat="1" applyFont="1" applyBorder="1" applyAlignment="1">
      <alignment vertical="top" wrapText="1"/>
    </xf>
    <xf numFmtId="164" fontId="9" fillId="0" borderId="0" xfId="1" applyNumberFormat="1" applyFont="1" applyAlignment="1">
      <alignment horizontal="center"/>
    </xf>
    <xf numFmtId="164" fontId="10" fillId="0" borderId="11" xfId="1" applyNumberFormat="1" applyFont="1" applyBorder="1" applyAlignment="1">
      <alignment horizontal="center"/>
    </xf>
    <xf numFmtId="164" fontId="10" fillId="0" borderId="6" xfId="1" applyNumberFormat="1" applyFont="1" applyBorder="1" applyAlignment="1">
      <alignment horizontal="center"/>
    </xf>
    <xf numFmtId="164" fontId="10" fillId="0" borderId="12" xfId="1" applyNumberFormat="1" applyFont="1" applyBorder="1" applyAlignment="1">
      <alignment horizontal="center"/>
    </xf>
    <xf numFmtId="164" fontId="10" fillId="0" borderId="0" xfId="1" applyNumberFormat="1" applyFont="1" applyBorder="1" applyAlignment="1">
      <alignment horizontal="center"/>
    </xf>
    <xf numFmtId="164" fontId="29" fillId="0" borderId="0" xfId="1" quotePrefix="1" applyNumberFormat="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676275</xdr:colOff>
      <xdr:row>27</xdr:row>
      <xdr:rowOff>190500</xdr:rowOff>
    </xdr:to>
    <xdr:sp macro="" textlink="">
      <xdr:nvSpPr>
        <xdr:cNvPr id="1027" name="Rectangle 3"/>
        <xdr:cNvSpPr>
          <a:spLocks noChangeArrowheads="1"/>
        </xdr:cNvSpPr>
      </xdr:nvSpPr>
      <xdr:spPr bwMode="auto">
        <a:xfrm>
          <a:off x="0" y="600075"/>
          <a:ext cx="5715000" cy="49911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0" anchor="t" upright="1"/>
        <a:lstStyle/>
        <a:p>
          <a:pPr algn="ctr" rtl="0">
            <a:defRPr sz="1000"/>
          </a:pPr>
          <a:r>
            <a:rPr lang="en-US" sz="1200" b="0" i="0" u="none" strike="noStrike" baseline="0">
              <a:solidFill>
                <a:srgbClr val="000000"/>
              </a:solidFill>
              <a:latin typeface="Times New Roman"/>
              <a:cs typeface="Times New Roman"/>
            </a:rPr>
            <a:t>  </a:t>
          </a: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a:p>
      </xdr:txBody>
    </xdr:sp>
    <xdr:clientData/>
  </xdr:twoCellAnchor>
  <xdr:twoCellAnchor>
    <xdr:from>
      <xdr:col>0</xdr:col>
      <xdr:colOff>9525</xdr:colOff>
      <xdr:row>28</xdr:row>
      <xdr:rowOff>38100</xdr:rowOff>
    </xdr:from>
    <xdr:to>
      <xdr:col>7</xdr:col>
      <xdr:colOff>695325</xdr:colOff>
      <xdr:row>43</xdr:row>
      <xdr:rowOff>104775</xdr:rowOff>
    </xdr:to>
    <xdr:sp macro="" textlink="">
      <xdr:nvSpPr>
        <xdr:cNvPr id="1028" name="Rectangle 4"/>
        <xdr:cNvSpPr>
          <a:spLocks noChangeArrowheads="1"/>
        </xdr:cNvSpPr>
      </xdr:nvSpPr>
      <xdr:spPr bwMode="auto">
        <a:xfrm>
          <a:off x="9525" y="5727700"/>
          <a:ext cx="8915400" cy="31146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27432" anchor="ctr" upright="1"/>
        <a:lstStyle/>
        <a:p>
          <a:pPr algn="l" rtl="0">
            <a:defRPr sz="1000"/>
          </a:pPr>
          <a:r>
            <a:rPr lang="en-US" sz="1200" b="1" i="1" u="none" strike="noStrike" baseline="0">
              <a:solidFill>
                <a:srgbClr val="000000"/>
              </a:solidFill>
              <a:latin typeface="Times New Roman"/>
              <a:cs typeface="Times New Roman"/>
            </a:rPr>
            <a:t>ITEMS IN BOLD ITALIC PRINT ARE APPLICABLE TO SEWER SYSTEMS</a:t>
          </a:r>
        </a:p>
        <a:p>
          <a:pPr algn="l" rtl="0">
            <a:defRPr sz="1000"/>
          </a:pPr>
          <a:endParaRPr lang="en-US" sz="1200" b="1" i="1"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In order to avoid unnecessary delays in application processing, the applicant and its consulting engineer should prepare a summary of the preliminary report in accordance with this Guide.</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Please complete the applicable section of the Summary Addendum.  </a:t>
          </a:r>
          <a:r>
            <a:rPr lang="en-US" sz="1200" b="1" i="1" u="none" strike="noStrike" baseline="0">
              <a:solidFill>
                <a:srgbClr val="000000"/>
              </a:solidFill>
              <a:latin typeface="Times New Roman"/>
              <a:cs typeface="Times New Roman"/>
            </a:rPr>
            <a:t>Please note, if water and sewer revenue will both be taken as security for the loan, all user information and characteristics of both utility systems will be needed even through the project will benefit only one utility.</a:t>
          </a:r>
          <a:r>
            <a:rPr lang="en-US" sz="1200" b="0" i="0" u="none" strike="noStrike" baseline="0">
              <a:solidFill>
                <a:srgbClr val="000000"/>
              </a:solidFill>
              <a:latin typeface="Times New Roman"/>
              <a:cs typeface="Times New Roman"/>
            </a:rPr>
            <a:t>   </a:t>
          </a:r>
          <a:r>
            <a:rPr lang="en-US" sz="1200" b="1" i="1" u="none" strike="noStrike" baseline="0">
              <a:solidFill>
                <a:srgbClr val="000000"/>
              </a:solidFill>
              <a:latin typeface="Times New Roman"/>
              <a:cs typeface="Times New Roman"/>
            </a:rPr>
            <a:t> </a:t>
          </a:r>
        </a:p>
        <a:p>
          <a:pPr algn="l" rtl="0">
            <a:defRPr sz="1000"/>
          </a:pPr>
          <a:endParaRPr lang="en-US" sz="1200" b="1" i="1"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Feasibility reviews and grant determination may be processed more accurately and more rapidly if the Summary/Addendum is submitted simultaneously with the preliminary engineering report, or as soon thereafter as possible.</a:t>
          </a:r>
          <a:endParaRPr lang="en-US"/>
        </a:p>
      </xdr:txBody>
    </xdr:sp>
    <xdr:clientData/>
  </xdr:twoCellAnchor>
  <xdr:twoCellAnchor>
    <xdr:from>
      <xdr:col>0</xdr:col>
      <xdr:colOff>66675</xdr:colOff>
      <xdr:row>44</xdr:row>
      <xdr:rowOff>66675</xdr:rowOff>
    </xdr:from>
    <xdr:to>
      <xdr:col>7</xdr:col>
      <xdr:colOff>714375</xdr:colOff>
      <xdr:row>60</xdr:row>
      <xdr:rowOff>171450</xdr:rowOff>
    </xdr:to>
    <xdr:sp macro="" textlink="">
      <xdr:nvSpPr>
        <xdr:cNvPr id="1029" name="Rectangle 5"/>
        <xdr:cNvSpPr>
          <a:spLocks noChangeArrowheads="1"/>
        </xdr:cNvSpPr>
      </xdr:nvSpPr>
      <xdr:spPr bwMode="auto">
        <a:xfrm>
          <a:off x="66675" y="8867775"/>
          <a:ext cx="5686425" cy="41052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27432" anchor="ctr" upright="1"/>
        <a:lstStyle/>
        <a:p>
          <a:pPr algn="l" rtl="0">
            <a:defRPr sz="1000"/>
          </a:pPr>
          <a:r>
            <a:rPr lang="en-US" sz="1200" b="1" i="0" u="none" strike="noStrike" baseline="0">
              <a:solidFill>
                <a:srgbClr val="000000"/>
              </a:solidFill>
              <a:latin typeface="Times New Roman"/>
              <a:cs typeface="Times New Roman"/>
            </a:rPr>
            <a:t>I.         </a:t>
          </a:r>
          <a:r>
            <a:rPr lang="en-US" sz="1200" b="1" i="0" u="sng" strike="noStrike" baseline="0">
              <a:solidFill>
                <a:srgbClr val="000000"/>
              </a:solidFill>
              <a:latin typeface="Times New Roman"/>
              <a:cs typeface="Times New Roman"/>
            </a:rPr>
            <a:t>GENERAL</a:t>
          </a:r>
          <a:endParaRPr lang="en-US" sz="1200" b="0" i="0" u="sng" strike="noStrike" baseline="0">
            <a:solidFill>
              <a:srgbClr val="000000"/>
            </a:solidFill>
            <a:latin typeface="Times New Roman"/>
            <a:cs typeface="Times New Roman"/>
          </a:endParaRPr>
        </a:p>
        <a:p>
          <a:pPr algn="l" rtl="0">
            <a:defRPr sz="1000"/>
          </a:pPr>
          <a:endParaRPr lang="en-US" sz="1200" b="0"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Proposed Project:  Provide a brief description of the proposed project.  In addition to this summary, the applicant/engineer should submit a project map of the service area.</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FF"/>
              </a:solidFill>
              <a:latin typeface="Times New Roman"/>
              <a:cs typeface="Times New Roman"/>
            </a:rPr>
            <a:t>The  City of Monticello is proposing to increase the capacity of its existing WTP from 3.0 MGD to 6.0 MGD.  The existing plant is nearing maximum production rates with the plant being in opration on the average of 21 hours per day for th epast two years. The proposed project will involve improvements to the existing plant (3.0 MGD) plus construction of a new plant (3.0 MGD) on a separate site.  Improvements will be made to the raw water intake and piping to provide a supply of raw water to each plant.  The new plant will be a membrane filter plant.    </a:t>
          </a:r>
        </a:p>
        <a:p>
          <a:pPr algn="l" rtl="0">
            <a:defRPr sz="1000"/>
          </a:pPr>
          <a:endParaRPr lang="en-US" sz="1200" b="0" i="0" u="none" strike="noStrike" baseline="0">
            <a:solidFill>
              <a:srgbClr val="0000FF"/>
            </a:solidFill>
            <a:latin typeface="Times New Roman"/>
            <a:cs typeface="Times New Roman"/>
          </a:endParaRPr>
        </a:p>
        <a:p>
          <a:pPr algn="l" rtl="0">
            <a:defRPr sz="1000"/>
          </a:pPr>
          <a:r>
            <a:rPr lang="en-US" sz="1200" b="0" i="0" u="none" strike="noStrike" baseline="0">
              <a:solidFill>
                <a:srgbClr val="0000FF"/>
              </a:solidFill>
              <a:latin typeface="Times New Roman"/>
              <a:cs typeface="Times New Roman"/>
            </a:rPr>
            <a:t>The engineers' opinion of probable cost for the project is $11,246,000.</a:t>
          </a:r>
          <a:endParaRPr lang="en-US"/>
        </a:p>
      </xdr:txBody>
    </xdr:sp>
    <xdr:clientData/>
  </xdr:twoCellAnchor>
  <xdr:twoCellAnchor>
    <xdr:from>
      <xdr:col>1</xdr:col>
      <xdr:colOff>0</xdr:colOff>
      <xdr:row>65</xdr:row>
      <xdr:rowOff>19050</xdr:rowOff>
    </xdr:from>
    <xdr:to>
      <xdr:col>7</xdr:col>
      <xdr:colOff>695325</xdr:colOff>
      <xdr:row>72</xdr:row>
      <xdr:rowOff>19050</xdr:rowOff>
    </xdr:to>
    <xdr:sp macro="" textlink="">
      <xdr:nvSpPr>
        <xdr:cNvPr id="1031" name="Rectangle 7"/>
        <xdr:cNvSpPr>
          <a:spLocks noChangeArrowheads="1"/>
        </xdr:cNvSpPr>
      </xdr:nvSpPr>
      <xdr:spPr bwMode="auto">
        <a:xfrm>
          <a:off x="447675" y="20802600"/>
          <a:ext cx="5286375" cy="1400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Water source:  Describe adequacy of source(quality and quantity).  Include an explanation of raw water source, raw water intake structure, treatment plant capacity, and current level of production (WTP).  Also describe the adequacy of water Purchase Contract if applicable.    </a:t>
          </a:r>
          <a:r>
            <a:rPr lang="en-US" sz="1200" b="0" i="0" u="none" strike="noStrike" baseline="0">
              <a:solidFill>
                <a:srgbClr val="0000FF"/>
              </a:solidFill>
              <a:latin typeface="Times New Roman"/>
              <a:cs typeface="Times New Roman"/>
            </a:rPr>
            <a:t>T</a:t>
          </a:r>
          <a:r>
            <a:rPr lang="en-US" sz="1200" b="0" i="0" u="sng" strike="noStrike" baseline="0">
              <a:solidFill>
                <a:srgbClr val="0000FF"/>
              </a:solidFill>
              <a:latin typeface="Times New Roman"/>
              <a:cs typeface="Times New Roman"/>
            </a:rPr>
            <a:t>he source of raw water is the Lake Cumberland Reservoir which has an ample supply and excellent quality.  The water tereatement plant is operating at 73% of rated capacity on average and exceeds 100% of capacity on some peak flow periods.</a:t>
          </a:r>
          <a:endParaRPr lang="en-US"/>
        </a:p>
      </xdr:txBody>
    </xdr:sp>
    <xdr:clientData/>
  </xdr:twoCellAnchor>
  <xdr:twoCellAnchor>
    <xdr:from>
      <xdr:col>1</xdr:col>
      <xdr:colOff>0</xdr:colOff>
      <xdr:row>109</xdr:row>
      <xdr:rowOff>171450</xdr:rowOff>
    </xdr:from>
    <xdr:to>
      <xdr:col>7</xdr:col>
      <xdr:colOff>723900</xdr:colOff>
      <xdr:row>118</xdr:row>
      <xdr:rowOff>28575</xdr:rowOff>
    </xdr:to>
    <xdr:sp macro="" textlink="">
      <xdr:nvSpPr>
        <xdr:cNvPr id="1032" name="Rectangle 8"/>
        <xdr:cNvSpPr>
          <a:spLocks noChangeArrowheads="1"/>
        </xdr:cNvSpPr>
      </xdr:nvSpPr>
      <xdr:spPr bwMode="auto">
        <a:xfrm>
          <a:off x="447675" y="31156275"/>
          <a:ext cx="5314950" cy="1657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Briefly describe the condition and suitability for continued use of facility now owned by the applicant.  Include any major renovation that will be needed within five to ten years.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FF"/>
              </a:solidFill>
              <a:latin typeface="Times New Roman"/>
              <a:cs typeface="Times New Roman"/>
            </a:rPr>
            <a:t>The original water system consists of 6" and 4" cast iron lines that over the years have deteriorated to the point that leaks are numbeous.  In addition, the inside of the water lines are clogged with mineral deposits, which serverly restricts flows and reduces water pressure. The water plant is nearing maximum production rates.</a:t>
          </a:r>
          <a:endParaRPr lang="en-US" sz="1200" b="0" i="0" u="none" strike="noStrike" baseline="0">
            <a:solidFill>
              <a:srgbClr val="000000"/>
            </a:solidFill>
            <a:latin typeface="Times New Roman"/>
            <a:cs typeface="Times New Roman"/>
          </a:endParaRPr>
        </a:p>
        <a:p>
          <a:pPr algn="l" rtl="0">
            <a:defRPr sz="1000"/>
          </a:pPr>
          <a:endParaRPr lang="en-US"/>
        </a:p>
      </xdr:txBody>
    </xdr:sp>
    <xdr:clientData/>
  </xdr:twoCellAnchor>
  <xdr:twoCellAnchor>
    <xdr:from>
      <xdr:col>0</xdr:col>
      <xdr:colOff>9525</xdr:colOff>
      <xdr:row>0</xdr:row>
      <xdr:rowOff>9525</xdr:rowOff>
    </xdr:from>
    <xdr:to>
      <xdr:col>7</xdr:col>
      <xdr:colOff>714375</xdr:colOff>
      <xdr:row>2</xdr:row>
      <xdr:rowOff>180975</xdr:rowOff>
    </xdr:to>
    <xdr:sp macro="" textlink="">
      <xdr:nvSpPr>
        <xdr:cNvPr id="1039" name="Rectangle 15"/>
        <xdr:cNvSpPr>
          <a:spLocks noChangeArrowheads="1"/>
        </xdr:cNvSpPr>
      </xdr:nvSpPr>
      <xdr:spPr bwMode="auto">
        <a:xfrm>
          <a:off x="9525" y="9525"/>
          <a:ext cx="5743575" cy="5715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KENTUCKY GUIDE 7                                                                                             Submitted    </a:t>
          </a:r>
        </a:p>
        <a:p>
          <a:pPr algn="l" rtl="0">
            <a:defRPr sz="1000"/>
          </a:pPr>
          <a:r>
            <a:rPr lang="en-US" sz="1000" b="0" i="0" u="none" strike="noStrike" baseline="0">
              <a:solidFill>
                <a:srgbClr val="000000"/>
              </a:solidFill>
              <a:latin typeface="Arial"/>
              <a:cs typeface="Arial"/>
            </a:rPr>
            <a:t>MAY 1998                                                                                                             January 2010</a:t>
          </a:r>
        </a:p>
        <a:p>
          <a:pPr algn="l" rtl="0">
            <a:defRPr sz="1000"/>
          </a:pPr>
          <a:r>
            <a:rPr lang="en-US" sz="1000" b="0" i="0" u="none" strike="noStrike" baseline="0">
              <a:solidFill>
                <a:srgbClr val="000000"/>
              </a:solidFill>
              <a:latin typeface="Arial"/>
              <a:cs typeface="Arial"/>
            </a:rPr>
            <a:t>                                                                                                                            Bell Engineering</a:t>
          </a:r>
          <a:endParaRPr lang="en-US"/>
        </a:p>
      </xdr:txBody>
    </xdr:sp>
    <xdr:clientData/>
  </xdr:twoCellAnchor>
  <xdr:twoCellAnchor>
    <xdr:from>
      <xdr:col>0</xdr:col>
      <xdr:colOff>9525</xdr:colOff>
      <xdr:row>3</xdr:row>
      <xdr:rowOff>95250</xdr:rowOff>
    </xdr:from>
    <xdr:to>
      <xdr:col>7</xdr:col>
      <xdr:colOff>685800</xdr:colOff>
      <xdr:row>28</xdr:row>
      <xdr:rowOff>85725</xdr:rowOff>
    </xdr:to>
    <xdr:sp macro="" textlink="">
      <xdr:nvSpPr>
        <xdr:cNvPr id="1043" name="Rectangle 19"/>
        <xdr:cNvSpPr>
          <a:spLocks noChangeArrowheads="1"/>
        </xdr:cNvSpPr>
      </xdr:nvSpPr>
      <xdr:spPr bwMode="auto">
        <a:xfrm>
          <a:off x="9525" y="695325"/>
          <a:ext cx="5715000" cy="49911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0" anchor="t" upright="1"/>
        <a:lstStyle/>
        <a:p>
          <a:pPr algn="ctr" rtl="0">
            <a:lnSpc>
              <a:spcPts val="1300"/>
            </a:lnSpc>
            <a:defRPr sz="1000"/>
          </a:pPr>
          <a:endParaRPr lang="en-US" sz="1200" b="0" i="0" u="none" strike="noStrike" baseline="0">
            <a:solidFill>
              <a:srgbClr val="000000"/>
            </a:solidFill>
            <a:latin typeface="Times New Roman"/>
            <a:cs typeface="Times New Roman"/>
          </a:endParaRPr>
        </a:p>
        <a:p>
          <a:pPr algn="ctr" rtl="0">
            <a:lnSpc>
              <a:spcPts val="1300"/>
            </a:lnSpc>
            <a:defRPr sz="1000"/>
          </a:pPr>
          <a:endParaRPr lang="en-US" sz="1200" b="0" i="0" u="none" strike="noStrike" baseline="0">
            <a:solidFill>
              <a:srgbClr val="000000"/>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SUMMARY ADDENDUM</a:t>
          </a:r>
        </a:p>
        <a:p>
          <a:pPr algn="ctr" rtl="0">
            <a:lnSpc>
              <a:spcPts val="1300"/>
            </a:lnSpc>
            <a:defRPr sz="1000"/>
          </a:pPr>
          <a:endParaRPr lang="en-US" sz="1200" b="0" i="0" u="none" strike="noStrike" baseline="0">
            <a:solidFill>
              <a:srgbClr val="0000FF"/>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TO</a:t>
          </a:r>
        </a:p>
        <a:p>
          <a:pPr algn="ctr" rtl="0">
            <a:lnSpc>
              <a:spcPts val="1300"/>
            </a:lnSpc>
            <a:defRPr sz="1000"/>
          </a:pPr>
          <a:endParaRPr lang="en-US" sz="12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FF"/>
              </a:solidFill>
              <a:latin typeface="Times New Roman"/>
              <a:cs typeface="Times New Roman"/>
            </a:rPr>
            <a:t>PRELIMINARY ENGINEERING REPORT</a:t>
          </a:r>
        </a:p>
        <a:p>
          <a:pPr algn="ctr" rtl="0">
            <a:lnSpc>
              <a:spcPts val="1300"/>
            </a:lnSpc>
            <a:defRPr sz="1000"/>
          </a:pPr>
          <a:endParaRPr lang="en-US" sz="1200" b="0" i="0" u="none" strike="noStrike" baseline="0">
            <a:solidFill>
              <a:srgbClr val="0000FF"/>
            </a:solidFill>
            <a:latin typeface="Times New Roman"/>
            <a:cs typeface="Times New Roman"/>
          </a:endParaRPr>
        </a:p>
        <a:p>
          <a:pPr algn="ctr" rtl="0">
            <a:defRPr sz="1000"/>
          </a:pPr>
          <a:endParaRPr lang="en-US" sz="1200" b="0" i="0" u="none" strike="noStrike" baseline="0">
            <a:solidFill>
              <a:srgbClr val="0000FF"/>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DATED  JULY,  2009</a:t>
          </a:r>
        </a:p>
        <a:p>
          <a:pPr algn="ctr" rtl="0">
            <a:defRPr sz="1000"/>
          </a:pPr>
          <a:endParaRPr lang="en-US" sz="12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FF"/>
              </a:solidFill>
              <a:latin typeface="Times New Roman"/>
              <a:cs typeface="Times New Roman"/>
            </a:rPr>
            <a:t>FOR </a:t>
          </a:r>
        </a:p>
        <a:p>
          <a:pPr algn="ctr" rtl="0">
            <a:lnSpc>
              <a:spcPts val="1300"/>
            </a:lnSpc>
            <a:defRPr sz="1000"/>
          </a:pPr>
          <a:endParaRPr lang="en-US" sz="12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00"/>
              </a:solidFill>
              <a:latin typeface="Times New Roman"/>
              <a:cs typeface="Times New Roman"/>
            </a:rPr>
            <a:t>WATER TREATMENT PLANT IMPROVEMENTS </a:t>
          </a:r>
        </a:p>
        <a:p>
          <a:pPr algn="ctr" rtl="0">
            <a:defRPr sz="1000"/>
          </a:pPr>
          <a:r>
            <a:rPr lang="en-US" sz="1200" b="0" i="0" u="none" strike="noStrike" baseline="0">
              <a:solidFill>
                <a:srgbClr val="000000"/>
              </a:solidFill>
              <a:latin typeface="Times New Roman"/>
              <a:cs typeface="Times New Roman"/>
            </a:rPr>
            <a:t>MONTICELLO, KENTUCKY</a:t>
          </a:r>
          <a:endParaRPr lang="en-US" sz="1200" b="0" i="0" u="sng" strike="noStrike" baseline="0">
            <a:solidFill>
              <a:srgbClr val="0000FF"/>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Name of Project</a:t>
          </a:r>
        </a:p>
        <a:p>
          <a:pPr algn="ctr" rtl="0">
            <a:defRPr sz="1000"/>
          </a:pPr>
          <a:endParaRPr lang="en-US" sz="1200" b="0" i="0" u="none" strike="noStrike" baseline="0">
            <a:solidFill>
              <a:srgbClr val="0000FF"/>
            </a:solidFill>
            <a:latin typeface="Times New Roman"/>
            <a:cs typeface="Times New Roman"/>
          </a:endParaRPr>
        </a:p>
        <a:p>
          <a:pPr algn="ctr" rtl="0">
            <a:lnSpc>
              <a:spcPts val="1300"/>
            </a:lnSpc>
            <a:defRPr sz="1000"/>
          </a:pPr>
          <a:r>
            <a:rPr lang="en-US" sz="1200" b="0" i="0" u="sng" strike="noStrike" baseline="0">
              <a:solidFill>
                <a:srgbClr val="0000FF"/>
              </a:solidFill>
              <a:latin typeface="Times New Roman"/>
              <a:cs typeface="Times New Roman"/>
            </a:rPr>
            <a:t>KENNETH D. CATRON, MAYOR</a:t>
          </a:r>
          <a:endParaRPr lang="en-US" sz="12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FF"/>
              </a:solidFill>
              <a:latin typeface="Times New Roman"/>
              <a:cs typeface="Times New Roman"/>
            </a:rPr>
            <a:t>Application Contact Person</a:t>
          </a:r>
        </a:p>
        <a:p>
          <a:pPr algn="ctr" rtl="0">
            <a:defRPr sz="1000"/>
          </a:pPr>
          <a:endParaRPr lang="en-US" sz="16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FF"/>
              </a:solidFill>
              <a:latin typeface="Times New Roman"/>
              <a:cs typeface="Times New Roman"/>
            </a:rPr>
            <a:t>APPLICANT PHONE NUMBER   6</a:t>
          </a:r>
          <a:r>
            <a:rPr lang="en-US" sz="1200" b="0" i="0" u="sng" strike="noStrike" baseline="0">
              <a:solidFill>
                <a:srgbClr val="0000FF"/>
              </a:solidFill>
              <a:latin typeface="Times New Roman"/>
              <a:cs typeface="Times New Roman"/>
            </a:rPr>
            <a:t>06-348-5719</a:t>
          </a:r>
          <a:endParaRPr lang="en-US" sz="1000" b="0" i="0" u="none" strike="noStrike" baseline="0">
            <a:solidFill>
              <a:srgbClr val="0000FF"/>
            </a:solidFill>
            <a:latin typeface="Arial"/>
            <a:cs typeface="Arial"/>
          </a:endParaRPr>
        </a:p>
        <a:p>
          <a:pPr algn="ctr" rtl="0">
            <a:lnSpc>
              <a:spcPts val="1100"/>
            </a:lnSpc>
            <a:defRPr sz="1000"/>
          </a:pPr>
          <a:endParaRPr lang="en-US" sz="1000" b="0" i="0" u="none" strike="noStrike" baseline="0">
            <a:solidFill>
              <a:srgbClr val="0000FF"/>
            </a:solidFill>
            <a:latin typeface="Arial"/>
            <a:cs typeface="Arial"/>
          </a:endParaRPr>
        </a:p>
        <a:p>
          <a:pPr algn="ctr" rtl="0">
            <a:lnSpc>
              <a:spcPts val="1100"/>
            </a:lnSpc>
            <a:defRPr sz="1000"/>
          </a:pPr>
          <a:endParaRPr lang="en-US" sz="1000" b="0" i="0" u="none" strike="noStrike" baseline="0">
            <a:solidFill>
              <a:srgbClr val="0000FF"/>
            </a:solidFill>
            <a:latin typeface="Arial"/>
            <a:cs typeface="Arial"/>
          </a:endParaRPr>
        </a:p>
        <a:p>
          <a:pPr algn="ctr" rtl="0">
            <a:defRPr sz="1000"/>
          </a:pPr>
          <a:r>
            <a:rPr lang="en-US" sz="1200" b="0" i="0" u="none" strike="noStrike" baseline="0">
              <a:solidFill>
                <a:srgbClr val="0000FF"/>
              </a:solidFill>
              <a:latin typeface="Times New Roman"/>
              <a:cs typeface="Times New Roman"/>
            </a:rPr>
            <a:t>APPLICANT TAX IDENTIFICATION NUMBER (TIN) </a:t>
          </a:r>
          <a:r>
            <a:rPr lang="en-US" sz="1200" b="0" i="0" u="sng" strike="noStrike" baseline="0">
              <a:solidFill>
                <a:srgbClr val="0000FF"/>
              </a:solidFill>
              <a:latin typeface="Times New Roman"/>
              <a:cs typeface="Times New Roman"/>
            </a:rPr>
            <a:t>    61-6001832    </a:t>
          </a: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lnSpc>
              <a:spcPts val="1300"/>
            </a:lnSpc>
            <a:defRPr sz="1000"/>
          </a:pPr>
          <a:endParaRPr lang="en-US"/>
        </a:p>
      </xdr:txBody>
    </xdr:sp>
    <xdr:clientData/>
  </xdr:twoCellAnchor>
  <xdr:twoCellAnchor>
    <xdr:from>
      <xdr:col>0</xdr:col>
      <xdr:colOff>0</xdr:colOff>
      <xdr:row>3</xdr:row>
      <xdr:rowOff>0</xdr:rowOff>
    </xdr:from>
    <xdr:to>
      <xdr:col>7</xdr:col>
      <xdr:colOff>676275</xdr:colOff>
      <xdr:row>27</xdr:row>
      <xdr:rowOff>190500</xdr:rowOff>
    </xdr:to>
    <xdr:sp macro="" textlink="">
      <xdr:nvSpPr>
        <xdr:cNvPr id="1044" name="Rectangle 20"/>
        <xdr:cNvSpPr>
          <a:spLocks noChangeArrowheads="1"/>
        </xdr:cNvSpPr>
      </xdr:nvSpPr>
      <xdr:spPr bwMode="auto">
        <a:xfrm>
          <a:off x="0" y="600075"/>
          <a:ext cx="5715000" cy="49911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0" anchor="t" upright="1"/>
        <a:lstStyle/>
        <a:p>
          <a:pPr algn="ctr" rtl="0">
            <a:defRPr sz="1000"/>
          </a:pPr>
          <a:r>
            <a:rPr lang="en-US" sz="1200" b="0" i="0" u="none" strike="noStrike" baseline="0">
              <a:solidFill>
                <a:srgbClr val="000000"/>
              </a:solidFill>
              <a:latin typeface="Times New Roman"/>
              <a:cs typeface="Times New Roman"/>
            </a:rPr>
            <a:t>  </a:t>
          </a: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sz="1200" b="0" i="0" u="none" strike="noStrike" baseline="0">
            <a:solidFill>
              <a:srgbClr val="000000"/>
            </a:solidFill>
            <a:latin typeface="Times New Roman"/>
            <a:cs typeface="Times New Roman"/>
          </a:endParaRPr>
        </a:p>
        <a:p>
          <a:pPr algn="ctr" rtl="0">
            <a:defRPr sz="1000"/>
          </a:pPr>
          <a:endParaRPr lang="en-US"/>
        </a:p>
      </xdr:txBody>
    </xdr:sp>
    <xdr:clientData/>
  </xdr:twoCellAnchor>
  <xdr:twoCellAnchor>
    <xdr:from>
      <xdr:col>0</xdr:col>
      <xdr:colOff>9525</xdr:colOff>
      <xdr:row>28</xdr:row>
      <xdr:rowOff>38100</xdr:rowOff>
    </xdr:from>
    <xdr:to>
      <xdr:col>7</xdr:col>
      <xdr:colOff>695325</xdr:colOff>
      <xdr:row>43</xdr:row>
      <xdr:rowOff>104775</xdr:rowOff>
    </xdr:to>
    <xdr:sp macro="" textlink="">
      <xdr:nvSpPr>
        <xdr:cNvPr id="1045" name="Rectangle 21"/>
        <xdr:cNvSpPr>
          <a:spLocks noChangeArrowheads="1"/>
        </xdr:cNvSpPr>
      </xdr:nvSpPr>
      <xdr:spPr bwMode="auto">
        <a:xfrm>
          <a:off x="9525" y="5638800"/>
          <a:ext cx="5724525" cy="30670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27432" anchor="ctr" upright="1"/>
        <a:lstStyle/>
        <a:p>
          <a:pPr algn="l" rtl="0">
            <a:defRPr sz="1000"/>
          </a:pPr>
          <a:r>
            <a:rPr lang="en-US" sz="1200" b="1" i="1" u="none" strike="noStrike" baseline="0">
              <a:solidFill>
                <a:srgbClr val="000000"/>
              </a:solidFill>
              <a:latin typeface="Times New Roman"/>
              <a:cs typeface="Times New Roman"/>
            </a:rPr>
            <a:t>ITEMS IN BOLD ITALIC PRINT ARE APPLICABLE TO SEWER SYSTEMS</a:t>
          </a:r>
        </a:p>
        <a:p>
          <a:pPr algn="l" rtl="0">
            <a:defRPr sz="1000"/>
          </a:pPr>
          <a:endParaRPr lang="en-US" sz="1200" b="1" i="1"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In order to avoid unnecessary delays in application processing, the applicant and its consulting engineer should prepare a summary of the preliminary report in accordance with this Guide.</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Please complete the applicable section of the Summary Addendum.  </a:t>
          </a:r>
          <a:r>
            <a:rPr lang="en-US" sz="1200" b="1" i="1" u="none" strike="noStrike" baseline="0">
              <a:solidFill>
                <a:srgbClr val="000000"/>
              </a:solidFill>
              <a:latin typeface="Times New Roman"/>
              <a:cs typeface="Times New Roman"/>
            </a:rPr>
            <a:t>Please note, if water and sewer revenue will both be taken as security for the loan, all user information and characteristics of both utility systems will be needed even through the project will benefit only one utility.</a:t>
          </a:r>
          <a:r>
            <a:rPr lang="en-US" sz="1200" b="0" i="0" u="none" strike="noStrike" baseline="0">
              <a:solidFill>
                <a:srgbClr val="000000"/>
              </a:solidFill>
              <a:latin typeface="Times New Roman"/>
              <a:cs typeface="Times New Roman"/>
            </a:rPr>
            <a:t>   </a:t>
          </a:r>
          <a:r>
            <a:rPr lang="en-US" sz="1200" b="1" i="1" u="none" strike="noStrike" baseline="0">
              <a:solidFill>
                <a:srgbClr val="000000"/>
              </a:solidFill>
              <a:latin typeface="Times New Roman"/>
              <a:cs typeface="Times New Roman"/>
            </a:rPr>
            <a:t> </a:t>
          </a:r>
        </a:p>
        <a:p>
          <a:pPr algn="l" rtl="0">
            <a:defRPr sz="1000"/>
          </a:pPr>
          <a:endParaRPr lang="en-US" sz="1200" b="1" i="1"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Feasibility reviews and grant determination may be processed more accurately and more rapidly if the Summary/Addendum is submitted simultaneously with the preliminary engineering report, or as soon thereafter as possible.</a:t>
          </a:r>
          <a:endParaRPr lang="en-US"/>
        </a:p>
      </xdr:txBody>
    </xdr:sp>
    <xdr:clientData/>
  </xdr:twoCellAnchor>
  <xdr:twoCellAnchor>
    <xdr:from>
      <xdr:col>0</xdr:col>
      <xdr:colOff>66675</xdr:colOff>
      <xdr:row>44</xdr:row>
      <xdr:rowOff>66675</xdr:rowOff>
    </xdr:from>
    <xdr:to>
      <xdr:col>7</xdr:col>
      <xdr:colOff>714375</xdr:colOff>
      <xdr:row>60</xdr:row>
      <xdr:rowOff>171450</xdr:rowOff>
    </xdr:to>
    <xdr:sp macro="" textlink="">
      <xdr:nvSpPr>
        <xdr:cNvPr id="1046" name="Rectangle 22"/>
        <xdr:cNvSpPr>
          <a:spLocks noChangeArrowheads="1"/>
        </xdr:cNvSpPr>
      </xdr:nvSpPr>
      <xdr:spPr bwMode="auto">
        <a:xfrm>
          <a:off x="66675" y="8867775"/>
          <a:ext cx="5686425" cy="41052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27432" anchor="ctr" upright="1"/>
        <a:lstStyle/>
        <a:p>
          <a:pPr algn="l" rtl="0">
            <a:defRPr sz="1000"/>
          </a:pPr>
          <a:r>
            <a:rPr lang="en-US" sz="1200" b="0" i="0" u="none" strike="noStrike" baseline="0">
              <a:solidFill>
                <a:srgbClr val="000000"/>
              </a:solidFill>
              <a:latin typeface="Times New Roman"/>
              <a:cs typeface="Times New Roman"/>
            </a:rPr>
            <a:t>I.         </a:t>
          </a:r>
          <a:r>
            <a:rPr lang="en-US" sz="1200" b="0" i="0" u="sng" strike="noStrike" baseline="0">
              <a:solidFill>
                <a:srgbClr val="000000"/>
              </a:solidFill>
              <a:latin typeface="Times New Roman"/>
              <a:cs typeface="Times New Roman"/>
            </a:rPr>
            <a:t>GENERAL</a:t>
          </a:r>
        </a:p>
        <a:p>
          <a:pPr algn="l" rtl="0">
            <a:defRPr sz="1000"/>
          </a:pPr>
          <a:endParaRPr lang="en-US" sz="1200" b="0" i="0" u="sng"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Proposed Project:  Provide a brief description of the proposed project.  In addition to this summary, the applicant/engineer should submit a project map of the service area.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Barkley Lake Water District (BLWD) desires to increase flow and improve pressure in the northern portion of their srvie area.  The existing McUpton Pump Station (MPS) was constructed in the early 1970's and is not equipped to handle increasing pressure and demands generated by regional growth.  The proposed project will eliminate the existing station by constructing a new station in the same vacinity.  The new station will be equipped with variable speed drive triplex pumps and should increase operating efficiencies and improve overall operations in the northern portion of the system.  In addition to the pump station work, select portions of distribution lines will be replaced to support the increase flows and operating pressures from the new pump station.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engineers' opinion of probable construction cost for the project is $653,299.00 with a corresponding opinion of probable project cost of $852,500.00.</a:t>
          </a:r>
          <a:endParaRPr lang="en-US"/>
        </a:p>
      </xdr:txBody>
    </xdr:sp>
    <xdr:clientData/>
  </xdr:twoCellAnchor>
  <xdr:twoCellAnchor>
    <xdr:from>
      <xdr:col>1</xdr:col>
      <xdr:colOff>0</xdr:colOff>
      <xdr:row>65</xdr:row>
      <xdr:rowOff>19050</xdr:rowOff>
    </xdr:from>
    <xdr:to>
      <xdr:col>7</xdr:col>
      <xdr:colOff>695325</xdr:colOff>
      <xdr:row>72</xdr:row>
      <xdr:rowOff>19050</xdr:rowOff>
    </xdr:to>
    <xdr:sp macro="" textlink="">
      <xdr:nvSpPr>
        <xdr:cNvPr id="1048" name="Rectangle 24"/>
        <xdr:cNvSpPr>
          <a:spLocks noChangeArrowheads="1"/>
        </xdr:cNvSpPr>
      </xdr:nvSpPr>
      <xdr:spPr bwMode="auto">
        <a:xfrm>
          <a:off x="447675" y="20802600"/>
          <a:ext cx="5286375" cy="1400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Water source:  Describe adequacy of source(quality and quantity).  Include an explanation of raw water source, raw water intake structure, treatment plant capacity, and current level of production (WTP).  Also describe the adequacy of water Purchase Contract if applicable.</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BLWD owns and operates a 4 MGD treatment facility.  Water from said facility is used to supply customers within the service area as well as wholesale purchasers.    </a:t>
          </a:r>
          <a:endParaRPr lang="en-US"/>
        </a:p>
      </xdr:txBody>
    </xdr:sp>
    <xdr:clientData/>
  </xdr:twoCellAnchor>
  <xdr:twoCellAnchor>
    <xdr:from>
      <xdr:col>1</xdr:col>
      <xdr:colOff>0</xdr:colOff>
      <xdr:row>109</xdr:row>
      <xdr:rowOff>171450</xdr:rowOff>
    </xdr:from>
    <xdr:to>
      <xdr:col>7</xdr:col>
      <xdr:colOff>723900</xdr:colOff>
      <xdr:row>118</xdr:row>
      <xdr:rowOff>28575</xdr:rowOff>
    </xdr:to>
    <xdr:sp macro="" textlink="">
      <xdr:nvSpPr>
        <xdr:cNvPr id="1049" name="Rectangle 25"/>
        <xdr:cNvSpPr>
          <a:spLocks noChangeArrowheads="1"/>
        </xdr:cNvSpPr>
      </xdr:nvSpPr>
      <xdr:spPr bwMode="auto">
        <a:xfrm>
          <a:off x="447675" y="31156275"/>
          <a:ext cx="5314950" cy="1657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Briefly describe the condition and suitability for continued use of facility now owned by the applicant.  Include any major renovation that will be needed within five to ten years.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Water treatment facility was recently upgraded.  Existing system is well managed and repairs made as needed.  The majority of the system is in good operating condition.</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a:p>
      </xdr:txBody>
    </xdr:sp>
    <xdr:clientData/>
  </xdr:twoCellAnchor>
  <xdr:twoCellAnchor>
    <xdr:from>
      <xdr:col>0</xdr:col>
      <xdr:colOff>9525</xdr:colOff>
      <xdr:row>0</xdr:row>
      <xdr:rowOff>9525</xdr:rowOff>
    </xdr:from>
    <xdr:to>
      <xdr:col>7</xdr:col>
      <xdr:colOff>714375</xdr:colOff>
      <xdr:row>2</xdr:row>
      <xdr:rowOff>180975</xdr:rowOff>
    </xdr:to>
    <xdr:sp macro="" textlink="">
      <xdr:nvSpPr>
        <xdr:cNvPr id="1050" name="Rectangle 26"/>
        <xdr:cNvSpPr>
          <a:spLocks noChangeArrowheads="1"/>
        </xdr:cNvSpPr>
      </xdr:nvSpPr>
      <xdr:spPr bwMode="auto">
        <a:xfrm>
          <a:off x="9525" y="9525"/>
          <a:ext cx="5743575" cy="5715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KENTUCKY GUIDE 7                                                                                                    Submitted    </a:t>
          </a:r>
        </a:p>
        <a:p>
          <a:pPr algn="l" rtl="0">
            <a:defRPr sz="1000"/>
          </a:pPr>
          <a:r>
            <a:rPr lang="en-US" sz="1000" b="0" i="0" u="none" strike="noStrike" baseline="0">
              <a:solidFill>
                <a:srgbClr val="000000"/>
              </a:solidFill>
              <a:latin typeface="Arial"/>
              <a:cs typeface="Arial"/>
            </a:rPr>
            <a:t>MAY 1998                                                                                                                       July 2020</a:t>
          </a:r>
        </a:p>
        <a:p>
          <a:pPr algn="l" rtl="0">
            <a:defRPr sz="1000"/>
          </a:pPr>
          <a:r>
            <a:rPr lang="en-US" sz="1000" b="0" i="0" u="none" strike="noStrike" baseline="0">
              <a:solidFill>
                <a:srgbClr val="000000"/>
              </a:solidFill>
              <a:latin typeface="Arial"/>
              <a:cs typeface="Arial"/>
            </a:rPr>
            <a:t>                                                                                                                             Bell Engineering</a:t>
          </a:r>
          <a:endParaRPr lang="en-US"/>
        </a:p>
      </xdr:txBody>
    </xdr:sp>
    <xdr:clientData/>
  </xdr:twoCellAnchor>
  <xdr:twoCellAnchor>
    <xdr:from>
      <xdr:col>0</xdr:col>
      <xdr:colOff>9525</xdr:colOff>
      <xdr:row>3</xdr:row>
      <xdr:rowOff>95250</xdr:rowOff>
    </xdr:from>
    <xdr:to>
      <xdr:col>7</xdr:col>
      <xdr:colOff>685800</xdr:colOff>
      <xdr:row>28</xdr:row>
      <xdr:rowOff>85725</xdr:rowOff>
    </xdr:to>
    <xdr:sp macro="" textlink="">
      <xdr:nvSpPr>
        <xdr:cNvPr id="1051" name="Rectangle 27"/>
        <xdr:cNvSpPr>
          <a:spLocks noChangeArrowheads="1"/>
        </xdr:cNvSpPr>
      </xdr:nvSpPr>
      <xdr:spPr bwMode="auto">
        <a:xfrm>
          <a:off x="9525" y="695325"/>
          <a:ext cx="5715000" cy="49911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27432" bIns="0" anchor="t" upright="1"/>
        <a:lstStyle/>
        <a:p>
          <a:pPr algn="ctr" rtl="0">
            <a:lnSpc>
              <a:spcPts val="1300"/>
            </a:lnSpc>
            <a:defRPr sz="1000"/>
          </a:pPr>
          <a:endParaRPr lang="en-US" sz="1200" b="0" i="0" u="none" strike="noStrike" baseline="0">
            <a:solidFill>
              <a:srgbClr val="000000"/>
            </a:solidFill>
            <a:latin typeface="Times New Roman"/>
            <a:cs typeface="Times New Roman"/>
          </a:endParaRPr>
        </a:p>
        <a:p>
          <a:pPr algn="l" rtl="0">
            <a:lnSpc>
              <a:spcPts val="1300"/>
            </a:lnSpc>
            <a:defRPr sz="1000"/>
          </a:pPr>
          <a:endParaRPr lang="en-US" sz="1200" b="0" i="0" u="none" strike="noStrike" baseline="0">
            <a:solidFill>
              <a:srgbClr val="000000"/>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SUMMARY ADDENDUM</a:t>
          </a:r>
        </a:p>
        <a:p>
          <a:pPr algn="ctr" rtl="0">
            <a:lnSpc>
              <a:spcPts val="1300"/>
            </a:lnSpc>
            <a:defRPr sz="1000"/>
          </a:pPr>
          <a:endParaRPr lang="en-US" sz="1200" b="0" i="0" u="none" strike="noStrike" baseline="0">
            <a:solidFill>
              <a:srgbClr val="0000FF"/>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TO</a:t>
          </a:r>
        </a:p>
        <a:p>
          <a:pPr algn="ctr" rtl="0">
            <a:lnSpc>
              <a:spcPts val="1300"/>
            </a:lnSpc>
            <a:defRPr sz="1000"/>
          </a:pPr>
          <a:endParaRPr lang="en-US" sz="12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FF"/>
              </a:solidFill>
              <a:latin typeface="Times New Roman"/>
              <a:cs typeface="Times New Roman"/>
            </a:rPr>
            <a:t>FINAL ENGINEERING REPORT</a:t>
          </a:r>
        </a:p>
        <a:p>
          <a:pPr algn="ctr" rtl="0">
            <a:lnSpc>
              <a:spcPts val="1300"/>
            </a:lnSpc>
            <a:defRPr sz="1000"/>
          </a:pPr>
          <a:r>
            <a:rPr lang="en-US" sz="1200" b="0" i="0" u="none" strike="noStrike" baseline="0">
              <a:solidFill>
                <a:srgbClr val="0000FF"/>
              </a:solidFill>
              <a:latin typeface="Times New Roman"/>
              <a:cs typeface="Times New Roman"/>
            </a:rPr>
            <a:t>(AS BID NUMBERS)</a:t>
          </a:r>
        </a:p>
        <a:p>
          <a:pPr algn="ctr" rtl="0">
            <a:defRPr sz="1000"/>
          </a:pPr>
          <a:endParaRPr lang="en-US" sz="1200" b="0" i="0" u="none" strike="noStrike" baseline="0">
            <a:solidFill>
              <a:srgbClr val="0000FF"/>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DATED JULY 2020</a:t>
          </a:r>
        </a:p>
        <a:p>
          <a:pPr algn="ctr" rtl="0">
            <a:defRPr sz="1000"/>
          </a:pPr>
          <a:endParaRPr lang="en-US" sz="12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FF"/>
              </a:solidFill>
              <a:latin typeface="Times New Roman"/>
              <a:cs typeface="Times New Roman"/>
            </a:rPr>
            <a:t>FOR </a:t>
          </a:r>
        </a:p>
        <a:p>
          <a:pPr algn="ctr" rtl="0">
            <a:lnSpc>
              <a:spcPts val="1300"/>
            </a:lnSpc>
            <a:defRPr sz="1000"/>
          </a:pPr>
          <a:endParaRPr lang="en-US" sz="1200" b="0" i="0" u="none" strike="noStrike" baseline="0">
            <a:solidFill>
              <a:srgbClr val="0000FF"/>
            </a:solidFill>
            <a:latin typeface="Times New Roman"/>
            <a:cs typeface="Times New Roman"/>
          </a:endParaRPr>
        </a:p>
        <a:p>
          <a:pPr algn="ctr" rtl="0">
            <a:defRPr sz="1000"/>
          </a:pPr>
          <a:r>
            <a:rPr lang="en-US" sz="1200" b="1" i="0" u="none" strike="noStrike" baseline="0">
              <a:solidFill>
                <a:srgbClr val="000000"/>
              </a:solidFill>
              <a:latin typeface="Times New Roman"/>
              <a:cs typeface="Times New Roman"/>
            </a:rPr>
            <a:t>MCUPTON PUMP STATION REPLACEMENT AND WATER LINE UPGRADES</a:t>
          </a:r>
          <a:endParaRPr lang="en-US" sz="1200" b="0" i="0" u="sng" strike="noStrike" baseline="0">
            <a:solidFill>
              <a:srgbClr val="0000FF"/>
            </a:solidFill>
            <a:latin typeface="Times New Roman"/>
            <a:cs typeface="Times New Roman"/>
          </a:endParaRPr>
        </a:p>
        <a:p>
          <a:pPr algn="ctr" rtl="0">
            <a:lnSpc>
              <a:spcPts val="1300"/>
            </a:lnSpc>
            <a:defRPr sz="1000"/>
          </a:pPr>
          <a:r>
            <a:rPr lang="en-US" sz="1200" b="0" i="0" u="none" strike="noStrike" baseline="0">
              <a:solidFill>
                <a:srgbClr val="0000FF"/>
              </a:solidFill>
              <a:latin typeface="Times New Roman"/>
              <a:cs typeface="Times New Roman"/>
            </a:rPr>
            <a:t>Name of Project</a:t>
          </a:r>
        </a:p>
        <a:p>
          <a:pPr algn="ctr" rtl="0">
            <a:defRPr sz="1000"/>
          </a:pPr>
          <a:endParaRPr lang="en-US" sz="1200" b="0" i="0" u="none" strike="noStrike" baseline="0">
            <a:solidFill>
              <a:srgbClr val="0000FF"/>
            </a:solidFill>
            <a:latin typeface="Times New Roman"/>
            <a:cs typeface="Times New Roman"/>
          </a:endParaRPr>
        </a:p>
        <a:p>
          <a:pPr algn="ctr" rtl="0">
            <a:lnSpc>
              <a:spcPts val="1300"/>
            </a:lnSpc>
            <a:defRPr sz="1000"/>
          </a:pPr>
          <a:r>
            <a:rPr lang="en-US" sz="1200" b="0" i="0" u="sng" strike="noStrike" baseline="0">
              <a:solidFill>
                <a:srgbClr val="0000FF"/>
              </a:solidFill>
              <a:latin typeface="Times New Roman"/>
              <a:cs typeface="Times New Roman"/>
            </a:rPr>
            <a:t>SCOTT BRIDGES</a:t>
          </a:r>
        </a:p>
        <a:p>
          <a:pPr algn="ctr" rtl="0">
            <a:lnSpc>
              <a:spcPts val="1300"/>
            </a:lnSpc>
            <a:defRPr sz="1000"/>
          </a:pPr>
          <a:r>
            <a:rPr lang="en-US" sz="1200" b="0" i="0" u="none" strike="noStrike" baseline="0">
              <a:solidFill>
                <a:srgbClr val="0000FF"/>
              </a:solidFill>
              <a:latin typeface="Times New Roman"/>
              <a:cs typeface="Times New Roman"/>
            </a:rPr>
            <a:t>Application Contact Person</a:t>
          </a:r>
        </a:p>
        <a:p>
          <a:pPr algn="ctr" rtl="0">
            <a:defRPr sz="1000"/>
          </a:pPr>
          <a:endParaRPr lang="en-US" sz="1600" b="0" i="0" u="none" strike="noStrike" baseline="0">
            <a:solidFill>
              <a:srgbClr val="0000FF"/>
            </a:solidFill>
            <a:latin typeface="Times New Roman"/>
            <a:cs typeface="Times New Roman"/>
          </a:endParaRPr>
        </a:p>
        <a:p>
          <a:pPr algn="ctr" rtl="0">
            <a:defRPr sz="1000"/>
          </a:pPr>
          <a:r>
            <a:rPr lang="en-US" sz="1200" b="0" i="0" u="none" strike="noStrike" baseline="0">
              <a:solidFill>
                <a:srgbClr val="0000FF"/>
              </a:solidFill>
              <a:latin typeface="Times New Roman"/>
              <a:cs typeface="Times New Roman"/>
            </a:rPr>
            <a:t>APPLICANT PHONE NUMBER   270-522-8425</a:t>
          </a:r>
          <a:endParaRPr lang="en-US" sz="1000" b="0" i="0" u="none" strike="noStrike" baseline="0">
            <a:solidFill>
              <a:srgbClr val="0000FF"/>
            </a:solidFill>
            <a:latin typeface="Arial"/>
            <a:cs typeface="Arial"/>
          </a:endParaRPr>
        </a:p>
        <a:p>
          <a:pPr algn="ctr" rtl="0">
            <a:lnSpc>
              <a:spcPts val="1100"/>
            </a:lnSpc>
            <a:defRPr sz="1000"/>
          </a:pPr>
          <a:endParaRPr lang="en-US" sz="1000" b="0" i="0" u="none" strike="noStrike" baseline="0">
            <a:solidFill>
              <a:srgbClr val="0000FF"/>
            </a:solidFill>
            <a:latin typeface="Arial"/>
            <a:cs typeface="Arial"/>
          </a:endParaRPr>
        </a:p>
        <a:p>
          <a:pPr algn="ctr" rtl="0">
            <a:lnSpc>
              <a:spcPts val="1100"/>
            </a:lnSpc>
            <a:defRPr sz="1000"/>
          </a:pPr>
          <a:endParaRPr lang="en-US" sz="1000" b="0" i="0" u="none" strike="noStrike" baseline="0">
            <a:solidFill>
              <a:srgbClr val="0000FF"/>
            </a:solidFill>
            <a:latin typeface="Arial"/>
            <a:cs typeface="Arial"/>
          </a:endParaRPr>
        </a:p>
        <a:p>
          <a:pPr algn="ctr" rtl="0">
            <a:defRPr sz="1000"/>
          </a:pPr>
          <a:r>
            <a:rPr lang="en-US" sz="1200" b="0" i="0" u="none" strike="noStrike" baseline="0">
              <a:solidFill>
                <a:srgbClr val="0000FF"/>
              </a:solidFill>
              <a:latin typeface="Times New Roman"/>
              <a:cs typeface="Times New Roman"/>
            </a:rPr>
            <a:t>APPLICANT TAX IDENTIFICATION NUMBER (TIN) </a:t>
          </a:r>
          <a:r>
            <a:rPr lang="en-US" sz="1200" b="0" i="0" u="sng" strike="noStrike" baseline="0">
              <a:solidFill>
                <a:srgbClr val="0000FF"/>
              </a:solidFill>
              <a:latin typeface="Times New Roman"/>
              <a:cs typeface="Times New Roman"/>
            </a:rPr>
            <a:t>    </a:t>
          </a:r>
          <a:r>
            <a:rPr lang="en-US" sz="1200" b="0" i="0" u="sng" strike="noStrike" baseline="0">
              <a:solidFill>
                <a:srgbClr val="FF0000"/>
              </a:solidFill>
              <a:latin typeface="Times New Roman"/>
              <a:cs typeface="Times New Roman"/>
            </a:rPr>
            <a:t>01-0678683</a:t>
          </a: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lnSpc>
              <a:spcPts val="1100"/>
            </a:lnSpc>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lnSpc>
              <a:spcPts val="1300"/>
            </a:lnSpc>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pageSetUpPr fitToPage="1"/>
  </sheetPr>
  <dimension ref="A1:AA181"/>
  <sheetViews>
    <sheetView view="pageBreakPreview" topLeftCell="A106" zoomScale="60" zoomScaleNormal="100" workbookViewId="0">
      <selection activeCell="G79" sqref="G78:H79"/>
    </sheetView>
  </sheetViews>
  <sheetFormatPr defaultColWidth="9.140625" defaultRowHeight="15.75" x14ac:dyDescent="0.25"/>
  <cols>
    <col min="1" max="1" width="6.7109375" style="4" customWidth="1"/>
    <col min="2" max="2" width="54.28515625" style="4" customWidth="1"/>
    <col min="3" max="3" width="12.42578125" style="4" customWidth="1"/>
    <col min="4" max="4" width="13.42578125" style="4" customWidth="1"/>
    <col min="5" max="5" width="11.42578125" style="4" customWidth="1"/>
    <col min="6" max="6" width="10.85546875" style="4" customWidth="1"/>
    <col min="7" max="7" width="14.85546875" style="4" customWidth="1"/>
    <col min="8" max="8" width="11.140625" style="4" customWidth="1"/>
    <col min="9" max="9" width="9.140625" style="4"/>
    <col min="10" max="10" width="16.28515625" style="4" bestFit="1" customWidth="1"/>
    <col min="11" max="11" width="11.28515625" style="4" bestFit="1" customWidth="1"/>
    <col min="12" max="12" width="16.28515625" style="4" bestFit="1" customWidth="1"/>
    <col min="13" max="13" width="9.85546875" style="4" bestFit="1" customWidth="1"/>
    <col min="14" max="14" width="16.28515625" style="4" bestFit="1" customWidth="1"/>
    <col min="15" max="16384" width="9.140625" style="4"/>
  </cols>
  <sheetData>
    <row r="1" spans="9:9" x14ac:dyDescent="0.25">
      <c r="I1" s="71"/>
    </row>
    <row r="2" spans="9:9" x14ac:dyDescent="0.25">
      <c r="I2" s="71"/>
    </row>
    <row r="3" spans="9:9" x14ac:dyDescent="0.25">
      <c r="I3" s="71"/>
    </row>
    <row r="4" spans="9:9" x14ac:dyDescent="0.25">
      <c r="I4" s="71"/>
    </row>
    <row r="5" spans="9:9" x14ac:dyDescent="0.25">
      <c r="I5" s="71"/>
    </row>
    <row r="6" spans="9:9" x14ac:dyDescent="0.25">
      <c r="I6" s="71"/>
    </row>
    <row r="7" spans="9:9" x14ac:dyDescent="0.25">
      <c r="I7" s="71"/>
    </row>
    <row r="8" spans="9:9" x14ac:dyDescent="0.25">
      <c r="I8" s="71"/>
    </row>
    <row r="9" spans="9:9" x14ac:dyDescent="0.25">
      <c r="I9" s="71"/>
    </row>
    <row r="10" spans="9:9" x14ac:dyDescent="0.25">
      <c r="I10" s="71"/>
    </row>
    <row r="11" spans="9:9" x14ac:dyDescent="0.25">
      <c r="I11" s="71"/>
    </row>
    <row r="12" spans="9:9" x14ac:dyDescent="0.25">
      <c r="I12" s="71"/>
    </row>
    <row r="13" spans="9:9" x14ac:dyDescent="0.25">
      <c r="I13" s="71"/>
    </row>
    <row r="14" spans="9:9" x14ac:dyDescent="0.25">
      <c r="I14" s="71"/>
    </row>
    <row r="15" spans="9:9" x14ac:dyDescent="0.25">
      <c r="I15" s="71"/>
    </row>
    <row r="16" spans="9:9" x14ac:dyDescent="0.25">
      <c r="I16" s="71"/>
    </row>
    <row r="17" spans="1:9" x14ac:dyDescent="0.25">
      <c r="I17" s="71"/>
    </row>
    <row r="18" spans="1:9" x14ac:dyDescent="0.25">
      <c r="B18" s="1"/>
      <c r="I18" s="71"/>
    </row>
    <row r="19" spans="1:9" x14ac:dyDescent="0.25">
      <c r="I19" s="71"/>
    </row>
    <row r="20" spans="1:9" x14ac:dyDescent="0.25">
      <c r="I20" s="71"/>
    </row>
    <row r="21" spans="1:9" x14ac:dyDescent="0.25">
      <c r="I21" s="71"/>
    </row>
    <row r="22" spans="1:9" x14ac:dyDescent="0.25">
      <c r="I22" s="71"/>
    </row>
    <row r="23" spans="1:9" x14ac:dyDescent="0.25">
      <c r="I23" s="71"/>
    </row>
    <row r="24" spans="1:9" x14ac:dyDescent="0.25">
      <c r="I24" s="71"/>
    </row>
    <row r="25" spans="1:9" x14ac:dyDescent="0.25">
      <c r="I25" s="71"/>
    </row>
    <row r="26" spans="1:9" x14ac:dyDescent="0.25">
      <c r="I26" s="71"/>
    </row>
    <row r="27" spans="1:9" x14ac:dyDescent="0.25">
      <c r="I27" s="71"/>
    </row>
    <row r="28" spans="1:9" x14ac:dyDescent="0.25">
      <c r="I28" s="71"/>
    </row>
    <row r="29" spans="1:9" x14ac:dyDescent="0.25">
      <c r="I29" s="71"/>
    </row>
    <row r="30" spans="1:9" x14ac:dyDescent="0.25">
      <c r="A30" s="2"/>
      <c r="I30" s="71"/>
    </row>
    <row r="31" spans="1:9" x14ac:dyDescent="0.25">
      <c r="I31" s="71"/>
    </row>
    <row r="32" spans="1:9" x14ac:dyDescent="0.25">
      <c r="I32" s="71"/>
    </row>
    <row r="33" spans="1:9" x14ac:dyDescent="0.25">
      <c r="I33" s="71"/>
    </row>
    <row r="34" spans="1:9" x14ac:dyDescent="0.25">
      <c r="I34" s="71"/>
    </row>
    <row r="35" spans="1:9" x14ac:dyDescent="0.25">
      <c r="I35" s="71"/>
    </row>
    <row r="36" spans="1:9" x14ac:dyDescent="0.25">
      <c r="I36" s="71"/>
    </row>
    <row r="37" spans="1:9" x14ac:dyDescent="0.25">
      <c r="I37" s="71"/>
    </row>
    <row r="38" spans="1:9" x14ac:dyDescent="0.25">
      <c r="I38" s="71"/>
    </row>
    <row r="39" spans="1:9" x14ac:dyDescent="0.25">
      <c r="I39" s="71"/>
    </row>
    <row r="40" spans="1:9" x14ac:dyDescent="0.25">
      <c r="A40" s="1"/>
      <c r="I40" s="71"/>
    </row>
    <row r="41" spans="1:9" x14ac:dyDescent="0.25">
      <c r="A41" s="1"/>
      <c r="I41" s="71"/>
    </row>
    <row r="42" spans="1:9" x14ac:dyDescent="0.25">
      <c r="I42" s="71"/>
    </row>
    <row r="43" spans="1:9" x14ac:dyDescent="0.25">
      <c r="I43" s="71"/>
    </row>
    <row r="44" spans="1:9" x14ac:dyDescent="0.25">
      <c r="I44" s="71"/>
    </row>
    <row r="45" spans="1:9" x14ac:dyDescent="0.25">
      <c r="A45" s="5"/>
      <c r="I45" s="71"/>
    </row>
    <row r="46" spans="1:9" ht="15.75" customHeight="1" x14ac:dyDescent="0.25">
      <c r="A46" s="6"/>
      <c r="I46" s="71"/>
    </row>
    <row r="47" spans="1:9" ht="15.75" customHeight="1" x14ac:dyDescent="0.25">
      <c r="A47" s="6"/>
      <c r="I47" s="71"/>
    </row>
    <row r="48" spans="1:9" ht="15.75" customHeight="1" x14ac:dyDescent="0.25">
      <c r="A48" s="6"/>
      <c r="I48" s="71"/>
    </row>
    <row r="49" spans="1:13" ht="15.75" customHeight="1" x14ac:dyDescent="0.25">
      <c r="A49" s="6"/>
      <c r="I49" s="71"/>
    </row>
    <row r="50" spans="1:13" ht="15.75" customHeight="1" x14ac:dyDescent="0.25">
      <c r="I50" s="71"/>
    </row>
    <row r="51" spans="1:13" ht="15.75" customHeight="1" x14ac:dyDescent="0.25">
      <c r="I51" s="71"/>
    </row>
    <row r="52" spans="1:13" ht="15.75" customHeight="1" x14ac:dyDescent="0.25">
      <c r="I52" s="71"/>
    </row>
    <row r="53" spans="1:13" ht="15.75" customHeight="1" x14ac:dyDescent="0.25">
      <c r="I53" s="71"/>
    </row>
    <row r="54" spans="1:13" ht="15.75" customHeight="1" x14ac:dyDescent="0.25">
      <c r="I54" s="71"/>
    </row>
    <row r="55" spans="1:13" ht="15.75" customHeight="1" x14ac:dyDescent="0.25">
      <c r="I55" s="71"/>
    </row>
    <row r="56" spans="1:13" ht="15.75" customHeight="1" x14ac:dyDescent="0.25">
      <c r="I56" s="71"/>
    </row>
    <row r="57" spans="1:13" ht="15.75" customHeight="1" x14ac:dyDescent="0.25">
      <c r="I57" s="71"/>
    </row>
    <row r="58" spans="1:13" ht="15.75" customHeight="1" x14ac:dyDescent="0.25">
      <c r="I58" s="71"/>
    </row>
    <row r="59" spans="1:13" ht="15.75" customHeight="1" x14ac:dyDescent="0.25">
      <c r="I59" s="71"/>
    </row>
    <row r="60" spans="1:13" ht="15.75" customHeight="1" x14ac:dyDescent="0.25">
      <c r="I60" s="71"/>
    </row>
    <row r="61" spans="1:13" ht="15.75" customHeight="1" x14ac:dyDescent="0.25">
      <c r="I61" s="71"/>
    </row>
    <row r="62" spans="1:13" ht="15.75" customHeight="1" x14ac:dyDescent="0.25">
      <c r="A62" s="2" t="s">
        <v>1</v>
      </c>
      <c r="B62" s="3" t="s">
        <v>308</v>
      </c>
      <c r="I62" s="71"/>
      <c r="K62" s="1"/>
    </row>
    <row r="63" spans="1:13" ht="15.75" customHeight="1" x14ac:dyDescent="0.25">
      <c r="A63" s="2"/>
      <c r="I63" s="71"/>
      <c r="M63" s="1"/>
    </row>
    <row r="64" spans="1:13" x14ac:dyDescent="0.25">
      <c r="A64" s="4" t="s">
        <v>11</v>
      </c>
      <c r="B64" s="1" t="s">
        <v>12</v>
      </c>
      <c r="I64" s="71"/>
    </row>
    <row r="65" spans="1:9" x14ac:dyDescent="0.25">
      <c r="I65" s="71"/>
    </row>
    <row r="66" spans="1:9" x14ac:dyDescent="0.25">
      <c r="A66" s="38" t="s">
        <v>0</v>
      </c>
      <c r="B66" s="11"/>
      <c r="I66" s="71"/>
    </row>
    <row r="67" spans="1:9" x14ac:dyDescent="0.25">
      <c r="A67" s="12"/>
      <c r="I67" s="71"/>
    </row>
    <row r="68" spans="1:9" x14ac:dyDescent="0.25">
      <c r="A68" s="12"/>
      <c r="I68" s="71"/>
    </row>
    <row r="69" spans="1:9" x14ac:dyDescent="0.25">
      <c r="A69" s="12"/>
      <c r="I69" s="71"/>
    </row>
    <row r="70" spans="1:9" x14ac:dyDescent="0.25">
      <c r="A70" s="12"/>
      <c r="I70" s="71"/>
    </row>
    <row r="71" spans="1:9" x14ac:dyDescent="0.25">
      <c r="I71" s="71"/>
    </row>
    <row r="72" spans="1:9" x14ac:dyDescent="0.25">
      <c r="I72" s="71"/>
    </row>
    <row r="73" spans="1:9" x14ac:dyDescent="0.25">
      <c r="I73" s="71"/>
    </row>
    <row r="74" spans="1:9" x14ac:dyDescent="0.25">
      <c r="I74" s="71"/>
    </row>
    <row r="75" spans="1:9" x14ac:dyDescent="0.25">
      <c r="B75" s="4" t="s">
        <v>146</v>
      </c>
      <c r="C75" s="4" t="s">
        <v>229</v>
      </c>
      <c r="I75" s="71"/>
    </row>
    <row r="76" spans="1:9" x14ac:dyDescent="0.25">
      <c r="B76" s="4" t="s">
        <v>13</v>
      </c>
      <c r="I76" s="71"/>
    </row>
    <row r="77" spans="1:9" x14ac:dyDescent="0.25">
      <c r="B77" s="13"/>
      <c r="C77" s="8"/>
      <c r="D77" s="8"/>
      <c r="E77" s="8"/>
      <c r="F77" s="8"/>
      <c r="G77" s="8"/>
      <c r="H77" s="8"/>
      <c r="I77" s="8"/>
    </row>
    <row r="78" spans="1:9" x14ac:dyDescent="0.25">
      <c r="I78" s="71"/>
    </row>
    <row r="79" spans="1:9" x14ac:dyDescent="0.25">
      <c r="B79" s="4" t="s">
        <v>14</v>
      </c>
      <c r="C79" s="4" t="s">
        <v>229</v>
      </c>
      <c r="I79" s="71"/>
    </row>
    <row r="80" spans="1:9" x14ac:dyDescent="0.25">
      <c r="B80" s="13"/>
      <c r="C80" s="8"/>
      <c r="D80" s="8"/>
      <c r="E80" s="8"/>
      <c r="F80" s="8"/>
      <c r="G80" s="8"/>
      <c r="H80" s="8"/>
      <c r="I80" s="8"/>
    </row>
    <row r="81" spans="1:9" x14ac:dyDescent="0.25">
      <c r="B81" s="14"/>
      <c r="C81" s="8"/>
      <c r="D81" s="8"/>
      <c r="E81" s="8"/>
      <c r="F81" s="8"/>
      <c r="G81" s="8"/>
      <c r="H81" s="8"/>
      <c r="I81" s="71"/>
    </row>
    <row r="82" spans="1:9" x14ac:dyDescent="0.25">
      <c r="B82" s="4" t="s">
        <v>159</v>
      </c>
      <c r="C82" s="4" t="s">
        <v>309</v>
      </c>
      <c r="G82" s="194"/>
      <c r="I82" s="71"/>
    </row>
    <row r="83" spans="1:9" x14ac:dyDescent="0.25">
      <c r="C83" s="4" t="s">
        <v>310</v>
      </c>
      <c r="I83" s="71"/>
    </row>
    <row r="84" spans="1:9" x14ac:dyDescent="0.25">
      <c r="B84" s="4" t="s">
        <v>15</v>
      </c>
      <c r="G84" s="195"/>
      <c r="I84" s="71"/>
    </row>
    <row r="85" spans="1:9" x14ac:dyDescent="0.25">
      <c r="I85" s="71"/>
    </row>
    <row r="86" spans="1:9" x14ac:dyDescent="0.25">
      <c r="A86" s="38" t="s">
        <v>3</v>
      </c>
      <c r="B86" s="4" t="s">
        <v>16</v>
      </c>
      <c r="I86" s="71"/>
    </row>
    <row r="87" spans="1:9" x14ac:dyDescent="0.25">
      <c r="I87" s="71"/>
    </row>
    <row r="88" spans="1:9" x14ac:dyDescent="0.25">
      <c r="B88" s="4" t="s">
        <v>17</v>
      </c>
      <c r="C88" s="4" t="s">
        <v>18</v>
      </c>
      <c r="D88" s="1"/>
      <c r="E88" s="262">
        <v>0</v>
      </c>
      <c r="F88" s="4" t="s">
        <v>19</v>
      </c>
      <c r="H88" s="281">
        <v>3</v>
      </c>
      <c r="I88" s="71"/>
    </row>
    <row r="89" spans="1:9" x14ac:dyDescent="0.25">
      <c r="C89" s="4" t="s">
        <v>20</v>
      </c>
      <c r="E89" s="262">
        <v>3</v>
      </c>
      <c r="F89" s="4" t="s">
        <v>21</v>
      </c>
      <c r="H89" s="282">
        <v>0</v>
      </c>
      <c r="I89" s="71"/>
    </row>
    <row r="90" spans="1:9" x14ac:dyDescent="0.25">
      <c r="F90" s="8"/>
      <c r="G90" s="1"/>
      <c r="I90" s="71"/>
    </row>
    <row r="91" spans="1:9" x14ac:dyDescent="0.25">
      <c r="B91" s="4" t="s">
        <v>22</v>
      </c>
      <c r="G91" s="16">
        <v>14</v>
      </c>
      <c r="I91" s="71"/>
    </row>
    <row r="92" spans="1:9" x14ac:dyDescent="0.25">
      <c r="G92" s="8"/>
      <c r="I92" s="71"/>
    </row>
    <row r="93" spans="1:9" x14ac:dyDescent="0.25">
      <c r="B93" s="4" t="s">
        <v>23</v>
      </c>
      <c r="G93" s="9">
        <v>2850000</v>
      </c>
      <c r="I93" s="71"/>
    </row>
    <row r="94" spans="1:9" x14ac:dyDescent="0.25">
      <c r="B94" s="4" t="s">
        <v>24</v>
      </c>
      <c r="G94" s="143" t="s">
        <v>244</v>
      </c>
      <c r="I94" s="71"/>
    </row>
    <row r="95" spans="1:9" x14ac:dyDescent="0.25">
      <c r="I95" s="71"/>
    </row>
    <row r="96" spans="1:9" x14ac:dyDescent="0.25">
      <c r="A96" s="38" t="s">
        <v>4</v>
      </c>
      <c r="B96" s="4" t="s">
        <v>25</v>
      </c>
      <c r="I96" s="71"/>
    </row>
    <row r="97" spans="1:9" x14ac:dyDescent="0.25">
      <c r="I97" s="71"/>
    </row>
    <row r="98" spans="1:9" x14ac:dyDescent="0.25">
      <c r="B98" s="4" t="s">
        <v>147</v>
      </c>
      <c r="D98" s="9" t="s">
        <v>162</v>
      </c>
      <c r="E98" s="9"/>
      <c r="F98" s="9"/>
      <c r="G98" s="9"/>
      <c r="I98" s="71"/>
    </row>
    <row r="99" spans="1:9" x14ac:dyDescent="0.25">
      <c r="B99" s="4" t="s">
        <v>26</v>
      </c>
      <c r="I99" s="71"/>
    </row>
    <row r="100" spans="1:9" x14ac:dyDescent="0.25">
      <c r="C100" s="4" t="s">
        <v>27</v>
      </c>
      <c r="D100" s="9">
        <f>102.5*5280</f>
        <v>541200</v>
      </c>
      <c r="F100" s="4" t="s">
        <v>149</v>
      </c>
      <c r="G100" s="9">
        <f>233*5280</f>
        <v>1230240</v>
      </c>
      <c r="I100" s="71"/>
    </row>
    <row r="101" spans="1:9" x14ac:dyDescent="0.25">
      <c r="C101" s="4" t="s">
        <v>28</v>
      </c>
      <c r="D101" s="9">
        <f>109*5280</f>
        <v>575520</v>
      </c>
      <c r="E101" s="4" t="s">
        <v>29</v>
      </c>
      <c r="F101" s="4" t="s">
        <v>8</v>
      </c>
      <c r="G101" s="9">
        <f>34*5280</f>
        <v>179520</v>
      </c>
      <c r="I101" s="71"/>
    </row>
    <row r="102" spans="1:9" x14ac:dyDescent="0.25">
      <c r="C102" s="4" t="s">
        <v>9</v>
      </c>
      <c r="D102" s="9">
        <f>5280*3</f>
        <v>15840</v>
      </c>
      <c r="F102" s="4" t="s">
        <v>148</v>
      </c>
      <c r="G102" s="9">
        <f>15*5280</f>
        <v>79200</v>
      </c>
      <c r="I102" s="71"/>
    </row>
    <row r="103" spans="1:9" x14ac:dyDescent="0.25">
      <c r="C103" s="4" t="s">
        <v>198</v>
      </c>
      <c r="D103" s="15">
        <f>12745+4412+4455+7038+11675+212+539</f>
        <v>41076</v>
      </c>
      <c r="F103" s="4" t="s">
        <v>245</v>
      </c>
      <c r="G103" s="15">
        <f>4*5280</f>
        <v>21120</v>
      </c>
      <c r="I103" s="71"/>
    </row>
    <row r="104" spans="1:9" x14ac:dyDescent="0.25">
      <c r="B104" s="4" t="s">
        <v>150</v>
      </c>
      <c r="F104" s="144" t="s">
        <v>244</v>
      </c>
      <c r="G104" s="9"/>
      <c r="I104" s="71"/>
    </row>
    <row r="105" spans="1:9" x14ac:dyDescent="0.25">
      <c r="B105" s="4" t="s">
        <v>151</v>
      </c>
      <c r="F105" s="15" t="s">
        <v>204</v>
      </c>
      <c r="I105" s="71"/>
    </row>
    <row r="106" spans="1:9" x14ac:dyDescent="0.25">
      <c r="I106" s="71"/>
    </row>
    <row r="107" spans="1:9" x14ac:dyDescent="0.25">
      <c r="I107" s="71"/>
    </row>
    <row r="108" spans="1:9" x14ac:dyDescent="0.25">
      <c r="I108" s="71"/>
    </row>
    <row r="109" spans="1:9" x14ac:dyDescent="0.25">
      <c r="A109" s="38" t="s">
        <v>5</v>
      </c>
      <c r="B109" s="4" t="s">
        <v>30</v>
      </c>
      <c r="I109" s="71"/>
    </row>
    <row r="110" spans="1:9" x14ac:dyDescent="0.25">
      <c r="I110" s="71"/>
    </row>
    <row r="111" spans="1:9" x14ac:dyDescent="0.25">
      <c r="A111" s="11"/>
      <c r="I111" s="71"/>
    </row>
    <row r="112" spans="1:9" x14ac:dyDescent="0.25">
      <c r="A112" s="1"/>
      <c r="I112" s="71"/>
    </row>
    <row r="113" spans="1:9" x14ac:dyDescent="0.25">
      <c r="A113" s="1"/>
      <c r="I113" s="71"/>
    </row>
    <row r="114" spans="1:9" x14ac:dyDescent="0.25">
      <c r="A114" s="1"/>
      <c r="I114" s="71"/>
    </row>
    <row r="115" spans="1:9" x14ac:dyDescent="0.25">
      <c r="A115" s="1"/>
      <c r="I115" s="71"/>
    </row>
    <row r="116" spans="1:9" x14ac:dyDescent="0.25">
      <c r="I116" s="71"/>
    </row>
    <row r="117" spans="1:9" x14ac:dyDescent="0.25">
      <c r="I117" s="71"/>
    </row>
    <row r="118" spans="1:9" x14ac:dyDescent="0.25">
      <c r="I118" s="71"/>
    </row>
    <row r="119" spans="1:9" x14ac:dyDescent="0.25">
      <c r="I119" s="71"/>
    </row>
    <row r="120" spans="1:9" x14ac:dyDescent="0.25">
      <c r="A120" s="38" t="s">
        <v>6</v>
      </c>
      <c r="B120" s="4" t="s">
        <v>152</v>
      </c>
      <c r="H120" s="196" t="s">
        <v>232</v>
      </c>
      <c r="I120" s="71"/>
    </row>
    <row r="121" spans="1:9" x14ac:dyDescent="0.25">
      <c r="I121" s="71"/>
    </row>
    <row r="122" spans="1:9" x14ac:dyDescent="0.25">
      <c r="I122" s="71"/>
    </row>
    <row r="123" spans="1:9" x14ac:dyDescent="0.25">
      <c r="I123" s="71"/>
    </row>
    <row r="124" spans="1:9" x14ac:dyDescent="0.25">
      <c r="I124" s="71"/>
    </row>
    <row r="125" spans="1:9" x14ac:dyDescent="0.25">
      <c r="I125" s="71"/>
    </row>
    <row r="148" spans="10:18" x14ac:dyDescent="0.25">
      <c r="J148" s="1"/>
      <c r="K148" s="1"/>
      <c r="L148" s="1"/>
      <c r="M148" s="1"/>
      <c r="N148" s="1"/>
      <c r="O148" s="1"/>
      <c r="Q148" s="1"/>
      <c r="R148" s="1"/>
    </row>
    <row r="162" spans="9:27" ht="15" customHeight="1" x14ac:dyDescent="0.25"/>
    <row r="169" spans="9:27" x14ac:dyDescent="0.25">
      <c r="I169" s="1"/>
      <c r="J169" s="1"/>
      <c r="K169" s="1"/>
      <c r="L169" s="1"/>
      <c r="M169" s="1"/>
      <c r="N169" s="1"/>
      <c r="O169" s="1"/>
      <c r="P169" s="1"/>
      <c r="Q169" s="1"/>
      <c r="R169" s="1"/>
      <c r="S169" s="1"/>
      <c r="T169" s="1"/>
      <c r="U169" s="1"/>
      <c r="V169" s="1"/>
      <c r="W169" s="1"/>
      <c r="X169" s="1"/>
      <c r="Y169" s="1"/>
      <c r="Z169" s="1"/>
      <c r="AA169" s="1"/>
    </row>
    <row r="180" spans="9:11" x14ac:dyDescent="0.25">
      <c r="I180" s="1"/>
      <c r="J180" s="1"/>
      <c r="K180" s="1"/>
    </row>
    <row r="181" spans="9:11" x14ac:dyDescent="0.25">
      <c r="I181" s="1"/>
      <c r="J181" s="1"/>
      <c r="K181" s="1"/>
    </row>
  </sheetData>
  <phoneticPr fontId="0" type="noConversion"/>
  <printOptions horizontalCentered="1" verticalCentered="1"/>
  <pageMargins left="0.69" right="0.61" top="0.69" bottom="0.94" header="0.5" footer="0.5"/>
  <pageSetup scale="67" fitToHeight="0" orientation="portrait" useFirstPageNumber="1" r:id="rId1"/>
  <headerFooter alignWithMargins="0">
    <oddFooter>&amp;CPage &amp;P</oddFooter>
  </headerFooter>
  <rowBreaks count="10" manualBreakCount="10">
    <brk id="44" max="16383" man="1"/>
    <brk id="61" max="7" man="1"/>
    <brk id="125" max="11" man="1"/>
    <brk id="158" max="11" man="1"/>
    <brk id="194" max="11" man="1"/>
    <brk id="235" max="11" man="1"/>
    <brk id="259" max="11" man="1"/>
    <brk id="296" max="11" man="1"/>
    <brk id="334" max="11" man="1"/>
    <brk id="375" max="11"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pageSetUpPr fitToPage="1"/>
  </sheetPr>
  <dimension ref="A1:Q138"/>
  <sheetViews>
    <sheetView view="pageBreakPreview" zoomScale="60" zoomScaleNormal="75" workbookViewId="0">
      <selection activeCell="J4" sqref="J4:J6"/>
    </sheetView>
  </sheetViews>
  <sheetFormatPr defaultRowHeight="12.75" x14ac:dyDescent="0.2"/>
  <cols>
    <col min="1" max="1" width="7" customWidth="1"/>
    <col min="2" max="2" width="9.85546875" customWidth="1"/>
    <col min="3" max="3" width="24.85546875" bestFit="1" customWidth="1"/>
    <col min="4" max="4" width="18.5703125" customWidth="1"/>
    <col min="5" max="5" width="20" customWidth="1"/>
    <col min="6" max="6" width="22.7109375" customWidth="1"/>
    <col min="7" max="7" width="11.85546875" customWidth="1"/>
    <col min="8" max="8" width="14.85546875" customWidth="1"/>
    <col min="9" max="9" width="13.28515625" customWidth="1"/>
    <col min="10" max="10" width="11.28515625" customWidth="1"/>
  </cols>
  <sheetData>
    <row r="1" spans="1:11" ht="15.75" x14ac:dyDescent="0.25">
      <c r="A1" s="4" t="s">
        <v>216</v>
      </c>
      <c r="B1" s="1" t="s">
        <v>31</v>
      </c>
      <c r="C1" s="17"/>
      <c r="D1" s="17"/>
      <c r="E1" s="17"/>
      <c r="F1" s="17"/>
      <c r="G1" s="4"/>
      <c r="H1" s="4"/>
      <c r="I1" s="4"/>
      <c r="J1" s="4"/>
    </row>
    <row r="2" spans="1:11" ht="15.75" x14ac:dyDescent="0.25">
      <c r="A2" s="4"/>
      <c r="B2" s="4"/>
      <c r="C2" s="4"/>
      <c r="D2" s="4"/>
      <c r="E2" s="4"/>
      <c r="F2" s="4"/>
      <c r="G2" s="4"/>
      <c r="H2" s="4"/>
      <c r="I2" s="4"/>
      <c r="J2" s="4"/>
    </row>
    <row r="3" spans="1:11" ht="15.75" x14ac:dyDescent="0.25">
      <c r="A3" s="4"/>
      <c r="B3" s="4" t="s">
        <v>158</v>
      </c>
      <c r="C3" s="4"/>
      <c r="D3" s="4"/>
      <c r="E3" s="4"/>
      <c r="F3" s="4"/>
      <c r="G3" s="4"/>
      <c r="H3" s="4"/>
      <c r="I3" s="4"/>
      <c r="J3" s="4"/>
    </row>
    <row r="4" spans="1:11" ht="15.75" x14ac:dyDescent="0.25">
      <c r="A4" s="206"/>
      <c r="B4" s="206"/>
      <c r="C4" s="206" t="s">
        <v>153</v>
      </c>
      <c r="D4" s="206"/>
      <c r="E4" s="206"/>
      <c r="F4" s="206"/>
      <c r="G4" s="206"/>
      <c r="H4" s="206"/>
      <c r="I4" s="206"/>
      <c r="J4" s="206"/>
    </row>
    <row r="5" spans="1:11" ht="15.75" x14ac:dyDescent="0.25">
      <c r="A5" s="206"/>
      <c r="B5" s="206" t="s">
        <v>32</v>
      </c>
      <c r="C5" s="206" t="s">
        <v>154</v>
      </c>
      <c r="D5" s="206" t="s">
        <v>33</v>
      </c>
      <c r="E5" s="206" t="s">
        <v>276</v>
      </c>
      <c r="F5" s="342" t="s">
        <v>34</v>
      </c>
      <c r="G5" s="342"/>
      <c r="H5" s="206" t="s">
        <v>172</v>
      </c>
      <c r="I5" s="206" t="s">
        <v>39</v>
      </c>
      <c r="J5" s="206"/>
    </row>
    <row r="6" spans="1:11" ht="18" x14ac:dyDescent="0.4">
      <c r="A6" s="208"/>
      <c r="B6" s="204" t="s">
        <v>35</v>
      </c>
      <c r="C6" s="204" t="s">
        <v>36</v>
      </c>
      <c r="D6" s="204" t="s">
        <v>37</v>
      </c>
      <c r="E6" s="204" t="s">
        <v>32</v>
      </c>
      <c r="F6" s="343" t="s">
        <v>38</v>
      </c>
      <c r="G6" s="343"/>
      <c r="H6" s="204" t="s">
        <v>173</v>
      </c>
      <c r="I6" s="204" t="s">
        <v>87</v>
      </c>
      <c r="J6" s="208"/>
    </row>
    <row r="7" spans="1:11" ht="15.75" x14ac:dyDescent="0.25">
      <c r="A7" s="4"/>
      <c r="B7" s="4"/>
      <c r="C7" s="4"/>
      <c r="D7" s="241" t="s">
        <v>270</v>
      </c>
      <c r="E7" s="4"/>
      <c r="F7" s="18" t="s">
        <v>156</v>
      </c>
      <c r="G7" s="18" t="s">
        <v>155</v>
      </c>
      <c r="J7" s="4"/>
    </row>
    <row r="8" spans="1:11" ht="15.75" x14ac:dyDescent="0.25">
      <c r="A8" s="242"/>
      <c r="B8" s="54">
        <v>2005</v>
      </c>
      <c r="C8" s="285" t="s">
        <v>269</v>
      </c>
      <c r="D8" s="284">
        <v>1011000</v>
      </c>
      <c r="E8" s="241">
        <v>2044</v>
      </c>
      <c r="F8" s="64">
        <v>1</v>
      </c>
      <c r="G8" s="64">
        <v>0</v>
      </c>
      <c r="H8" s="304">
        <v>1185000</v>
      </c>
      <c r="I8" s="305" t="s">
        <v>282</v>
      </c>
      <c r="J8" s="306"/>
      <c r="K8" s="132"/>
    </row>
    <row r="9" spans="1:11" ht="15.75" x14ac:dyDescent="0.25">
      <c r="A9" s="242"/>
      <c r="B9" s="54">
        <v>2008</v>
      </c>
      <c r="C9" s="285" t="s">
        <v>271</v>
      </c>
      <c r="D9" s="284">
        <v>2160000</v>
      </c>
      <c r="E9" s="241" t="s">
        <v>277</v>
      </c>
      <c r="F9" s="64">
        <v>1</v>
      </c>
      <c r="G9" s="64">
        <v>0</v>
      </c>
      <c r="H9" s="284">
        <v>3060000</v>
      </c>
      <c r="I9" s="307" t="s">
        <v>283</v>
      </c>
      <c r="J9" s="306"/>
      <c r="K9" s="132"/>
    </row>
    <row r="10" spans="1:11" ht="15.75" x14ac:dyDescent="0.25">
      <c r="A10" s="242"/>
      <c r="B10" s="54">
        <v>2010</v>
      </c>
      <c r="C10" s="285" t="s">
        <v>272</v>
      </c>
      <c r="D10" s="284">
        <v>3809500</v>
      </c>
      <c r="E10" s="241" t="s">
        <v>278</v>
      </c>
      <c r="F10" s="64">
        <v>1</v>
      </c>
      <c r="G10" s="64">
        <v>0</v>
      </c>
      <c r="H10" s="284">
        <v>4002000</v>
      </c>
      <c r="I10" s="307" t="s">
        <v>284</v>
      </c>
      <c r="J10" s="306"/>
      <c r="K10" s="132"/>
    </row>
    <row r="11" spans="1:11" ht="15.75" x14ac:dyDescent="0.25">
      <c r="A11" s="242"/>
      <c r="B11" s="54">
        <v>2010</v>
      </c>
      <c r="C11" s="285" t="s">
        <v>273</v>
      </c>
      <c r="D11" s="284">
        <v>1683485</v>
      </c>
      <c r="E11" s="241" t="s">
        <v>279</v>
      </c>
      <c r="F11" s="64">
        <v>1</v>
      </c>
      <c r="G11" s="64">
        <v>0</v>
      </c>
      <c r="H11" s="284">
        <v>1837000</v>
      </c>
      <c r="I11" s="307" t="s">
        <v>285</v>
      </c>
      <c r="J11" s="306"/>
      <c r="K11" s="132"/>
    </row>
    <row r="12" spans="1:11" ht="15.75" x14ac:dyDescent="0.25">
      <c r="A12" s="242"/>
      <c r="B12" s="54">
        <v>2012</v>
      </c>
      <c r="C12" s="285" t="s">
        <v>274</v>
      </c>
      <c r="D12" s="284">
        <v>1145000</v>
      </c>
      <c r="E12" s="241" t="s">
        <v>280</v>
      </c>
      <c r="F12" s="64">
        <v>1</v>
      </c>
      <c r="G12" s="64">
        <v>0</v>
      </c>
      <c r="H12" s="284">
        <v>1465000</v>
      </c>
      <c r="I12" s="307" t="s">
        <v>286</v>
      </c>
      <c r="J12" s="306"/>
      <c r="K12" s="132"/>
    </row>
    <row r="13" spans="1:11" ht="15.75" x14ac:dyDescent="0.25">
      <c r="A13" s="242"/>
      <c r="B13" s="54">
        <v>2014</v>
      </c>
      <c r="C13" s="285" t="s">
        <v>275</v>
      </c>
      <c r="D13" s="284">
        <v>812500</v>
      </c>
      <c r="E13" s="241" t="s">
        <v>281</v>
      </c>
      <c r="F13" s="64">
        <v>1</v>
      </c>
      <c r="G13" s="64">
        <v>0</v>
      </c>
      <c r="H13" s="284">
        <v>825000</v>
      </c>
      <c r="I13" s="307" t="s">
        <v>287</v>
      </c>
      <c r="J13" s="306"/>
      <c r="K13" s="132"/>
    </row>
    <row r="14" spans="1:11" ht="15.75" x14ac:dyDescent="0.25">
      <c r="A14" s="177"/>
      <c r="B14" s="54"/>
      <c r="C14" s="1"/>
      <c r="D14" s="4"/>
      <c r="E14" s="308"/>
      <c r="F14" s="64"/>
      <c r="G14" s="64"/>
      <c r="H14" s="4"/>
      <c r="I14" s="4"/>
      <c r="J14" s="309"/>
    </row>
    <row r="15" spans="1:11" ht="15.75" x14ac:dyDescent="0.25">
      <c r="A15" s="1"/>
      <c r="B15" s="1"/>
      <c r="C15" s="1"/>
      <c r="D15" s="41"/>
      <c r="E15" s="1"/>
      <c r="F15" s="4"/>
      <c r="G15" s="64"/>
      <c r="H15" s="41"/>
      <c r="I15" s="41"/>
      <c r="J15" s="4"/>
    </row>
    <row r="16" spans="1:11" ht="15.75" x14ac:dyDescent="0.25">
      <c r="A16" s="4"/>
      <c r="B16" s="4" t="s">
        <v>320</v>
      </c>
      <c r="C16" s="4"/>
      <c r="D16" s="4"/>
      <c r="E16" s="4"/>
      <c r="F16" s="4"/>
      <c r="G16" s="4"/>
      <c r="H16" s="4"/>
      <c r="I16" s="4"/>
      <c r="J16" s="4"/>
    </row>
    <row r="17" spans="1:17" ht="15.75" x14ac:dyDescent="0.25">
      <c r="A17" s="4"/>
      <c r="B17" s="4"/>
      <c r="C17" s="4"/>
      <c r="D17" s="4"/>
      <c r="E17" s="4"/>
      <c r="F17" s="4"/>
      <c r="G17" s="4"/>
      <c r="H17" s="4"/>
      <c r="I17" s="4"/>
      <c r="J17" s="4"/>
    </row>
    <row r="18" spans="1:17" ht="15.75" x14ac:dyDescent="0.25">
      <c r="A18" s="4"/>
      <c r="B18" s="284" t="s">
        <v>321</v>
      </c>
      <c r="C18" s="294"/>
      <c r="D18" s="285" t="s">
        <v>33</v>
      </c>
      <c r="E18" s="285" t="s">
        <v>39</v>
      </c>
      <c r="F18" s="285" t="s">
        <v>55</v>
      </c>
      <c r="G18" s="23"/>
      <c r="H18" s="343"/>
      <c r="I18" s="343"/>
      <c r="J18" s="23"/>
    </row>
    <row r="19" spans="1:17" ht="15.75" x14ac:dyDescent="0.25">
      <c r="A19" s="4"/>
      <c r="B19" s="22">
        <v>2018</v>
      </c>
      <c r="C19" s="132"/>
      <c r="D19" s="310">
        <v>290000</v>
      </c>
      <c r="E19" s="310">
        <v>375606</v>
      </c>
      <c r="F19" s="312">
        <f>E19+D19</f>
        <v>665606</v>
      </c>
      <c r="G19" s="311"/>
      <c r="H19" s="345"/>
      <c r="I19" s="345"/>
      <c r="J19" s="345"/>
    </row>
    <row r="20" spans="1:17" ht="15.75" x14ac:dyDescent="0.25">
      <c r="A20" s="4"/>
      <c r="B20" s="22">
        <v>2019</v>
      </c>
      <c r="C20" s="132"/>
      <c r="D20" s="162">
        <v>305000</v>
      </c>
      <c r="E20" s="162">
        <v>365271</v>
      </c>
      <c r="F20" s="312">
        <f t="shared" ref="F20:F23" si="0">E20+D20</f>
        <v>670271</v>
      </c>
      <c r="G20" s="284"/>
      <c r="H20" s="284"/>
      <c r="I20" s="284"/>
      <c r="J20" s="132"/>
    </row>
    <row r="21" spans="1:17" ht="15.75" x14ac:dyDescent="0.25">
      <c r="A21" s="4"/>
      <c r="B21" s="22">
        <v>2020</v>
      </c>
      <c r="C21" s="132"/>
      <c r="D21" s="162">
        <v>318500</v>
      </c>
      <c r="E21" s="162">
        <v>354055</v>
      </c>
      <c r="F21" s="312">
        <f t="shared" si="0"/>
        <v>672555</v>
      </c>
      <c r="G21" s="285"/>
      <c r="H21" s="285"/>
      <c r="I21" s="285"/>
      <c r="J21" s="132"/>
    </row>
    <row r="22" spans="1:17" ht="15.75" x14ac:dyDescent="0.25">
      <c r="A22" s="125"/>
      <c r="B22" s="22">
        <v>2021</v>
      </c>
      <c r="C22" s="132"/>
      <c r="D22" s="162">
        <v>324000</v>
      </c>
      <c r="E22" s="162">
        <v>342447</v>
      </c>
      <c r="F22" s="312">
        <f t="shared" si="0"/>
        <v>666447</v>
      </c>
      <c r="G22" s="284"/>
      <c r="H22" s="284"/>
      <c r="I22" s="284"/>
      <c r="J22" s="132"/>
    </row>
    <row r="23" spans="1:17" ht="15.75" x14ac:dyDescent="0.25">
      <c r="A23" s="124"/>
      <c r="B23" s="22">
        <v>2022</v>
      </c>
      <c r="C23" s="132"/>
      <c r="D23" s="162">
        <v>339000</v>
      </c>
      <c r="E23" s="162">
        <v>330359</v>
      </c>
      <c r="F23" s="312">
        <f t="shared" si="0"/>
        <v>669359</v>
      </c>
      <c r="G23" s="284"/>
      <c r="H23" s="284"/>
      <c r="I23" s="284"/>
      <c r="J23" s="132"/>
      <c r="K23" s="85"/>
      <c r="M23" s="277"/>
      <c r="N23" s="277"/>
      <c r="O23" s="277"/>
      <c r="P23" s="277"/>
      <c r="Q23" s="277"/>
    </row>
    <row r="24" spans="1:17" ht="15.75" x14ac:dyDescent="0.25">
      <c r="A24" s="124"/>
      <c r="B24" s="243"/>
      <c r="C24" s="244"/>
      <c r="D24" s="245"/>
      <c r="E24" s="245"/>
      <c r="F24" s="245"/>
      <c r="G24" s="245"/>
      <c r="H24" s="245"/>
      <c r="I24" s="245"/>
      <c r="J24" s="183"/>
      <c r="K24" s="85"/>
    </row>
    <row r="25" spans="1:17" x14ac:dyDescent="0.2">
      <c r="A25" s="43"/>
    </row>
    <row r="26" spans="1:17" ht="15.75" x14ac:dyDescent="0.25">
      <c r="A26" s="4" t="s">
        <v>40</v>
      </c>
      <c r="B26" s="1" t="s">
        <v>41</v>
      </c>
      <c r="C26" s="4"/>
      <c r="D26" s="4"/>
      <c r="E26" s="4"/>
      <c r="F26" s="4"/>
      <c r="G26" s="4"/>
      <c r="H26" s="4"/>
      <c r="I26" s="4"/>
      <c r="J26" s="4"/>
    </row>
    <row r="27" spans="1:17" ht="15.75" x14ac:dyDescent="0.25">
      <c r="A27" s="4"/>
      <c r="B27" s="4"/>
      <c r="C27" s="4"/>
      <c r="D27" s="4"/>
      <c r="E27" s="4"/>
      <c r="F27" s="4"/>
      <c r="G27" s="4"/>
      <c r="H27" s="4"/>
      <c r="I27" s="4"/>
      <c r="J27" s="4"/>
    </row>
    <row r="28" spans="1:17" ht="15.75" x14ac:dyDescent="0.25">
      <c r="A28" s="19"/>
      <c r="B28" s="344" t="s">
        <v>157</v>
      </c>
      <c r="C28" s="344"/>
      <c r="D28" s="344"/>
      <c r="E28" s="344"/>
      <c r="F28" s="344"/>
      <c r="G28" s="344"/>
      <c r="H28" s="344"/>
      <c r="I28" s="344"/>
      <c r="J28" s="344"/>
    </row>
    <row r="29" spans="1:17" ht="15.75" x14ac:dyDescent="0.25">
      <c r="A29" s="4"/>
      <c r="B29" s="4"/>
      <c r="C29" s="4"/>
      <c r="D29" s="4"/>
      <c r="E29" s="4"/>
      <c r="F29" s="4"/>
      <c r="G29" s="4"/>
      <c r="H29" s="4"/>
      <c r="I29" s="4"/>
      <c r="J29" s="4"/>
    </row>
    <row r="30" spans="1:17" ht="15.75" x14ac:dyDescent="0.25">
      <c r="A30" s="4"/>
      <c r="B30" s="4"/>
      <c r="C30" s="4"/>
      <c r="D30" s="4"/>
      <c r="E30" s="4"/>
      <c r="F30" s="4"/>
      <c r="G30" s="4"/>
      <c r="H30" s="4"/>
      <c r="I30" s="4"/>
      <c r="J30" s="4"/>
    </row>
    <row r="31" spans="1:17" ht="15.75" x14ac:dyDescent="0.25">
      <c r="A31" s="4"/>
      <c r="B31" s="4"/>
      <c r="C31" s="4"/>
      <c r="D31" s="4"/>
      <c r="E31" s="4"/>
      <c r="F31" s="4"/>
      <c r="G31" s="4"/>
      <c r="H31" s="4"/>
      <c r="I31" s="4"/>
      <c r="J31" s="4"/>
    </row>
    <row r="32" spans="1:17" ht="15.75" x14ac:dyDescent="0.25">
      <c r="A32" s="4" t="s">
        <v>42</v>
      </c>
      <c r="B32" s="1" t="s">
        <v>43</v>
      </c>
      <c r="C32" s="4"/>
      <c r="D32" s="4"/>
      <c r="E32" s="4"/>
      <c r="F32" s="4"/>
      <c r="G32" s="4"/>
      <c r="H32" s="4"/>
      <c r="I32" s="4"/>
      <c r="J32" s="4"/>
    </row>
    <row r="33" spans="1:10" ht="15.75" x14ac:dyDescent="0.25">
      <c r="A33" s="4"/>
      <c r="B33" s="1"/>
      <c r="C33" s="4"/>
      <c r="D33" s="4"/>
      <c r="E33" s="4"/>
      <c r="F33" s="4"/>
      <c r="G33" s="4"/>
      <c r="H33" s="4"/>
      <c r="I33" s="4"/>
      <c r="J33" s="4"/>
    </row>
    <row r="34" spans="1:10" ht="15.75" x14ac:dyDescent="0.25">
      <c r="A34" s="4"/>
      <c r="B34" s="4"/>
      <c r="C34" s="4"/>
      <c r="D34" s="4"/>
      <c r="E34" s="206" t="s">
        <v>54</v>
      </c>
      <c r="F34" s="206"/>
      <c r="G34" s="205" t="s">
        <v>46</v>
      </c>
      <c r="H34" s="4"/>
      <c r="I34" s="4"/>
      <c r="J34" s="4"/>
    </row>
    <row r="35" spans="1:10" ht="16.5" thickBot="1" x14ac:dyDescent="0.3">
      <c r="A35" s="10" t="s">
        <v>44</v>
      </c>
      <c r="B35" s="4"/>
      <c r="C35" s="4"/>
      <c r="D35" s="4"/>
      <c r="E35" s="20">
        <v>1</v>
      </c>
      <c r="F35" s="4"/>
      <c r="G35" s="78" t="s">
        <v>288</v>
      </c>
      <c r="J35" s="4"/>
    </row>
    <row r="36" spans="1:10" ht="16.5" thickBot="1" x14ac:dyDescent="0.3">
      <c r="A36" s="10" t="s">
        <v>45</v>
      </c>
      <c r="B36" s="4"/>
      <c r="C36" s="4"/>
      <c r="D36" s="4"/>
      <c r="E36" s="283">
        <v>6</v>
      </c>
      <c r="F36" s="4"/>
      <c r="G36" s="246" t="s">
        <v>288</v>
      </c>
      <c r="J36" s="4"/>
    </row>
    <row r="37" spans="1:10" ht="16.5" thickBot="1" x14ac:dyDescent="0.3">
      <c r="A37" s="10" t="s">
        <v>47</v>
      </c>
      <c r="B37" s="4"/>
      <c r="C37" s="4"/>
      <c r="D37" s="4"/>
      <c r="E37" s="283">
        <v>5</v>
      </c>
      <c r="F37" s="4"/>
      <c r="G37" s="246" t="s">
        <v>288</v>
      </c>
      <c r="J37" s="4"/>
    </row>
    <row r="38" spans="1:10" ht="16.5" thickBot="1" x14ac:dyDescent="0.3">
      <c r="A38" s="10" t="s">
        <v>48</v>
      </c>
      <c r="B38" s="4"/>
      <c r="C38" s="4"/>
      <c r="D38" s="4"/>
      <c r="E38" s="283">
        <v>7</v>
      </c>
      <c r="F38" s="4" t="s">
        <v>49</v>
      </c>
      <c r="G38" s="78" t="s">
        <v>288</v>
      </c>
      <c r="H38" s="2" t="s">
        <v>49</v>
      </c>
      <c r="I38" s="2"/>
    </row>
    <row r="39" spans="1:10" ht="16.5" thickBot="1" x14ac:dyDescent="0.3">
      <c r="A39" s="10" t="s">
        <v>50</v>
      </c>
      <c r="B39" s="4"/>
      <c r="C39" s="4"/>
      <c r="D39" s="4" t="s">
        <v>51</v>
      </c>
      <c r="E39" s="283" t="s">
        <v>176</v>
      </c>
      <c r="F39" s="1"/>
      <c r="G39" s="247" t="s">
        <v>288</v>
      </c>
      <c r="J39" s="4"/>
    </row>
    <row r="40" spans="1:10" ht="15.75" x14ac:dyDescent="0.25">
      <c r="A40" s="4"/>
      <c r="B40" s="4"/>
      <c r="C40" s="4"/>
      <c r="D40" s="4"/>
      <c r="E40" s="4"/>
      <c r="F40" s="4"/>
      <c r="G40" s="4"/>
      <c r="H40" s="4"/>
      <c r="I40" s="4"/>
      <c r="J40" s="4"/>
    </row>
    <row r="41" spans="1:10" ht="15.75" x14ac:dyDescent="0.25">
      <c r="A41" s="4"/>
      <c r="B41" s="4"/>
      <c r="C41" s="4"/>
      <c r="D41" s="4"/>
      <c r="E41" s="4"/>
      <c r="F41" s="4"/>
      <c r="G41" s="4"/>
      <c r="H41" s="4"/>
      <c r="I41" s="4"/>
      <c r="J41" s="4"/>
    </row>
    <row r="42" spans="1:10" ht="15.75" x14ac:dyDescent="0.25">
      <c r="A42" s="4" t="s">
        <v>52</v>
      </c>
      <c r="B42" s="1" t="s">
        <v>53</v>
      </c>
      <c r="C42" s="4"/>
      <c r="D42" s="4"/>
      <c r="E42" s="4"/>
      <c r="F42" s="4"/>
      <c r="G42" s="4"/>
      <c r="H42" s="4"/>
      <c r="I42" s="4"/>
      <c r="J42" s="4"/>
    </row>
    <row r="43" spans="1:10" ht="20.25" x14ac:dyDescent="0.55000000000000004">
      <c r="A43" s="4"/>
      <c r="B43" s="4"/>
      <c r="C43" s="4"/>
      <c r="D43" s="4"/>
      <c r="E43" s="208" t="s">
        <v>54</v>
      </c>
      <c r="F43" s="166"/>
      <c r="G43" s="146" t="s">
        <v>46</v>
      </c>
      <c r="H43" s="4"/>
      <c r="I43" s="4"/>
      <c r="J43" s="4"/>
    </row>
    <row r="44" spans="1:10" ht="15.75" x14ac:dyDescent="0.25">
      <c r="A44" s="4"/>
      <c r="B44" s="4" t="s">
        <v>289</v>
      </c>
      <c r="C44" s="4"/>
      <c r="D44" s="206"/>
      <c r="E44" s="249">
        <f>Usage!F14+Usage!F26+Usage!F50+Usage!F60</f>
        <v>5838</v>
      </c>
      <c r="F44" s="248"/>
      <c r="G44" s="199" t="s">
        <v>288</v>
      </c>
      <c r="H44" s="4"/>
      <c r="I44" s="4"/>
      <c r="J44" s="4"/>
    </row>
    <row r="45" spans="1:10" ht="15.75" x14ac:dyDescent="0.25">
      <c r="A45" s="4"/>
      <c r="B45" s="4"/>
      <c r="C45" s="4"/>
      <c r="D45" s="4"/>
      <c r="E45" s="4"/>
      <c r="F45" s="1"/>
      <c r="G45" s="4"/>
      <c r="H45" s="4"/>
      <c r="I45" s="4"/>
      <c r="J45" s="4"/>
    </row>
    <row r="46" spans="1:10" ht="15.75" x14ac:dyDescent="0.25">
      <c r="A46" s="4"/>
      <c r="B46" s="4"/>
      <c r="C46" s="4"/>
      <c r="D46" s="4"/>
      <c r="E46" s="4"/>
      <c r="F46" s="4"/>
      <c r="G46" s="4"/>
      <c r="H46" s="4"/>
      <c r="I46" s="4"/>
      <c r="J46" s="4"/>
    </row>
    <row r="86" spans="1:10" ht="15.75" x14ac:dyDescent="0.25">
      <c r="A86" s="27"/>
      <c r="B86" s="4"/>
      <c r="C86" s="4"/>
      <c r="D86" s="4"/>
      <c r="E86" s="4"/>
      <c r="F86" s="4"/>
      <c r="G86" s="4"/>
      <c r="H86" s="4"/>
      <c r="I86" s="4"/>
      <c r="J86" s="4"/>
    </row>
    <row r="138" spans="8:9" x14ac:dyDescent="0.2">
      <c r="H138" s="176">
        <v>0.3</v>
      </c>
      <c r="I138" s="176"/>
    </row>
  </sheetData>
  <mergeCells count="5">
    <mergeCell ref="F5:G5"/>
    <mergeCell ref="F6:G6"/>
    <mergeCell ref="H18:I18"/>
    <mergeCell ref="B28:J28"/>
    <mergeCell ref="H19:J19"/>
  </mergeCells>
  <phoneticPr fontId="14" type="noConversion"/>
  <pageMargins left="0.75" right="0.75" top="1" bottom="1" header="0.5" footer="0.5"/>
  <pageSetup scale="59" firstPageNumber="4" fitToHeight="0" orientation="portrait" r:id="rId1"/>
  <headerFooter alignWithMargins="0"/>
  <rowBreaks count="2" manualBreakCount="2">
    <brk id="25" max="16383" man="1"/>
    <brk id="4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165"/>
  <sheetViews>
    <sheetView view="pageBreakPreview" zoomScale="60" zoomScaleNormal="100" workbookViewId="0">
      <selection activeCell="F22" sqref="F22"/>
    </sheetView>
  </sheetViews>
  <sheetFormatPr defaultRowHeight="12.75" x14ac:dyDescent="0.2"/>
  <cols>
    <col min="1" max="1" width="7" customWidth="1"/>
    <col min="2" max="2" width="13.28515625" customWidth="1"/>
    <col min="3" max="3" width="14.5703125" customWidth="1"/>
    <col min="4" max="4" width="10.7109375" customWidth="1"/>
    <col min="5" max="5" width="13" customWidth="1"/>
    <col min="6" max="6" width="12.85546875" customWidth="1"/>
    <col min="7" max="7" width="11.85546875" customWidth="1"/>
    <col min="8" max="8" width="10.7109375" customWidth="1"/>
    <col min="9" max="9" width="18.42578125" customWidth="1"/>
    <col min="11" max="11" width="16.85546875" bestFit="1" customWidth="1"/>
    <col min="13" max="13" width="11.28515625" bestFit="1" customWidth="1"/>
    <col min="14" max="14" width="16.28515625" bestFit="1" customWidth="1"/>
    <col min="15" max="15" width="10.140625" bestFit="1" customWidth="1"/>
    <col min="17" max="17" width="12.28515625" bestFit="1" customWidth="1"/>
    <col min="23" max="23" width="12.5703125" customWidth="1"/>
    <col min="25" max="25" width="13.28515625" customWidth="1"/>
    <col min="27" max="27" width="12.7109375" customWidth="1"/>
  </cols>
  <sheetData>
    <row r="1" spans="1:29" ht="15.75" x14ac:dyDescent="0.25">
      <c r="A1" s="4" t="s">
        <v>57</v>
      </c>
      <c r="B1" s="1" t="s">
        <v>230</v>
      </c>
      <c r="C1" s="17"/>
      <c r="D1" s="17"/>
      <c r="E1" s="17"/>
      <c r="F1" s="17"/>
      <c r="G1" s="4"/>
      <c r="H1" s="4"/>
      <c r="I1" s="4"/>
      <c r="J1" s="72"/>
    </row>
    <row r="2" spans="1:29" ht="15.75" x14ac:dyDescent="0.25">
      <c r="A2" s="4"/>
      <c r="B2" s="4" t="s">
        <v>215</v>
      </c>
      <c r="C2" s="4"/>
      <c r="D2" s="4"/>
      <c r="E2" s="4"/>
      <c r="F2" s="4"/>
      <c r="G2" s="4"/>
      <c r="H2" s="4"/>
      <c r="I2" s="4"/>
      <c r="J2" s="72"/>
    </row>
    <row r="3" spans="1:29" ht="15.75" x14ac:dyDescent="0.25">
      <c r="A3" s="4"/>
      <c r="B3" s="4"/>
      <c r="C3" s="4"/>
      <c r="D3" s="4"/>
      <c r="E3" s="4"/>
      <c r="F3" s="4"/>
      <c r="G3" s="4"/>
      <c r="H3" s="4"/>
      <c r="I3" s="4"/>
      <c r="J3" s="72"/>
    </row>
    <row r="4" spans="1:29" ht="15.75" x14ac:dyDescent="0.25">
      <c r="A4" s="4"/>
      <c r="B4" s="206" t="s">
        <v>58</v>
      </c>
      <c r="C4" s="342" t="s">
        <v>59</v>
      </c>
      <c r="D4" s="342"/>
      <c r="E4" s="350" t="s">
        <v>60</v>
      </c>
      <c r="F4" s="350"/>
      <c r="G4" s="4"/>
      <c r="H4" s="4"/>
      <c r="I4" s="4"/>
      <c r="J4" s="72"/>
    </row>
    <row r="5" spans="1:29" ht="15.75" x14ac:dyDescent="0.25">
      <c r="A5" s="4"/>
      <c r="B5" s="4"/>
      <c r="C5" s="4"/>
      <c r="D5" s="4"/>
      <c r="E5" s="2"/>
      <c r="F5" s="2"/>
      <c r="G5" s="4"/>
      <c r="H5" s="4"/>
      <c r="I5" s="4"/>
      <c r="J5" s="72"/>
    </row>
    <row r="6" spans="1:29" ht="15.75" x14ac:dyDescent="0.25">
      <c r="A6" s="4"/>
      <c r="B6" s="207" t="s">
        <v>61</v>
      </c>
      <c r="C6" s="351" t="s">
        <v>268</v>
      </c>
      <c r="D6" s="351"/>
      <c r="E6" s="352" t="s">
        <v>176</v>
      </c>
      <c r="F6" s="352"/>
      <c r="G6" s="4"/>
      <c r="H6" s="4"/>
      <c r="I6" s="18"/>
      <c r="J6" s="72"/>
      <c r="K6" s="4"/>
    </row>
    <row r="7" spans="1:29" ht="18" x14ac:dyDescent="0.4">
      <c r="A7" s="4"/>
      <c r="B7" s="230" t="s">
        <v>262</v>
      </c>
      <c r="C7" s="351" t="s">
        <v>268</v>
      </c>
      <c r="D7" s="351"/>
      <c r="E7" s="352" t="s">
        <v>176</v>
      </c>
      <c r="F7" s="352"/>
      <c r="G7" s="4"/>
      <c r="H7" s="1"/>
      <c r="I7" s="24"/>
      <c r="J7" s="72"/>
      <c r="K7" s="43"/>
    </row>
    <row r="8" spans="1:29" ht="15.75" x14ac:dyDescent="0.25">
      <c r="A8" s="4"/>
      <c r="B8" s="207" t="s">
        <v>263</v>
      </c>
      <c r="C8" s="351" t="s">
        <v>268</v>
      </c>
      <c r="D8" s="351"/>
      <c r="E8" s="352" t="s">
        <v>176</v>
      </c>
      <c r="F8" s="352"/>
      <c r="G8" s="18"/>
      <c r="H8" s="4"/>
      <c r="I8" s="4"/>
      <c r="J8" s="72"/>
      <c r="K8" s="51"/>
      <c r="L8" s="51"/>
    </row>
    <row r="9" spans="1:29" ht="15.75" x14ac:dyDescent="0.25">
      <c r="B9" s="231" t="s">
        <v>264</v>
      </c>
      <c r="C9" s="351" t="s">
        <v>268</v>
      </c>
      <c r="D9" s="351"/>
      <c r="E9" s="352" t="s">
        <v>176</v>
      </c>
      <c r="F9" s="352"/>
      <c r="G9" s="45"/>
      <c r="H9" s="61"/>
      <c r="I9" s="62"/>
      <c r="J9" s="72"/>
      <c r="K9" s="59"/>
    </row>
    <row r="10" spans="1:29" ht="15.75" x14ac:dyDescent="0.25">
      <c r="B10" s="231" t="s">
        <v>265</v>
      </c>
      <c r="C10" s="351" t="s">
        <v>268</v>
      </c>
      <c r="D10" s="351"/>
      <c r="E10" s="352" t="s">
        <v>176</v>
      </c>
      <c r="F10" s="352"/>
      <c r="G10" s="64"/>
      <c r="H10" s="41"/>
      <c r="I10" s="62"/>
      <c r="J10" s="72"/>
      <c r="K10" s="59"/>
    </row>
    <row r="11" spans="1:29" ht="15.75" x14ac:dyDescent="0.25">
      <c r="B11" s="54"/>
      <c r="C11" s="1"/>
      <c r="D11" s="1"/>
      <c r="E11" s="60"/>
      <c r="F11" s="67"/>
      <c r="H11" s="41"/>
      <c r="I11" s="61"/>
      <c r="J11" s="72"/>
    </row>
    <row r="12" spans="1:29" ht="15.75" x14ac:dyDescent="0.25">
      <c r="A12" s="191" t="s">
        <v>62</v>
      </c>
      <c r="B12" s="86" t="s">
        <v>261</v>
      </c>
      <c r="C12" s="3"/>
      <c r="D12" s="3"/>
      <c r="E12" s="87"/>
      <c r="F12" s="88"/>
      <c r="G12" s="89"/>
      <c r="H12" s="40"/>
      <c r="I12" s="62"/>
      <c r="J12" s="72"/>
      <c r="K12" s="58"/>
    </row>
    <row r="13" spans="1:29" ht="15.75" x14ac:dyDescent="0.25">
      <c r="A13" s="191"/>
      <c r="B13" s="90" t="s">
        <v>177</v>
      </c>
      <c r="C13" s="3"/>
      <c r="D13" s="3"/>
      <c r="E13" s="87"/>
      <c r="F13" s="182"/>
      <c r="G13" s="91"/>
      <c r="H13" s="40"/>
      <c r="J13" s="72"/>
      <c r="K13" s="58"/>
    </row>
    <row r="14" spans="1:29" ht="18" x14ac:dyDescent="0.4">
      <c r="A14" s="205"/>
      <c r="B14" s="92"/>
      <c r="C14" s="3"/>
      <c r="D14" s="3"/>
      <c r="E14" s="3"/>
      <c r="F14" s="2"/>
      <c r="G14" s="88"/>
      <c r="H14" s="42"/>
      <c r="I14" s="63"/>
      <c r="J14" s="72"/>
    </row>
    <row r="15" spans="1:29" ht="15.75" x14ac:dyDescent="0.25">
      <c r="A15" s="205"/>
      <c r="B15" s="2"/>
      <c r="C15" s="2"/>
      <c r="D15" s="2"/>
      <c r="E15" s="2"/>
      <c r="F15" s="126"/>
      <c r="H15" s="2"/>
      <c r="I15" s="4"/>
      <c r="J15" s="72"/>
    </row>
    <row r="16" spans="1:29" ht="15.75" x14ac:dyDescent="0.25">
      <c r="A16" s="206" t="s">
        <v>160</v>
      </c>
      <c r="B16" s="1" t="s">
        <v>161</v>
      </c>
      <c r="C16" s="1"/>
      <c r="D16" s="1"/>
      <c r="E16" s="1"/>
      <c r="F16" s="1"/>
      <c r="G16" s="1"/>
      <c r="H16" s="1"/>
      <c r="I16" s="1"/>
      <c r="J16" s="72"/>
      <c r="K16" s="250"/>
      <c r="L16" s="1" t="s">
        <v>306</v>
      </c>
      <c r="M16" s="1"/>
      <c r="N16" s="1"/>
      <c r="O16" s="1"/>
      <c r="P16" s="1"/>
      <c r="Q16" s="1"/>
      <c r="R16" s="1"/>
      <c r="S16" s="1"/>
      <c r="V16" s="1" t="s">
        <v>305</v>
      </c>
      <c r="W16" s="1"/>
      <c r="X16" s="1"/>
      <c r="Y16" s="1"/>
      <c r="Z16" s="1"/>
      <c r="AA16" s="1"/>
      <c r="AB16" s="1"/>
      <c r="AC16" s="1"/>
    </row>
    <row r="17" spans="1:29" ht="15.75" x14ac:dyDescent="0.25">
      <c r="A17" s="4"/>
      <c r="B17" s="120" t="s">
        <v>266</v>
      </c>
      <c r="C17" s="4"/>
      <c r="D17" s="4"/>
      <c r="E17" s="232">
        <v>41849</v>
      </c>
      <c r="G17" s="4"/>
      <c r="H17" s="4"/>
      <c r="I17" s="4"/>
      <c r="J17" s="72"/>
      <c r="K17" s="4"/>
      <c r="L17" s="120" t="s">
        <v>266</v>
      </c>
      <c r="M17" s="4"/>
      <c r="N17" s="4"/>
      <c r="O17" s="232">
        <v>41849</v>
      </c>
      <c r="Q17" s="4"/>
      <c r="R17" s="4"/>
      <c r="S17" s="4"/>
      <c r="V17" s="120" t="s">
        <v>266</v>
      </c>
      <c r="W17" s="4"/>
      <c r="X17" s="4"/>
      <c r="Y17" s="232">
        <v>41849</v>
      </c>
      <c r="AA17" s="4"/>
      <c r="AB17" s="4"/>
      <c r="AC17" s="4"/>
    </row>
    <row r="18" spans="1:29" ht="15.75" x14ac:dyDescent="0.25">
      <c r="A18" s="4"/>
      <c r="B18" s="90"/>
      <c r="C18" s="3"/>
      <c r="D18" s="3"/>
      <c r="E18" s="87"/>
      <c r="F18" s="182"/>
      <c r="G18" s="4"/>
      <c r="H18" s="4"/>
      <c r="I18" s="4"/>
      <c r="J18" s="72"/>
      <c r="K18" s="4"/>
      <c r="L18" s="90"/>
      <c r="M18" s="3"/>
      <c r="N18" s="3"/>
      <c r="O18" s="87"/>
      <c r="P18" s="182"/>
      <c r="Q18" s="4"/>
      <c r="R18" s="4"/>
      <c r="S18" s="4"/>
      <c r="V18" s="90"/>
      <c r="W18" s="3"/>
      <c r="X18" s="3"/>
      <c r="Y18" s="87"/>
      <c r="Z18" s="182"/>
      <c r="AA18" s="4"/>
      <c r="AB18" s="4"/>
      <c r="AC18" s="4"/>
    </row>
    <row r="19" spans="1:29" ht="15.75" x14ac:dyDescent="0.25">
      <c r="B19" s="353" t="s">
        <v>267</v>
      </c>
      <c r="C19" s="353"/>
      <c r="D19" s="353"/>
      <c r="E19" s="1"/>
      <c r="F19" s="1"/>
      <c r="G19" s="1"/>
      <c r="H19" s="1"/>
      <c r="I19" s="1"/>
      <c r="J19" s="72"/>
      <c r="L19" s="353" t="s">
        <v>267</v>
      </c>
      <c r="M19" s="353"/>
      <c r="N19" s="353"/>
      <c r="O19" s="1"/>
      <c r="P19" s="1"/>
      <c r="Q19" s="1"/>
      <c r="R19" s="1"/>
      <c r="S19" s="1"/>
      <c r="V19" s="353" t="s">
        <v>267</v>
      </c>
      <c r="W19" s="353"/>
      <c r="X19" s="353"/>
      <c r="Y19" s="1"/>
      <c r="Z19" s="1"/>
      <c r="AA19" s="1"/>
      <c r="AB19" s="1"/>
      <c r="AC19" s="1"/>
    </row>
    <row r="20" spans="1:29" ht="15.75" x14ac:dyDescent="0.25">
      <c r="A20" s="1"/>
      <c r="B20" s="54"/>
      <c r="C20" s="1"/>
      <c r="D20" s="1"/>
      <c r="E20" s="1"/>
      <c r="F20" s="1"/>
      <c r="G20" s="1"/>
      <c r="H20" s="1"/>
      <c r="I20" s="1"/>
      <c r="J20" s="72"/>
      <c r="K20" s="1"/>
      <c r="L20" s="54"/>
      <c r="M20" s="1"/>
      <c r="N20" s="1"/>
      <c r="O20" s="1"/>
      <c r="P20" s="1"/>
      <c r="Q20" s="1"/>
      <c r="R20" s="1"/>
      <c r="S20" s="1"/>
      <c r="V20" s="54"/>
      <c r="W20" s="1"/>
      <c r="X20" s="1"/>
      <c r="Y20" s="1"/>
      <c r="Z20" s="1"/>
      <c r="AA20" s="1"/>
      <c r="AB20" s="1"/>
      <c r="AC20" s="1"/>
    </row>
    <row r="21" spans="1:29" ht="15.75" x14ac:dyDescent="0.25">
      <c r="A21" s="1"/>
      <c r="B21" s="348" t="s">
        <v>248</v>
      </c>
      <c r="C21" s="348"/>
      <c r="D21" s="348"/>
      <c r="E21" s="348"/>
      <c r="F21" s="348"/>
      <c r="G21" s="348"/>
      <c r="H21" s="348"/>
      <c r="I21" s="349"/>
      <c r="J21" s="72"/>
      <c r="K21" s="1"/>
      <c r="L21" s="348" t="s">
        <v>248</v>
      </c>
      <c r="M21" s="348"/>
      <c r="N21" s="348"/>
      <c r="O21" s="348"/>
      <c r="P21" s="348"/>
      <c r="Q21" s="348"/>
      <c r="R21" s="348"/>
      <c r="S21" s="349"/>
      <c r="V21" s="348" t="s">
        <v>248</v>
      </c>
      <c r="W21" s="348"/>
      <c r="X21" s="348"/>
      <c r="Y21" s="348"/>
      <c r="Z21" s="348"/>
      <c r="AA21" s="348"/>
      <c r="AB21" s="348"/>
      <c r="AC21" s="349"/>
    </row>
    <row r="22" spans="1:29" ht="15.75" x14ac:dyDescent="0.25">
      <c r="A22" s="1"/>
      <c r="B22" s="180" t="s">
        <v>63</v>
      </c>
      <c r="C22" s="4">
        <v>2000</v>
      </c>
      <c r="D22" s="4" t="s">
        <v>64</v>
      </c>
      <c r="E22" s="4" t="s">
        <v>65</v>
      </c>
      <c r="F22" s="181">
        <v>20.55</v>
      </c>
      <c r="G22" s="181"/>
      <c r="H22" s="346" t="s">
        <v>193</v>
      </c>
      <c r="I22" s="347"/>
      <c r="J22" s="72"/>
      <c r="K22" s="1"/>
      <c r="L22" s="180" t="s">
        <v>63</v>
      </c>
      <c r="M22" s="4">
        <v>2000</v>
      </c>
      <c r="N22" s="4" t="s">
        <v>64</v>
      </c>
      <c r="O22" s="4" t="s">
        <v>65</v>
      </c>
      <c r="P22" s="181">
        <f>F22*1.1</f>
        <v>22.605000000000004</v>
      </c>
      <c r="Q22" s="181"/>
      <c r="R22" s="346" t="s">
        <v>193</v>
      </c>
      <c r="S22" s="347"/>
      <c r="V22" s="180" t="s">
        <v>63</v>
      </c>
      <c r="W22" s="4">
        <v>2000</v>
      </c>
      <c r="X22" s="4" t="s">
        <v>64</v>
      </c>
      <c r="Y22" s="4" t="s">
        <v>65</v>
      </c>
      <c r="Z22" s="181">
        <f>F22*1.12</f>
        <v>23.016000000000002</v>
      </c>
      <c r="AA22" s="181"/>
      <c r="AB22" s="346" t="s">
        <v>193</v>
      </c>
      <c r="AC22" s="347"/>
    </row>
    <row r="23" spans="1:29" ht="15.75" x14ac:dyDescent="0.25">
      <c r="A23" s="1"/>
      <c r="B23" s="180" t="s">
        <v>67</v>
      </c>
      <c r="C23" s="4">
        <v>98000</v>
      </c>
      <c r="D23" s="4" t="s">
        <v>64</v>
      </c>
      <c r="E23" s="4" t="s">
        <v>65</v>
      </c>
      <c r="F23" s="181">
        <v>6.92</v>
      </c>
      <c r="G23" s="181"/>
      <c r="H23" s="346" t="s">
        <v>66</v>
      </c>
      <c r="I23" s="347"/>
      <c r="J23" s="72"/>
      <c r="K23" s="1"/>
      <c r="L23" s="180" t="s">
        <v>67</v>
      </c>
      <c r="M23" s="4">
        <v>98000</v>
      </c>
      <c r="N23" s="4" t="s">
        <v>64</v>
      </c>
      <c r="O23" s="4" t="s">
        <v>65</v>
      </c>
      <c r="P23" s="181">
        <f>F23*1.1</f>
        <v>7.6120000000000001</v>
      </c>
      <c r="Q23" s="181"/>
      <c r="R23" s="346" t="s">
        <v>66</v>
      </c>
      <c r="S23" s="347"/>
      <c r="V23" s="180" t="s">
        <v>67</v>
      </c>
      <c r="W23" s="4">
        <v>98000</v>
      </c>
      <c r="X23" s="4" t="s">
        <v>64</v>
      </c>
      <c r="Y23" s="4" t="s">
        <v>65</v>
      </c>
      <c r="Z23" s="181">
        <f>F23*1.12</f>
        <v>7.7504000000000008</v>
      </c>
      <c r="AA23" s="181"/>
      <c r="AB23" s="346" t="s">
        <v>66</v>
      </c>
      <c r="AC23" s="347"/>
    </row>
    <row r="24" spans="1:29" ht="15.75" x14ac:dyDescent="0.25">
      <c r="A24" s="1"/>
      <c r="B24" s="180" t="s">
        <v>67</v>
      </c>
      <c r="C24" s="4">
        <v>400000</v>
      </c>
      <c r="D24" s="4" t="s">
        <v>64</v>
      </c>
      <c r="E24" s="4" t="s">
        <v>65</v>
      </c>
      <c r="F24" s="181">
        <v>5.63</v>
      </c>
      <c r="G24" s="181"/>
      <c r="H24" s="346" t="s">
        <v>66</v>
      </c>
      <c r="I24" s="347"/>
      <c r="J24" s="72"/>
      <c r="K24" s="1"/>
      <c r="L24" s="180" t="s">
        <v>67</v>
      </c>
      <c r="M24" s="4">
        <v>400000</v>
      </c>
      <c r="N24" s="4" t="s">
        <v>64</v>
      </c>
      <c r="O24" s="4" t="s">
        <v>65</v>
      </c>
      <c r="P24" s="181">
        <f>F24*1.1</f>
        <v>6.1930000000000005</v>
      </c>
      <c r="Q24" s="181"/>
      <c r="R24" s="346" t="s">
        <v>66</v>
      </c>
      <c r="S24" s="347"/>
      <c r="V24" s="180" t="s">
        <v>67</v>
      </c>
      <c r="W24" s="4">
        <v>400000</v>
      </c>
      <c r="X24" s="4" t="s">
        <v>64</v>
      </c>
      <c r="Y24" s="4" t="s">
        <v>65</v>
      </c>
      <c r="Z24" s="181">
        <f>F24*1.12</f>
        <v>6.3056000000000001</v>
      </c>
      <c r="AA24" s="181"/>
      <c r="AB24" s="346" t="s">
        <v>66</v>
      </c>
      <c r="AC24" s="347"/>
    </row>
    <row r="25" spans="1:29" ht="15.75" x14ac:dyDescent="0.25">
      <c r="A25" s="1"/>
      <c r="B25" s="180" t="s">
        <v>68</v>
      </c>
      <c r="C25" s="4">
        <v>500000</v>
      </c>
      <c r="D25" s="4" t="s">
        <v>64</v>
      </c>
      <c r="E25" s="4" t="s">
        <v>65</v>
      </c>
      <c r="F25" s="181">
        <v>4.1100000000000003</v>
      </c>
      <c r="G25" s="181"/>
      <c r="H25" s="346" t="s">
        <v>66</v>
      </c>
      <c r="I25" s="347"/>
      <c r="J25" s="72"/>
      <c r="K25" s="1"/>
      <c r="L25" s="180" t="s">
        <v>68</v>
      </c>
      <c r="M25" s="4">
        <v>500000</v>
      </c>
      <c r="N25" s="4" t="s">
        <v>64</v>
      </c>
      <c r="O25" s="4" t="s">
        <v>65</v>
      </c>
      <c r="P25" s="181">
        <f>F25*1.1</f>
        <v>4.5210000000000008</v>
      </c>
      <c r="Q25" s="181"/>
      <c r="R25" s="346" t="s">
        <v>66</v>
      </c>
      <c r="S25" s="347"/>
      <c r="V25" s="180" t="s">
        <v>68</v>
      </c>
      <c r="W25" s="4">
        <v>500000</v>
      </c>
      <c r="X25" s="4" t="s">
        <v>64</v>
      </c>
      <c r="Y25" s="4" t="s">
        <v>65</v>
      </c>
      <c r="Z25" s="181">
        <f>F25*1.12</f>
        <v>4.6032000000000011</v>
      </c>
      <c r="AA25" s="181"/>
      <c r="AB25" s="346" t="s">
        <v>66</v>
      </c>
      <c r="AC25" s="347"/>
    </row>
    <row r="26" spans="1:29" ht="15.75" x14ac:dyDescent="0.25">
      <c r="A26" s="1"/>
      <c r="B26" s="180"/>
      <c r="C26" s="4"/>
      <c r="D26" s="4"/>
      <c r="E26" s="4"/>
      <c r="F26" s="181"/>
      <c r="G26" s="181"/>
      <c r="H26" s="200"/>
      <c r="I26" s="209"/>
      <c r="J26" s="72"/>
      <c r="K26" s="1"/>
      <c r="L26" s="180"/>
      <c r="M26" s="4"/>
      <c r="N26" s="4"/>
      <c r="O26" s="4"/>
      <c r="P26" s="181"/>
      <c r="Q26" s="181"/>
      <c r="R26" s="251"/>
      <c r="S26" s="209"/>
      <c r="V26" s="180"/>
      <c r="W26" s="4"/>
      <c r="X26" s="4"/>
      <c r="Y26" s="4"/>
      <c r="Z26" s="181"/>
      <c r="AA26" s="181"/>
      <c r="AB26" s="251"/>
      <c r="AC26" s="209"/>
    </row>
    <row r="27" spans="1:29" ht="15.75" x14ac:dyDescent="0.25">
      <c r="A27" s="1"/>
      <c r="B27" s="348" t="s">
        <v>250</v>
      </c>
      <c r="C27" s="348"/>
      <c r="D27" s="348"/>
      <c r="E27" s="348"/>
      <c r="F27" s="348"/>
      <c r="G27" s="348"/>
      <c r="H27" s="348"/>
      <c r="I27" s="349"/>
      <c r="J27" s="72"/>
      <c r="K27" s="1"/>
      <c r="L27" s="348" t="s">
        <v>250</v>
      </c>
      <c r="M27" s="348"/>
      <c r="N27" s="348"/>
      <c r="O27" s="348"/>
      <c r="P27" s="348"/>
      <c r="Q27" s="348"/>
      <c r="R27" s="348"/>
      <c r="S27" s="349"/>
      <c r="V27" s="348" t="s">
        <v>250</v>
      </c>
      <c r="W27" s="348"/>
      <c r="X27" s="348"/>
      <c r="Y27" s="348"/>
      <c r="Z27" s="348"/>
      <c r="AA27" s="348"/>
      <c r="AB27" s="348"/>
      <c r="AC27" s="349"/>
    </row>
    <row r="28" spans="1:29" ht="15.75" x14ac:dyDescent="0.25">
      <c r="A28" s="1"/>
      <c r="B28" s="180" t="s">
        <v>63</v>
      </c>
      <c r="C28" s="4">
        <v>4000</v>
      </c>
      <c r="D28" s="4" t="s">
        <v>64</v>
      </c>
      <c r="E28" s="4" t="s">
        <v>65</v>
      </c>
      <c r="F28" s="181">
        <v>34.39</v>
      </c>
      <c r="G28" s="181"/>
      <c r="H28" s="346" t="s">
        <v>193</v>
      </c>
      <c r="I28" s="347"/>
      <c r="J28" s="72"/>
      <c r="K28" s="1"/>
      <c r="L28" s="180" t="s">
        <v>63</v>
      </c>
      <c r="M28" s="4">
        <v>4000</v>
      </c>
      <c r="N28" s="4" t="s">
        <v>64</v>
      </c>
      <c r="O28" s="4" t="s">
        <v>65</v>
      </c>
      <c r="P28" s="181">
        <f>F28*1.1</f>
        <v>37.829000000000001</v>
      </c>
      <c r="Q28" s="181"/>
      <c r="R28" s="346" t="s">
        <v>193</v>
      </c>
      <c r="S28" s="347"/>
      <c r="V28" s="180" t="s">
        <v>63</v>
      </c>
      <c r="W28" s="4">
        <v>4000</v>
      </c>
      <c r="X28" s="4" t="s">
        <v>64</v>
      </c>
      <c r="Y28" s="4" t="s">
        <v>65</v>
      </c>
      <c r="Z28" s="181">
        <f>F28*1.12</f>
        <v>38.516800000000003</v>
      </c>
      <c r="AA28" s="181"/>
      <c r="AB28" s="346" t="s">
        <v>193</v>
      </c>
      <c r="AC28" s="347"/>
    </row>
    <row r="29" spans="1:29" ht="15.75" x14ac:dyDescent="0.25">
      <c r="A29" s="1"/>
      <c r="B29" s="180" t="s">
        <v>67</v>
      </c>
      <c r="C29" s="4">
        <v>96000</v>
      </c>
      <c r="D29" s="4" t="s">
        <v>64</v>
      </c>
      <c r="E29" s="4" t="s">
        <v>65</v>
      </c>
      <c r="F29" s="181">
        <v>6.92</v>
      </c>
      <c r="G29" s="181"/>
      <c r="H29" s="346" t="s">
        <v>66</v>
      </c>
      <c r="I29" s="347"/>
      <c r="J29" s="72"/>
      <c r="K29" s="1"/>
      <c r="L29" s="180" t="s">
        <v>67</v>
      </c>
      <c r="M29" s="4">
        <v>96000</v>
      </c>
      <c r="N29" s="4" t="s">
        <v>64</v>
      </c>
      <c r="O29" s="4" t="s">
        <v>65</v>
      </c>
      <c r="P29" s="181">
        <f>F29*1.1</f>
        <v>7.6120000000000001</v>
      </c>
      <c r="Q29" s="181"/>
      <c r="R29" s="346" t="s">
        <v>66</v>
      </c>
      <c r="S29" s="347"/>
      <c r="V29" s="180" t="s">
        <v>67</v>
      </c>
      <c r="W29" s="4">
        <v>96000</v>
      </c>
      <c r="X29" s="4" t="s">
        <v>64</v>
      </c>
      <c r="Y29" s="4" t="s">
        <v>65</v>
      </c>
      <c r="Z29" s="181">
        <f>F29*1.12</f>
        <v>7.7504000000000008</v>
      </c>
      <c r="AA29" s="181"/>
      <c r="AB29" s="346" t="s">
        <v>66</v>
      </c>
      <c r="AC29" s="347"/>
    </row>
    <row r="30" spans="1:29" ht="15.75" x14ac:dyDescent="0.25">
      <c r="A30" s="1"/>
      <c r="B30" s="180" t="s">
        <v>67</v>
      </c>
      <c r="C30" s="4">
        <v>400000</v>
      </c>
      <c r="D30" s="4" t="s">
        <v>64</v>
      </c>
      <c r="E30" s="4" t="s">
        <v>65</v>
      </c>
      <c r="F30" s="181">
        <v>5.63</v>
      </c>
      <c r="G30" s="181"/>
      <c r="H30" s="346" t="s">
        <v>66</v>
      </c>
      <c r="I30" s="347"/>
      <c r="J30" s="72"/>
      <c r="K30" s="1"/>
      <c r="L30" s="180" t="s">
        <v>67</v>
      </c>
      <c r="M30" s="4">
        <v>400000</v>
      </c>
      <c r="N30" s="4" t="s">
        <v>64</v>
      </c>
      <c r="O30" s="4" t="s">
        <v>65</v>
      </c>
      <c r="P30" s="181">
        <f>F30*1.1</f>
        <v>6.1930000000000005</v>
      </c>
      <c r="Q30" s="181"/>
      <c r="R30" s="346" t="s">
        <v>66</v>
      </c>
      <c r="S30" s="347"/>
      <c r="V30" s="180" t="s">
        <v>67</v>
      </c>
      <c r="W30" s="4">
        <v>400000</v>
      </c>
      <c r="X30" s="4" t="s">
        <v>64</v>
      </c>
      <c r="Y30" s="4" t="s">
        <v>65</v>
      </c>
      <c r="Z30" s="181">
        <f>F30*1.12</f>
        <v>6.3056000000000001</v>
      </c>
      <c r="AA30" s="181"/>
      <c r="AB30" s="346" t="s">
        <v>66</v>
      </c>
      <c r="AC30" s="347"/>
    </row>
    <row r="31" spans="1:29" ht="15.75" x14ac:dyDescent="0.25">
      <c r="A31" s="1"/>
      <c r="B31" s="180" t="s">
        <v>68</v>
      </c>
      <c r="C31" s="4">
        <v>500000</v>
      </c>
      <c r="D31" s="4" t="s">
        <v>64</v>
      </c>
      <c r="E31" s="4" t="s">
        <v>65</v>
      </c>
      <c r="F31" s="181">
        <v>4.1100000000000003</v>
      </c>
      <c r="G31" s="181"/>
      <c r="H31" s="346" t="s">
        <v>66</v>
      </c>
      <c r="I31" s="347"/>
      <c r="J31" s="72"/>
      <c r="K31" s="1"/>
      <c r="L31" s="180" t="s">
        <v>68</v>
      </c>
      <c r="M31" s="4">
        <v>500000</v>
      </c>
      <c r="N31" s="4" t="s">
        <v>64</v>
      </c>
      <c r="O31" s="4" t="s">
        <v>65</v>
      </c>
      <c r="P31" s="181">
        <f>F31*1.1</f>
        <v>4.5210000000000008</v>
      </c>
      <c r="Q31" s="181"/>
      <c r="R31" s="346" t="s">
        <v>66</v>
      </c>
      <c r="S31" s="347"/>
      <c r="V31" s="180" t="s">
        <v>68</v>
      </c>
      <c r="W31" s="4">
        <v>500000</v>
      </c>
      <c r="X31" s="4" t="s">
        <v>64</v>
      </c>
      <c r="Y31" s="4" t="s">
        <v>65</v>
      </c>
      <c r="Z31" s="181">
        <f>F31*1.12</f>
        <v>4.6032000000000011</v>
      </c>
      <c r="AA31" s="181"/>
      <c r="AB31" s="346" t="s">
        <v>66</v>
      </c>
      <c r="AC31" s="347"/>
    </row>
    <row r="32" spans="1:29" ht="15.75" x14ac:dyDescent="0.25">
      <c r="A32" s="1"/>
      <c r="B32" s="180"/>
      <c r="C32" s="4"/>
      <c r="D32" s="4"/>
      <c r="E32" s="4"/>
      <c r="F32" s="181"/>
      <c r="G32" s="181"/>
      <c r="H32" s="200"/>
      <c r="I32" s="209"/>
      <c r="J32" s="72"/>
      <c r="K32" s="1"/>
      <c r="L32" s="180"/>
      <c r="M32" s="4"/>
      <c r="N32" s="4"/>
      <c r="O32" s="4"/>
      <c r="P32" s="181"/>
      <c r="Q32" s="181"/>
      <c r="R32" s="251"/>
      <c r="S32" s="209"/>
      <c r="V32" s="180"/>
      <c r="W32" s="4"/>
      <c r="X32" s="4"/>
      <c r="Y32" s="4"/>
      <c r="Z32" s="181"/>
      <c r="AA32" s="181"/>
      <c r="AB32" s="251"/>
      <c r="AC32" s="209"/>
    </row>
    <row r="33" spans="1:29" ht="15.75" x14ac:dyDescent="0.25">
      <c r="A33" s="1"/>
      <c r="B33" s="348" t="s">
        <v>249</v>
      </c>
      <c r="C33" s="348"/>
      <c r="D33" s="348"/>
      <c r="E33" s="348"/>
      <c r="F33" s="348"/>
      <c r="G33" s="348"/>
      <c r="H33" s="348"/>
      <c r="I33" s="349"/>
      <c r="J33" s="72"/>
      <c r="K33" s="1"/>
      <c r="L33" s="348" t="s">
        <v>249</v>
      </c>
      <c r="M33" s="348"/>
      <c r="N33" s="348"/>
      <c r="O33" s="348"/>
      <c r="P33" s="348"/>
      <c r="Q33" s="348"/>
      <c r="R33" s="348"/>
      <c r="S33" s="349"/>
      <c r="V33" s="348" t="s">
        <v>249</v>
      </c>
      <c r="W33" s="348"/>
      <c r="X33" s="348"/>
      <c r="Y33" s="348"/>
      <c r="Z33" s="348"/>
      <c r="AA33" s="348"/>
      <c r="AB33" s="348"/>
      <c r="AC33" s="349"/>
    </row>
    <row r="34" spans="1:29" ht="15.75" x14ac:dyDescent="0.25">
      <c r="A34" s="1"/>
      <c r="B34" s="180" t="s">
        <v>63</v>
      </c>
      <c r="C34" s="4">
        <v>8000</v>
      </c>
      <c r="D34" s="4" t="s">
        <v>64</v>
      </c>
      <c r="E34" s="4" t="s">
        <v>65</v>
      </c>
      <c r="F34" s="181">
        <v>62.09</v>
      </c>
      <c r="G34" s="181"/>
      <c r="H34" s="346" t="s">
        <v>193</v>
      </c>
      <c r="I34" s="347"/>
      <c r="J34" s="72"/>
      <c r="K34" s="1"/>
      <c r="L34" s="180" t="s">
        <v>63</v>
      </c>
      <c r="M34" s="4">
        <v>8000</v>
      </c>
      <c r="N34" s="4" t="s">
        <v>64</v>
      </c>
      <c r="O34" s="4" t="s">
        <v>65</v>
      </c>
      <c r="P34" s="181">
        <f>F34*1.1</f>
        <v>68.299000000000007</v>
      </c>
      <c r="Q34" s="181"/>
      <c r="R34" s="346" t="s">
        <v>193</v>
      </c>
      <c r="S34" s="347"/>
      <c r="V34" s="180" t="s">
        <v>63</v>
      </c>
      <c r="W34" s="4">
        <v>8000</v>
      </c>
      <c r="X34" s="4" t="s">
        <v>64</v>
      </c>
      <c r="Y34" s="4" t="s">
        <v>65</v>
      </c>
      <c r="Z34" s="181">
        <f>F34*1.12</f>
        <v>69.540800000000004</v>
      </c>
      <c r="AA34" s="181"/>
      <c r="AB34" s="346" t="s">
        <v>193</v>
      </c>
      <c r="AC34" s="347"/>
    </row>
    <row r="35" spans="1:29" ht="15.75" x14ac:dyDescent="0.25">
      <c r="A35" s="1"/>
      <c r="B35" s="180" t="s">
        <v>67</v>
      </c>
      <c r="C35" s="4">
        <v>92000</v>
      </c>
      <c r="D35" s="4" t="s">
        <v>64</v>
      </c>
      <c r="E35" s="4" t="s">
        <v>65</v>
      </c>
      <c r="F35" s="181">
        <v>6.92</v>
      </c>
      <c r="G35" s="181"/>
      <c r="H35" s="346" t="s">
        <v>66</v>
      </c>
      <c r="I35" s="347"/>
      <c r="J35" s="72"/>
      <c r="K35" s="1"/>
      <c r="L35" s="180" t="s">
        <v>67</v>
      </c>
      <c r="M35" s="4">
        <v>92000</v>
      </c>
      <c r="N35" s="4" t="s">
        <v>64</v>
      </c>
      <c r="O35" s="4" t="s">
        <v>65</v>
      </c>
      <c r="P35" s="181">
        <f>F35*1.1</f>
        <v>7.6120000000000001</v>
      </c>
      <c r="Q35" s="181"/>
      <c r="R35" s="346" t="s">
        <v>66</v>
      </c>
      <c r="S35" s="347"/>
      <c r="V35" s="180" t="s">
        <v>67</v>
      </c>
      <c r="W35" s="4">
        <v>92000</v>
      </c>
      <c r="X35" s="4" t="s">
        <v>64</v>
      </c>
      <c r="Y35" s="4" t="s">
        <v>65</v>
      </c>
      <c r="Z35" s="181">
        <f>F35*1.12</f>
        <v>7.7504000000000008</v>
      </c>
      <c r="AA35" s="181"/>
      <c r="AB35" s="346" t="s">
        <v>66</v>
      </c>
      <c r="AC35" s="347"/>
    </row>
    <row r="36" spans="1:29" ht="15.75" x14ac:dyDescent="0.25">
      <c r="A36" s="1"/>
      <c r="B36" s="180" t="s">
        <v>67</v>
      </c>
      <c r="C36" s="4">
        <v>400000</v>
      </c>
      <c r="D36" s="4" t="s">
        <v>64</v>
      </c>
      <c r="E36" s="4" t="s">
        <v>65</v>
      </c>
      <c r="F36" s="181">
        <v>5.63</v>
      </c>
      <c r="G36" s="181"/>
      <c r="H36" s="346" t="s">
        <v>66</v>
      </c>
      <c r="I36" s="347"/>
      <c r="J36" s="72"/>
      <c r="K36" s="1"/>
      <c r="L36" s="180" t="s">
        <v>67</v>
      </c>
      <c r="M36" s="4">
        <v>400000</v>
      </c>
      <c r="N36" s="4" t="s">
        <v>64</v>
      </c>
      <c r="O36" s="4" t="s">
        <v>65</v>
      </c>
      <c r="P36" s="181">
        <f>F36*1.1</f>
        <v>6.1930000000000005</v>
      </c>
      <c r="Q36" s="181"/>
      <c r="R36" s="346" t="s">
        <v>66</v>
      </c>
      <c r="S36" s="347"/>
      <c r="V36" s="180" t="s">
        <v>67</v>
      </c>
      <c r="W36" s="4">
        <v>400000</v>
      </c>
      <c r="X36" s="4" t="s">
        <v>64</v>
      </c>
      <c r="Y36" s="4" t="s">
        <v>65</v>
      </c>
      <c r="Z36" s="181">
        <f>F36*1.12</f>
        <v>6.3056000000000001</v>
      </c>
      <c r="AA36" s="181"/>
      <c r="AB36" s="346" t="s">
        <v>66</v>
      </c>
      <c r="AC36" s="347"/>
    </row>
    <row r="37" spans="1:29" ht="15.75" x14ac:dyDescent="0.25">
      <c r="A37" s="1"/>
      <c r="B37" s="180" t="s">
        <v>68</v>
      </c>
      <c r="C37" s="4">
        <v>500000</v>
      </c>
      <c r="D37" s="4" t="s">
        <v>64</v>
      </c>
      <c r="E37" s="4" t="s">
        <v>65</v>
      </c>
      <c r="F37" s="181">
        <v>4.1100000000000003</v>
      </c>
      <c r="G37" s="181"/>
      <c r="H37" s="346" t="s">
        <v>66</v>
      </c>
      <c r="I37" s="347"/>
      <c r="J37" s="72"/>
      <c r="K37" s="1"/>
      <c r="L37" s="180" t="s">
        <v>68</v>
      </c>
      <c r="M37" s="4">
        <v>500000</v>
      </c>
      <c r="N37" s="4" t="s">
        <v>64</v>
      </c>
      <c r="O37" s="4" t="s">
        <v>65</v>
      </c>
      <c r="P37" s="181">
        <f>F37*1.1</f>
        <v>4.5210000000000008</v>
      </c>
      <c r="Q37" s="181"/>
      <c r="R37" s="346" t="s">
        <v>66</v>
      </c>
      <c r="S37" s="347"/>
      <c r="V37" s="180" t="s">
        <v>68</v>
      </c>
      <c r="W37" s="4">
        <v>500000</v>
      </c>
      <c r="X37" s="4" t="s">
        <v>64</v>
      </c>
      <c r="Y37" s="4" t="s">
        <v>65</v>
      </c>
      <c r="Z37" s="181">
        <f>F37*1.12</f>
        <v>4.6032000000000011</v>
      </c>
      <c r="AA37" s="181"/>
      <c r="AB37" s="346" t="s">
        <v>66</v>
      </c>
      <c r="AC37" s="347"/>
    </row>
    <row r="38" spans="1:29" ht="15.75" x14ac:dyDescent="0.25">
      <c r="A38" s="1"/>
      <c r="B38" s="180"/>
      <c r="C38" s="4"/>
      <c r="D38" s="4"/>
      <c r="E38" s="4"/>
      <c r="F38" s="181"/>
      <c r="G38" s="181"/>
      <c r="H38" s="200"/>
      <c r="I38" s="209"/>
      <c r="J38" s="72"/>
      <c r="K38" s="1"/>
      <c r="L38" s="180"/>
      <c r="M38" s="4"/>
      <c r="N38" s="4"/>
      <c r="O38" s="4"/>
      <c r="P38" s="181"/>
      <c r="Q38" s="181"/>
      <c r="R38" s="251"/>
      <c r="S38" s="209"/>
      <c r="V38" s="180"/>
      <c r="W38" s="4"/>
      <c r="X38" s="4"/>
      <c r="Y38" s="4"/>
      <c r="Z38" s="181"/>
      <c r="AA38" s="181"/>
      <c r="AB38" s="251"/>
      <c r="AC38" s="209"/>
    </row>
    <row r="39" spans="1:29" ht="15.75" x14ac:dyDescent="0.25">
      <c r="A39" s="1"/>
      <c r="B39" s="348" t="s">
        <v>251</v>
      </c>
      <c r="C39" s="348"/>
      <c r="D39" s="348"/>
      <c r="E39" s="348"/>
      <c r="F39" s="348"/>
      <c r="G39" s="348"/>
      <c r="H39" s="348"/>
      <c r="I39" s="349"/>
      <c r="J39" s="72"/>
      <c r="K39" s="1"/>
      <c r="L39" s="348" t="s">
        <v>251</v>
      </c>
      <c r="M39" s="348"/>
      <c r="N39" s="348"/>
      <c r="O39" s="348"/>
      <c r="P39" s="348"/>
      <c r="Q39" s="348"/>
      <c r="R39" s="348"/>
      <c r="S39" s="349"/>
      <c r="V39" s="348" t="s">
        <v>251</v>
      </c>
      <c r="W39" s="348"/>
      <c r="X39" s="348"/>
      <c r="Y39" s="348"/>
      <c r="Z39" s="348"/>
      <c r="AA39" s="348"/>
      <c r="AB39" s="348"/>
      <c r="AC39" s="349"/>
    </row>
    <row r="40" spans="1:29" ht="15.75" x14ac:dyDescent="0.25">
      <c r="A40" s="1"/>
      <c r="B40" s="180" t="s">
        <v>63</v>
      </c>
      <c r="C40" s="4">
        <v>15000</v>
      </c>
      <c r="D40" s="4" t="s">
        <v>64</v>
      </c>
      <c r="E40" s="4" t="s">
        <v>65</v>
      </c>
      <c r="F40" s="181">
        <v>110.56</v>
      </c>
      <c r="G40" s="181"/>
      <c r="H40" s="346" t="s">
        <v>193</v>
      </c>
      <c r="I40" s="347"/>
      <c r="J40" s="72"/>
      <c r="K40" s="1"/>
      <c r="L40" s="180" t="s">
        <v>63</v>
      </c>
      <c r="M40" s="4">
        <v>15000</v>
      </c>
      <c r="N40" s="4" t="s">
        <v>64</v>
      </c>
      <c r="O40" s="4" t="s">
        <v>65</v>
      </c>
      <c r="P40" s="181">
        <f>F40*1.1</f>
        <v>121.61600000000001</v>
      </c>
      <c r="Q40" s="181"/>
      <c r="R40" s="346" t="s">
        <v>193</v>
      </c>
      <c r="S40" s="347"/>
      <c r="V40" s="180" t="s">
        <v>63</v>
      </c>
      <c r="W40" s="4">
        <v>15000</v>
      </c>
      <c r="X40" s="4" t="s">
        <v>64</v>
      </c>
      <c r="Y40" s="4" t="s">
        <v>65</v>
      </c>
      <c r="Z40" s="181">
        <f>F40*1.12</f>
        <v>123.82720000000002</v>
      </c>
      <c r="AA40" s="181"/>
      <c r="AB40" s="346" t="s">
        <v>193</v>
      </c>
      <c r="AC40" s="347"/>
    </row>
    <row r="41" spans="1:29" ht="15.75" x14ac:dyDescent="0.25">
      <c r="A41" s="1"/>
      <c r="B41" s="180" t="s">
        <v>67</v>
      </c>
      <c r="C41" s="4">
        <v>85000</v>
      </c>
      <c r="D41" s="4" t="s">
        <v>64</v>
      </c>
      <c r="E41" s="4" t="s">
        <v>65</v>
      </c>
      <c r="F41" s="181">
        <v>6.92</v>
      </c>
      <c r="G41" s="181"/>
      <c r="H41" s="346" t="s">
        <v>66</v>
      </c>
      <c r="I41" s="347"/>
      <c r="J41" s="72"/>
      <c r="K41" s="1"/>
      <c r="L41" s="180" t="s">
        <v>67</v>
      </c>
      <c r="M41" s="4">
        <v>85000</v>
      </c>
      <c r="N41" s="4" t="s">
        <v>64</v>
      </c>
      <c r="O41" s="4" t="s">
        <v>65</v>
      </c>
      <c r="P41" s="181">
        <f>F41*1.1</f>
        <v>7.6120000000000001</v>
      </c>
      <c r="Q41" s="181"/>
      <c r="R41" s="346" t="s">
        <v>66</v>
      </c>
      <c r="S41" s="347"/>
      <c r="V41" s="180" t="s">
        <v>67</v>
      </c>
      <c r="W41" s="4">
        <v>85000</v>
      </c>
      <c r="X41" s="4" t="s">
        <v>64</v>
      </c>
      <c r="Y41" s="4" t="s">
        <v>65</v>
      </c>
      <c r="Z41" s="181">
        <f>F41*1.12</f>
        <v>7.7504000000000008</v>
      </c>
      <c r="AA41" s="181"/>
      <c r="AB41" s="346" t="s">
        <v>66</v>
      </c>
      <c r="AC41" s="347"/>
    </row>
    <row r="42" spans="1:29" ht="15.75" x14ac:dyDescent="0.25">
      <c r="A42" s="1"/>
      <c r="B42" s="180" t="s">
        <v>67</v>
      </c>
      <c r="C42" s="4">
        <v>400000</v>
      </c>
      <c r="D42" s="4" t="s">
        <v>64</v>
      </c>
      <c r="E42" s="4" t="s">
        <v>65</v>
      </c>
      <c r="F42" s="181">
        <v>5.63</v>
      </c>
      <c r="G42" s="181"/>
      <c r="H42" s="346" t="s">
        <v>66</v>
      </c>
      <c r="I42" s="347"/>
      <c r="J42" s="72"/>
      <c r="K42" s="1"/>
      <c r="L42" s="180" t="s">
        <v>67</v>
      </c>
      <c r="M42" s="4">
        <v>400000</v>
      </c>
      <c r="N42" s="4" t="s">
        <v>64</v>
      </c>
      <c r="O42" s="4" t="s">
        <v>65</v>
      </c>
      <c r="P42" s="181">
        <f>F42*1.1</f>
        <v>6.1930000000000005</v>
      </c>
      <c r="Q42" s="181"/>
      <c r="R42" s="346" t="s">
        <v>66</v>
      </c>
      <c r="S42" s="347"/>
      <c r="V42" s="180" t="s">
        <v>67</v>
      </c>
      <c r="W42" s="4">
        <v>400000</v>
      </c>
      <c r="X42" s="4" t="s">
        <v>64</v>
      </c>
      <c r="Y42" s="4" t="s">
        <v>65</v>
      </c>
      <c r="Z42" s="181">
        <f>F42*1.12</f>
        <v>6.3056000000000001</v>
      </c>
      <c r="AA42" s="181"/>
      <c r="AB42" s="346" t="s">
        <v>66</v>
      </c>
      <c r="AC42" s="347"/>
    </row>
    <row r="43" spans="1:29" ht="15.75" x14ac:dyDescent="0.25">
      <c r="A43" s="1"/>
      <c r="B43" s="180" t="s">
        <v>68</v>
      </c>
      <c r="C43" s="4">
        <v>500000</v>
      </c>
      <c r="D43" s="4" t="s">
        <v>64</v>
      </c>
      <c r="E43" s="4" t="s">
        <v>65</v>
      </c>
      <c r="F43" s="181">
        <v>4.1100000000000003</v>
      </c>
      <c r="G43" s="181"/>
      <c r="H43" s="346" t="s">
        <v>66</v>
      </c>
      <c r="I43" s="347"/>
      <c r="J43" s="72"/>
      <c r="K43" s="1"/>
      <c r="L43" s="180" t="s">
        <v>68</v>
      </c>
      <c r="M43" s="4">
        <v>500000</v>
      </c>
      <c r="N43" s="4" t="s">
        <v>64</v>
      </c>
      <c r="O43" s="4" t="s">
        <v>65</v>
      </c>
      <c r="P43" s="181">
        <f>F43*1.1</f>
        <v>4.5210000000000008</v>
      </c>
      <c r="Q43" s="181"/>
      <c r="R43" s="346" t="s">
        <v>66</v>
      </c>
      <c r="S43" s="347"/>
      <c r="V43" s="180" t="s">
        <v>68</v>
      </c>
      <c r="W43" s="4">
        <v>500000</v>
      </c>
      <c r="X43" s="4" t="s">
        <v>64</v>
      </c>
      <c r="Y43" s="4" t="s">
        <v>65</v>
      </c>
      <c r="Z43" s="181">
        <f>F43*1.12</f>
        <v>4.6032000000000011</v>
      </c>
      <c r="AA43" s="181"/>
      <c r="AB43" s="346" t="s">
        <v>66</v>
      </c>
      <c r="AC43" s="347"/>
    </row>
    <row r="44" spans="1:29" ht="15.75" x14ac:dyDescent="0.25">
      <c r="A44" s="1"/>
      <c r="B44" s="180"/>
      <c r="C44" s="4"/>
      <c r="D44" s="4"/>
      <c r="E44" s="4"/>
      <c r="F44" s="181"/>
      <c r="G44" s="181"/>
      <c r="H44" s="200"/>
      <c r="I44" s="209"/>
      <c r="J44" s="72"/>
      <c r="K44" s="1"/>
      <c r="L44" s="180"/>
      <c r="M44" s="4"/>
      <c r="N44" s="4"/>
      <c r="O44" s="4"/>
      <c r="P44" s="181"/>
      <c r="Q44" s="181"/>
      <c r="R44" s="251"/>
      <c r="S44" s="209"/>
      <c r="V44" s="180"/>
      <c r="W44" s="4"/>
      <c r="X44" s="4"/>
      <c r="Y44" s="4"/>
      <c r="Z44" s="181"/>
      <c r="AA44" s="181"/>
      <c r="AB44" s="251"/>
      <c r="AC44" s="209"/>
    </row>
    <row r="45" spans="1:29" ht="15.75" x14ac:dyDescent="0.25">
      <c r="A45" s="1"/>
      <c r="B45" s="348" t="s">
        <v>252</v>
      </c>
      <c r="C45" s="348"/>
      <c r="D45" s="348"/>
      <c r="E45" s="348"/>
      <c r="F45" s="348"/>
      <c r="G45" s="348"/>
      <c r="H45" s="348"/>
      <c r="I45" s="349"/>
      <c r="J45" s="72"/>
      <c r="K45" s="1"/>
      <c r="L45" s="348" t="s">
        <v>252</v>
      </c>
      <c r="M45" s="348"/>
      <c r="N45" s="348"/>
      <c r="O45" s="348"/>
      <c r="P45" s="348"/>
      <c r="Q45" s="348"/>
      <c r="R45" s="348"/>
      <c r="S45" s="349"/>
      <c r="V45" s="348" t="s">
        <v>252</v>
      </c>
      <c r="W45" s="348"/>
      <c r="X45" s="348"/>
      <c r="Y45" s="348"/>
      <c r="Z45" s="348"/>
      <c r="AA45" s="348"/>
      <c r="AB45" s="348"/>
      <c r="AC45" s="349"/>
    </row>
    <row r="46" spans="1:29" ht="15.75" x14ac:dyDescent="0.25">
      <c r="A46" s="1"/>
      <c r="B46" s="180" t="s">
        <v>63</v>
      </c>
      <c r="C46" s="4">
        <v>25000</v>
      </c>
      <c r="D46" s="4" t="s">
        <v>64</v>
      </c>
      <c r="E46" s="4" t="s">
        <v>65</v>
      </c>
      <c r="F46" s="181">
        <v>179.81</v>
      </c>
      <c r="G46" s="181"/>
      <c r="H46" s="346" t="s">
        <v>193</v>
      </c>
      <c r="I46" s="347"/>
      <c r="J46" s="72"/>
      <c r="K46" s="1"/>
      <c r="L46" s="180" t="s">
        <v>63</v>
      </c>
      <c r="M46" s="4">
        <v>25000</v>
      </c>
      <c r="N46" s="4" t="s">
        <v>64</v>
      </c>
      <c r="O46" s="4" t="s">
        <v>65</v>
      </c>
      <c r="P46" s="181">
        <f>F46*1.1</f>
        <v>197.79100000000003</v>
      </c>
      <c r="Q46" s="181"/>
      <c r="R46" s="346" t="s">
        <v>193</v>
      </c>
      <c r="S46" s="347"/>
      <c r="V46" s="180" t="s">
        <v>63</v>
      </c>
      <c r="W46" s="4">
        <v>25000</v>
      </c>
      <c r="X46" s="4" t="s">
        <v>64</v>
      </c>
      <c r="Y46" s="4" t="s">
        <v>65</v>
      </c>
      <c r="Z46" s="181">
        <f>F46*1.12</f>
        <v>201.38720000000004</v>
      </c>
      <c r="AA46" s="181"/>
      <c r="AB46" s="346" t="s">
        <v>193</v>
      </c>
      <c r="AC46" s="347"/>
    </row>
    <row r="47" spans="1:29" ht="15.75" x14ac:dyDescent="0.25">
      <c r="A47" s="1"/>
      <c r="B47" s="180" t="s">
        <v>67</v>
      </c>
      <c r="C47" s="4">
        <v>75000</v>
      </c>
      <c r="D47" s="4" t="s">
        <v>64</v>
      </c>
      <c r="E47" s="4" t="s">
        <v>65</v>
      </c>
      <c r="F47" s="181">
        <v>6.92</v>
      </c>
      <c r="G47" s="181"/>
      <c r="H47" s="346" t="s">
        <v>66</v>
      </c>
      <c r="I47" s="347"/>
      <c r="J47" s="72"/>
      <c r="K47" s="1"/>
      <c r="L47" s="180" t="s">
        <v>67</v>
      </c>
      <c r="M47" s="4">
        <v>75000</v>
      </c>
      <c r="N47" s="4" t="s">
        <v>64</v>
      </c>
      <c r="O47" s="4" t="s">
        <v>65</v>
      </c>
      <c r="P47" s="181">
        <f>F47*1.1</f>
        <v>7.6120000000000001</v>
      </c>
      <c r="Q47" s="181"/>
      <c r="R47" s="346" t="s">
        <v>66</v>
      </c>
      <c r="S47" s="347"/>
      <c r="V47" s="180" t="s">
        <v>67</v>
      </c>
      <c r="W47" s="4">
        <v>75000</v>
      </c>
      <c r="X47" s="4" t="s">
        <v>64</v>
      </c>
      <c r="Y47" s="4" t="s">
        <v>65</v>
      </c>
      <c r="Z47" s="181">
        <f>F47*1.12</f>
        <v>7.7504000000000008</v>
      </c>
      <c r="AA47" s="181"/>
      <c r="AB47" s="346" t="s">
        <v>66</v>
      </c>
      <c r="AC47" s="347"/>
    </row>
    <row r="48" spans="1:29" ht="15.75" x14ac:dyDescent="0.25">
      <c r="A48" s="1"/>
      <c r="B48" s="180" t="s">
        <v>67</v>
      </c>
      <c r="C48" s="4">
        <v>400000</v>
      </c>
      <c r="D48" s="4" t="s">
        <v>64</v>
      </c>
      <c r="E48" s="4" t="s">
        <v>65</v>
      </c>
      <c r="F48" s="181">
        <v>5.63</v>
      </c>
      <c r="G48" s="181"/>
      <c r="H48" s="346" t="s">
        <v>66</v>
      </c>
      <c r="I48" s="347"/>
      <c r="J48" s="72"/>
      <c r="K48" s="1"/>
      <c r="L48" s="180" t="s">
        <v>67</v>
      </c>
      <c r="M48" s="4">
        <v>400000</v>
      </c>
      <c r="N48" s="4" t="s">
        <v>64</v>
      </c>
      <c r="O48" s="4" t="s">
        <v>65</v>
      </c>
      <c r="P48" s="181">
        <f>F48*1.1</f>
        <v>6.1930000000000005</v>
      </c>
      <c r="Q48" s="181"/>
      <c r="R48" s="346" t="s">
        <v>66</v>
      </c>
      <c r="S48" s="347"/>
      <c r="V48" s="180" t="s">
        <v>67</v>
      </c>
      <c r="W48" s="4">
        <v>400000</v>
      </c>
      <c r="X48" s="4" t="s">
        <v>64</v>
      </c>
      <c r="Y48" s="4" t="s">
        <v>65</v>
      </c>
      <c r="Z48" s="181">
        <f>F48*1.12</f>
        <v>6.3056000000000001</v>
      </c>
      <c r="AA48" s="181"/>
      <c r="AB48" s="346" t="s">
        <v>66</v>
      </c>
      <c r="AC48" s="347"/>
    </row>
    <row r="49" spans="1:29" ht="15.75" x14ac:dyDescent="0.25">
      <c r="A49" s="1"/>
      <c r="B49" s="180" t="s">
        <v>68</v>
      </c>
      <c r="C49" s="4">
        <v>500000</v>
      </c>
      <c r="D49" s="4" t="s">
        <v>64</v>
      </c>
      <c r="E49" s="4" t="s">
        <v>65</v>
      </c>
      <c r="F49" s="181">
        <v>4.1100000000000003</v>
      </c>
      <c r="G49" s="181"/>
      <c r="H49" s="346" t="s">
        <v>66</v>
      </c>
      <c r="I49" s="347"/>
      <c r="J49" s="72"/>
      <c r="K49" s="1"/>
      <c r="L49" s="180" t="s">
        <v>68</v>
      </c>
      <c r="M49" s="4">
        <v>500000</v>
      </c>
      <c r="N49" s="4" t="s">
        <v>64</v>
      </c>
      <c r="O49" s="4" t="s">
        <v>65</v>
      </c>
      <c r="P49" s="181">
        <f>F49*1.1</f>
        <v>4.5210000000000008</v>
      </c>
      <c r="Q49" s="181"/>
      <c r="R49" s="346" t="s">
        <v>66</v>
      </c>
      <c r="S49" s="347"/>
      <c r="V49" s="180" t="s">
        <v>68</v>
      </c>
      <c r="W49" s="4">
        <v>500000</v>
      </c>
      <c r="X49" s="4" t="s">
        <v>64</v>
      </c>
      <c r="Y49" s="4" t="s">
        <v>65</v>
      </c>
      <c r="Z49" s="181">
        <f>F49*1.12</f>
        <v>4.6032000000000011</v>
      </c>
      <c r="AA49" s="181"/>
      <c r="AB49" s="346" t="s">
        <v>66</v>
      </c>
      <c r="AC49" s="347"/>
    </row>
    <row r="50" spans="1:29" ht="15.75" x14ac:dyDescent="0.25">
      <c r="A50" s="1"/>
      <c r="B50" s="180"/>
      <c r="C50" s="4"/>
      <c r="D50" s="4"/>
      <c r="E50" s="4"/>
      <c r="F50" s="181"/>
      <c r="G50" s="181"/>
      <c r="H50" s="200"/>
      <c r="I50" s="209"/>
      <c r="J50" s="72"/>
      <c r="K50" s="1"/>
      <c r="L50" s="180"/>
      <c r="M50" s="4"/>
      <c r="N50" s="4"/>
      <c r="O50" s="4"/>
      <c r="P50" s="181"/>
      <c r="Q50" s="181"/>
      <c r="R50" s="251"/>
      <c r="S50" s="209"/>
      <c r="V50" s="180"/>
      <c r="W50" s="4"/>
      <c r="X50" s="4"/>
      <c r="Y50" s="4"/>
      <c r="Z50" s="181"/>
      <c r="AA50" s="181"/>
      <c r="AB50" s="251"/>
      <c r="AC50" s="209"/>
    </row>
    <row r="51" spans="1:29" ht="15.75" x14ac:dyDescent="0.25">
      <c r="A51" s="1"/>
      <c r="B51" s="54"/>
      <c r="C51" s="1"/>
      <c r="D51" s="1"/>
      <c r="E51" s="1"/>
      <c r="F51" s="181"/>
      <c r="G51" s="181"/>
      <c r="I51" s="1"/>
      <c r="J51" s="72"/>
      <c r="K51" s="1"/>
      <c r="L51" s="54"/>
      <c r="M51" s="1"/>
      <c r="N51" s="1"/>
      <c r="O51" s="1"/>
      <c r="P51" s="181"/>
      <c r="Q51" s="181"/>
      <c r="S51" s="1"/>
      <c r="V51" s="54"/>
      <c r="W51" s="1"/>
      <c r="X51" s="1"/>
      <c r="Y51" s="1"/>
      <c r="Z51" s="181"/>
      <c r="AA51" s="181"/>
      <c r="AC51" s="1"/>
    </row>
    <row r="52" spans="1:29" ht="15.75" x14ac:dyDescent="0.25">
      <c r="A52" s="4"/>
      <c r="B52" s="120" t="s">
        <v>303</v>
      </c>
      <c r="C52" s="4"/>
      <c r="D52" s="4"/>
      <c r="E52" s="4"/>
      <c r="F52" s="37"/>
      <c r="G52" s="4"/>
      <c r="H52" s="93"/>
      <c r="I52" s="4"/>
      <c r="J52" s="72"/>
      <c r="K52" s="4"/>
      <c r="L52" s="120" t="s">
        <v>303</v>
      </c>
      <c r="M52" s="4"/>
      <c r="N52" s="4"/>
      <c r="O52" s="4"/>
      <c r="P52" s="37"/>
      <c r="Q52" s="4"/>
      <c r="R52" s="93"/>
      <c r="S52" s="4"/>
      <c r="V52" s="120" t="s">
        <v>303</v>
      </c>
      <c r="W52" s="4"/>
      <c r="X52" s="4"/>
      <c r="Y52" s="4"/>
      <c r="Z52" s="37"/>
      <c r="AA52" s="4"/>
      <c r="AB52" s="93"/>
      <c r="AC52" s="4"/>
    </row>
    <row r="53" spans="1:29" ht="15.75" x14ac:dyDescent="0.25">
      <c r="A53" s="4"/>
      <c r="B53" s="141"/>
      <c r="C53" s="4"/>
      <c r="D53" s="4"/>
      <c r="E53" s="37"/>
      <c r="F53" s="37"/>
      <c r="G53" s="4"/>
      <c r="H53" s="4"/>
      <c r="I53" s="4"/>
      <c r="J53" s="72"/>
      <c r="K53" s="43"/>
    </row>
    <row r="54" spans="1:29" x14ac:dyDescent="0.2">
      <c r="J54" s="72"/>
    </row>
    <row r="55" spans="1:29" x14ac:dyDescent="0.2">
      <c r="J55" s="72"/>
    </row>
    <row r="56" spans="1:29" x14ac:dyDescent="0.2">
      <c r="J56" s="72"/>
    </row>
    <row r="57" spans="1:29" x14ac:dyDescent="0.2">
      <c r="J57" s="72"/>
    </row>
    <row r="58" spans="1:29" x14ac:dyDescent="0.2">
      <c r="J58" s="72"/>
    </row>
    <row r="165" spans="8:8" x14ac:dyDescent="0.2">
      <c r="H165" s="176">
        <v>0.3</v>
      </c>
    </row>
  </sheetData>
  <mergeCells count="90">
    <mergeCell ref="AB49:AC49"/>
    <mergeCell ref="AB43:AC43"/>
    <mergeCell ref="V45:AC45"/>
    <mergeCell ref="AB46:AC46"/>
    <mergeCell ref="AB47:AC47"/>
    <mergeCell ref="AB48:AC48"/>
    <mergeCell ref="AB37:AC37"/>
    <mergeCell ref="V39:AC39"/>
    <mergeCell ref="AB40:AC40"/>
    <mergeCell ref="AB41:AC41"/>
    <mergeCell ref="AB42:AC42"/>
    <mergeCell ref="R49:S49"/>
    <mergeCell ref="V19:X19"/>
    <mergeCell ref="V21:AC21"/>
    <mergeCell ref="AB22:AC22"/>
    <mergeCell ref="AB23:AC23"/>
    <mergeCell ref="AB24:AC24"/>
    <mergeCell ref="AB25:AC25"/>
    <mergeCell ref="V27:AC27"/>
    <mergeCell ref="AB28:AC28"/>
    <mergeCell ref="AB29:AC29"/>
    <mergeCell ref="AB30:AC30"/>
    <mergeCell ref="AB31:AC31"/>
    <mergeCell ref="V33:AC33"/>
    <mergeCell ref="AB34:AC34"/>
    <mergeCell ref="AB35:AC35"/>
    <mergeCell ref="AB36:AC36"/>
    <mergeCell ref="R43:S43"/>
    <mergeCell ref="L45:S45"/>
    <mergeCell ref="R46:S46"/>
    <mergeCell ref="R47:S47"/>
    <mergeCell ref="R48:S48"/>
    <mergeCell ref="R37:S37"/>
    <mergeCell ref="L39:S39"/>
    <mergeCell ref="R40:S40"/>
    <mergeCell ref="R41:S41"/>
    <mergeCell ref="R42:S42"/>
    <mergeCell ref="R31:S31"/>
    <mergeCell ref="L33:S33"/>
    <mergeCell ref="R34:S34"/>
    <mergeCell ref="R35:S35"/>
    <mergeCell ref="R36:S36"/>
    <mergeCell ref="R25:S25"/>
    <mergeCell ref="L27:S27"/>
    <mergeCell ref="R28:S28"/>
    <mergeCell ref="R29:S29"/>
    <mergeCell ref="R30:S30"/>
    <mergeCell ref="L19:N19"/>
    <mergeCell ref="L21:S21"/>
    <mergeCell ref="R22:S22"/>
    <mergeCell ref="R23:S23"/>
    <mergeCell ref="R24:S24"/>
    <mergeCell ref="C9:D9"/>
    <mergeCell ref="C10:D10"/>
    <mergeCell ref="B21:I21"/>
    <mergeCell ref="B27:I27"/>
    <mergeCell ref="B33:I33"/>
    <mergeCell ref="B19:D19"/>
    <mergeCell ref="E9:F9"/>
    <mergeCell ref="E10:F10"/>
    <mergeCell ref="H28:I28"/>
    <mergeCell ref="H29:I29"/>
    <mergeCell ref="H30:I30"/>
    <mergeCell ref="H22:I22"/>
    <mergeCell ref="H23:I23"/>
    <mergeCell ref="H24:I24"/>
    <mergeCell ref="H25:I25"/>
    <mergeCell ref="H31:I31"/>
    <mergeCell ref="E4:F4"/>
    <mergeCell ref="C4:D4"/>
    <mergeCell ref="C6:D6"/>
    <mergeCell ref="C7:D7"/>
    <mergeCell ref="C8:D8"/>
    <mergeCell ref="E6:F6"/>
    <mergeCell ref="E7:F7"/>
    <mergeCell ref="E8:F8"/>
    <mergeCell ref="H34:I34"/>
    <mergeCell ref="H35:I35"/>
    <mergeCell ref="H36:I36"/>
    <mergeCell ref="H37:I37"/>
    <mergeCell ref="H40:I40"/>
    <mergeCell ref="H41:I41"/>
    <mergeCell ref="H42:I42"/>
    <mergeCell ref="B39:I39"/>
    <mergeCell ref="H49:I49"/>
    <mergeCell ref="H43:I43"/>
    <mergeCell ref="H46:I46"/>
    <mergeCell ref="H47:I47"/>
    <mergeCell ref="H48:I48"/>
    <mergeCell ref="B45:I45"/>
  </mergeCells>
  <phoneticPr fontId="14" type="noConversion"/>
  <pageMargins left="0.75" right="0.75" top="1" bottom="1" header="0.5" footer="0.5"/>
  <pageSetup scale="79" firstPageNumber="7" fitToHeight="0" orientation="portrait" useFirstPageNumber="1" r:id="rId1"/>
  <headerFooter alignWithMargins="0">
    <oddFooter>Page &amp;P</oddFooter>
  </headerFooter>
  <rowBreaks count="1" manualBreakCount="1">
    <brk id="14" max="16383"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6"/>
  </sheetPr>
  <dimension ref="A1:AP310"/>
  <sheetViews>
    <sheetView view="pageBreakPreview" topLeftCell="A127" zoomScale="60" zoomScaleNormal="100" workbookViewId="0">
      <selection activeCell="E155" sqref="E155"/>
    </sheetView>
  </sheetViews>
  <sheetFormatPr defaultRowHeight="12.75" x14ac:dyDescent="0.2"/>
  <cols>
    <col min="1" max="1" width="5.5703125" customWidth="1"/>
    <col min="2" max="2" width="10.85546875" customWidth="1"/>
    <col min="3" max="3" width="12.7109375" customWidth="1"/>
    <col min="4" max="4" width="13.7109375" customWidth="1"/>
    <col min="5" max="5" width="12.5703125" customWidth="1"/>
    <col min="6" max="6" width="14.140625" bestFit="1" customWidth="1"/>
    <col min="7" max="7" width="17.42578125" customWidth="1"/>
    <col min="8" max="8" width="16.7109375" customWidth="1"/>
    <col min="9" max="9" width="13.5703125" customWidth="1"/>
    <col min="10" max="10" width="16.140625" bestFit="1" customWidth="1"/>
    <col min="11" max="11" width="12.7109375" customWidth="1"/>
    <col min="12" max="12" width="11.85546875" customWidth="1"/>
    <col min="13" max="13" width="10" bestFit="1" customWidth="1"/>
    <col min="15" max="15" width="11.5703125" customWidth="1"/>
    <col min="16" max="16" width="10.28515625" customWidth="1"/>
    <col min="17" max="17" width="13.140625" customWidth="1"/>
    <col min="18" max="18" width="13.7109375" customWidth="1"/>
    <col min="19" max="19" width="18.5703125" customWidth="1"/>
    <col min="24" max="24" width="9.42578125" bestFit="1" customWidth="1"/>
    <col min="27" max="27" width="10" bestFit="1" customWidth="1"/>
  </cols>
  <sheetData>
    <row r="1" spans="1:42" ht="15.75" x14ac:dyDescent="0.25">
      <c r="A1" s="29" t="s">
        <v>350</v>
      </c>
      <c r="C1" s="4"/>
      <c r="D1" s="4"/>
      <c r="E1" s="4"/>
      <c r="F1" s="4"/>
      <c r="G1" s="4"/>
      <c r="H1" s="4"/>
      <c r="I1" s="4"/>
      <c r="J1" s="4"/>
      <c r="K1" s="4"/>
    </row>
    <row r="2" spans="1:42" ht="15.75" x14ac:dyDescent="0.25">
      <c r="A2" s="2"/>
      <c r="B2" s="4"/>
      <c r="C2" s="4"/>
      <c r="D2" s="4"/>
      <c r="E2" s="4"/>
      <c r="F2" s="4"/>
      <c r="G2" s="4"/>
      <c r="H2" s="4"/>
      <c r="I2" s="4"/>
      <c r="J2" s="98"/>
      <c r="K2" s="4"/>
      <c r="W2" s="360" t="s">
        <v>311</v>
      </c>
      <c r="X2" s="360"/>
      <c r="Z2" s="360" t="s">
        <v>312</v>
      </c>
      <c r="AA2" s="360"/>
      <c r="AC2" s="359" t="s">
        <v>313</v>
      </c>
      <c r="AD2" s="360"/>
      <c r="AF2" s="359" t="s">
        <v>314</v>
      </c>
      <c r="AG2" s="360"/>
      <c r="AI2" s="359" t="s">
        <v>315</v>
      </c>
      <c r="AJ2" s="360"/>
      <c r="AL2" s="359" t="s">
        <v>316</v>
      </c>
      <c r="AM2" s="360"/>
      <c r="AO2" s="359" t="s">
        <v>317</v>
      </c>
      <c r="AP2" s="360"/>
    </row>
    <row r="3" spans="1:42" ht="15.75" x14ac:dyDescent="0.25">
      <c r="A3" s="23" t="s">
        <v>351</v>
      </c>
      <c r="C3" s="4"/>
      <c r="D3" s="4"/>
      <c r="E3" s="4"/>
      <c r="F3" s="4"/>
      <c r="G3" s="4"/>
      <c r="H3" s="4"/>
      <c r="I3" s="4"/>
      <c r="J3" s="4"/>
      <c r="K3" s="4"/>
      <c r="M3" s="23" t="s">
        <v>307</v>
      </c>
      <c r="O3" s="4"/>
      <c r="P3" s="4"/>
      <c r="Q3" s="4"/>
      <c r="R3" s="4"/>
      <c r="S3" s="4"/>
      <c r="T3" s="4"/>
      <c r="U3" s="4"/>
      <c r="V3" s="4"/>
      <c r="W3" s="4"/>
    </row>
    <row r="4" spans="1:42" ht="15.75" x14ac:dyDescent="0.25">
      <c r="A4" s="23" t="s">
        <v>352</v>
      </c>
      <c r="C4" s="4"/>
      <c r="D4" s="4"/>
      <c r="E4" s="4"/>
      <c r="F4" s="4"/>
      <c r="G4" s="4"/>
      <c r="H4" s="4"/>
      <c r="I4" s="4"/>
      <c r="J4" s="4"/>
      <c r="K4" s="4"/>
      <c r="M4" s="23"/>
      <c r="O4" s="4"/>
      <c r="P4" s="4"/>
      <c r="Q4" s="4"/>
      <c r="R4" s="4"/>
      <c r="S4" s="4"/>
      <c r="T4" s="4"/>
      <c r="U4" s="4"/>
      <c r="V4" s="4"/>
      <c r="W4" s="4"/>
    </row>
    <row r="5" spans="1:42" ht="15.75" x14ac:dyDescent="0.25">
      <c r="A5" s="4"/>
      <c r="B5" s="4"/>
      <c r="C5" s="4"/>
      <c r="D5" s="4"/>
      <c r="E5" s="4"/>
      <c r="F5" s="4"/>
      <c r="G5" s="4"/>
      <c r="H5" s="4"/>
      <c r="I5" s="4"/>
      <c r="J5" s="4"/>
      <c r="K5" s="4"/>
      <c r="M5" s="4"/>
      <c r="N5" s="4"/>
      <c r="O5" s="4"/>
      <c r="P5" s="4"/>
      <c r="Q5" s="4"/>
      <c r="R5" s="4"/>
      <c r="S5" s="4"/>
      <c r="T5" s="4"/>
      <c r="U5" s="4"/>
      <c r="V5" s="4"/>
      <c r="W5" s="4">
        <v>38</v>
      </c>
      <c r="X5">
        <v>363200</v>
      </c>
      <c r="Z5">
        <v>22</v>
      </c>
      <c r="AA5">
        <f>1646900+100100</f>
        <v>1747000</v>
      </c>
      <c r="AC5">
        <v>1</v>
      </c>
      <c r="AD5">
        <v>101300</v>
      </c>
      <c r="AF5">
        <v>2</v>
      </c>
      <c r="AG5">
        <v>100</v>
      </c>
      <c r="AI5">
        <v>1</v>
      </c>
      <c r="AJ5">
        <v>26400</v>
      </c>
      <c r="AL5">
        <v>0</v>
      </c>
      <c r="AM5">
        <v>3800</v>
      </c>
      <c r="AO5">
        <v>1</v>
      </c>
      <c r="AP5">
        <v>38600</v>
      </c>
    </row>
    <row r="6" spans="1:42" ht="18.75" x14ac:dyDescent="0.3">
      <c r="A6" s="4"/>
      <c r="B6" s="355" t="s">
        <v>257</v>
      </c>
      <c r="C6" s="355"/>
      <c r="D6" s="355"/>
      <c r="E6" s="355"/>
      <c r="F6" s="355"/>
      <c r="G6" s="355"/>
      <c r="H6" s="4"/>
      <c r="I6" s="4"/>
      <c r="J6" s="8"/>
      <c r="K6" s="76"/>
      <c r="L6" s="76"/>
      <c r="M6" s="4"/>
      <c r="N6" s="355" t="s">
        <v>257</v>
      </c>
      <c r="O6" s="355"/>
      <c r="P6" s="355"/>
      <c r="Q6" s="355"/>
      <c r="R6" s="355"/>
      <c r="S6" s="355"/>
      <c r="T6" s="4"/>
      <c r="U6" s="4"/>
      <c r="V6" s="8"/>
      <c r="W6" s="76">
        <v>13</v>
      </c>
      <c r="X6">
        <v>74800</v>
      </c>
      <c r="Z6">
        <v>7</v>
      </c>
      <c r="AA6">
        <v>607300</v>
      </c>
      <c r="AF6">
        <v>1</v>
      </c>
      <c r="AG6">
        <v>2700</v>
      </c>
      <c r="AI6">
        <v>1</v>
      </c>
      <c r="AJ6">
        <v>205400</v>
      </c>
      <c r="AL6" s="77">
        <v>1</v>
      </c>
      <c r="AM6" s="77">
        <v>10900</v>
      </c>
      <c r="AO6">
        <f>SUM(AO5:AO5)</f>
        <v>1</v>
      </c>
      <c r="AP6">
        <f>SUM(AP5:AP5)</f>
        <v>38600</v>
      </c>
    </row>
    <row r="7" spans="1:42" ht="18" x14ac:dyDescent="0.4">
      <c r="A7" s="4"/>
      <c r="B7" s="4"/>
      <c r="C7" s="4"/>
      <c r="D7" s="4"/>
      <c r="E7" s="201"/>
      <c r="F7" s="201" t="s">
        <v>71</v>
      </c>
      <c r="G7" s="201" t="s">
        <v>72</v>
      </c>
      <c r="H7" s="179"/>
      <c r="I7" s="179"/>
      <c r="J7" s="130"/>
      <c r="K7" s="76"/>
      <c r="L7" s="76"/>
      <c r="M7" s="4"/>
      <c r="N7" s="4"/>
      <c r="O7" s="4"/>
      <c r="P7" s="4"/>
      <c r="Q7" s="250"/>
      <c r="R7" s="250" t="s">
        <v>71</v>
      </c>
      <c r="S7" s="250" t="s">
        <v>72</v>
      </c>
      <c r="T7" s="254"/>
      <c r="U7" s="254"/>
      <c r="V7" s="130"/>
      <c r="W7" s="291">
        <v>21</v>
      </c>
      <c r="X7">
        <v>119900</v>
      </c>
      <c r="Z7">
        <v>14</v>
      </c>
      <c r="AA7">
        <v>950400</v>
      </c>
      <c r="AF7">
        <v>2</v>
      </c>
      <c r="AG7">
        <v>10300</v>
      </c>
      <c r="AI7">
        <v>0</v>
      </c>
      <c r="AJ7">
        <v>6500</v>
      </c>
      <c r="AL7">
        <f>SUM(AL5:AL6)</f>
        <v>1</v>
      </c>
      <c r="AM7">
        <f>SUM(AM5:AM6)</f>
        <v>14700</v>
      </c>
      <c r="AP7">
        <f>AP6/AO6</f>
        <v>38600</v>
      </c>
    </row>
    <row r="8" spans="1:42" ht="15.75" x14ac:dyDescent="0.25">
      <c r="A8" s="4"/>
      <c r="B8" s="342" t="s">
        <v>253</v>
      </c>
      <c r="C8" s="342"/>
      <c r="D8" s="342"/>
      <c r="E8" s="201" t="s">
        <v>70</v>
      </c>
      <c r="F8" s="201" t="s">
        <v>73</v>
      </c>
      <c r="G8" s="22">
        <v>-1000</v>
      </c>
      <c r="H8" s="4"/>
      <c r="I8" s="4"/>
      <c r="J8" s="8"/>
      <c r="K8" s="76"/>
      <c r="L8" s="76"/>
      <c r="M8" s="4"/>
      <c r="N8" s="342" t="s">
        <v>253</v>
      </c>
      <c r="O8" s="342"/>
      <c r="P8" s="342"/>
      <c r="Q8" s="250" t="s">
        <v>70</v>
      </c>
      <c r="R8" s="250" t="s">
        <v>73</v>
      </c>
      <c r="S8" s="22">
        <v>-1000</v>
      </c>
      <c r="T8" s="4"/>
      <c r="U8" s="4"/>
      <c r="V8" s="8"/>
      <c r="W8" s="291">
        <v>29</v>
      </c>
      <c r="X8">
        <v>193600</v>
      </c>
      <c r="Z8">
        <v>23</v>
      </c>
      <c r="AA8">
        <v>1321500</v>
      </c>
      <c r="AF8">
        <v>2</v>
      </c>
      <c r="AG8">
        <v>8700</v>
      </c>
      <c r="AI8">
        <v>1</v>
      </c>
      <c r="AJ8">
        <v>49300</v>
      </c>
      <c r="AM8">
        <f>AM7/AL7</f>
        <v>14700</v>
      </c>
    </row>
    <row r="9" spans="1:42" ht="15.75" x14ac:dyDescent="0.25">
      <c r="A9" s="4"/>
      <c r="B9" s="210">
        <v>0</v>
      </c>
      <c r="C9" s="4">
        <v>2000</v>
      </c>
      <c r="D9" s="4" t="s">
        <v>64</v>
      </c>
      <c r="E9" s="22">
        <v>505</v>
      </c>
      <c r="F9" s="22">
        <f>3725-95</f>
        <v>3630</v>
      </c>
      <c r="G9" s="238">
        <f>E9*F9/1000</f>
        <v>1833.15</v>
      </c>
      <c r="H9" s="148"/>
      <c r="I9" s="148"/>
      <c r="J9" s="8"/>
      <c r="K9" s="76"/>
      <c r="L9" s="76"/>
      <c r="M9" s="4"/>
      <c r="N9" s="210">
        <v>0</v>
      </c>
      <c r="O9" s="4">
        <v>2000</v>
      </c>
      <c r="P9" s="4" t="s">
        <v>64</v>
      </c>
      <c r="Q9" s="22">
        <f t="shared" ref="Q9:Q10" si="0">+S9/R9*1000</f>
        <v>505.03051516783336</v>
      </c>
      <c r="R9" s="22">
        <f>W159+AF26+AL7</f>
        <v>3714</v>
      </c>
      <c r="S9" s="238">
        <f>((X159+AG26+AM7)/12)/1000</f>
        <v>1875.6833333333332</v>
      </c>
      <c r="T9" s="148"/>
      <c r="U9" s="148"/>
      <c r="V9" s="8"/>
      <c r="W9" s="291">
        <v>41</v>
      </c>
      <c r="X9">
        <v>203400</v>
      </c>
      <c r="Z9">
        <v>13</v>
      </c>
      <c r="AA9">
        <v>902200</v>
      </c>
      <c r="AF9">
        <v>3</v>
      </c>
      <c r="AG9">
        <v>13400</v>
      </c>
      <c r="AI9">
        <v>3</v>
      </c>
      <c r="AJ9">
        <v>286300</v>
      </c>
    </row>
    <row r="10" spans="1:42" ht="15.75" x14ac:dyDescent="0.25">
      <c r="A10" s="4"/>
      <c r="B10" s="210">
        <v>2001</v>
      </c>
      <c r="C10" s="4">
        <v>100000</v>
      </c>
      <c r="D10" s="4" t="s">
        <v>64</v>
      </c>
      <c r="E10" s="22">
        <v>5856</v>
      </c>
      <c r="F10" s="22">
        <f>2518-411</f>
        <v>2107</v>
      </c>
      <c r="G10" s="238">
        <f>F10*E10/1000</f>
        <v>12338.592000000001</v>
      </c>
      <c r="H10" s="148"/>
      <c r="I10" s="148"/>
      <c r="J10" s="264"/>
      <c r="K10" s="76"/>
      <c r="L10" s="76"/>
      <c r="M10" s="4"/>
      <c r="N10" s="210">
        <v>2001</v>
      </c>
      <c r="O10" s="4">
        <v>100000</v>
      </c>
      <c r="P10" s="4" t="s">
        <v>64</v>
      </c>
      <c r="Q10" s="22">
        <f t="shared" si="0"/>
        <v>5790.4173312068051</v>
      </c>
      <c r="R10" s="22">
        <f>Z159+AI24+AO6</f>
        <v>2508</v>
      </c>
      <c r="S10" s="238">
        <f>((AA159+AJ24+AP6)/12)/1000</f>
        <v>14522.366666666667</v>
      </c>
      <c r="T10" s="148"/>
      <c r="U10" s="148"/>
      <c r="V10" s="264"/>
      <c r="W10" s="291">
        <v>141</v>
      </c>
      <c r="X10">
        <v>710800</v>
      </c>
      <c r="Z10">
        <v>46</v>
      </c>
      <c r="AA10">
        <f>2743900+187900</f>
        <v>2931800</v>
      </c>
      <c r="AF10">
        <v>0</v>
      </c>
      <c r="AG10">
        <v>7300</v>
      </c>
      <c r="AI10">
        <v>1</v>
      </c>
      <c r="AJ10">
        <v>27000</v>
      </c>
    </row>
    <row r="11" spans="1:42" ht="15.75" x14ac:dyDescent="0.25">
      <c r="A11" s="4"/>
      <c r="B11" s="210">
        <v>100001</v>
      </c>
      <c r="C11" s="4">
        <v>500000</v>
      </c>
      <c r="D11" s="4" t="s">
        <v>64</v>
      </c>
      <c r="E11" s="22">
        <v>0</v>
      </c>
      <c r="F11" s="22">
        <v>0</v>
      </c>
      <c r="G11" s="238"/>
      <c r="H11" s="148"/>
      <c r="I11" s="148"/>
      <c r="J11" s="264"/>
      <c r="K11" s="76"/>
      <c r="L11" s="76"/>
      <c r="M11" s="4"/>
      <c r="N11" s="210">
        <v>100001</v>
      </c>
      <c r="O11" s="4">
        <v>500000</v>
      </c>
      <c r="P11" s="4" t="s">
        <v>64</v>
      </c>
      <c r="Q11" s="22"/>
      <c r="R11" s="22"/>
      <c r="S11" s="238"/>
      <c r="T11" s="148"/>
      <c r="U11" s="148"/>
      <c r="V11" s="264"/>
      <c r="W11" s="291">
        <v>13</v>
      </c>
      <c r="X11">
        <v>111400</v>
      </c>
      <c r="Z11">
        <v>6</v>
      </c>
      <c r="AA11">
        <v>536200</v>
      </c>
      <c r="AF11">
        <v>2</v>
      </c>
      <c r="AG11">
        <v>11200</v>
      </c>
      <c r="AI11">
        <v>1</v>
      </c>
      <c r="AJ11">
        <v>60900</v>
      </c>
    </row>
    <row r="12" spans="1:42" ht="15.75" x14ac:dyDescent="0.25">
      <c r="A12" s="4"/>
      <c r="B12" s="211" t="s">
        <v>68</v>
      </c>
      <c r="C12" s="4">
        <v>500000</v>
      </c>
      <c r="D12" s="4" t="s">
        <v>64</v>
      </c>
      <c r="E12" s="22">
        <v>0</v>
      </c>
      <c r="F12" s="239">
        <v>0</v>
      </c>
      <c r="G12" s="240"/>
      <c r="H12" s="148"/>
      <c r="I12" s="148"/>
      <c r="J12" s="264"/>
      <c r="K12" s="76"/>
      <c r="L12" s="76"/>
      <c r="M12" s="4"/>
      <c r="N12" s="211" t="s">
        <v>68</v>
      </c>
      <c r="O12" s="4">
        <v>500000</v>
      </c>
      <c r="P12" s="4" t="s">
        <v>64</v>
      </c>
      <c r="Q12" s="22">
        <v>0</v>
      </c>
      <c r="R12" s="239">
        <v>0</v>
      </c>
      <c r="S12" s="240">
        <f>((954500+641100+882500+4997000)/12)/1000</f>
        <v>622.92499999999995</v>
      </c>
      <c r="T12" s="148"/>
      <c r="U12" s="148"/>
      <c r="V12" s="264"/>
      <c r="W12" s="291">
        <v>41</v>
      </c>
      <c r="X12">
        <v>269300</v>
      </c>
      <c r="Z12">
        <v>17</v>
      </c>
      <c r="AA12">
        <v>1288300</v>
      </c>
      <c r="AF12">
        <v>1</v>
      </c>
      <c r="AG12">
        <v>0</v>
      </c>
      <c r="AI12">
        <v>0</v>
      </c>
      <c r="AJ12">
        <v>2200</v>
      </c>
    </row>
    <row r="13" spans="1:42" ht="15.75" x14ac:dyDescent="0.25">
      <c r="A13" s="4"/>
      <c r="B13" s="132"/>
      <c r="C13" s="132"/>
      <c r="D13" s="132"/>
      <c r="E13" s="95"/>
      <c r="F13" s="95"/>
      <c r="G13" s="95"/>
      <c r="H13" s="148"/>
      <c r="I13" s="148">
        <f>F14+F26+F38+F50+F62</f>
        <v>5845</v>
      </c>
      <c r="J13" s="264"/>
      <c r="K13" s="76"/>
      <c r="L13" s="76"/>
      <c r="M13" s="4"/>
      <c r="N13" s="132"/>
      <c r="O13" s="132"/>
      <c r="P13" s="132"/>
      <c r="Q13" s="95"/>
      <c r="R13" s="95"/>
      <c r="S13" s="95"/>
      <c r="T13" s="148"/>
      <c r="U13" s="148"/>
      <c r="V13" s="264"/>
      <c r="W13" s="291">
        <v>44</v>
      </c>
      <c r="X13">
        <v>205400</v>
      </c>
      <c r="Z13">
        <v>14</v>
      </c>
      <c r="AA13">
        <v>889800</v>
      </c>
      <c r="AF13">
        <v>2</v>
      </c>
      <c r="AG13">
        <v>3000</v>
      </c>
      <c r="AI13">
        <v>1</v>
      </c>
      <c r="AJ13">
        <v>50300</v>
      </c>
    </row>
    <row r="14" spans="1:42" ht="15.75" x14ac:dyDescent="0.25">
      <c r="A14" s="4"/>
      <c r="B14" s="356" t="s">
        <v>199</v>
      </c>
      <c r="C14" s="356"/>
      <c r="D14" s="356"/>
      <c r="E14" s="95"/>
      <c r="F14" s="206">
        <f>SUM(F9:F12)</f>
        <v>5737</v>
      </c>
      <c r="G14" s="206">
        <f>SUM(G9:G12)</f>
        <v>14171.742</v>
      </c>
      <c r="H14" s="149"/>
      <c r="I14" s="149">
        <f>I13*1.064</f>
        <v>6219.08</v>
      </c>
      <c r="J14" s="264"/>
      <c r="K14" s="76"/>
      <c r="L14" s="76"/>
      <c r="M14" s="4"/>
      <c r="N14" s="356" t="s">
        <v>199</v>
      </c>
      <c r="O14" s="356"/>
      <c r="P14" s="356"/>
      <c r="Q14" s="95">
        <v>-5923</v>
      </c>
      <c r="R14" s="250">
        <f>SUM(R9:R12)</f>
        <v>6222</v>
      </c>
      <c r="S14" s="250">
        <f>SUM(S9:S12)</f>
        <v>17020.974999999999</v>
      </c>
      <c r="T14" s="149"/>
      <c r="U14" s="149"/>
      <c r="V14" s="264"/>
      <c r="W14" s="291">
        <v>19</v>
      </c>
      <c r="X14">
        <v>81900</v>
      </c>
      <c r="Z14">
        <v>7</v>
      </c>
      <c r="AA14">
        <v>601300</v>
      </c>
      <c r="AF14">
        <v>1</v>
      </c>
      <c r="AG14">
        <v>1600</v>
      </c>
      <c r="AI14">
        <v>1</v>
      </c>
      <c r="AJ14">
        <v>38900</v>
      </c>
    </row>
    <row r="15" spans="1:42" ht="18" x14ac:dyDescent="0.4">
      <c r="A15" s="4"/>
      <c r="B15" s="356" t="s">
        <v>75</v>
      </c>
      <c r="C15" s="356"/>
      <c r="D15" s="356"/>
      <c r="E15" s="235"/>
      <c r="F15" s="206"/>
      <c r="G15" s="236">
        <f>+G14/F14</f>
        <v>2.4702356632386264</v>
      </c>
      <c r="H15" s="24"/>
      <c r="I15" s="24"/>
      <c r="J15" s="35"/>
      <c r="K15" s="76"/>
      <c r="L15" s="76"/>
      <c r="M15" s="4"/>
      <c r="N15" s="356" t="s">
        <v>75</v>
      </c>
      <c r="O15" s="356"/>
      <c r="P15" s="356"/>
      <c r="Q15" s="235">
        <f>Q14+R14</f>
        <v>299</v>
      </c>
      <c r="R15" s="250"/>
      <c r="S15" s="236">
        <f>+S14/R14</f>
        <v>2.735611539697846</v>
      </c>
      <c r="T15" s="24"/>
      <c r="U15" s="24"/>
      <c r="V15" s="35"/>
      <c r="W15" s="291">
        <v>18</v>
      </c>
      <c r="X15">
        <v>105300</v>
      </c>
      <c r="Z15">
        <v>12</v>
      </c>
      <c r="AA15">
        <v>1196200</v>
      </c>
      <c r="AF15">
        <v>2</v>
      </c>
      <c r="AG15">
        <v>13000</v>
      </c>
      <c r="AI15">
        <v>1</v>
      </c>
      <c r="AJ15">
        <v>219800</v>
      </c>
    </row>
    <row r="16" spans="1:42" ht="15.75" x14ac:dyDescent="0.25">
      <c r="A16" s="4"/>
      <c r="B16" s="354" t="s">
        <v>246</v>
      </c>
      <c r="C16" s="354"/>
      <c r="D16" s="354"/>
      <c r="E16" s="95"/>
      <c r="F16" s="95"/>
      <c r="G16" s="237">
        <f>G14*12*1000</f>
        <v>170060904</v>
      </c>
      <c r="H16" s="4"/>
      <c r="I16" s="4"/>
      <c r="J16" s="8"/>
      <c r="K16" s="269"/>
      <c r="L16" s="76"/>
      <c r="M16" s="4"/>
      <c r="N16" s="354" t="s">
        <v>246</v>
      </c>
      <c r="O16" s="354"/>
      <c r="P16" s="354"/>
      <c r="Q16" s="95"/>
      <c r="R16" s="95"/>
      <c r="S16" s="237">
        <f>S14*12*1000</f>
        <v>204251699.99999997</v>
      </c>
      <c r="T16" s="4"/>
      <c r="U16" s="4"/>
      <c r="V16" s="8"/>
      <c r="W16" s="291">
        <v>4</v>
      </c>
      <c r="X16">
        <v>31700</v>
      </c>
      <c r="Z16">
        <v>1</v>
      </c>
      <c r="AA16">
        <v>39900</v>
      </c>
      <c r="AF16">
        <v>3</v>
      </c>
      <c r="AG16">
        <v>3300</v>
      </c>
      <c r="AI16">
        <v>2</v>
      </c>
      <c r="AJ16">
        <v>151700</v>
      </c>
    </row>
    <row r="17" spans="1:36" ht="15.75" x14ac:dyDescent="0.25">
      <c r="A17" s="4"/>
      <c r="B17" s="4"/>
      <c r="C17" s="4"/>
      <c r="D17" s="4"/>
      <c r="E17" s="93"/>
      <c r="F17" s="4"/>
      <c r="G17" s="98"/>
      <c r="H17" s="98"/>
      <c r="I17" s="98"/>
      <c r="J17" s="265"/>
      <c r="K17" s="76"/>
      <c r="L17" s="76"/>
      <c r="M17" s="4"/>
      <c r="N17" s="4"/>
      <c r="O17" s="4"/>
      <c r="P17" s="4"/>
      <c r="Q17" s="93"/>
      <c r="R17" s="4"/>
      <c r="S17" s="98"/>
      <c r="T17" s="98"/>
      <c r="U17" s="98"/>
      <c r="V17" s="265"/>
      <c r="W17" s="291">
        <v>4</v>
      </c>
      <c r="X17">
        <v>1700</v>
      </c>
      <c r="Z17">
        <v>6</v>
      </c>
      <c r="AA17">
        <v>309400</v>
      </c>
      <c r="AF17">
        <v>1</v>
      </c>
      <c r="AG17">
        <v>4000</v>
      </c>
      <c r="AI17">
        <v>1</v>
      </c>
      <c r="AJ17">
        <v>77900</v>
      </c>
    </row>
    <row r="18" spans="1:36" ht="18.75" x14ac:dyDescent="0.3">
      <c r="A18" s="4"/>
      <c r="B18" s="355" t="s">
        <v>256</v>
      </c>
      <c r="C18" s="355"/>
      <c r="D18" s="355"/>
      <c r="E18" s="355"/>
      <c r="F18" s="355"/>
      <c r="G18" s="355"/>
      <c r="H18" s="98"/>
      <c r="I18" s="98"/>
      <c r="J18" s="265"/>
      <c r="K18" s="76"/>
      <c r="L18" s="76"/>
      <c r="M18" s="4"/>
      <c r="N18" s="355" t="s">
        <v>256</v>
      </c>
      <c r="O18" s="355"/>
      <c r="P18" s="355"/>
      <c r="Q18" s="355"/>
      <c r="R18" s="355"/>
      <c r="S18" s="355"/>
      <c r="T18" s="98"/>
      <c r="U18" s="98"/>
      <c r="V18" s="265"/>
      <c r="W18" s="291">
        <v>25</v>
      </c>
      <c r="X18">
        <v>138900</v>
      </c>
      <c r="Z18">
        <v>28</v>
      </c>
      <c r="AA18">
        <v>2238000</v>
      </c>
      <c r="AF18">
        <v>2</v>
      </c>
      <c r="AG18">
        <v>1200</v>
      </c>
      <c r="AI18">
        <v>0</v>
      </c>
      <c r="AJ18">
        <v>15800</v>
      </c>
    </row>
    <row r="19" spans="1:36" ht="15.75" x14ac:dyDescent="0.25">
      <c r="A19" s="4"/>
      <c r="B19" s="4"/>
      <c r="C19" s="4"/>
      <c r="D19" s="4"/>
      <c r="E19" s="201"/>
      <c r="F19" s="201" t="s">
        <v>71</v>
      </c>
      <c r="G19" s="201" t="s">
        <v>72</v>
      </c>
      <c r="H19" s="98"/>
      <c r="I19" s="98"/>
      <c r="J19" s="98"/>
      <c r="M19" s="4"/>
      <c r="N19" s="4"/>
      <c r="O19" s="4"/>
      <c r="P19" s="4"/>
      <c r="Q19" s="250"/>
      <c r="R19" s="250" t="s">
        <v>71</v>
      </c>
      <c r="S19" s="250" t="s">
        <v>72</v>
      </c>
      <c r="T19" s="98"/>
      <c r="U19" s="98"/>
      <c r="V19" s="98"/>
      <c r="W19" s="291">
        <v>10</v>
      </c>
      <c r="X19">
        <v>76900</v>
      </c>
      <c r="Z19">
        <v>14</v>
      </c>
      <c r="AA19">
        <v>1071300</v>
      </c>
      <c r="AF19">
        <v>1</v>
      </c>
      <c r="AG19">
        <v>11500</v>
      </c>
      <c r="AI19">
        <v>0</v>
      </c>
      <c r="AJ19">
        <v>158400</v>
      </c>
    </row>
    <row r="20" spans="1:36" ht="18.75" x14ac:dyDescent="0.3">
      <c r="A20" s="4"/>
      <c r="B20" s="342" t="s">
        <v>253</v>
      </c>
      <c r="C20" s="342"/>
      <c r="D20" s="342"/>
      <c r="E20" s="201" t="s">
        <v>70</v>
      </c>
      <c r="F20" s="201" t="s">
        <v>73</v>
      </c>
      <c r="G20" s="22">
        <v>-1000</v>
      </c>
      <c r="H20" s="178"/>
      <c r="I20" s="178"/>
      <c r="J20" s="178"/>
      <c r="K20" s="93"/>
      <c r="M20" s="4"/>
      <c r="N20" s="342" t="s">
        <v>253</v>
      </c>
      <c r="O20" s="342"/>
      <c r="P20" s="342"/>
      <c r="Q20" s="250" t="s">
        <v>70</v>
      </c>
      <c r="R20" s="250" t="s">
        <v>73</v>
      </c>
      <c r="S20" s="22">
        <v>-1000</v>
      </c>
      <c r="T20" s="252"/>
      <c r="U20" s="252"/>
      <c r="V20" s="252"/>
      <c r="W20" s="292">
        <v>9</v>
      </c>
      <c r="X20">
        <v>64900</v>
      </c>
      <c r="Z20">
        <v>6</v>
      </c>
      <c r="AA20">
        <v>430400</v>
      </c>
      <c r="AF20">
        <v>1</v>
      </c>
      <c r="AG20">
        <v>2900</v>
      </c>
      <c r="AI20">
        <v>0</v>
      </c>
      <c r="AJ20">
        <v>17700</v>
      </c>
    </row>
    <row r="21" spans="1:36" ht="15.75" x14ac:dyDescent="0.25">
      <c r="A21" s="4"/>
      <c r="B21" s="210">
        <v>0</v>
      </c>
      <c r="C21" s="4">
        <v>4000</v>
      </c>
      <c r="D21" s="4" t="s">
        <v>64</v>
      </c>
      <c r="E21" s="4">
        <f t="shared" ref="E21:E22" si="1">+G21/F21*1000</f>
        <v>1180.1020408163265</v>
      </c>
      <c r="F21" s="4">
        <f>R21</f>
        <v>49</v>
      </c>
      <c r="G21" s="148">
        <f>S21</f>
        <v>57.825000000000003</v>
      </c>
      <c r="H21" s="4"/>
      <c r="I21" s="4"/>
      <c r="J21" s="4"/>
      <c r="K21" s="275"/>
      <c r="M21" s="4"/>
      <c r="N21" s="210">
        <v>0</v>
      </c>
      <c r="O21" s="4">
        <v>4000</v>
      </c>
      <c r="P21" s="4" t="s">
        <v>64</v>
      </c>
      <c r="Q21" s="4">
        <f t="shared" ref="Q21:Q22" si="2">+S21/R21*1000</f>
        <v>1180.1020408163265</v>
      </c>
      <c r="R21" s="22">
        <f>W199</f>
        <v>49</v>
      </c>
      <c r="S21" s="148">
        <f>(X199/12)/1000</f>
        <v>57.825000000000003</v>
      </c>
      <c r="T21" s="4"/>
      <c r="U21" s="4"/>
      <c r="V21" s="4"/>
      <c r="W21" s="4">
        <v>29</v>
      </c>
      <c r="X21">
        <v>274300</v>
      </c>
      <c r="Z21">
        <v>39</v>
      </c>
      <c r="AA21">
        <v>2363000</v>
      </c>
      <c r="AF21">
        <v>2</v>
      </c>
      <c r="AG21">
        <v>12300</v>
      </c>
      <c r="AI21">
        <v>1</v>
      </c>
      <c r="AJ21">
        <v>27400</v>
      </c>
    </row>
    <row r="22" spans="1:36" ht="18" x14ac:dyDescent="0.4">
      <c r="A22" s="4"/>
      <c r="B22" s="210">
        <v>4001</v>
      </c>
      <c r="C22" s="4">
        <v>100000</v>
      </c>
      <c r="D22" s="4" t="s">
        <v>64</v>
      </c>
      <c r="E22" s="4">
        <f t="shared" si="1"/>
        <v>13666.091954022988</v>
      </c>
      <c r="F22" s="4">
        <f>R22</f>
        <v>29</v>
      </c>
      <c r="G22" s="148">
        <f>S22</f>
        <v>396.31666666666666</v>
      </c>
      <c r="H22" s="179"/>
      <c r="I22" s="179"/>
      <c r="J22" s="250"/>
      <c r="K22" s="279"/>
      <c r="M22" s="4"/>
      <c r="N22" s="210">
        <v>4001</v>
      </c>
      <c r="O22" s="4">
        <v>100000</v>
      </c>
      <c r="P22" s="4" t="s">
        <v>64</v>
      </c>
      <c r="Q22" s="4">
        <f t="shared" si="2"/>
        <v>13666.091954022988</v>
      </c>
      <c r="R22" s="22">
        <f>Z199</f>
        <v>29</v>
      </c>
      <c r="S22" s="148">
        <f>(AA199/12)/1000</f>
        <v>396.31666666666666</v>
      </c>
      <c r="T22" s="254"/>
      <c r="U22" s="254"/>
      <c r="V22" s="254"/>
      <c r="W22" s="4">
        <v>34</v>
      </c>
      <c r="X22">
        <v>281000</v>
      </c>
      <c r="Z22">
        <v>44</v>
      </c>
      <c r="AA22">
        <v>2602400</v>
      </c>
      <c r="AF22">
        <v>1</v>
      </c>
      <c r="AG22">
        <v>2600</v>
      </c>
      <c r="AI22">
        <v>1</v>
      </c>
      <c r="AJ22">
        <v>80700</v>
      </c>
    </row>
    <row r="23" spans="1:36" ht="15.75" x14ac:dyDescent="0.25">
      <c r="A23" s="4"/>
      <c r="B23" s="210">
        <v>100001</v>
      </c>
      <c r="C23" s="4">
        <v>500000</v>
      </c>
      <c r="D23" s="4" t="s">
        <v>64</v>
      </c>
      <c r="E23" s="4">
        <v>0</v>
      </c>
      <c r="F23" s="4">
        <v>0</v>
      </c>
      <c r="G23" s="148"/>
      <c r="H23" s="4"/>
      <c r="I23" s="4"/>
      <c r="J23" s="4"/>
      <c r="K23" s="94"/>
      <c r="M23" s="4"/>
      <c r="N23" s="210">
        <v>100001</v>
      </c>
      <c r="O23" s="4">
        <v>500000</v>
      </c>
      <c r="P23" s="4" t="s">
        <v>64</v>
      </c>
      <c r="Q23" s="4">
        <v>0</v>
      </c>
      <c r="R23" s="4">
        <v>0</v>
      </c>
      <c r="S23" s="148"/>
      <c r="T23" s="4"/>
      <c r="U23" s="4"/>
      <c r="V23" s="4"/>
      <c r="W23" s="292">
        <v>59</v>
      </c>
      <c r="X23">
        <v>498600</v>
      </c>
      <c r="Z23">
        <v>59</v>
      </c>
      <c r="AA23">
        <v>3565300</v>
      </c>
      <c r="AF23">
        <v>1</v>
      </c>
      <c r="AG23">
        <v>0</v>
      </c>
      <c r="AI23" s="77">
        <v>1</v>
      </c>
      <c r="AJ23" s="77">
        <v>50500</v>
      </c>
    </row>
    <row r="24" spans="1:36" ht="15.75" x14ac:dyDescent="0.25">
      <c r="A24" s="4"/>
      <c r="B24" s="211" t="s">
        <v>68</v>
      </c>
      <c r="C24" s="4">
        <v>500000</v>
      </c>
      <c r="D24" s="4" t="s">
        <v>64</v>
      </c>
      <c r="E24" s="4">
        <v>0</v>
      </c>
      <c r="F24" s="9">
        <v>0</v>
      </c>
      <c r="G24" s="212">
        <v>0</v>
      </c>
      <c r="H24" s="148"/>
      <c r="I24" s="148"/>
      <c r="J24" s="148"/>
      <c r="K24" s="94"/>
      <c r="M24" s="4"/>
      <c r="N24" s="211" t="s">
        <v>68</v>
      </c>
      <c r="O24" s="4">
        <v>500000</v>
      </c>
      <c r="P24" s="4" t="s">
        <v>64</v>
      </c>
      <c r="Q24" s="4">
        <v>0</v>
      </c>
      <c r="R24" s="9">
        <v>0</v>
      </c>
      <c r="S24" s="212"/>
      <c r="T24" s="148"/>
      <c r="U24" s="148"/>
      <c r="V24" s="148"/>
      <c r="W24" s="292">
        <v>22</v>
      </c>
      <c r="X24">
        <v>119700</v>
      </c>
      <c r="Z24">
        <v>13</v>
      </c>
      <c r="AA24">
        <v>972900</v>
      </c>
      <c r="AF24">
        <v>0</v>
      </c>
      <c r="AG24">
        <v>1200</v>
      </c>
      <c r="AI24">
        <f>SUM(AI5:AI23)</f>
        <v>17</v>
      </c>
      <c r="AJ24">
        <f>SUM(AJ5:AJ23)</f>
        <v>1553100</v>
      </c>
    </row>
    <row r="25" spans="1:36" ht="15.75" x14ac:dyDescent="0.25">
      <c r="A25" s="4"/>
      <c r="B25" s="132"/>
      <c r="C25" s="132"/>
      <c r="D25" s="132"/>
      <c r="E25" s="132"/>
      <c r="F25" s="132"/>
      <c r="G25" s="132"/>
      <c r="H25" s="148"/>
      <c r="I25" s="148"/>
      <c r="J25" s="148"/>
      <c r="K25" s="94"/>
      <c r="M25" s="4"/>
      <c r="N25" s="132"/>
      <c r="O25" s="132"/>
      <c r="P25" s="132"/>
      <c r="Q25" s="132"/>
      <c r="R25" s="132"/>
      <c r="S25" s="132"/>
      <c r="T25" s="148"/>
      <c r="U25" s="148"/>
      <c r="V25" s="148"/>
      <c r="W25" s="292">
        <v>53</v>
      </c>
      <c r="X25">
        <v>258100</v>
      </c>
      <c r="Z25">
        <v>18</v>
      </c>
      <c r="AA25">
        <v>1176700</v>
      </c>
      <c r="AF25" s="77">
        <v>3</v>
      </c>
      <c r="AG25" s="77">
        <v>21000</v>
      </c>
      <c r="AJ25">
        <f>AJ24/AI24</f>
        <v>91358.823529411762</v>
      </c>
    </row>
    <row r="26" spans="1:36" ht="15.75" x14ac:dyDescent="0.25">
      <c r="A26" s="4"/>
      <c r="B26" s="356" t="s">
        <v>199</v>
      </c>
      <c r="C26" s="356"/>
      <c r="D26" s="356"/>
      <c r="E26" s="132"/>
      <c r="F26" s="4">
        <f>SUM(F21:F24)</f>
        <v>78</v>
      </c>
      <c r="G26" s="4">
        <f>SUM(G21:G24)</f>
        <v>454.14166666666665</v>
      </c>
      <c r="H26" s="148"/>
      <c r="I26" s="148"/>
      <c r="J26" s="148"/>
      <c r="K26" s="94"/>
      <c r="M26" s="4"/>
      <c r="N26" s="356" t="s">
        <v>199</v>
      </c>
      <c r="O26" s="356"/>
      <c r="P26" s="356"/>
      <c r="Q26" s="132">
        <v>-89</v>
      </c>
      <c r="R26" s="4">
        <f>SUM(R21:R24)</f>
        <v>78</v>
      </c>
      <c r="S26" s="4">
        <f>SUM(S21:S24)</f>
        <v>454.14166666666665</v>
      </c>
      <c r="T26" s="148"/>
      <c r="U26" s="148"/>
      <c r="V26" s="148"/>
      <c r="W26" s="292">
        <v>28</v>
      </c>
      <c r="X26">
        <v>176600</v>
      </c>
      <c r="Z26">
        <v>19</v>
      </c>
      <c r="AA26">
        <v>1331600</v>
      </c>
      <c r="AF26">
        <f>SUM(AF5:AF25)</f>
        <v>33</v>
      </c>
      <c r="AG26">
        <f>SUM(AG5:AG25)</f>
        <v>131300</v>
      </c>
    </row>
    <row r="27" spans="1:36" ht="15.75" x14ac:dyDescent="0.25">
      <c r="A27" s="4"/>
      <c r="B27" s="356" t="s">
        <v>75</v>
      </c>
      <c r="C27" s="356"/>
      <c r="D27" s="356"/>
      <c r="E27" s="155"/>
      <c r="F27" s="4"/>
      <c r="G27" s="98">
        <f>+G26/F26</f>
        <v>5.8223290598290598</v>
      </c>
      <c r="H27" s="148"/>
      <c r="I27" s="148"/>
      <c r="J27" s="148"/>
      <c r="K27" s="94"/>
      <c r="M27" s="4"/>
      <c r="N27" s="356" t="s">
        <v>75</v>
      </c>
      <c r="O27" s="356"/>
      <c r="P27" s="356"/>
      <c r="Q27" s="155">
        <f>Q26+R26</f>
        <v>-11</v>
      </c>
      <c r="R27" s="4"/>
      <c r="S27" s="98">
        <f>+S26/R26</f>
        <v>5.8223290598290598</v>
      </c>
      <c r="T27" s="148"/>
      <c r="U27" s="148"/>
      <c r="V27" s="148"/>
      <c r="W27" s="292">
        <v>45</v>
      </c>
      <c r="X27">
        <v>281000</v>
      </c>
      <c r="Z27">
        <v>18</v>
      </c>
      <c r="AA27">
        <v>1244700</v>
      </c>
      <c r="AG27">
        <f>AG26/AF26</f>
        <v>3978.787878787879</v>
      </c>
    </row>
    <row r="28" spans="1:36" ht="15.75" x14ac:dyDescent="0.25">
      <c r="A28" s="4"/>
      <c r="B28" s="354" t="s">
        <v>246</v>
      </c>
      <c r="C28" s="354"/>
      <c r="D28" s="354"/>
      <c r="E28" s="132"/>
      <c r="F28" s="132"/>
      <c r="G28" s="213">
        <f>G26*12*1000</f>
        <v>5449700</v>
      </c>
      <c r="H28" s="148"/>
      <c r="I28" s="148"/>
      <c r="J28" s="148"/>
      <c r="K28" s="280"/>
      <c r="M28" s="4"/>
      <c r="N28" s="354" t="s">
        <v>246</v>
      </c>
      <c r="O28" s="354"/>
      <c r="P28" s="354"/>
      <c r="Q28" s="132"/>
      <c r="R28" s="132"/>
      <c r="S28" s="213">
        <f>S26*12*1000</f>
        <v>5449700</v>
      </c>
      <c r="T28" s="148"/>
      <c r="U28" s="148"/>
      <c r="V28" s="148"/>
      <c r="W28" s="292">
        <v>10</v>
      </c>
      <c r="X28">
        <v>78500</v>
      </c>
      <c r="Z28">
        <v>5</v>
      </c>
      <c r="AA28">
        <v>323100</v>
      </c>
    </row>
    <row r="29" spans="1:36" ht="18" x14ac:dyDescent="0.4">
      <c r="A29" s="4"/>
      <c r="B29" s="147"/>
      <c r="C29" s="4"/>
      <c r="D29" s="4"/>
      <c r="E29" s="24"/>
      <c r="F29" s="24"/>
      <c r="G29" s="149"/>
      <c r="H29" s="149"/>
      <c r="I29" s="149"/>
      <c r="J29" s="149"/>
      <c r="K29" s="24"/>
      <c r="M29" s="4"/>
      <c r="N29" s="250"/>
      <c r="O29" s="4"/>
      <c r="P29" s="4"/>
      <c r="Q29" s="24"/>
      <c r="R29" s="24"/>
      <c r="S29" s="149"/>
      <c r="T29" s="149"/>
      <c r="U29" s="149"/>
      <c r="V29" s="149"/>
      <c r="W29" s="4">
        <v>69</v>
      </c>
      <c r="X29">
        <v>496900</v>
      </c>
      <c r="Z29">
        <v>55</v>
      </c>
      <c r="AA29">
        <f>3617100+615300</f>
        <v>4232400</v>
      </c>
    </row>
    <row r="30" spans="1:36" ht="20.25" x14ac:dyDescent="0.4">
      <c r="A30" s="4"/>
      <c r="B30" s="357" t="s">
        <v>254</v>
      </c>
      <c r="C30" s="357"/>
      <c r="D30" s="357"/>
      <c r="E30" s="357"/>
      <c r="F30" s="357"/>
      <c r="G30" s="357"/>
      <c r="H30" s="24"/>
      <c r="I30" s="24"/>
      <c r="J30" s="24"/>
      <c r="K30" s="24"/>
      <c r="M30" s="4"/>
      <c r="N30" s="357" t="s">
        <v>254</v>
      </c>
      <c r="O30" s="357"/>
      <c r="P30" s="357"/>
      <c r="Q30" s="357"/>
      <c r="R30" s="357"/>
      <c r="S30" s="357"/>
      <c r="T30" s="24"/>
      <c r="U30" s="24"/>
      <c r="V30" s="24"/>
      <c r="W30" s="4">
        <v>98</v>
      </c>
      <c r="X30">
        <v>609000</v>
      </c>
      <c r="Z30">
        <v>56</v>
      </c>
      <c r="AA30">
        <f>3470100+999900</f>
        <v>4470000</v>
      </c>
      <c r="AJ30">
        <f>AI24+AF26</f>
        <v>50</v>
      </c>
    </row>
    <row r="31" spans="1:36" ht="18" x14ac:dyDescent="0.4">
      <c r="A31" s="4"/>
      <c r="B31" s="4"/>
      <c r="C31" s="4"/>
      <c r="D31" s="4"/>
      <c r="E31" s="201"/>
      <c r="F31" s="201" t="s">
        <v>71</v>
      </c>
      <c r="G31" s="201" t="s">
        <v>72</v>
      </c>
      <c r="H31" s="4"/>
      <c r="I31" s="4"/>
      <c r="J31" s="4"/>
      <c r="K31" s="24"/>
      <c r="M31" s="4"/>
      <c r="N31" s="4"/>
      <c r="O31" s="4"/>
      <c r="P31" s="4"/>
      <c r="Q31" s="250"/>
      <c r="R31" s="250" t="s">
        <v>71</v>
      </c>
      <c r="S31" s="250" t="s">
        <v>72</v>
      </c>
      <c r="T31" s="4"/>
      <c r="U31" s="4"/>
      <c r="V31" s="4"/>
      <c r="W31" s="4">
        <v>50</v>
      </c>
      <c r="X31">
        <v>241100</v>
      </c>
      <c r="Z31">
        <v>12</v>
      </c>
      <c r="AA31">
        <v>912800</v>
      </c>
      <c r="AJ31">
        <f>AJ24+AG26</f>
        <v>1684400</v>
      </c>
    </row>
    <row r="32" spans="1:36" ht="18" x14ac:dyDescent="0.4">
      <c r="A32" s="4"/>
      <c r="B32" s="342" t="s">
        <v>253</v>
      </c>
      <c r="C32" s="342"/>
      <c r="D32" s="342"/>
      <c r="E32" s="201" t="s">
        <v>70</v>
      </c>
      <c r="F32" s="201" t="s">
        <v>73</v>
      </c>
      <c r="G32" s="250">
        <v>-1000</v>
      </c>
      <c r="H32" s="98"/>
      <c r="I32" s="98"/>
      <c r="J32" s="98"/>
      <c r="K32" s="24"/>
      <c r="M32" s="4"/>
      <c r="N32" s="342" t="s">
        <v>253</v>
      </c>
      <c r="O32" s="342"/>
      <c r="P32" s="342"/>
      <c r="Q32" s="250" t="s">
        <v>70</v>
      </c>
      <c r="R32" s="250" t="s">
        <v>73</v>
      </c>
      <c r="S32" s="22">
        <v>-1000</v>
      </c>
      <c r="T32" s="98"/>
      <c r="U32" s="98"/>
      <c r="V32" s="98"/>
      <c r="W32" s="4">
        <v>22</v>
      </c>
      <c r="X32">
        <v>152000</v>
      </c>
      <c r="Z32">
        <v>11</v>
      </c>
      <c r="AA32">
        <v>623600</v>
      </c>
    </row>
    <row r="33" spans="2:27" ht="15.75" x14ac:dyDescent="0.25">
      <c r="B33" s="210">
        <v>0</v>
      </c>
      <c r="C33" s="4">
        <v>8000</v>
      </c>
      <c r="D33" s="4" t="s">
        <v>64</v>
      </c>
      <c r="E33" s="4">
        <f t="shared" ref="E33:E34" si="3">+G33/F33*1000</f>
        <v>1331.25</v>
      </c>
      <c r="F33" s="4">
        <v>4</v>
      </c>
      <c r="G33" s="148">
        <f>((12600+33400+10300+7600)/12)/1000</f>
        <v>5.3250000000000002</v>
      </c>
      <c r="N33" s="210">
        <v>0</v>
      </c>
      <c r="O33" s="4">
        <v>8000</v>
      </c>
      <c r="P33" s="4" t="s">
        <v>64</v>
      </c>
      <c r="Q33" s="4">
        <f t="shared" ref="Q33:Q35" si="4">+S33/R33*1000</f>
        <v>550</v>
      </c>
      <c r="R33" s="4">
        <f>3+1+2+1+2</f>
        <v>9</v>
      </c>
      <c r="S33" s="148">
        <f>((2400+13200+17300+3800+8800+10800+3100)/12)/1000</f>
        <v>4.95</v>
      </c>
      <c r="W33" s="4">
        <v>55</v>
      </c>
      <c r="X33">
        <v>206600</v>
      </c>
      <c r="Z33">
        <v>19</v>
      </c>
      <c r="AA33">
        <v>923500</v>
      </c>
    </row>
    <row r="34" spans="2:27" ht="15.75" x14ac:dyDescent="0.25">
      <c r="B34" s="210">
        <v>8001</v>
      </c>
      <c r="C34" s="4">
        <v>100000</v>
      </c>
      <c r="D34" s="4" t="s">
        <v>64</v>
      </c>
      <c r="E34" s="4">
        <f t="shared" si="3"/>
        <v>53662.5</v>
      </c>
      <c r="F34" s="4">
        <v>2</v>
      </c>
      <c r="G34" s="148">
        <f>((133900+450900+103200+124200+379100+96600)/12)/1000</f>
        <v>107.325</v>
      </c>
      <c r="N34" s="210">
        <v>8001</v>
      </c>
      <c r="O34" s="4">
        <v>100000</v>
      </c>
      <c r="P34" s="4" t="s">
        <v>64</v>
      </c>
      <c r="Q34" s="4">
        <f t="shared" si="4"/>
        <v>41813.095238095237</v>
      </c>
      <c r="R34" s="4">
        <f>3+2+2</f>
        <v>7</v>
      </c>
      <c r="S34" s="148">
        <f>((2187000+498300+702800+124200)/12)/1000</f>
        <v>292.69166666666666</v>
      </c>
      <c r="W34" s="4">
        <v>33</v>
      </c>
      <c r="X34">
        <v>159700</v>
      </c>
      <c r="Z34">
        <v>13</v>
      </c>
      <c r="AA34">
        <f>627900+364100</f>
        <v>992000</v>
      </c>
    </row>
    <row r="35" spans="2:27" ht="15.75" x14ac:dyDescent="0.25">
      <c r="B35" s="210">
        <v>100001</v>
      </c>
      <c r="C35" s="4">
        <v>500000</v>
      </c>
      <c r="D35" s="4" t="s">
        <v>64</v>
      </c>
      <c r="E35" s="4">
        <f t="shared" ref="E35" si="5">+G35/F35*1000</f>
        <v>467791.66666666669</v>
      </c>
      <c r="F35" s="4">
        <v>1</v>
      </c>
      <c r="G35" s="148">
        <f>((1204300+525100+1335300+755500+841000+952300)/12)/1000</f>
        <v>467.79166666666669</v>
      </c>
      <c r="N35" s="210">
        <v>100001</v>
      </c>
      <c r="O35" s="4">
        <v>500000</v>
      </c>
      <c r="P35" s="4" t="s">
        <v>64</v>
      </c>
      <c r="Q35" s="4">
        <f t="shared" si="4"/>
        <v>169958.33333333334</v>
      </c>
      <c r="R35" s="4">
        <v>1</v>
      </c>
      <c r="S35" s="148">
        <f>((849200+243600+111500+610300+224900)/12)/1000</f>
        <v>169.95833333333334</v>
      </c>
      <c r="W35" s="4">
        <v>2</v>
      </c>
      <c r="X35">
        <v>200</v>
      </c>
      <c r="Z35">
        <v>37</v>
      </c>
      <c r="AA35">
        <f>1967900+169800</f>
        <v>2137700</v>
      </c>
    </row>
    <row r="36" spans="2:27" ht="15.75" x14ac:dyDescent="0.25">
      <c r="B36" s="211" t="s">
        <v>68</v>
      </c>
      <c r="C36" s="4">
        <v>500000</v>
      </c>
      <c r="D36" s="4" t="s">
        <v>64</v>
      </c>
      <c r="E36" s="4">
        <v>0</v>
      </c>
      <c r="F36" s="9">
        <v>0</v>
      </c>
      <c r="G36" s="148"/>
      <c r="N36" s="211" t="s">
        <v>68</v>
      </c>
      <c r="O36" s="4">
        <v>500000</v>
      </c>
      <c r="P36" s="4" t="s">
        <v>64</v>
      </c>
      <c r="Q36" s="4">
        <v>0</v>
      </c>
      <c r="R36" s="9">
        <v>0</v>
      </c>
      <c r="S36" s="148">
        <f>((525100+1335300+755500+841000+952300)/12)/1000</f>
        <v>367.43333333333334</v>
      </c>
      <c r="W36" s="4">
        <v>158</v>
      </c>
      <c r="X36">
        <v>660600</v>
      </c>
      <c r="Z36">
        <v>14</v>
      </c>
      <c r="AA36">
        <v>823400</v>
      </c>
    </row>
    <row r="37" spans="2:27" ht="15.75" x14ac:dyDescent="0.25">
      <c r="B37" s="132"/>
      <c r="C37" s="132"/>
      <c r="D37" s="132"/>
      <c r="E37" s="132"/>
      <c r="F37" s="132"/>
      <c r="G37" s="132"/>
      <c r="N37" s="132"/>
      <c r="O37" s="132"/>
      <c r="P37" s="132"/>
      <c r="Q37" s="132"/>
      <c r="R37" s="132"/>
      <c r="S37" s="132"/>
      <c r="W37" s="4">
        <v>5</v>
      </c>
      <c r="X37">
        <v>25000</v>
      </c>
      <c r="Z37">
        <v>80</v>
      </c>
      <c r="AA37">
        <v>5312400</v>
      </c>
    </row>
    <row r="38" spans="2:27" ht="15.75" x14ac:dyDescent="0.25">
      <c r="B38" s="356" t="s">
        <v>199</v>
      </c>
      <c r="C38" s="356"/>
      <c r="D38" s="356"/>
      <c r="E38" s="132"/>
      <c r="F38" s="4">
        <f>SUM(F33:F36)</f>
        <v>7</v>
      </c>
      <c r="G38" s="4">
        <f>SUM(G33:G36)</f>
        <v>580.44166666666672</v>
      </c>
      <c r="J38" s="48"/>
      <c r="N38" s="356" t="s">
        <v>199</v>
      </c>
      <c r="O38" s="356"/>
      <c r="P38" s="356"/>
      <c r="Q38" s="132">
        <v>-7</v>
      </c>
      <c r="R38" s="4">
        <f>SUM(R33:R36)</f>
        <v>17</v>
      </c>
      <c r="S38" s="4">
        <f>SUM(S33:S36)</f>
        <v>835.0333333333333</v>
      </c>
      <c r="W38" s="4">
        <v>55</v>
      </c>
      <c r="X38">
        <v>433600</v>
      </c>
      <c r="Z38">
        <v>89</v>
      </c>
      <c r="AA38">
        <f>5128400+499700</f>
        <v>5628100</v>
      </c>
    </row>
    <row r="39" spans="2:27" ht="15.75" x14ac:dyDescent="0.25">
      <c r="B39" s="356" t="s">
        <v>75</v>
      </c>
      <c r="C39" s="356"/>
      <c r="D39" s="356"/>
      <c r="E39" s="155"/>
      <c r="F39" s="4"/>
      <c r="G39" s="98">
        <f>+G38/F38</f>
        <v>82.920238095238105</v>
      </c>
      <c r="N39" s="356" t="s">
        <v>75</v>
      </c>
      <c r="O39" s="356"/>
      <c r="P39" s="356"/>
      <c r="Q39" s="155">
        <f>Q38+R38</f>
        <v>10</v>
      </c>
      <c r="R39" s="4"/>
      <c r="S39" s="98">
        <f>+S38/R38</f>
        <v>49.119607843137253</v>
      </c>
      <c r="W39" s="4">
        <v>69</v>
      </c>
      <c r="X39">
        <v>500000</v>
      </c>
      <c r="Z39">
        <v>57</v>
      </c>
      <c r="AA39">
        <f>4462700+998400</f>
        <v>5461100</v>
      </c>
    </row>
    <row r="40" spans="2:27" ht="15.75" x14ac:dyDescent="0.25">
      <c r="B40" s="354" t="s">
        <v>246</v>
      </c>
      <c r="C40" s="354"/>
      <c r="D40" s="354"/>
      <c r="E40" s="132"/>
      <c r="F40" s="132"/>
      <c r="G40" s="213">
        <f>G38*12*1000</f>
        <v>6965300.0000000009</v>
      </c>
      <c r="N40" s="354" t="s">
        <v>246</v>
      </c>
      <c r="O40" s="354"/>
      <c r="P40" s="354"/>
      <c r="Q40" s="132"/>
      <c r="R40" s="132"/>
      <c r="S40" s="213">
        <f>S38*12*1000</f>
        <v>10020400</v>
      </c>
      <c r="W40" s="4">
        <v>34</v>
      </c>
      <c r="X40">
        <v>251700</v>
      </c>
      <c r="Z40">
        <v>141</v>
      </c>
      <c r="AA40">
        <f>9301600+302200</f>
        <v>9603800</v>
      </c>
    </row>
    <row r="41" spans="2:27" ht="15.75" x14ac:dyDescent="0.25">
      <c r="W41" s="4">
        <v>62</v>
      </c>
      <c r="X41">
        <v>461300</v>
      </c>
      <c r="Z41">
        <v>22</v>
      </c>
      <c r="AA41">
        <f>1109400+117800</f>
        <v>1227200</v>
      </c>
    </row>
    <row r="42" spans="2:27" ht="18.75" x14ac:dyDescent="0.3">
      <c r="B42" s="355" t="s">
        <v>255</v>
      </c>
      <c r="C42" s="355"/>
      <c r="D42" s="355"/>
      <c r="E42" s="355"/>
      <c r="F42" s="355"/>
      <c r="G42" s="355"/>
      <c r="N42" s="355" t="s">
        <v>255</v>
      </c>
      <c r="O42" s="355"/>
      <c r="P42" s="355"/>
      <c r="Q42" s="355"/>
      <c r="R42" s="355"/>
      <c r="S42" s="355"/>
      <c r="W42" s="4">
        <v>10</v>
      </c>
      <c r="X42">
        <v>59900</v>
      </c>
      <c r="Z42">
        <v>21</v>
      </c>
      <c r="AA42">
        <f>1156900+176600</f>
        <v>1333500</v>
      </c>
    </row>
    <row r="43" spans="2:27" ht="15.75" x14ac:dyDescent="0.25">
      <c r="B43" s="4"/>
      <c r="C43" s="4"/>
      <c r="D43" s="4"/>
      <c r="E43" s="201"/>
      <c r="F43" s="201" t="s">
        <v>71</v>
      </c>
      <c r="G43" s="201" t="s">
        <v>72</v>
      </c>
      <c r="N43" s="4"/>
      <c r="O43" s="4"/>
      <c r="P43" s="4"/>
      <c r="Q43" s="250"/>
      <c r="R43" s="250" t="s">
        <v>71</v>
      </c>
      <c r="S43" s="250" t="s">
        <v>72</v>
      </c>
      <c r="W43" s="4">
        <v>36</v>
      </c>
      <c r="X43">
        <v>206300</v>
      </c>
      <c r="Z43">
        <v>60</v>
      </c>
      <c r="AA43">
        <v>3295900</v>
      </c>
    </row>
    <row r="44" spans="2:27" ht="15.75" x14ac:dyDescent="0.25">
      <c r="B44" s="342" t="s">
        <v>253</v>
      </c>
      <c r="C44" s="342"/>
      <c r="D44" s="342"/>
      <c r="E44" s="201" t="s">
        <v>70</v>
      </c>
      <c r="F44" s="201" t="s">
        <v>73</v>
      </c>
      <c r="G44" s="22">
        <v>-1000</v>
      </c>
      <c r="N44" s="342" t="s">
        <v>253</v>
      </c>
      <c r="O44" s="342"/>
      <c r="P44" s="342"/>
      <c r="Q44" s="250" t="s">
        <v>70</v>
      </c>
      <c r="R44" s="250" t="s">
        <v>73</v>
      </c>
      <c r="S44" s="22">
        <v>-1000</v>
      </c>
      <c r="W44" s="4">
        <v>102</v>
      </c>
      <c r="X44">
        <v>595600</v>
      </c>
      <c r="Z44">
        <v>50</v>
      </c>
      <c r="AA44">
        <v>3171200</v>
      </c>
    </row>
    <row r="45" spans="2:27" ht="15.75" x14ac:dyDescent="0.25">
      <c r="B45" s="210">
        <v>0</v>
      </c>
      <c r="C45" s="4">
        <v>15000</v>
      </c>
      <c r="D45" s="4" t="s">
        <v>64</v>
      </c>
      <c r="E45" s="4">
        <f t="shared" ref="E45:E47" si="6">+G45/F45*1000</f>
        <v>2497.0588235294117</v>
      </c>
      <c r="F45" s="4">
        <v>17</v>
      </c>
      <c r="G45" s="148">
        <f>((52200+44600+98300+14900+9700+28700+35200+20700+24400+84300+3400+29200+9000+4300+50500)/12)/1000</f>
        <v>42.45</v>
      </c>
      <c r="N45" s="210">
        <v>0</v>
      </c>
      <c r="O45" s="4">
        <v>15000</v>
      </c>
      <c r="P45" s="4" t="s">
        <v>64</v>
      </c>
      <c r="Q45" s="4">
        <f t="shared" ref="Q45:Q47" si="7">+S45/R45*1000</f>
        <v>1727.7777777777778</v>
      </c>
      <c r="R45" s="4">
        <f>1+3+1+2+1+1</f>
        <v>9</v>
      </c>
      <c r="S45" s="148">
        <f>((0+11200+32400+51000+12200+27000+33500+6800+6500+6000)/12)/1000</f>
        <v>15.55</v>
      </c>
      <c r="W45" s="4">
        <v>40</v>
      </c>
      <c r="X45">
        <v>289200</v>
      </c>
    </row>
    <row r="46" spans="2:27" ht="15.75" x14ac:dyDescent="0.25">
      <c r="B46" s="210">
        <v>15001</v>
      </c>
      <c r="C46" s="4">
        <v>100000</v>
      </c>
      <c r="D46" s="4" t="s">
        <v>64</v>
      </c>
      <c r="E46" s="4">
        <f t="shared" si="6"/>
        <v>70064.583333333328</v>
      </c>
      <c r="F46" s="4">
        <v>4</v>
      </c>
      <c r="G46" s="148">
        <f>((382500+141600+41000+77300+274000+498300+345200+579600+266100+197100+19000+216700+324700)/12)/1000</f>
        <v>280.25833333333333</v>
      </c>
      <c r="N46" s="210">
        <v>15001</v>
      </c>
      <c r="O46" s="4">
        <v>100000</v>
      </c>
      <c r="P46" s="4" t="s">
        <v>64</v>
      </c>
      <c r="Q46" s="4">
        <f t="shared" si="7"/>
        <v>55047.222222222219</v>
      </c>
      <c r="R46" s="4">
        <v>3</v>
      </c>
      <c r="S46" s="148">
        <f>((1292800+511800+177100)/12)/1000</f>
        <v>165.14166666666665</v>
      </c>
      <c r="W46" s="4">
        <v>31</v>
      </c>
      <c r="X46">
        <v>217400</v>
      </c>
      <c r="Z46">
        <v>41</v>
      </c>
      <c r="AA46">
        <v>2376900</v>
      </c>
    </row>
    <row r="47" spans="2:27" ht="15.75" x14ac:dyDescent="0.25">
      <c r="B47" s="210">
        <v>100001</v>
      </c>
      <c r="C47" s="4">
        <v>500000</v>
      </c>
      <c r="D47" s="4" t="s">
        <v>64</v>
      </c>
      <c r="E47" s="4">
        <f t="shared" si="6"/>
        <v>279116.66666666669</v>
      </c>
      <c r="F47" s="4">
        <v>1</v>
      </c>
      <c r="G47" s="148">
        <f>((988200+261400+774300+1325500)/12)/1000</f>
        <v>279.11666666666667</v>
      </c>
      <c r="N47" s="210">
        <v>100001</v>
      </c>
      <c r="O47" s="4">
        <v>500000</v>
      </c>
      <c r="P47" s="4" t="s">
        <v>64</v>
      </c>
      <c r="Q47" s="4">
        <f t="shared" si="7"/>
        <v>193375</v>
      </c>
      <c r="R47" s="4">
        <v>1</v>
      </c>
      <c r="S47" s="148">
        <f>((893000+1028300+399200)/12)/1000</f>
        <v>193.375</v>
      </c>
      <c r="W47" s="4">
        <v>104</v>
      </c>
      <c r="X47">
        <v>802600</v>
      </c>
      <c r="Z47">
        <v>96</v>
      </c>
      <c r="AA47">
        <f>6348200+454800+999900</f>
        <v>7802900</v>
      </c>
    </row>
    <row r="48" spans="2:27" ht="15.75" x14ac:dyDescent="0.25">
      <c r="B48" s="211" t="s">
        <v>68</v>
      </c>
      <c r="C48" s="4">
        <v>500000</v>
      </c>
      <c r="D48" s="4" t="s">
        <v>64</v>
      </c>
      <c r="E48" s="4">
        <v>0</v>
      </c>
      <c r="F48" s="9">
        <v>0</v>
      </c>
      <c r="G48" s="148"/>
      <c r="N48" s="211" t="s">
        <v>68</v>
      </c>
      <c r="O48" s="4">
        <v>500000</v>
      </c>
      <c r="P48" s="4" t="s">
        <v>64</v>
      </c>
      <c r="Q48" s="4">
        <v>0</v>
      </c>
      <c r="R48" s="9">
        <v>0</v>
      </c>
      <c r="S48" s="148">
        <f>((1325500)/12)/1000</f>
        <v>110.45833333333333</v>
      </c>
      <c r="W48" s="4">
        <v>64</v>
      </c>
      <c r="X48">
        <v>291900</v>
      </c>
      <c r="Z48">
        <v>35</v>
      </c>
      <c r="AA48">
        <f>2239800+491200</f>
        <v>2731000</v>
      </c>
    </row>
    <row r="49" spans="2:27" ht="15.75" x14ac:dyDescent="0.25">
      <c r="B49" s="132"/>
      <c r="C49" s="132"/>
      <c r="D49" s="132"/>
      <c r="E49" s="132"/>
      <c r="F49" s="132"/>
      <c r="G49" s="132"/>
      <c r="N49" s="132"/>
      <c r="O49" s="132"/>
      <c r="P49" s="132"/>
      <c r="Q49" s="132"/>
      <c r="R49" s="132"/>
      <c r="S49" s="132"/>
      <c r="W49" s="4">
        <v>93</v>
      </c>
      <c r="X49">
        <v>639700</v>
      </c>
      <c r="Z49">
        <v>113</v>
      </c>
      <c r="AA49">
        <v>7459700</v>
      </c>
    </row>
    <row r="50" spans="2:27" ht="15.75" x14ac:dyDescent="0.25">
      <c r="B50" s="356" t="s">
        <v>199</v>
      </c>
      <c r="C50" s="356"/>
      <c r="D50" s="356"/>
      <c r="E50" s="132"/>
      <c r="F50" s="4">
        <f>SUM(F45:F48)</f>
        <v>22</v>
      </c>
      <c r="G50" s="4">
        <f>SUM(G45:G48)</f>
        <v>601.82500000000005</v>
      </c>
      <c r="J50" s="48"/>
      <c r="N50" s="356" t="s">
        <v>199</v>
      </c>
      <c r="O50" s="356"/>
      <c r="P50" s="356"/>
      <c r="Q50" s="132">
        <v>-21</v>
      </c>
      <c r="R50" s="4">
        <f>SUM(R45:R48)</f>
        <v>13</v>
      </c>
      <c r="S50" s="4">
        <f>SUM(S45:S48)</f>
        <v>484.52499999999998</v>
      </c>
      <c r="W50" s="4">
        <v>23</v>
      </c>
      <c r="X50">
        <v>79600</v>
      </c>
      <c r="Z50">
        <v>9</v>
      </c>
      <c r="AA50">
        <v>394000</v>
      </c>
    </row>
    <row r="51" spans="2:27" ht="15.75" x14ac:dyDescent="0.25">
      <c r="B51" s="356" t="s">
        <v>75</v>
      </c>
      <c r="C51" s="356"/>
      <c r="D51" s="356"/>
      <c r="E51" s="155"/>
      <c r="F51" s="4"/>
      <c r="G51" s="98">
        <f>+G50/F50</f>
        <v>27.355681818181822</v>
      </c>
      <c r="N51" s="356" t="s">
        <v>75</v>
      </c>
      <c r="O51" s="356"/>
      <c r="P51" s="356"/>
      <c r="Q51" s="155">
        <f>Q50+R50</f>
        <v>-8</v>
      </c>
      <c r="R51" s="4"/>
      <c r="S51" s="98">
        <f>+S50/R50</f>
        <v>37.271153846153844</v>
      </c>
      <c r="W51" s="4">
        <v>27</v>
      </c>
      <c r="X51">
        <v>108000</v>
      </c>
      <c r="Z51">
        <v>3</v>
      </c>
      <c r="AA51">
        <v>366600</v>
      </c>
    </row>
    <row r="52" spans="2:27" ht="15.75" x14ac:dyDescent="0.25">
      <c r="B52" s="354" t="s">
        <v>246</v>
      </c>
      <c r="C52" s="354"/>
      <c r="D52" s="354"/>
      <c r="E52" s="132"/>
      <c r="F52" s="132"/>
      <c r="G52" s="213">
        <f>G50*12*1000</f>
        <v>7221900.0000000009</v>
      </c>
      <c r="N52" s="354" t="s">
        <v>246</v>
      </c>
      <c r="O52" s="354"/>
      <c r="P52" s="354"/>
      <c r="Q52" s="132"/>
      <c r="R52" s="132"/>
      <c r="S52" s="213">
        <f>S50*12*1000</f>
        <v>5814299.9999999991</v>
      </c>
      <c r="W52" s="4">
        <v>75</v>
      </c>
      <c r="X52">
        <v>645600</v>
      </c>
      <c r="Z52">
        <v>93</v>
      </c>
      <c r="AA52">
        <f>6300100+276200</f>
        <v>6576300</v>
      </c>
    </row>
    <row r="53" spans="2:27" ht="15.75" x14ac:dyDescent="0.25">
      <c r="W53" s="4">
        <v>4</v>
      </c>
      <c r="X53">
        <v>11900</v>
      </c>
      <c r="Z53">
        <v>5</v>
      </c>
      <c r="AA53">
        <v>504500</v>
      </c>
    </row>
    <row r="54" spans="2:27" ht="18.75" x14ac:dyDescent="0.3">
      <c r="B54" s="355" t="s">
        <v>258</v>
      </c>
      <c r="C54" s="355"/>
      <c r="D54" s="355"/>
      <c r="E54" s="355"/>
      <c r="F54" s="355"/>
      <c r="G54" s="355"/>
      <c r="N54" s="355" t="s">
        <v>258</v>
      </c>
      <c r="O54" s="355"/>
      <c r="P54" s="355"/>
      <c r="Q54" s="355"/>
      <c r="R54" s="355"/>
      <c r="S54" s="355"/>
      <c r="W54" s="4">
        <v>49</v>
      </c>
      <c r="X54">
        <v>314500</v>
      </c>
      <c r="Z54">
        <v>53</v>
      </c>
      <c r="AA54">
        <v>3905100</v>
      </c>
    </row>
    <row r="55" spans="2:27" ht="15.75" x14ac:dyDescent="0.25">
      <c r="B55" s="4"/>
      <c r="C55" s="4"/>
      <c r="D55" s="4"/>
      <c r="E55" s="206"/>
      <c r="F55" s="206" t="s">
        <v>71</v>
      </c>
      <c r="G55" s="206" t="s">
        <v>72</v>
      </c>
      <c r="J55">
        <f>1193100+1298800+1519100+3266100+1971500+2127900+2545000+2648500+2886100+2934100+4316200</f>
        <v>26706400</v>
      </c>
      <c r="N55" s="4"/>
      <c r="O55" s="4"/>
      <c r="P55" s="4"/>
      <c r="Q55" s="250"/>
      <c r="R55" s="250" t="s">
        <v>71</v>
      </c>
      <c r="S55" s="250" t="s">
        <v>72</v>
      </c>
      <c r="W55" s="4">
        <v>6</v>
      </c>
      <c r="X55">
        <v>13900</v>
      </c>
      <c r="Z55">
        <v>9</v>
      </c>
      <c r="AA55">
        <v>428100</v>
      </c>
    </row>
    <row r="56" spans="2:27" ht="15.75" x14ac:dyDescent="0.25">
      <c r="B56" s="342" t="s">
        <v>253</v>
      </c>
      <c r="C56" s="342"/>
      <c r="D56" s="342"/>
      <c r="E56" s="206" t="s">
        <v>70</v>
      </c>
      <c r="F56" s="206" t="s">
        <v>73</v>
      </c>
      <c r="G56" s="206">
        <v>-1000</v>
      </c>
      <c r="N56" s="342" t="s">
        <v>253</v>
      </c>
      <c r="O56" s="342"/>
      <c r="P56" s="342"/>
      <c r="Q56" s="250" t="s">
        <v>70</v>
      </c>
      <c r="R56" s="250" t="s">
        <v>73</v>
      </c>
      <c r="S56" s="250">
        <v>-1000</v>
      </c>
      <c r="W56" s="4">
        <v>75</v>
      </c>
      <c r="X56">
        <v>555800</v>
      </c>
      <c r="Z56">
        <v>70</v>
      </c>
      <c r="AA56">
        <f>4591400+541100</f>
        <v>5132500</v>
      </c>
    </row>
    <row r="57" spans="2:27" ht="15.75" x14ac:dyDescent="0.25">
      <c r="B57" s="210">
        <v>0</v>
      </c>
      <c r="C57" s="4">
        <v>25000</v>
      </c>
      <c r="D57" s="4" t="s">
        <v>64</v>
      </c>
      <c r="E57" s="206">
        <v>0</v>
      </c>
      <c r="F57" s="206">
        <v>0</v>
      </c>
      <c r="G57" s="234">
        <v>0</v>
      </c>
      <c r="N57" s="210">
        <v>0</v>
      </c>
      <c r="O57" s="4">
        <v>25000</v>
      </c>
      <c r="P57" s="4" t="s">
        <v>64</v>
      </c>
      <c r="Q57" s="250">
        <v>0</v>
      </c>
      <c r="R57" s="250">
        <v>0</v>
      </c>
      <c r="S57" s="234">
        <v>0</v>
      </c>
      <c r="W57" s="4">
        <v>85</v>
      </c>
      <c r="X57">
        <v>689400</v>
      </c>
      <c r="Z57">
        <v>78</v>
      </c>
      <c r="AA57">
        <v>4500100</v>
      </c>
    </row>
    <row r="58" spans="2:27" ht="15.75" x14ac:dyDescent="0.25">
      <c r="B58" s="210">
        <v>25001</v>
      </c>
      <c r="C58" s="4">
        <v>100000</v>
      </c>
      <c r="D58" s="4" t="s">
        <v>64</v>
      </c>
      <c r="E58" s="206">
        <v>0</v>
      </c>
      <c r="F58" s="206">
        <v>0</v>
      </c>
      <c r="G58" s="234">
        <v>0</v>
      </c>
      <c r="N58" s="210">
        <v>25001</v>
      </c>
      <c r="O58" s="4">
        <v>100000</v>
      </c>
      <c r="P58" s="4" t="s">
        <v>64</v>
      </c>
      <c r="Q58" s="250">
        <v>0</v>
      </c>
      <c r="R58" s="250">
        <v>0</v>
      </c>
      <c r="S58" s="234">
        <v>0</v>
      </c>
      <c r="W58" s="4">
        <v>63</v>
      </c>
      <c r="X58">
        <v>474400</v>
      </c>
      <c r="Z58">
        <v>71</v>
      </c>
      <c r="AA58">
        <f>4917900+436600+999700</f>
        <v>6354200</v>
      </c>
    </row>
    <row r="59" spans="2:27" ht="15.75" x14ac:dyDescent="0.25">
      <c r="B59" s="210">
        <v>100001</v>
      </c>
      <c r="C59" s="4">
        <v>500000</v>
      </c>
      <c r="D59" s="4" t="s">
        <v>64</v>
      </c>
      <c r="E59" s="206">
        <v>0</v>
      </c>
      <c r="F59" s="206">
        <v>0</v>
      </c>
      <c r="G59" s="234">
        <v>0</v>
      </c>
      <c r="N59" s="210">
        <v>100001</v>
      </c>
      <c r="O59" s="4">
        <v>500000</v>
      </c>
      <c r="P59" s="4" t="s">
        <v>64</v>
      </c>
      <c r="Q59" s="250">
        <v>0</v>
      </c>
      <c r="R59" s="250">
        <v>0</v>
      </c>
      <c r="S59" s="234">
        <v>0</v>
      </c>
      <c r="W59" s="4">
        <v>14</v>
      </c>
      <c r="X59">
        <v>132300</v>
      </c>
      <c r="Z59">
        <v>21</v>
      </c>
      <c r="AA59">
        <v>1717600</v>
      </c>
    </row>
    <row r="60" spans="2:27" ht="15.75" x14ac:dyDescent="0.25">
      <c r="B60" s="211" t="s">
        <v>68</v>
      </c>
      <c r="C60" s="4">
        <v>500000</v>
      </c>
      <c r="D60" s="4" t="s">
        <v>64</v>
      </c>
      <c r="E60" s="206">
        <f t="shared" ref="E60" si="8">+G60/F60*1000</f>
        <v>2225533.3333333335</v>
      </c>
      <c r="F60" s="206">
        <v>1</v>
      </c>
      <c r="G60" s="234">
        <f>((1298800+1519100+1656500+2545000+2648500+2886100+2934100+4316200+2127900+1971500+1193100+1609600)/12)/1000</f>
        <v>2225.5333333333333</v>
      </c>
      <c r="N60" s="211" t="s">
        <v>68</v>
      </c>
      <c r="O60" s="4">
        <v>500000</v>
      </c>
      <c r="P60" s="4" t="s">
        <v>64</v>
      </c>
      <c r="Q60" s="250">
        <f t="shared" ref="Q60" si="9">+S60/R60*1000</f>
        <v>2225533.3333333335</v>
      </c>
      <c r="R60" s="250">
        <v>1</v>
      </c>
      <c r="S60" s="234">
        <f>((26706400)/12)/1000</f>
        <v>2225.5333333333333</v>
      </c>
      <c r="W60" s="4">
        <v>64</v>
      </c>
      <c r="X60">
        <v>547000</v>
      </c>
      <c r="Z60">
        <v>97</v>
      </c>
      <c r="AA60">
        <f>7534300+336700</f>
        <v>7871000</v>
      </c>
    </row>
    <row r="61" spans="2:27" ht="15.75" x14ac:dyDescent="0.25">
      <c r="B61" s="132"/>
      <c r="C61" s="132"/>
      <c r="D61" s="132"/>
      <c r="E61" s="95"/>
      <c r="F61" s="95"/>
      <c r="G61" s="95"/>
      <c r="N61" s="132"/>
      <c r="O61" s="132"/>
      <c r="P61" s="132"/>
      <c r="Q61" s="95"/>
      <c r="R61" s="95"/>
      <c r="S61" s="95"/>
      <c r="W61" s="4">
        <v>20</v>
      </c>
      <c r="X61">
        <v>119000</v>
      </c>
      <c r="Z61">
        <v>16</v>
      </c>
      <c r="AA61">
        <v>1118800</v>
      </c>
    </row>
    <row r="62" spans="2:27" ht="15.75" x14ac:dyDescent="0.25">
      <c r="B62" s="356" t="s">
        <v>199</v>
      </c>
      <c r="C62" s="356"/>
      <c r="D62" s="356"/>
      <c r="E62" s="206"/>
      <c r="F62" s="206">
        <f>SUM(F57:F60)</f>
        <v>1</v>
      </c>
      <c r="G62" s="206">
        <f>SUM(G57:G60)</f>
        <v>2225.5333333333333</v>
      </c>
      <c r="I62" s="48"/>
      <c r="N62" s="356" t="s">
        <v>199</v>
      </c>
      <c r="O62" s="356"/>
      <c r="P62" s="356"/>
      <c r="Q62" s="250">
        <v>-1</v>
      </c>
      <c r="R62" s="250">
        <f>SUM(R57:R60)</f>
        <v>1</v>
      </c>
      <c r="S62" s="250">
        <f>SUM(S57:S60)</f>
        <v>2225.5333333333333</v>
      </c>
      <c r="W62" s="4">
        <v>28</v>
      </c>
      <c r="X62">
        <v>158700</v>
      </c>
      <c r="Z62">
        <v>12</v>
      </c>
      <c r="AA62">
        <v>867000</v>
      </c>
    </row>
    <row r="63" spans="2:27" ht="15.75" x14ac:dyDescent="0.25">
      <c r="B63" s="356" t="s">
        <v>75</v>
      </c>
      <c r="C63" s="356"/>
      <c r="D63" s="356"/>
      <c r="E63" s="235"/>
      <c r="F63" s="206"/>
      <c r="G63" s="236">
        <f>+G62/F62</f>
        <v>2225.5333333333333</v>
      </c>
      <c r="I63" s="46"/>
      <c r="N63" s="356" t="s">
        <v>75</v>
      </c>
      <c r="O63" s="356"/>
      <c r="P63" s="356"/>
      <c r="Q63" s="235">
        <v>0</v>
      </c>
      <c r="R63" s="250"/>
      <c r="S63" s="236">
        <f>+S62/R62</f>
        <v>2225.5333333333333</v>
      </c>
      <c r="W63" s="4">
        <v>93</v>
      </c>
      <c r="X63">
        <v>540500</v>
      </c>
      <c r="Z63">
        <v>56</v>
      </c>
      <c r="AA63">
        <v>3494800</v>
      </c>
    </row>
    <row r="64" spans="2:27" ht="15.75" x14ac:dyDescent="0.25">
      <c r="B64" s="354" t="s">
        <v>246</v>
      </c>
      <c r="C64" s="354"/>
      <c r="D64" s="354"/>
      <c r="E64" s="95"/>
      <c r="F64" s="95"/>
      <c r="G64" s="237">
        <f>G62*12*1000</f>
        <v>26706400</v>
      </c>
      <c r="N64" s="354" t="s">
        <v>246</v>
      </c>
      <c r="O64" s="354"/>
      <c r="P64" s="354"/>
      <c r="Q64" s="95"/>
      <c r="R64" s="95"/>
      <c r="S64" s="237">
        <f>S62*12*1000</f>
        <v>26706400</v>
      </c>
      <c r="W64" s="4">
        <v>54</v>
      </c>
      <c r="X64">
        <v>362100</v>
      </c>
      <c r="Z64">
        <v>26</v>
      </c>
      <c r="AA64">
        <v>1337700</v>
      </c>
    </row>
    <row r="65" spans="1:27" ht="15.75" x14ac:dyDescent="0.25">
      <c r="B65" s="233"/>
      <c r="C65" s="233"/>
      <c r="D65" s="233"/>
      <c r="E65" s="95"/>
      <c r="F65" s="95"/>
      <c r="G65" s="237"/>
      <c r="W65" s="4">
        <v>18</v>
      </c>
      <c r="X65">
        <v>75100</v>
      </c>
      <c r="Z65">
        <v>11</v>
      </c>
      <c r="AA65">
        <f>668600+110600</f>
        <v>779200</v>
      </c>
    </row>
    <row r="66" spans="1:27" ht="18.75" x14ac:dyDescent="0.3">
      <c r="B66" s="355" t="s">
        <v>302</v>
      </c>
      <c r="C66" s="355"/>
      <c r="D66" s="355"/>
      <c r="E66" s="355"/>
      <c r="F66" s="355"/>
      <c r="G66" s="355"/>
      <c r="W66" s="4">
        <v>149</v>
      </c>
      <c r="X66">
        <v>926500</v>
      </c>
      <c r="Z66">
        <v>73</v>
      </c>
      <c r="AA66">
        <v>4560000</v>
      </c>
    </row>
    <row r="67" spans="1:27" ht="15.75" x14ac:dyDescent="0.25">
      <c r="B67" s="4"/>
      <c r="C67" s="4"/>
      <c r="D67" s="4"/>
      <c r="E67" s="219"/>
      <c r="F67" s="219" t="s">
        <v>71</v>
      </c>
      <c r="G67" s="219" t="s">
        <v>72</v>
      </c>
      <c r="W67" s="4">
        <v>57</v>
      </c>
      <c r="X67">
        <v>313000</v>
      </c>
      <c r="Z67">
        <v>20</v>
      </c>
      <c r="AA67">
        <v>1368700</v>
      </c>
    </row>
    <row r="68" spans="1:27" ht="15.75" x14ac:dyDescent="0.25">
      <c r="B68" s="342" t="s">
        <v>253</v>
      </c>
      <c r="C68" s="342"/>
      <c r="D68" s="342"/>
      <c r="E68" s="219" t="s">
        <v>70</v>
      </c>
      <c r="F68" s="219" t="s">
        <v>73</v>
      </c>
      <c r="G68" s="219">
        <v>-1000</v>
      </c>
      <c r="W68" s="4">
        <v>69</v>
      </c>
      <c r="X68">
        <v>388900</v>
      </c>
      <c r="Z68">
        <v>30</v>
      </c>
      <c r="AA68">
        <v>2147800</v>
      </c>
    </row>
    <row r="69" spans="1:27" ht="15.75" x14ac:dyDescent="0.25">
      <c r="B69" s="210">
        <v>0</v>
      </c>
      <c r="C69" s="4">
        <v>1000</v>
      </c>
      <c r="D69" s="4" t="s">
        <v>64</v>
      </c>
      <c r="E69" s="219">
        <f t="shared" ref="E69" si="10">+G69/F69*1000</f>
        <v>1002745.8333333334</v>
      </c>
      <c r="F69" s="219">
        <v>6</v>
      </c>
      <c r="G69" s="234">
        <f>(72197700/12)/1000</f>
        <v>6016.4750000000004</v>
      </c>
      <c r="W69" s="4">
        <v>72</v>
      </c>
      <c r="X69">
        <v>384400</v>
      </c>
      <c r="Z69">
        <v>23</v>
      </c>
      <c r="AA69">
        <f>1409000+168000</f>
        <v>1577000</v>
      </c>
    </row>
    <row r="70" spans="1:27" ht="15.75" x14ac:dyDescent="0.25">
      <c r="B70" s="210"/>
      <c r="C70" s="4"/>
      <c r="D70" s="4"/>
      <c r="E70" s="219"/>
      <c r="F70" s="219"/>
      <c r="G70" s="234"/>
      <c r="W70" s="4">
        <v>238</v>
      </c>
      <c r="X70">
        <v>1037800</v>
      </c>
      <c r="Z70">
        <v>54</v>
      </c>
      <c r="AA70">
        <v>3425200</v>
      </c>
    </row>
    <row r="71" spans="1:27" ht="15.75" x14ac:dyDescent="0.25">
      <c r="B71" s="356" t="s">
        <v>199</v>
      </c>
      <c r="C71" s="356"/>
      <c r="D71" s="356"/>
      <c r="E71" s="263"/>
      <c r="F71" s="263">
        <f>SUM(F66:F69)</f>
        <v>6</v>
      </c>
      <c r="G71" s="263">
        <f>G69</f>
        <v>6016.4750000000004</v>
      </c>
      <c r="W71" s="4"/>
    </row>
    <row r="72" spans="1:27" ht="15.75" x14ac:dyDescent="0.25">
      <c r="B72" s="356" t="s">
        <v>75</v>
      </c>
      <c r="C72" s="356"/>
      <c r="D72" s="356"/>
      <c r="E72" s="235"/>
      <c r="F72" s="263"/>
      <c r="G72" s="236">
        <f>+G71/F71</f>
        <v>1002.7458333333334</v>
      </c>
      <c r="W72" s="4"/>
    </row>
    <row r="73" spans="1:27" ht="15.75" x14ac:dyDescent="0.25">
      <c r="B73" s="354" t="s">
        <v>246</v>
      </c>
      <c r="C73" s="354"/>
      <c r="D73" s="354"/>
      <c r="E73" s="95"/>
      <c r="F73" s="95"/>
      <c r="G73" s="237">
        <f>G71*12*1000</f>
        <v>72197700.000000015</v>
      </c>
      <c r="W73" s="4"/>
    </row>
    <row r="74" spans="1:27" ht="15.75" x14ac:dyDescent="0.25">
      <c r="B74" s="300"/>
      <c r="C74" s="300"/>
      <c r="D74" s="300"/>
      <c r="E74" s="301"/>
      <c r="F74" s="301"/>
      <c r="G74" s="237"/>
      <c r="W74" s="4"/>
    </row>
    <row r="75" spans="1:27" ht="15.75" x14ac:dyDescent="0.25">
      <c r="A75" s="333" t="s">
        <v>341</v>
      </c>
      <c r="B75" s="300"/>
      <c r="C75" s="300"/>
      <c r="D75" s="300"/>
      <c r="E75" s="334"/>
      <c r="F75" s="332">
        <v>9884000</v>
      </c>
      <c r="G75" s="237" t="s">
        <v>332</v>
      </c>
      <c r="W75" s="4"/>
    </row>
    <row r="76" spans="1:27" ht="15.75" x14ac:dyDescent="0.25">
      <c r="B76" s="300"/>
      <c r="C76" s="300"/>
      <c r="D76" s="300"/>
      <c r="E76" s="301"/>
      <c r="F76" s="301"/>
      <c r="G76" s="237"/>
      <c r="W76" s="4"/>
    </row>
    <row r="77" spans="1:27" ht="15.75" x14ac:dyDescent="0.25">
      <c r="A77" s="23" t="s">
        <v>342</v>
      </c>
      <c r="C77" s="4"/>
      <c r="D77" s="4"/>
      <c r="E77" s="4"/>
      <c r="F77" s="4"/>
      <c r="G77" s="4"/>
      <c r="H77" s="4"/>
      <c r="W77" s="4"/>
    </row>
    <row r="78" spans="1:27" ht="15.75" x14ac:dyDescent="0.25">
      <c r="A78" s="4" t="s">
        <v>328</v>
      </c>
      <c r="B78" s="4"/>
      <c r="C78" s="4"/>
      <c r="D78" s="4"/>
      <c r="E78" s="4"/>
      <c r="F78" s="4"/>
      <c r="G78" s="4"/>
      <c r="H78" s="4"/>
      <c r="W78" s="4"/>
    </row>
    <row r="79" spans="1:27" ht="15.75" x14ac:dyDescent="0.25">
      <c r="A79" s="4" t="s">
        <v>329</v>
      </c>
      <c r="B79" s="4"/>
      <c r="C79" s="4"/>
      <c r="D79" s="4"/>
      <c r="E79" s="4"/>
      <c r="F79" s="4"/>
      <c r="G79" s="4"/>
      <c r="H79" s="4"/>
      <c r="W79" s="4"/>
    </row>
    <row r="80" spans="1:27" ht="18.75" x14ac:dyDescent="0.3">
      <c r="A80" s="1"/>
      <c r="C80" s="4"/>
      <c r="D80" s="4"/>
      <c r="E80" s="358"/>
      <c r="F80" s="358"/>
      <c r="G80" s="358"/>
      <c r="H80" s="302"/>
      <c r="W80" s="4"/>
    </row>
    <row r="81" spans="1:23" ht="18.75" x14ac:dyDescent="0.3">
      <c r="A81" s="4"/>
      <c r="B81" s="355" t="s">
        <v>257</v>
      </c>
      <c r="C81" s="355"/>
      <c r="D81" s="355"/>
      <c r="E81" s="355"/>
      <c r="F81" s="355"/>
      <c r="G81" s="355"/>
      <c r="H81" s="4"/>
      <c r="W81" s="4"/>
    </row>
    <row r="82" spans="1:23" ht="18" x14ac:dyDescent="0.4">
      <c r="A82" s="4"/>
      <c r="B82" s="4"/>
      <c r="C82" s="4"/>
      <c r="D82" s="4"/>
      <c r="E82" s="297"/>
      <c r="F82" s="297" t="s">
        <v>71</v>
      </c>
      <c r="G82" s="297" t="s">
        <v>72</v>
      </c>
      <c r="H82" s="303"/>
      <c r="I82" s="48">
        <f>F62+F50+F38+F26+F14</f>
        <v>5845</v>
      </c>
      <c r="W82" s="4"/>
    </row>
    <row r="83" spans="1:23" ht="15.75" x14ac:dyDescent="0.25">
      <c r="A83" s="4"/>
      <c r="B83" s="342" t="s">
        <v>253</v>
      </c>
      <c r="C83" s="342"/>
      <c r="D83" s="342"/>
      <c r="E83" s="297" t="s">
        <v>70</v>
      </c>
      <c r="F83" s="297" t="s">
        <v>73</v>
      </c>
      <c r="G83" s="22">
        <v>-1000</v>
      </c>
      <c r="H83" s="4"/>
      <c r="I83" s="48">
        <f>I82*1.064</f>
        <v>6219.08</v>
      </c>
      <c r="W83" s="4"/>
    </row>
    <row r="84" spans="1:23" ht="15.75" x14ac:dyDescent="0.25">
      <c r="A84" s="4"/>
      <c r="B84" s="210">
        <v>0</v>
      </c>
      <c r="C84" s="4">
        <v>2000</v>
      </c>
      <c r="D84" s="4" t="s">
        <v>64</v>
      </c>
      <c r="E84" s="22">
        <v>505</v>
      </c>
      <c r="F84" s="22">
        <f>F9*1.064</f>
        <v>3862.32</v>
      </c>
      <c r="G84" s="238">
        <f>E84*F84/1000</f>
        <v>1950.4716000000001</v>
      </c>
      <c r="H84" s="148"/>
      <c r="W84" s="4"/>
    </row>
    <row r="85" spans="1:23" ht="15.75" x14ac:dyDescent="0.25">
      <c r="A85" s="4"/>
      <c r="B85" s="210">
        <v>2001</v>
      </c>
      <c r="C85" s="4">
        <v>100000</v>
      </c>
      <c r="D85" s="4" t="s">
        <v>64</v>
      </c>
      <c r="E85" s="22">
        <v>5856</v>
      </c>
      <c r="F85" s="22">
        <v>2249</v>
      </c>
      <c r="G85" s="238">
        <f>F85*E85/1000</f>
        <v>13170.144</v>
      </c>
      <c r="H85" s="148"/>
      <c r="I85" s="48">
        <f>F89+F101+F113+F125+F137</f>
        <v>6219.32</v>
      </c>
      <c r="W85" s="4"/>
    </row>
    <row r="86" spans="1:23" ht="15.75" x14ac:dyDescent="0.25">
      <c r="A86" s="4"/>
      <c r="B86" s="210">
        <v>100001</v>
      </c>
      <c r="C86" s="4">
        <v>500000</v>
      </c>
      <c r="D86" s="4" t="s">
        <v>64</v>
      </c>
      <c r="E86" s="22">
        <v>0</v>
      </c>
      <c r="F86" s="22">
        <v>0</v>
      </c>
      <c r="G86" s="238"/>
      <c r="H86" s="148"/>
      <c r="W86" s="4"/>
    </row>
    <row r="87" spans="1:23" ht="15.75" x14ac:dyDescent="0.25">
      <c r="A87" s="4"/>
      <c r="B87" s="211" t="s">
        <v>68</v>
      </c>
      <c r="C87" s="4">
        <v>500000</v>
      </c>
      <c r="D87" s="4" t="s">
        <v>64</v>
      </c>
      <c r="E87" s="22">
        <v>0</v>
      </c>
      <c r="F87" s="239">
        <v>0</v>
      </c>
      <c r="G87" s="240"/>
      <c r="H87" s="148"/>
      <c r="W87" s="4"/>
    </row>
    <row r="88" spans="1:23" ht="15.75" x14ac:dyDescent="0.25">
      <c r="A88" s="4"/>
      <c r="B88" s="132"/>
      <c r="C88" s="132"/>
      <c r="D88" s="132"/>
      <c r="E88" s="301"/>
      <c r="F88" s="301"/>
      <c r="G88" s="301"/>
      <c r="H88" s="148"/>
      <c r="W88" s="4"/>
    </row>
    <row r="89" spans="1:23" ht="15.75" x14ac:dyDescent="0.25">
      <c r="A89" s="4"/>
      <c r="B89" s="356" t="s">
        <v>199</v>
      </c>
      <c r="C89" s="356"/>
      <c r="D89" s="356"/>
      <c r="E89" s="301"/>
      <c r="F89" s="297">
        <f>SUM(F84:F87)</f>
        <v>6111.32</v>
      </c>
      <c r="G89" s="297">
        <f>SUM(G84:G87)</f>
        <v>15120.615600000001</v>
      </c>
      <c r="H89" s="149"/>
      <c r="W89" s="4"/>
    </row>
    <row r="90" spans="1:23" ht="18" x14ac:dyDescent="0.4">
      <c r="A90" s="4"/>
      <c r="B90" s="356" t="s">
        <v>75</v>
      </c>
      <c r="C90" s="356"/>
      <c r="D90" s="356"/>
      <c r="E90" s="235"/>
      <c r="F90" s="297"/>
      <c r="G90" s="236">
        <f>+G89/F89</f>
        <v>2.4741979801417702</v>
      </c>
      <c r="H90" s="24"/>
      <c r="W90" s="4"/>
    </row>
    <row r="91" spans="1:23" ht="15.75" x14ac:dyDescent="0.25">
      <c r="A91" s="4"/>
      <c r="B91" s="354" t="s">
        <v>246</v>
      </c>
      <c r="C91" s="354"/>
      <c r="D91" s="354"/>
      <c r="E91" s="301"/>
      <c r="F91" s="301"/>
      <c r="G91" s="237">
        <f>G89*12*1000</f>
        <v>181447387.19999999</v>
      </c>
      <c r="H91" s="4"/>
      <c r="W91" s="4"/>
    </row>
    <row r="92" spans="1:23" ht="15.75" x14ac:dyDescent="0.25">
      <c r="A92" s="4"/>
      <c r="B92" s="4"/>
      <c r="C92" s="4"/>
      <c r="D92" s="4"/>
      <c r="E92" s="93"/>
      <c r="F92" s="4"/>
      <c r="G92" s="98"/>
      <c r="H92" s="98"/>
      <c r="W92" s="4"/>
    </row>
    <row r="93" spans="1:23" ht="18.75" x14ac:dyDescent="0.3">
      <c r="A93" s="4"/>
      <c r="B93" s="355" t="s">
        <v>256</v>
      </c>
      <c r="C93" s="355"/>
      <c r="D93" s="355"/>
      <c r="E93" s="355"/>
      <c r="F93" s="355"/>
      <c r="G93" s="355"/>
      <c r="H93" s="98"/>
      <c r="W93" s="4"/>
    </row>
    <row r="94" spans="1:23" ht="15.75" x14ac:dyDescent="0.25">
      <c r="A94" s="4"/>
      <c r="B94" s="4"/>
      <c r="C94" s="4"/>
      <c r="D94" s="4"/>
      <c r="E94" s="297"/>
      <c r="F94" s="297" t="s">
        <v>71</v>
      </c>
      <c r="G94" s="297" t="s">
        <v>72</v>
      </c>
      <c r="H94" s="98"/>
      <c r="W94" s="4"/>
    </row>
    <row r="95" spans="1:23" ht="18.75" x14ac:dyDescent="0.3">
      <c r="A95" s="4"/>
      <c r="B95" s="342" t="s">
        <v>253</v>
      </c>
      <c r="C95" s="342"/>
      <c r="D95" s="342"/>
      <c r="E95" s="297" t="s">
        <v>70</v>
      </c>
      <c r="F95" s="297" t="s">
        <v>73</v>
      </c>
      <c r="G95" s="22">
        <v>-1000</v>
      </c>
      <c r="H95" s="302"/>
      <c r="W95" s="4"/>
    </row>
    <row r="96" spans="1:23" ht="15.75" x14ac:dyDescent="0.25">
      <c r="A96" s="4"/>
      <c r="B96" s="210">
        <v>0</v>
      </c>
      <c r="C96" s="4">
        <v>4000</v>
      </c>
      <c r="D96" s="4" t="s">
        <v>64</v>
      </c>
      <c r="E96" s="4">
        <f>E21</f>
        <v>1180.1020408163265</v>
      </c>
      <c r="F96" s="4">
        <f>49</f>
        <v>49</v>
      </c>
      <c r="G96" s="148">
        <f>(F96*E96)/1000</f>
        <v>57.825000000000003</v>
      </c>
      <c r="H96" s="4"/>
      <c r="W96" s="4"/>
    </row>
    <row r="97" spans="1:23" ht="18" x14ac:dyDescent="0.4">
      <c r="A97" s="4"/>
      <c r="B97" s="210">
        <v>4001</v>
      </c>
      <c r="C97" s="4">
        <v>100000</v>
      </c>
      <c r="D97" s="4" t="s">
        <v>64</v>
      </c>
      <c r="E97" s="4">
        <f>E22</f>
        <v>13666.091954022988</v>
      </c>
      <c r="F97" s="4">
        <f>F22</f>
        <v>29</v>
      </c>
      <c r="G97" s="148">
        <f>(F97*E97)/1000</f>
        <v>396.31666666666661</v>
      </c>
      <c r="H97" s="303"/>
      <c r="W97" s="4"/>
    </row>
    <row r="98" spans="1:23" ht="15.75" x14ac:dyDescent="0.25">
      <c r="A98" s="4"/>
      <c r="B98" s="210">
        <v>100001</v>
      </c>
      <c r="C98" s="4">
        <v>500000</v>
      </c>
      <c r="D98" s="4" t="s">
        <v>64</v>
      </c>
      <c r="E98" s="4">
        <v>0</v>
      </c>
      <c r="F98" s="4">
        <v>0</v>
      </c>
      <c r="G98" s="148"/>
      <c r="H98" s="4"/>
      <c r="W98" s="4"/>
    </row>
    <row r="99" spans="1:23" ht="15.75" x14ac:dyDescent="0.25">
      <c r="A99" s="4"/>
      <c r="B99" s="211" t="s">
        <v>68</v>
      </c>
      <c r="C99" s="4">
        <v>500000</v>
      </c>
      <c r="D99" s="4" t="s">
        <v>64</v>
      </c>
      <c r="E99" s="4">
        <v>0</v>
      </c>
      <c r="F99" s="9">
        <v>0</v>
      </c>
      <c r="G99" s="212">
        <v>0</v>
      </c>
      <c r="H99" s="148"/>
      <c r="W99" s="4"/>
    </row>
    <row r="100" spans="1:23" ht="15.75" x14ac:dyDescent="0.25">
      <c r="A100" s="4"/>
      <c r="B100" s="132"/>
      <c r="C100" s="132"/>
      <c r="D100" s="132"/>
      <c r="E100" s="132"/>
      <c r="F100" s="132"/>
      <c r="G100" s="132"/>
      <c r="H100" s="148"/>
      <c r="W100" s="4"/>
    </row>
    <row r="101" spans="1:23" ht="15.75" x14ac:dyDescent="0.25">
      <c r="A101" s="4"/>
      <c r="B101" s="356" t="s">
        <v>199</v>
      </c>
      <c r="C101" s="356"/>
      <c r="D101" s="356"/>
      <c r="E101" s="132"/>
      <c r="F101" s="4">
        <f>SUM(F96:F99)</f>
        <v>78</v>
      </c>
      <c r="G101" s="4">
        <f>SUM(G96:G99)</f>
        <v>454.14166666666659</v>
      </c>
      <c r="H101" s="148"/>
      <c r="W101" s="4"/>
    </row>
    <row r="102" spans="1:23" ht="15.75" x14ac:dyDescent="0.25">
      <c r="A102" s="4"/>
      <c r="B102" s="356" t="s">
        <v>75</v>
      </c>
      <c r="C102" s="356"/>
      <c r="D102" s="356"/>
      <c r="E102" s="155"/>
      <c r="F102" s="4"/>
      <c r="G102" s="98">
        <f>+G101/F101</f>
        <v>5.8223290598290589</v>
      </c>
      <c r="H102" s="148"/>
      <c r="W102" s="4"/>
    </row>
    <row r="103" spans="1:23" ht="15.75" x14ac:dyDescent="0.25">
      <c r="A103" s="4"/>
      <c r="B103" s="354" t="s">
        <v>246</v>
      </c>
      <c r="C103" s="354"/>
      <c r="D103" s="354"/>
      <c r="E103" s="132"/>
      <c r="F103" s="132"/>
      <c r="G103" s="213">
        <f>G101*12*1000</f>
        <v>5449699.9999999991</v>
      </c>
      <c r="H103" s="148"/>
      <c r="W103" s="4"/>
    </row>
    <row r="104" spans="1:23" ht="18" x14ac:dyDescent="0.4">
      <c r="A104" s="4"/>
      <c r="B104" s="297"/>
      <c r="C104" s="4"/>
      <c r="D104" s="4"/>
      <c r="E104" s="24"/>
      <c r="F104" s="24"/>
      <c r="G104" s="149"/>
      <c r="H104" s="149"/>
      <c r="W104" s="4"/>
    </row>
    <row r="105" spans="1:23" ht="20.25" x14ac:dyDescent="0.4">
      <c r="A105" s="4"/>
      <c r="B105" s="357" t="s">
        <v>254</v>
      </c>
      <c r="C105" s="357"/>
      <c r="D105" s="357"/>
      <c r="E105" s="357"/>
      <c r="F105" s="357"/>
      <c r="G105" s="357"/>
      <c r="H105" s="24"/>
      <c r="W105" s="4"/>
    </row>
    <row r="106" spans="1:23" ht="15.75" x14ac:dyDescent="0.25">
      <c r="A106" s="4"/>
      <c r="B106" s="4"/>
      <c r="C106" s="4"/>
      <c r="D106" s="4"/>
      <c r="E106" s="297"/>
      <c r="F106" s="297" t="s">
        <v>71</v>
      </c>
      <c r="G106" s="297" t="s">
        <v>72</v>
      </c>
      <c r="H106" s="4"/>
      <c r="W106" s="4"/>
    </row>
    <row r="107" spans="1:23" ht="15.75" x14ac:dyDescent="0.25">
      <c r="A107" s="4"/>
      <c r="B107" s="342" t="s">
        <v>253</v>
      </c>
      <c r="C107" s="342"/>
      <c r="D107" s="342"/>
      <c r="E107" s="297" t="s">
        <v>70</v>
      </c>
      <c r="F107" s="297" t="s">
        <v>73</v>
      </c>
      <c r="G107" s="297">
        <v>-1000</v>
      </c>
      <c r="H107" s="98"/>
      <c r="W107" s="4"/>
    </row>
    <row r="108" spans="1:23" ht="15.75" x14ac:dyDescent="0.25">
      <c r="B108" s="210">
        <v>0</v>
      </c>
      <c r="C108" s="4">
        <v>8000</v>
      </c>
      <c r="D108" s="4" t="s">
        <v>64</v>
      </c>
      <c r="E108" s="4">
        <f t="shared" ref="E108:E110" si="11">+G108/F108*1000</f>
        <v>1331.25</v>
      </c>
      <c r="F108" s="4">
        <v>4</v>
      </c>
      <c r="G108" s="148">
        <f>((12600+33400+10300+7600)/12)/1000</f>
        <v>5.3250000000000002</v>
      </c>
      <c r="W108" s="4"/>
    </row>
    <row r="109" spans="1:23" ht="15.75" x14ac:dyDescent="0.25">
      <c r="B109" s="210">
        <v>8001</v>
      </c>
      <c r="C109" s="4">
        <v>100000</v>
      </c>
      <c r="D109" s="4" t="s">
        <v>64</v>
      </c>
      <c r="E109" s="4">
        <f t="shared" si="11"/>
        <v>53662.5</v>
      </c>
      <c r="F109" s="4">
        <v>2</v>
      </c>
      <c r="G109" s="148">
        <f>((133900+450900+103200+124200+379100+96600)/12)/1000</f>
        <v>107.325</v>
      </c>
      <c r="W109" s="4"/>
    </row>
    <row r="110" spans="1:23" ht="15.75" x14ac:dyDescent="0.25">
      <c r="B110" s="210">
        <v>100001</v>
      </c>
      <c r="C110" s="4">
        <v>500000</v>
      </c>
      <c r="D110" s="4" t="s">
        <v>64</v>
      </c>
      <c r="E110" s="4">
        <f t="shared" si="11"/>
        <v>467791.66666666669</v>
      </c>
      <c r="F110" s="4">
        <v>1</v>
      </c>
      <c r="G110" s="148">
        <f>((1204300+525100+1335300+755500+841000+952300)/12)/1000</f>
        <v>467.79166666666669</v>
      </c>
      <c r="W110" s="4"/>
    </row>
    <row r="111" spans="1:23" ht="15.75" x14ac:dyDescent="0.25">
      <c r="B111" s="211" t="s">
        <v>68</v>
      </c>
      <c r="C111" s="4">
        <v>500000</v>
      </c>
      <c r="D111" s="4" t="s">
        <v>64</v>
      </c>
      <c r="E111" s="4">
        <v>0</v>
      </c>
      <c r="F111" s="9">
        <v>0</v>
      </c>
      <c r="G111" s="148"/>
      <c r="W111" s="4"/>
    </row>
    <row r="112" spans="1:23" ht="15.75" x14ac:dyDescent="0.25">
      <c r="B112" s="132"/>
      <c r="C112" s="132"/>
      <c r="D112" s="132"/>
      <c r="E112" s="132"/>
      <c r="F112" s="132"/>
      <c r="G112" s="132"/>
      <c r="W112" s="4"/>
    </row>
    <row r="113" spans="2:23" ht="15.75" x14ac:dyDescent="0.25">
      <c r="B113" s="356" t="s">
        <v>199</v>
      </c>
      <c r="C113" s="356"/>
      <c r="D113" s="356"/>
      <c r="E113" s="132"/>
      <c r="F113" s="4">
        <f>SUM(F108:F111)</f>
        <v>7</v>
      </c>
      <c r="G113" s="4">
        <f>SUM(G108:G111)</f>
        <v>580.44166666666672</v>
      </c>
      <c r="W113" s="4"/>
    </row>
    <row r="114" spans="2:23" ht="15.75" x14ac:dyDescent="0.25">
      <c r="B114" s="356" t="s">
        <v>75</v>
      </c>
      <c r="C114" s="356"/>
      <c r="D114" s="356"/>
      <c r="E114" s="155"/>
      <c r="F114" s="4"/>
      <c r="G114" s="98">
        <f>+G113/F113</f>
        <v>82.920238095238105</v>
      </c>
      <c r="W114" s="4"/>
    </row>
    <row r="115" spans="2:23" ht="15.75" x14ac:dyDescent="0.25">
      <c r="B115" s="354" t="s">
        <v>246</v>
      </c>
      <c r="C115" s="354"/>
      <c r="D115" s="354"/>
      <c r="E115" s="132"/>
      <c r="F115" s="132"/>
      <c r="G115" s="213">
        <f>G113*12*1000</f>
        <v>6965300.0000000009</v>
      </c>
      <c r="W115" s="4"/>
    </row>
    <row r="116" spans="2:23" ht="15.75" x14ac:dyDescent="0.25">
      <c r="W116" s="4"/>
    </row>
    <row r="117" spans="2:23" ht="18.75" x14ac:dyDescent="0.3">
      <c r="B117" s="355" t="s">
        <v>255</v>
      </c>
      <c r="C117" s="355"/>
      <c r="D117" s="355"/>
      <c r="E117" s="355"/>
      <c r="F117" s="355"/>
      <c r="G117" s="355"/>
      <c r="W117" s="4"/>
    </row>
    <row r="118" spans="2:23" ht="15.75" x14ac:dyDescent="0.25">
      <c r="B118" s="4"/>
      <c r="C118" s="4"/>
      <c r="D118" s="4"/>
      <c r="E118" s="297"/>
      <c r="F118" s="297" t="s">
        <v>71</v>
      </c>
      <c r="G118" s="297" t="s">
        <v>72</v>
      </c>
      <c r="W118" s="4"/>
    </row>
    <row r="119" spans="2:23" ht="15.75" x14ac:dyDescent="0.25">
      <c r="B119" s="342" t="s">
        <v>253</v>
      </c>
      <c r="C119" s="342"/>
      <c r="D119" s="342"/>
      <c r="E119" s="297" t="s">
        <v>70</v>
      </c>
      <c r="F119" s="297" t="s">
        <v>73</v>
      </c>
      <c r="G119" s="22">
        <v>-1000</v>
      </c>
      <c r="W119" s="4"/>
    </row>
    <row r="120" spans="2:23" ht="15.75" x14ac:dyDescent="0.25">
      <c r="B120" s="210">
        <v>0</v>
      </c>
      <c r="C120" s="4">
        <v>15000</v>
      </c>
      <c r="D120" s="4" t="s">
        <v>64</v>
      </c>
      <c r="E120" s="4">
        <f t="shared" ref="E120:E122" si="12">+G120/F120*1000</f>
        <v>2497.0588235294117</v>
      </c>
      <c r="F120" s="4">
        <v>17</v>
      </c>
      <c r="G120" s="148">
        <f>((52200+44600+98300+14900+9700+28700+35200+20700+24400+84300+3400+29200+9000+4300+50500)/12)/1000</f>
        <v>42.45</v>
      </c>
      <c r="W120" s="4"/>
    </row>
    <row r="121" spans="2:23" ht="15.75" x14ac:dyDescent="0.25">
      <c r="B121" s="210">
        <v>15001</v>
      </c>
      <c r="C121" s="4">
        <v>100000</v>
      </c>
      <c r="D121" s="4" t="s">
        <v>64</v>
      </c>
      <c r="E121" s="4">
        <f t="shared" si="12"/>
        <v>70064.583333333328</v>
      </c>
      <c r="F121" s="4">
        <v>4</v>
      </c>
      <c r="G121" s="148">
        <f>((382500+141600+41000+77300+274000+498300+345200+579600+266100+197100+19000+216700+324700)/12)/1000</f>
        <v>280.25833333333333</v>
      </c>
      <c r="W121" s="4"/>
    </row>
    <row r="122" spans="2:23" ht="15.75" x14ac:dyDescent="0.25">
      <c r="B122" s="210">
        <v>100001</v>
      </c>
      <c r="C122" s="4">
        <v>500000</v>
      </c>
      <c r="D122" s="4" t="s">
        <v>64</v>
      </c>
      <c r="E122" s="4">
        <f t="shared" si="12"/>
        <v>279116.66666666669</v>
      </c>
      <c r="F122" s="4">
        <v>1</v>
      </c>
      <c r="G122" s="148">
        <f>((988200+261400+774300+1325500)/12)/1000</f>
        <v>279.11666666666667</v>
      </c>
      <c r="W122" s="4"/>
    </row>
    <row r="123" spans="2:23" ht="15.75" x14ac:dyDescent="0.25">
      <c r="B123" s="211" t="s">
        <v>68</v>
      </c>
      <c r="C123" s="4">
        <v>500000</v>
      </c>
      <c r="D123" s="4" t="s">
        <v>64</v>
      </c>
      <c r="E123" s="4">
        <v>0</v>
      </c>
      <c r="F123" s="9">
        <v>0</v>
      </c>
      <c r="G123" s="148"/>
      <c r="W123" s="4"/>
    </row>
    <row r="124" spans="2:23" ht="15.75" x14ac:dyDescent="0.25">
      <c r="B124" s="132"/>
      <c r="C124" s="132"/>
      <c r="D124" s="132"/>
      <c r="E124" s="132"/>
      <c r="F124" s="132"/>
      <c r="G124" s="132"/>
      <c r="W124" s="4"/>
    </row>
    <row r="125" spans="2:23" ht="15.75" x14ac:dyDescent="0.25">
      <c r="B125" s="356" t="s">
        <v>199</v>
      </c>
      <c r="C125" s="356"/>
      <c r="D125" s="356"/>
      <c r="E125" s="132"/>
      <c r="F125" s="4">
        <f>SUM(F120:F123)</f>
        <v>22</v>
      </c>
      <c r="G125" s="4">
        <f>SUM(G120:G123)</f>
        <v>601.82500000000005</v>
      </c>
      <c r="W125" s="4"/>
    </row>
    <row r="126" spans="2:23" ht="15.75" x14ac:dyDescent="0.25">
      <c r="B126" s="356" t="s">
        <v>75</v>
      </c>
      <c r="C126" s="356"/>
      <c r="D126" s="356"/>
      <c r="E126" s="155"/>
      <c r="F126" s="4"/>
      <c r="G126" s="98">
        <f>+G125/F125</f>
        <v>27.355681818181822</v>
      </c>
      <c r="W126" s="4"/>
    </row>
    <row r="127" spans="2:23" ht="15.75" x14ac:dyDescent="0.25">
      <c r="B127" s="354" t="s">
        <v>246</v>
      </c>
      <c r="C127" s="354"/>
      <c r="D127" s="354"/>
      <c r="E127" s="132"/>
      <c r="F127" s="132"/>
      <c r="G127" s="213">
        <f>G125*12*1000</f>
        <v>7221900.0000000009</v>
      </c>
      <c r="W127" s="4"/>
    </row>
    <row r="128" spans="2:23" ht="15.75" x14ac:dyDescent="0.25">
      <c r="W128" s="4"/>
    </row>
    <row r="129" spans="2:27" ht="18.75" x14ac:dyDescent="0.3">
      <c r="B129" s="355" t="s">
        <v>258</v>
      </c>
      <c r="C129" s="355"/>
      <c r="D129" s="355"/>
      <c r="E129" s="355"/>
      <c r="F129" s="355"/>
      <c r="G129" s="355"/>
      <c r="W129" s="4"/>
    </row>
    <row r="130" spans="2:27" ht="15.75" x14ac:dyDescent="0.25">
      <c r="B130" s="4"/>
      <c r="C130" s="4"/>
      <c r="D130" s="4"/>
      <c r="E130" s="297"/>
      <c r="F130" s="297" t="s">
        <v>71</v>
      </c>
      <c r="G130" s="297" t="s">
        <v>72</v>
      </c>
      <c r="W130" s="4"/>
    </row>
    <row r="131" spans="2:27" ht="15.75" x14ac:dyDescent="0.25">
      <c r="B131" s="342" t="s">
        <v>253</v>
      </c>
      <c r="C131" s="342"/>
      <c r="D131" s="342"/>
      <c r="E131" s="297" t="s">
        <v>70</v>
      </c>
      <c r="F131" s="297" t="s">
        <v>73</v>
      </c>
      <c r="G131" s="297">
        <v>-1000</v>
      </c>
      <c r="W131" s="4"/>
    </row>
    <row r="132" spans="2:27" ht="15.75" x14ac:dyDescent="0.25">
      <c r="B132" s="210">
        <v>0</v>
      </c>
      <c r="C132" s="4">
        <v>25000</v>
      </c>
      <c r="D132" s="4" t="s">
        <v>64</v>
      </c>
      <c r="E132" s="297">
        <v>0</v>
      </c>
      <c r="F132" s="297">
        <v>0</v>
      </c>
      <c r="G132" s="234">
        <v>0</v>
      </c>
      <c r="W132" s="4"/>
    </row>
    <row r="133" spans="2:27" ht="15.75" x14ac:dyDescent="0.25">
      <c r="B133" s="210">
        <v>25001</v>
      </c>
      <c r="C133" s="4">
        <v>100000</v>
      </c>
      <c r="D133" s="4" t="s">
        <v>64</v>
      </c>
      <c r="E133" s="297">
        <v>0</v>
      </c>
      <c r="F133" s="297">
        <v>0</v>
      </c>
      <c r="G133" s="234">
        <v>0</v>
      </c>
      <c r="W133" s="4"/>
    </row>
    <row r="134" spans="2:27" ht="15.75" x14ac:dyDescent="0.25">
      <c r="B134" s="210">
        <v>100001</v>
      </c>
      <c r="C134" s="4">
        <v>500000</v>
      </c>
      <c r="D134" s="4" t="s">
        <v>64</v>
      </c>
      <c r="E134" s="297">
        <v>0</v>
      </c>
      <c r="F134" s="297">
        <v>0</v>
      </c>
      <c r="G134" s="234">
        <v>0</v>
      </c>
      <c r="W134" s="4"/>
    </row>
    <row r="135" spans="2:27" ht="15.75" x14ac:dyDescent="0.25">
      <c r="B135" s="211" t="s">
        <v>68</v>
      </c>
      <c r="C135" s="4">
        <v>500000</v>
      </c>
      <c r="D135" s="4" t="s">
        <v>64</v>
      </c>
      <c r="E135" s="297">
        <f t="shared" ref="E135" si="13">+G135/F135*1000</f>
        <v>2225533.3333333335</v>
      </c>
      <c r="F135" s="297">
        <v>1</v>
      </c>
      <c r="G135" s="234">
        <f>((1298800+1519100+1656500+2545000+2648500+2886100+2934100+4316200+2127900+1971500+1193100+1609600)/12)/1000</f>
        <v>2225.5333333333333</v>
      </c>
      <c r="W135" s="4"/>
    </row>
    <row r="136" spans="2:27" ht="15.75" x14ac:dyDescent="0.25">
      <c r="B136" s="132"/>
      <c r="C136" s="132"/>
      <c r="D136" s="132"/>
      <c r="E136" s="301"/>
      <c r="F136" s="301"/>
      <c r="G136" s="301"/>
      <c r="W136" s="4"/>
    </row>
    <row r="137" spans="2:27" ht="15.75" x14ac:dyDescent="0.25">
      <c r="B137" s="356" t="s">
        <v>199</v>
      </c>
      <c r="C137" s="356"/>
      <c r="D137" s="356"/>
      <c r="E137" s="297"/>
      <c r="F137" s="297">
        <f>SUM(F132:F135)</f>
        <v>1</v>
      </c>
      <c r="G137" s="297">
        <f>SUM(G132:G135)</f>
        <v>2225.5333333333333</v>
      </c>
      <c r="W137" s="4"/>
    </row>
    <row r="138" spans="2:27" ht="15.75" x14ac:dyDescent="0.25">
      <c r="B138" s="356" t="s">
        <v>75</v>
      </c>
      <c r="C138" s="356"/>
      <c r="D138" s="356"/>
      <c r="E138" s="235"/>
      <c r="F138" s="297"/>
      <c r="G138" s="236">
        <f>+G137/F137</f>
        <v>2225.5333333333333</v>
      </c>
      <c r="W138" s="4"/>
    </row>
    <row r="139" spans="2:27" ht="15.75" x14ac:dyDescent="0.25">
      <c r="B139" s="354" t="s">
        <v>246</v>
      </c>
      <c r="C139" s="354"/>
      <c r="D139" s="354"/>
      <c r="E139" s="301"/>
      <c r="F139" s="301"/>
      <c r="G139" s="237">
        <f>G137*12*1000</f>
        <v>26706400</v>
      </c>
      <c r="W139" s="4"/>
    </row>
    <row r="140" spans="2:27" ht="15.75" x14ac:dyDescent="0.25">
      <c r="B140" s="300"/>
      <c r="C140" s="300"/>
      <c r="D140" s="300"/>
      <c r="E140" s="301"/>
      <c r="F140" s="301"/>
      <c r="G140" s="237"/>
      <c r="W140" s="4"/>
    </row>
    <row r="141" spans="2:27" ht="18.75" x14ac:dyDescent="0.3">
      <c r="B141" s="355" t="s">
        <v>302</v>
      </c>
      <c r="C141" s="355"/>
      <c r="D141" s="355"/>
      <c r="E141" s="355"/>
      <c r="F141" s="355"/>
      <c r="G141" s="355"/>
      <c r="W141" s="4"/>
    </row>
    <row r="142" spans="2:27" ht="15.75" x14ac:dyDescent="0.25">
      <c r="B142" s="4"/>
      <c r="C142" s="4"/>
      <c r="D142" s="4"/>
      <c r="E142" s="297"/>
      <c r="F142" s="297" t="s">
        <v>71</v>
      </c>
      <c r="G142" s="297" t="s">
        <v>72</v>
      </c>
      <c r="W142" s="4"/>
    </row>
    <row r="143" spans="2:27" ht="15.75" x14ac:dyDescent="0.25">
      <c r="B143" s="342" t="s">
        <v>253</v>
      </c>
      <c r="C143" s="342"/>
      <c r="D143" s="342"/>
      <c r="E143" s="297" t="s">
        <v>70</v>
      </c>
      <c r="F143" s="297" t="s">
        <v>73</v>
      </c>
      <c r="G143" s="297">
        <v>-1000</v>
      </c>
      <c r="W143" s="4">
        <v>86</v>
      </c>
      <c r="X143">
        <v>418700</v>
      </c>
      <c r="Z143">
        <v>33</v>
      </c>
      <c r="AA143">
        <v>2871600</v>
      </c>
    </row>
    <row r="144" spans="2:27" ht="15.75" x14ac:dyDescent="0.25">
      <c r="B144" s="210">
        <v>0</v>
      </c>
      <c r="C144" s="4">
        <v>1000</v>
      </c>
      <c r="D144" s="4" t="s">
        <v>64</v>
      </c>
      <c r="E144" s="297">
        <f t="shared" ref="E144" si="14">+G144/F144*1000</f>
        <v>1016634.7222222222</v>
      </c>
      <c r="F144" s="297">
        <v>6</v>
      </c>
      <c r="G144" s="234">
        <f>(73197700/12)/1000</f>
        <v>6099.8083333333334</v>
      </c>
      <c r="W144" s="4"/>
    </row>
    <row r="145" spans="1:27" ht="15.75" x14ac:dyDescent="0.25">
      <c r="B145" s="210"/>
      <c r="C145" s="4"/>
      <c r="D145" s="4"/>
      <c r="E145" s="297"/>
      <c r="F145" s="297"/>
      <c r="G145" s="234"/>
      <c r="W145" s="4"/>
    </row>
    <row r="146" spans="1:27" ht="15.75" x14ac:dyDescent="0.25">
      <c r="B146" s="356" t="s">
        <v>199</v>
      </c>
      <c r="C146" s="356"/>
      <c r="D146" s="356"/>
      <c r="E146" s="297"/>
      <c r="F146" s="297">
        <f>SUM(F141:F144)</f>
        <v>6</v>
      </c>
      <c r="G146" s="297">
        <f>G144</f>
        <v>6099.8083333333334</v>
      </c>
      <c r="W146" s="4">
        <v>128</v>
      </c>
      <c r="X146">
        <v>607000</v>
      </c>
      <c r="Z146">
        <v>31</v>
      </c>
      <c r="AA146">
        <v>1794500</v>
      </c>
    </row>
    <row r="147" spans="1:27" s="76" customFormat="1" ht="15.75" x14ac:dyDescent="0.25">
      <c r="A147"/>
      <c r="B147" s="356" t="s">
        <v>75</v>
      </c>
      <c r="C147" s="356"/>
      <c r="D147" s="356"/>
      <c r="E147" s="235"/>
      <c r="F147" s="297"/>
      <c r="G147" s="236">
        <f>+G146/F146</f>
        <v>1016.6347222222222</v>
      </c>
      <c r="H147"/>
      <c r="W147" s="8">
        <v>93</v>
      </c>
      <c r="X147" s="76">
        <v>550000</v>
      </c>
      <c r="Z147" s="76">
        <v>37</v>
      </c>
      <c r="AA147" s="76">
        <f>2113900+286200</f>
        <v>2400100</v>
      </c>
    </row>
    <row r="148" spans="1:27" s="76" customFormat="1" ht="15.75" x14ac:dyDescent="0.25">
      <c r="A148"/>
      <c r="B148" s="354" t="s">
        <v>246</v>
      </c>
      <c r="C148" s="354"/>
      <c r="D148" s="354"/>
      <c r="E148" s="301"/>
      <c r="F148" s="301"/>
      <c r="G148" s="237">
        <f>G146*12*1000</f>
        <v>73197700</v>
      </c>
      <c r="H148"/>
      <c r="W148" s="293">
        <v>44</v>
      </c>
      <c r="X148" s="291">
        <v>362000</v>
      </c>
      <c r="Z148" s="291">
        <v>37</v>
      </c>
      <c r="AA148" s="291">
        <v>2443700</v>
      </c>
    </row>
    <row r="149" spans="1:27" s="76" customFormat="1" ht="15.75" x14ac:dyDescent="0.25">
      <c r="A149"/>
      <c r="B149" s="300"/>
      <c r="C149" s="300"/>
      <c r="D149" s="300"/>
      <c r="E149" s="301"/>
      <c r="F149" s="301"/>
      <c r="G149" s="237"/>
      <c r="H149"/>
      <c r="W149" s="293"/>
      <c r="X149" s="291"/>
      <c r="Z149" s="291"/>
      <c r="AA149" s="291"/>
    </row>
    <row r="150" spans="1:27" s="76" customFormat="1" ht="15.75" x14ac:dyDescent="0.25">
      <c r="A150" s="333" t="s">
        <v>353</v>
      </c>
      <c r="B150" s="300"/>
      <c r="C150" s="300"/>
      <c r="D150" s="300"/>
      <c r="E150" s="334"/>
      <c r="F150" s="334"/>
      <c r="G150" s="237"/>
      <c r="H150" s="333"/>
      <c r="I150" s="330"/>
      <c r="W150" s="293"/>
      <c r="X150" s="291"/>
      <c r="Z150" s="291"/>
      <c r="AA150" s="291"/>
    </row>
    <row r="151" spans="1:27" s="76" customFormat="1" ht="15.75" x14ac:dyDescent="0.25">
      <c r="A151" s="333" t="s">
        <v>354</v>
      </c>
      <c r="B151" s="300"/>
      <c r="C151" s="300"/>
      <c r="D151" s="300"/>
      <c r="E151" s="334"/>
      <c r="F151" s="334"/>
      <c r="G151" s="237"/>
      <c r="H151" s="333"/>
      <c r="W151" s="293"/>
      <c r="X151" s="291"/>
      <c r="Z151" s="291"/>
      <c r="AA151" s="291"/>
    </row>
    <row r="152" spans="1:27" s="76" customFormat="1" ht="15.75" x14ac:dyDescent="0.25">
      <c r="A152"/>
      <c r="B152" s="300"/>
      <c r="C152" s="300"/>
      <c r="D152" s="300"/>
      <c r="E152" s="301"/>
      <c r="F152" s="301"/>
      <c r="G152" s="237"/>
      <c r="H152"/>
      <c r="W152" s="293"/>
      <c r="X152" s="291"/>
      <c r="Z152" s="291"/>
      <c r="AA152" s="291"/>
    </row>
    <row r="153" spans="1:27" s="76" customFormat="1" ht="15.75" x14ac:dyDescent="0.25">
      <c r="A153"/>
      <c r="B153" s="300"/>
      <c r="C153" s="300"/>
      <c r="D153" s="300"/>
      <c r="E153" s="301"/>
      <c r="F153" s="301"/>
      <c r="G153" s="237"/>
      <c r="H153"/>
      <c r="W153" s="293"/>
      <c r="X153" s="291"/>
      <c r="Z153" s="291"/>
      <c r="AA153" s="291"/>
    </row>
    <row r="154" spans="1:27" s="76" customFormat="1" ht="15.75" x14ac:dyDescent="0.25">
      <c r="A154"/>
      <c r="B154" s="300"/>
      <c r="C154" s="300"/>
      <c r="D154" s="300"/>
      <c r="E154" s="301"/>
      <c r="F154" s="301"/>
      <c r="G154" s="237"/>
      <c r="H154"/>
      <c r="W154" s="293"/>
      <c r="X154" s="291"/>
      <c r="Z154" s="291"/>
      <c r="AA154" s="291"/>
    </row>
    <row r="155" spans="1:27" s="76" customFormat="1" ht="15.75" x14ac:dyDescent="0.25">
      <c r="A155"/>
      <c r="B155" s="300"/>
      <c r="C155" s="300"/>
      <c r="D155" s="300"/>
      <c r="E155" s="301"/>
      <c r="F155" s="301"/>
      <c r="G155" s="237"/>
      <c r="H155"/>
      <c r="W155" s="293"/>
      <c r="X155" s="291"/>
      <c r="Z155" s="291"/>
      <c r="AA155" s="291"/>
    </row>
    <row r="156" spans="1:27" s="76" customFormat="1" ht="15.75" x14ac:dyDescent="0.25">
      <c r="A156"/>
      <c r="B156" s="300"/>
      <c r="C156" s="300"/>
      <c r="D156" s="300"/>
      <c r="E156" s="301"/>
      <c r="F156" s="301"/>
      <c r="G156" s="237"/>
      <c r="H156"/>
      <c r="W156" s="293"/>
      <c r="X156" s="291"/>
      <c r="Z156" s="291"/>
      <c r="AA156" s="291"/>
    </row>
    <row r="157" spans="1:27" s="76" customFormat="1" ht="15.75" x14ac:dyDescent="0.25">
      <c r="B157" s="226"/>
      <c r="C157" s="226"/>
      <c r="D157" s="226"/>
      <c r="E157" s="267"/>
      <c r="F157" s="253"/>
      <c r="G157" s="274"/>
      <c r="W157" s="293">
        <v>34</v>
      </c>
      <c r="X157" s="291">
        <v>206600</v>
      </c>
      <c r="Z157" s="291">
        <v>26</v>
      </c>
      <c r="AA157" s="291">
        <v>1893000</v>
      </c>
    </row>
    <row r="158" spans="1:27" s="76" customFormat="1" ht="15.75" x14ac:dyDescent="0.25">
      <c r="B158" s="272"/>
      <c r="C158" s="272"/>
      <c r="D158" s="272"/>
      <c r="E158" s="266"/>
      <c r="F158" s="267"/>
      <c r="G158" s="268"/>
      <c r="H158" s="128"/>
      <c r="W158" s="295">
        <v>70</v>
      </c>
      <c r="X158" s="296">
        <v>318300</v>
      </c>
      <c r="Z158" s="296">
        <v>23</v>
      </c>
      <c r="AA158" s="77">
        <f>1528600+159200</f>
        <v>1687800</v>
      </c>
    </row>
    <row r="159" spans="1:27" s="76" customFormat="1" x14ac:dyDescent="0.2">
      <c r="G159" s="128"/>
      <c r="W159" s="128">
        <f>SUM(W5:W158)</f>
        <v>3680</v>
      </c>
      <c r="X159" s="76">
        <f>SUM(X5:X158)</f>
        <v>22362200</v>
      </c>
      <c r="Z159" s="76">
        <f>SUM(Z5:Z158)</f>
        <v>2490</v>
      </c>
      <c r="AA159" s="76">
        <f>SUM(AA5:AA158)</f>
        <v>172676700</v>
      </c>
    </row>
    <row r="160" spans="1:27" s="76" customFormat="1" x14ac:dyDescent="0.2">
      <c r="F160" s="223"/>
      <c r="G160" s="223"/>
      <c r="H160" s="223"/>
      <c r="X160" s="224">
        <f>X159/W159</f>
        <v>6076.684782608696</v>
      </c>
      <c r="AA160" s="76">
        <f>AA159/Z159</f>
        <v>69348.072289156626</v>
      </c>
    </row>
    <row r="161" spans="2:27" s="76" customFormat="1" ht="15.75" x14ac:dyDescent="0.25">
      <c r="F161" s="223"/>
      <c r="G161" s="274"/>
    </row>
    <row r="162" spans="2:27" s="76" customFormat="1" x14ac:dyDescent="0.2">
      <c r="F162" s="269"/>
    </row>
    <row r="163" spans="2:27" s="76" customFormat="1" x14ac:dyDescent="0.2">
      <c r="F163" s="269"/>
      <c r="G163" s="269"/>
    </row>
    <row r="164" spans="2:27" s="76" customFormat="1" x14ac:dyDescent="0.2">
      <c r="G164" s="269"/>
      <c r="H164" s="269"/>
      <c r="AA164" s="128">
        <f>Z159+W159</f>
        <v>6170</v>
      </c>
    </row>
    <row r="165" spans="2:27" s="76" customFormat="1" x14ac:dyDescent="0.2">
      <c r="G165" s="269"/>
      <c r="AA165" s="76">
        <f>AA159+X159</f>
        <v>195038900</v>
      </c>
    </row>
    <row r="166" spans="2:27" s="76" customFormat="1" x14ac:dyDescent="0.2"/>
    <row r="167" spans="2:27" s="76" customFormat="1" x14ac:dyDescent="0.2"/>
    <row r="168" spans="2:27" s="76" customFormat="1" ht="18.75" x14ac:dyDescent="0.3">
      <c r="B168" s="273"/>
      <c r="C168" s="273"/>
      <c r="D168" s="273"/>
      <c r="E168" s="273"/>
      <c r="F168" s="273"/>
      <c r="G168" s="273"/>
    </row>
    <row r="169" spans="2:27" s="76" customFormat="1" ht="15.75" x14ac:dyDescent="0.25">
      <c r="B169" s="8"/>
      <c r="C169" s="8"/>
      <c r="D169" s="8"/>
      <c r="E169" s="253"/>
      <c r="F169" s="253"/>
      <c r="G169" s="253"/>
      <c r="W169" s="361" t="s">
        <v>318</v>
      </c>
      <c r="X169" s="362"/>
      <c r="Z169" s="361" t="s">
        <v>319</v>
      </c>
      <c r="AA169" s="362"/>
    </row>
    <row r="170" spans="2:27" s="76" customFormat="1" ht="15.75" x14ac:dyDescent="0.25">
      <c r="B170" s="226"/>
      <c r="C170" s="226"/>
      <c r="D170" s="226"/>
      <c r="E170" s="253"/>
      <c r="F170" s="253"/>
      <c r="G170" s="253"/>
      <c r="W170" s="76">
        <v>2</v>
      </c>
      <c r="X170" s="76">
        <v>33500</v>
      </c>
      <c r="Z170" s="76">
        <v>0</v>
      </c>
      <c r="AA170" s="291">
        <v>91900</v>
      </c>
    </row>
    <row r="171" spans="2:27" s="76" customFormat="1" ht="15.75" x14ac:dyDescent="0.25">
      <c r="B171" s="270"/>
      <c r="C171" s="8"/>
      <c r="D171" s="8"/>
      <c r="E171" s="253"/>
      <c r="F171" s="253"/>
      <c r="G171" s="271"/>
      <c r="W171" s="76">
        <v>2</v>
      </c>
      <c r="X171" s="76">
        <v>7800</v>
      </c>
      <c r="Z171" s="76">
        <v>0</v>
      </c>
      <c r="AA171" s="291">
        <v>189900</v>
      </c>
    </row>
    <row r="172" spans="2:27" s="76" customFormat="1" ht="15.75" x14ac:dyDescent="0.25">
      <c r="B172" s="270"/>
      <c r="C172" s="8"/>
      <c r="D172" s="8"/>
      <c r="E172" s="8"/>
      <c r="F172" s="253"/>
      <c r="G172" s="271"/>
      <c r="W172" s="76">
        <v>1</v>
      </c>
      <c r="X172" s="76">
        <v>11400</v>
      </c>
      <c r="Z172" s="76">
        <v>1</v>
      </c>
      <c r="AA172" s="291">
        <v>116100</v>
      </c>
    </row>
    <row r="173" spans="2:27" s="76" customFormat="1" ht="15.75" x14ac:dyDescent="0.25">
      <c r="B173" s="270"/>
      <c r="W173" s="291">
        <v>2</v>
      </c>
      <c r="X173" s="291">
        <v>27600</v>
      </c>
      <c r="Z173" s="291">
        <v>1</v>
      </c>
      <c r="AA173" s="291">
        <v>158300</v>
      </c>
    </row>
    <row r="174" spans="2:27" s="76" customFormat="1" ht="15.75" x14ac:dyDescent="0.25">
      <c r="B174" s="270"/>
      <c r="W174" s="291">
        <v>0</v>
      </c>
      <c r="X174" s="291">
        <v>18100</v>
      </c>
      <c r="Z174" s="291">
        <v>0</v>
      </c>
      <c r="AA174" s="291">
        <v>53500</v>
      </c>
    </row>
    <row r="175" spans="2:27" s="76" customFormat="1" ht="15.75" x14ac:dyDescent="0.25">
      <c r="B175" s="270"/>
      <c r="W175" s="291">
        <v>1</v>
      </c>
      <c r="X175" s="291">
        <v>15600</v>
      </c>
      <c r="Z175" s="291">
        <v>1</v>
      </c>
      <c r="AA175" s="291">
        <v>32400</v>
      </c>
    </row>
    <row r="176" spans="2:27" s="76" customFormat="1" ht="15.75" x14ac:dyDescent="0.25">
      <c r="B176" s="270"/>
      <c r="W176" s="291">
        <v>0</v>
      </c>
      <c r="X176" s="291">
        <v>15900</v>
      </c>
      <c r="Z176" s="291">
        <v>1</v>
      </c>
      <c r="AA176" s="291">
        <v>323500</v>
      </c>
    </row>
    <row r="177" spans="2:27" s="76" customFormat="1" ht="15.75" x14ac:dyDescent="0.25">
      <c r="B177" s="270"/>
      <c r="W177" s="291">
        <v>5</v>
      </c>
      <c r="X177" s="291">
        <v>39600</v>
      </c>
      <c r="Z177" s="291">
        <v>1</v>
      </c>
      <c r="AA177" s="291">
        <v>85200</v>
      </c>
    </row>
    <row r="178" spans="2:27" s="76" customFormat="1" ht="15.75" x14ac:dyDescent="0.25">
      <c r="B178" s="270"/>
      <c r="W178" s="291">
        <v>1</v>
      </c>
      <c r="X178" s="291">
        <v>19600</v>
      </c>
      <c r="Z178" s="291">
        <v>2</v>
      </c>
      <c r="AA178" s="291">
        <v>759900</v>
      </c>
    </row>
    <row r="179" spans="2:27" s="76" customFormat="1" ht="15.75" x14ac:dyDescent="0.25">
      <c r="B179" s="270"/>
      <c r="W179" s="291">
        <v>3</v>
      </c>
      <c r="X179" s="291">
        <v>10800</v>
      </c>
      <c r="Z179" s="291">
        <v>3</v>
      </c>
      <c r="AA179" s="291">
        <v>320500</v>
      </c>
    </row>
    <row r="180" spans="2:27" s="76" customFormat="1" ht="15.75" x14ac:dyDescent="0.25">
      <c r="B180" s="270"/>
      <c r="W180" s="291">
        <v>1</v>
      </c>
      <c r="X180" s="291">
        <v>22300</v>
      </c>
      <c r="Z180" s="291">
        <v>0</v>
      </c>
      <c r="AA180" s="291">
        <v>51300</v>
      </c>
    </row>
    <row r="181" spans="2:27" s="76" customFormat="1" ht="15.75" x14ac:dyDescent="0.25">
      <c r="B181" s="270"/>
      <c r="W181" s="291">
        <v>2</v>
      </c>
      <c r="X181" s="291">
        <v>65900</v>
      </c>
      <c r="Z181" s="291">
        <v>0</v>
      </c>
      <c r="AA181" s="291">
        <v>45100</v>
      </c>
    </row>
    <row r="182" spans="2:27" s="76" customFormat="1" ht="15.75" x14ac:dyDescent="0.25">
      <c r="B182" s="270"/>
      <c r="W182" s="291">
        <v>5</v>
      </c>
      <c r="X182" s="291">
        <v>65100</v>
      </c>
      <c r="Z182" s="291">
        <v>0</v>
      </c>
      <c r="AA182" s="291">
        <v>32500</v>
      </c>
    </row>
    <row r="183" spans="2:27" s="76" customFormat="1" ht="15.75" x14ac:dyDescent="0.25">
      <c r="B183" s="270"/>
      <c r="W183" s="291">
        <v>0</v>
      </c>
      <c r="X183" s="291">
        <v>6800</v>
      </c>
      <c r="Z183" s="291">
        <v>0</v>
      </c>
      <c r="AA183" s="291">
        <v>21400</v>
      </c>
    </row>
    <row r="184" spans="2:27" s="76" customFormat="1" x14ac:dyDescent="0.2">
      <c r="B184" s="223"/>
      <c r="W184" s="291">
        <v>4</v>
      </c>
      <c r="X184" s="291">
        <v>86900</v>
      </c>
      <c r="Z184" s="291">
        <v>1</v>
      </c>
      <c r="AA184" s="291">
        <v>146200</v>
      </c>
    </row>
    <row r="185" spans="2:27" s="76" customFormat="1" ht="15.75" x14ac:dyDescent="0.25">
      <c r="B185" s="226"/>
      <c r="W185" s="291">
        <v>1</v>
      </c>
      <c r="X185" s="291">
        <v>28000</v>
      </c>
      <c r="Z185" s="291">
        <v>2</v>
      </c>
      <c r="AA185" s="291">
        <v>153600</v>
      </c>
    </row>
    <row r="186" spans="2:27" s="76" customFormat="1" ht="15.75" x14ac:dyDescent="0.25">
      <c r="B186" s="226"/>
      <c r="W186" s="291">
        <v>1</v>
      </c>
      <c r="X186" s="291">
        <v>2500</v>
      </c>
      <c r="Z186" s="291">
        <v>2</v>
      </c>
      <c r="AA186" s="291">
        <v>475200</v>
      </c>
    </row>
    <row r="187" spans="2:27" s="76" customFormat="1" ht="15.75" x14ac:dyDescent="0.25">
      <c r="B187" s="272"/>
      <c r="W187" s="291">
        <v>2</v>
      </c>
      <c r="X187" s="291">
        <v>21300</v>
      </c>
      <c r="Z187" s="291">
        <v>6</v>
      </c>
      <c r="AA187" s="291">
        <v>449900</v>
      </c>
    </row>
    <row r="188" spans="2:27" s="76" customFormat="1" x14ac:dyDescent="0.2">
      <c r="W188" s="291">
        <v>2</v>
      </c>
      <c r="X188" s="291">
        <v>39100</v>
      </c>
      <c r="Z188" s="291">
        <v>0</v>
      </c>
      <c r="AA188" s="291">
        <v>160700</v>
      </c>
    </row>
    <row r="189" spans="2:27" s="76" customFormat="1" x14ac:dyDescent="0.2">
      <c r="W189" s="291">
        <v>1</v>
      </c>
      <c r="X189" s="291">
        <v>11600</v>
      </c>
      <c r="Z189" s="291">
        <v>0</v>
      </c>
      <c r="AA189" s="291">
        <v>5800</v>
      </c>
    </row>
    <row r="190" spans="2:27" s="76" customFormat="1" x14ac:dyDescent="0.2">
      <c r="W190" s="291">
        <v>1</v>
      </c>
      <c r="X190" s="291">
        <v>5200</v>
      </c>
      <c r="Z190" s="291">
        <v>2</v>
      </c>
      <c r="AA190" s="291">
        <v>220600</v>
      </c>
    </row>
    <row r="191" spans="2:27" s="76" customFormat="1" x14ac:dyDescent="0.2">
      <c r="W191" s="291">
        <v>4</v>
      </c>
      <c r="X191" s="291">
        <v>14800</v>
      </c>
      <c r="Z191" s="291">
        <v>1</v>
      </c>
      <c r="AA191" s="291">
        <v>223000</v>
      </c>
    </row>
    <row r="192" spans="2:27" s="76" customFormat="1" x14ac:dyDescent="0.2">
      <c r="W192" s="291">
        <v>1</v>
      </c>
      <c r="X192" s="291">
        <v>14400</v>
      </c>
      <c r="Z192" s="291">
        <v>1</v>
      </c>
      <c r="AA192" s="291">
        <v>171700</v>
      </c>
    </row>
    <row r="193" spans="23:27" s="76" customFormat="1" x14ac:dyDescent="0.2">
      <c r="W193" s="291">
        <v>1</v>
      </c>
      <c r="X193" s="291">
        <v>700</v>
      </c>
      <c r="Z193" s="291">
        <v>0</v>
      </c>
      <c r="AA193" s="291">
        <v>34200</v>
      </c>
    </row>
    <row r="194" spans="23:27" s="76" customFormat="1" x14ac:dyDescent="0.2">
      <c r="W194" s="291">
        <v>2</v>
      </c>
      <c r="X194" s="291">
        <v>40600</v>
      </c>
      <c r="Z194" s="291">
        <v>1</v>
      </c>
      <c r="AA194" s="291">
        <v>78000</v>
      </c>
    </row>
    <row r="195" spans="23:27" s="76" customFormat="1" x14ac:dyDescent="0.2">
      <c r="W195" s="291">
        <v>1</v>
      </c>
      <c r="X195" s="291">
        <v>18200</v>
      </c>
      <c r="Z195" s="291">
        <v>1</v>
      </c>
      <c r="AA195" s="291">
        <v>182200</v>
      </c>
    </row>
    <row r="196" spans="23:27" s="76" customFormat="1" x14ac:dyDescent="0.2">
      <c r="W196" s="291">
        <v>1</v>
      </c>
      <c r="X196" s="291">
        <v>26500</v>
      </c>
      <c r="Z196" s="291">
        <v>0</v>
      </c>
      <c r="AA196" s="291">
        <v>4100</v>
      </c>
    </row>
    <row r="197" spans="23:27" s="76" customFormat="1" x14ac:dyDescent="0.2">
      <c r="W197" s="291">
        <v>2</v>
      </c>
      <c r="X197" s="291">
        <v>12500</v>
      </c>
      <c r="Z197" s="291">
        <v>0</v>
      </c>
      <c r="AA197" s="291">
        <v>41900</v>
      </c>
    </row>
    <row r="198" spans="23:27" s="76" customFormat="1" x14ac:dyDescent="0.2">
      <c r="W198" s="291">
        <v>0</v>
      </c>
      <c r="X198" s="291">
        <v>11600</v>
      </c>
      <c r="Z198" s="291">
        <v>2</v>
      </c>
      <c r="AA198" s="291">
        <v>127200</v>
      </c>
    </row>
    <row r="199" spans="23:27" s="76" customFormat="1" x14ac:dyDescent="0.2">
      <c r="W199" s="76">
        <f>SUM(W170:W198)</f>
        <v>49</v>
      </c>
      <c r="X199" s="76">
        <f>SUM(X170:X198)</f>
        <v>693900</v>
      </c>
      <c r="Z199" s="76">
        <f>SUM(Z170:Z198)</f>
        <v>29</v>
      </c>
      <c r="AA199" s="76">
        <f>SUM(AA170:AA198)</f>
        <v>4755800</v>
      </c>
    </row>
    <row r="200" spans="23:27" s="76" customFormat="1" x14ac:dyDescent="0.2"/>
    <row r="201" spans="23:27" s="76" customFormat="1" x14ac:dyDescent="0.2"/>
    <row r="202" spans="23:27" s="76" customFormat="1" x14ac:dyDescent="0.2"/>
    <row r="203" spans="23:27" s="76" customFormat="1" x14ac:dyDescent="0.2"/>
    <row r="204" spans="23:27" s="76" customFormat="1" x14ac:dyDescent="0.2"/>
    <row r="205" spans="23:27" s="76" customFormat="1" x14ac:dyDescent="0.2"/>
    <row r="206" spans="23:27" s="76" customFormat="1" x14ac:dyDescent="0.2"/>
    <row r="207" spans="23:27" s="76" customFormat="1" x14ac:dyDescent="0.2"/>
    <row r="208" spans="23:27" s="76" customFormat="1" x14ac:dyDescent="0.2"/>
    <row r="209" s="76" customFormat="1" x14ac:dyDescent="0.2"/>
    <row r="210" s="76" customFormat="1" x14ac:dyDescent="0.2"/>
    <row r="211" s="76" customFormat="1" x14ac:dyDescent="0.2"/>
    <row r="212" s="76" customFormat="1" x14ac:dyDescent="0.2"/>
    <row r="213" s="76" customFormat="1" x14ac:dyDescent="0.2"/>
    <row r="214" s="76" customFormat="1" x14ac:dyDescent="0.2"/>
    <row r="215" s="76" customFormat="1" x14ac:dyDescent="0.2"/>
    <row r="216" s="76" customFormat="1" x14ac:dyDescent="0.2"/>
    <row r="217" s="76" customFormat="1" x14ac:dyDescent="0.2"/>
    <row r="218" s="76" customFormat="1" x14ac:dyDescent="0.2"/>
    <row r="219" s="76" customFormat="1" x14ac:dyDescent="0.2"/>
    <row r="220" s="76" customFormat="1" x14ac:dyDescent="0.2"/>
    <row r="221" s="76" customFormat="1" x14ac:dyDescent="0.2"/>
    <row r="222" s="76" customFormat="1" x14ac:dyDescent="0.2"/>
    <row r="223" s="76" customFormat="1" x14ac:dyDescent="0.2"/>
    <row r="224" s="76" customFormat="1" x14ac:dyDescent="0.2"/>
    <row r="225" s="76" customFormat="1" x14ac:dyDescent="0.2"/>
    <row r="226" s="76" customFormat="1" x14ac:dyDescent="0.2"/>
    <row r="227" s="76" customFormat="1" x14ac:dyDescent="0.2"/>
    <row r="228" s="76" customFormat="1" x14ac:dyDescent="0.2"/>
    <row r="229" s="76" customFormat="1" x14ac:dyDescent="0.2"/>
    <row r="230" s="76" customFormat="1" x14ac:dyDescent="0.2"/>
    <row r="231" s="76" customFormat="1" ht="15.75" customHeight="1" x14ac:dyDescent="0.2"/>
    <row r="232" s="76" customFormat="1" x14ac:dyDescent="0.2"/>
    <row r="233" s="76" customFormat="1" x14ac:dyDescent="0.2"/>
    <row r="234" s="76" customFormat="1" ht="15.75" customHeight="1" x14ac:dyDescent="0.2"/>
    <row r="235" s="76" customFormat="1" x14ac:dyDescent="0.2"/>
    <row r="236" s="76" customFormat="1" x14ac:dyDescent="0.2"/>
    <row r="237" s="76" customFormat="1" x14ac:dyDescent="0.2"/>
    <row r="238" s="76" customFormat="1" x14ac:dyDescent="0.2"/>
    <row r="239" s="76" customFormat="1" x14ac:dyDescent="0.2"/>
    <row r="240" s="76" customFormat="1" x14ac:dyDescent="0.2"/>
    <row r="241" s="76" customFormat="1" x14ac:dyDescent="0.2"/>
    <row r="242" s="76" customFormat="1" x14ac:dyDescent="0.2"/>
    <row r="243" s="76" customFormat="1" x14ac:dyDescent="0.2"/>
    <row r="244" s="76" customFormat="1" x14ac:dyDescent="0.2"/>
    <row r="245" s="76" customFormat="1" x14ac:dyDescent="0.2"/>
    <row r="246" s="76" customFormat="1" x14ac:dyDescent="0.2"/>
    <row r="247" s="76" customFormat="1" x14ac:dyDescent="0.2"/>
    <row r="248" s="76" customFormat="1" x14ac:dyDescent="0.2"/>
    <row r="249" s="76" customFormat="1" x14ac:dyDescent="0.2"/>
    <row r="250" s="76" customFormat="1" x14ac:dyDescent="0.2"/>
    <row r="251" s="76" customFormat="1" x14ac:dyDescent="0.2"/>
    <row r="310" spans="1:11" ht="15.75" x14ac:dyDescent="0.25">
      <c r="A310" s="2"/>
      <c r="B310" s="4"/>
      <c r="C310" s="4"/>
      <c r="D310" s="4"/>
      <c r="E310" s="4"/>
      <c r="F310" s="4"/>
      <c r="G310" s="4"/>
      <c r="H310" s="4"/>
      <c r="I310" s="4"/>
      <c r="J310" s="4"/>
      <c r="K310" s="4"/>
    </row>
  </sheetData>
  <mergeCells count="95">
    <mergeCell ref="N42:S42"/>
    <mergeCell ref="N44:P44"/>
    <mergeCell ref="N50:P50"/>
    <mergeCell ref="N51:P51"/>
    <mergeCell ref="N64:P64"/>
    <mergeCell ref="N52:P52"/>
    <mergeCell ref="N54:S54"/>
    <mergeCell ref="N56:P56"/>
    <mergeCell ref="N62:P62"/>
    <mergeCell ref="N63:P63"/>
    <mergeCell ref="N30:S30"/>
    <mergeCell ref="N32:P32"/>
    <mergeCell ref="N38:P38"/>
    <mergeCell ref="N39:P39"/>
    <mergeCell ref="N40:P40"/>
    <mergeCell ref="N18:S18"/>
    <mergeCell ref="N20:P20"/>
    <mergeCell ref="N26:P26"/>
    <mergeCell ref="N27:P27"/>
    <mergeCell ref="N28:P28"/>
    <mergeCell ref="N6:S6"/>
    <mergeCell ref="N8:P8"/>
    <mergeCell ref="N14:P14"/>
    <mergeCell ref="N15:P15"/>
    <mergeCell ref="N16:P16"/>
    <mergeCell ref="B64:D64"/>
    <mergeCell ref="B38:D38"/>
    <mergeCell ref="B39:D39"/>
    <mergeCell ref="B40:D40"/>
    <mergeCell ref="B56:D56"/>
    <mergeCell ref="B52:D52"/>
    <mergeCell ref="B54:G54"/>
    <mergeCell ref="AL2:AM2"/>
    <mergeCell ref="AO2:AP2"/>
    <mergeCell ref="W169:X169"/>
    <mergeCell ref="Z169:AA169"/>
    <mergeCell ref="B66:G66"/>
    <mergeCell ref="B68:D68"/>
    <mergeCell ref="W2:X2"/>
    <mergeCell ref="Z2:AA2"/>
    <mergeCell ref="AC2:AD2"/>
    <mergeCell ref="B20:D20"/>
    <mergeCell ref="B14:D14"/>
    <mergeCell ref="B15:D15"/>
    <mergeCell ref="B16:D16"/>
    <mergeCell ref="B18:G18"/>
    <mergeCell ref="B44:D44"/>
    <mergeCell ref="B62:D62"/>
    <mergeCell ref="B71:D71"/>
    <mergeCell ref="B72:D72"/>
    <mergeCell ref="B73:D73"/>
    <mergeCell ref="AF2:AG2"/>
    <mergeCell ref="AI2:AJ2"/>
    <mergeCell ref="B6:G6"/>
    <mergeCell ref="B8:D8"/>
    <mergeCell ref="B26:D26"/>
    <mergeCell ref="B27:D27"/>
    <mergeCell ref="B28:D28"/>
    <mergeCell ref="B50:D50"/>
    <mergeCell ref="B51:D51"/>
    <mergeCell ref="B32:D32"/>
    <mergeCell ref="B30:G30"/>
    <mergeCell ref="B42:G42"/>
    <mergeCell ref="B63:D63"/>
    <mergeCell ref="E80:G80"/>
    <mergeCell ref="B81:G81"/>
    <mergeCell ref="B83:D83"/>
    <mergeCell ref="B89:D89"/>
    <mergeCell ref="B90:D90"/>
    <mergeCell ref="B91:D91"/>
    <mergeCell ref="B93:G93"/>
    <mergeCell ref="B95:D95"/>
    <mergeCell ref="B101:D101"/>
    <mergeCell ref="B102:D102"/>
    <mergeCell ref="B103:D103"/>
    <mergeCell ref="B105:G105"/>
    <mergeCell ref="B107:D107"/>
    <mergeCell ref="B113:D113"/>
    <mergeCell ref="B114:D114"/>
    <mergeCell ref="B115:D115"/>
    <mergeCell ref="B117:G117"/>
    <mergeCell ref="B119:D119"/>
    <mergeCell ref="B125:D125"/>
    <mergeCell ref="B126:D126"/>
    <mergeCell ref="B127:D127"/>
    <mergeCell ref="B129:G129"/>
    <mergeCell ref="B131:D131"/>
    <mergeCell ref="B137:D137"/>
    <mergeCell ref="B138:D138"/>
    <mergeCell ref="B148:D148"/>
    <mergeCell ref="B139:D139"/>
    <mergeCell ref="B141:G141"/>
    <mergeCell ref="B143:D143"/>
    <mergeCell ref="B146:D146"/>
    <mergeCell ref="B147:D147"/>
  </mergeCells>
  <phoneticPr fontId="0" type="noConversion"/>
  <pageMargins left="0.64" right="0.56000000000000005" top="1" bottom="1" header="0.5" footer="0.5"/>
  <pageSetup scale="74" firstPageNumber="9" orientation="portrait" useFirstPageNumber="1" r:id="rId1"/>
  <headerFooter alignWithMargins="0">
    <oddFooter>&amp;CPage &amp;P</oddFooter>
  </headerFooter>
  <rowBreaks count="7" manualBreakCount="7">
    <brk id="41" max="7" man="1"/>
    <brk id="75" max="7" man="1"/>
    <brk id="116" max="7" man="1"/>
    <brk id="195" max="9" man="1"/>
    <brk id="220" max="9" man="1"/>
    <brk id="246" max="9" man="1"/>
    <brk id="27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view="pageBreakPreview" zoomScale="60" zoomScaleNormal="100" workbookViewId="0">
      <selection sqref="A1:H110"/>
    </sheetView>
  </sheetViews>
  <sheetFormatPr defaultRowHeight="12.75" x14ac:dyDescent="0.2"/>
  <cols>
    <col min="1" max="1" width="7" customWidth="1"/>
    <col min="2" max="2" width="12.28515625" customWidth="1"/>
    <col min="3" max="3" width="14.140625" customWidth="1"/>
    <col min="4" max="7" width="12.7109375" customWidth="1"/>
    <col min="8" max="8" width="37.7109375" customWidth="1"/>
    <col min="10" max="10" width="12.42578125" bestFit="1" customWidth="1"/>
    <col min="11" max="11" width="22.42578125" customWidth="1"/>
    <col min="12" max="12" width="12.140625" bestFit="1" customWidth="1"/>
    <col min="13" max="13" width="10.28515625" bestFit="1" customWidth="1"/>
  </cols>
  <sheetData>
    <row r="1" spans="1:10" ht="15.75" x14ac:dyDescent="0.25">
      <c r="A1" s="3" t="s">
        <v>233</v>
      </c>
      <c r="C1" s="4"/>
      <c r="D1" s="4"/>
      <c r="E1" s="4"/>
      <c r="F1" s="4"/>
      <c r="G1" s="4"/>
      <c r="H1" s="4"/>
      <c r="I1" s="4"/>
    </row>
    <row r="2" spans="1:10" ht="15.75" x14ac:dyDescent="0.25">
      <c r="A2" s="4"/>
      <c r="B2" s="4"/>
      <c r="C2" s="17"/>
      <c r="D2" s="4"/>
      <c r="E2" s="4"/>
      <c r="F2" s="4"/>
      <c r="G2" s="4"/>
      <c r="H2" s="4"/>
      <c r="I2" s="4"/>
      <c r="J2" s="4"/>
    </row>
    <row r="3" spans="1:10" ht="15.75" x14ac:dyDescent="0.25">
      <c r="A3" s="30" t="s">
        <v>0</v>
      </c>
      <c r="B3" s="2" t="s">
        <v>217</v>
      </c>
      <c r="C3" s="4"/>
      <c r="D3" s="142"/>
      <c r="E3" s="4"/>
      <c r="F3" s="4"/>
      <c r="G3" s="4"/>
      <c r="H3" s="4"/>
      <c r="I3" s="4"/>
      <c r="J3" s="2"/>
    </row>
    <row r="4" spans="1:10" ht="15.75" x14ac:dyDescent="0.25">
      <c r="A4" s="2"/>
      <c r="B4" s="4"/>
      <c r="C4" s="4"/>
      <c r="D4" s="4"/>
      <c r="E4" s="4"/>
      <c r="F4" s="4"/>
      <c r="G4" s="4"/>
      <c r="H4" s="4"/>
      <c r="I4" s="4"/>
      <c r="J4" s="4"/>
    </row>
    <row r="5" spans="1:10" ht="15.75" x14ac:dyDescent="0.25">
      <c r="A5" s="39">
        <v>1</v>
      </c>
      <c r="B5" s="2" t="s">
        <v>178</v>
      </c>
      <c r="C5" s="26" t="s">
        <v>234</v>
      </c>
      <c r="D5" s="9"/>
      <c r="E5" s="9"/>
      <c r="F5" s="9"/>
      <c r="G5" s="4"/>
      <c r="H5" s="4"/>
      <c r="I5" s="4"/>
      <c r="J5" s="2"/>
    </row>
    <row r="6" spans="1:10" ht="15.75" x14ac:dyDescent="0.25">
      <c r="A6" s="39">
        <v>2</v>
      </c>
      <c r="B6" s="2" t="s">
        <v>181</v>
      </c>
      <c r="C6" s="4"/>
      <c r="D6" s="4"/>
      <c r="E6" s="26" t="s">
        <v>176</v>
      </c>
      <c r="F6" s="9"/>
      <c r="G6" s="4"/>
      <c r="H6" s="4"/>
      <c r="I6" s="4"/>
      <c r="J6" s="4"/>
    </row>
    <row r="7" spans="1:10" ht="15.75" x14ac:dyDescent="0.25">
      <c r="A7" s="39">
        <v>3</v>
      </c>
      <c r="B7" s="2" t="s">
        <v>2</v>
      </c>
      <c r="C7" s="4"/>
      <c r="D7" s="4"/>
      <c r="E7" s="4"/>
      <c r="F7" s="4"/>
      <c r="G7" s="4"/>
      <c r="H7" s="185" t="s">
        <v>176</v>
      </c>
      <c r="I7" s="4"/>
      <c r="J7" s="2"/>
    </row>
    <row r="8" spans="1:10" ht="15.75" x14ac:dyDescent="0.25">
      <c r="A8" s="2"/>
      <c r="B8" s="4"/>
      <c r="C8" s="4"/>
      <c r="D8" s="4"/>
      <c r="E8" s="4"/>
      <c r="F8" s="4"/>
      <c r="G8" s="4"/>
      <c r="H8" s="4"/>
      <c r="I8" s="4"/>
      <c r="J8" s="4"/>
    </row>
    <row r="9" spans="1:10" ht="15.75" x14ac:dyDescent="0.25">
      <c r="A9" s="30" t="s">
        <v>3</v>
      </c>
      <c r="B9" s="2" t="s">
        <v>235</v>
      </c>
      <c r="C9" s="4"/>
      <c r="D9" s="4"/>
      <c r="E9" s="4"/>
      <c r="F9" s="4"/>
      <c r="G9" s="26" t="s">
        <v>176</v>
      </c>
      <c r="I9" s="4"/>
      <c r="J9" s="2"/>
    </row>
    <row r="10" spans="1:10" ht="15.75" x14ac:dyDescent="0.25">
      <c r="A10" s="2"/>
      <c r="B10" s="4"/>
      <c r="C10" s="4"/>
      <c r="D10" s="4"/>
      <c r="E10" s="4"/>
      <c r="F10" s="4"/>
      <c r="G10" s="4"/>
      <c r="H10" s="4"/>
      <c r="I10" s="4"/>
      <c r="J10" s="4"/>
    </row>
    <row r="11" spans="1:10" ht="15.75" x14ac:dyDescent="0.25">
      <c r="A11" s="30" t="s">
        <v>4</v>
      </c>
      <c r="B11" s="2" t="s">
        <v>180</v>
      </c>
      <c r="C11" s="4"/>
      <c r="D11" s="4"/>
      <c r="E11" s="4"/>
      <c r="F11" s="8"/>
      <c r="G11" s="26" t="s">
        <v>176</v>
      </c>
      <c r="H11" s="184"/>
      <c r="I11" s="4"/>
      <c r="J11" s="2"/>
    </row>
    <row r="12" spans="1:10" ht="15.75" x14ac:dyDescent="0.25">
      <c r="A12" s="2"/>
      <c r="B12" s="4"/>
      <c r="C12" s="4"/>
      <c r="D12" s="4"/>
      <c r="E12" s="4"/>
      <c r="F12" s="4"/>
      <c r="G12" s="4"/>
      <c r="H12" s="4"/>
      <c r="I12" s="4"/>
      <c r="J12" s="4"/>
    </row>
    <row r="13" spans="1:10" ht="15.75" x14ac:dyDescent="0.25">
      <c r="A13" s="30" t="s">
        <v>5</v>
      </c>
      <c r="B13" s="2" t="s">
        <v>76</v>
      </c>
      <c r="C13" s="4"/>
      <c r="D13" s="4"/>
      <c r="E13" s="4"/>
      <c r="F13" s="8"/>
      <c r="G13" s="26" t="s">
        <v>176</v>
      </c>
      <c r="H13" s="187"/>
      <c r="I13" s="4"/>
      <c r="J13" s="2"/>
    </row>
    <row r="14" spans="1:10" ht="15.75" x14ac:dyDescent="0.25">
      <c r="A14" s="2"/>
      <c r="B14" s="4"/>
      <c r="C14" s="4"/>
      <c r="D14" s="4"/>
      <c r="E14" s="4"/>
      <c r="F14" s="4"/>
      <c r="G14" s="188" t="s">
        <v>176</v>
      </c>
      <c r="H14" s="189"/>
      <c r="I14" s="4"/>
      <c r="J14" s="4"/>
    </row>
    <row r="15" spans="1:10" ht="15.75" x14ac:dyDescent="0.25">
      <c r="A15" s="2"/>
      <c r="B15" s="4"/>
      <c r="C15" s="4"/>
      <c r="D15" s="4"/>
      <c r="E15" s="4"/>
      <c r="F15" s="4"/>
      <c r="G15" s="188" t="s">
        <v>176</v>
      </c>
      <c r="H15" s="189"/>
      <c r="I15" s="4"/>
      <c r="J15" s="4"/>
    </row>
    <row r="16" spans="1:10" ht="15.75" x14ac:dyDescent="0.25">
      <c r="H16" s="4"/>
      <c r="I16" s="4"/>
      <c r="J16" s="2"/>
    </row>
    <row r="17" spans="1:10" ht="15.75" x14ac:dyDescent="0.25">
      <c r="A17" s="2" t="s">
        <v>6</v>
      </c>
      <c r="B17" s="2" t="s">
        <v>7</v>
      </c>
      <c r="C17" s="4"/>
      <c r="D17" s="4"/>
      <c r="E17" s="2" t="s">
        <v>192</v>
      </c>
      <c r="F17" s="2"/>
      <c r="G17" s="4"/>
      <c r="H17" s="4"/>
      <c r="I17" s="4"/>
      <c r="J17" s="4"/>
    </row>
    <row r="18" spans="1:10" ht="15.75" x14ac:dyDescent="0.25">
      <c r="I18" s="4"/>
      <c r="J18" s="2"/>
    </row>
    <row r="19" spans="1:10" ht="15.75" x14ac:dyDescent="0.25">
      <c r="B19" s="190" t="s">
        <v>237</v>
      </c>
      <c r="C19" s="190"/>
      <c r="D19" s="363" t="s">
        <v>238</v>
      </c>
      <c r="E19" s="363"/>
      <c r="I19" s="4"/>
      <c r="J19" s="2"/>
    </row>
    <row r="20" spans="1:10" ht="15.75" x14ac:dyDescent="0.25">
      <c r="B20" s="191" t="s">
        <v>239</v>
      </c>
      <c r="C20" s="79"/>
      <c r="D20" s="364" t="s">
        <v>176</v>
      </c>
      <c r="E20" s="364"/>
      <c r="I20" s="4"/>
      <c r="J20" s="2"/>
    </row>
    <row r="21" spans="1:10" ht="15.75" x14ac:dyDescent="0.25">
      <c r="B21" s="191" t="s">
        <v>240</v>
      </c>
      <c r="C21" s="79"/>
      <c r="D21" s="365" t="s">
        <v>176</v>
      </c>
      <c r="E21" s="365"/>
      <c r="I21" s="4"/>
      <c r="J21" s="2"/>
    </row>
    <row r="22" spans="1:10" ht="15.75" x14ac:dyDescent="0.25">
      <c r="A22" s="2"/>
      <c r="B22" s="192" t="s">
        <v>241</v>
      </c>
      <c r="C22" s="2"/>
      <c r="D22" s="365" t="s">
        <v>176</v>
      </c>
      <c r="E22" s="365"/>
      <c r="F22" s="4"/>
      <c r="G22" s="4"/>
      <c r="H22" s="4"/>
      <c r="I22" s="4"/>
      <c r="J22" s="4"/>
    </row>
    <row r="23" spans="1:10" ht="15.75" x14ac:dyDescent="0.25">
      <c r="B23" s="2"/>
      <c r="C23" s="4"/>
      <c r="D23" s="4"/>
      <c r="E23" s="4"/>
      <c r="F23" s="2"/>
      <c r="G23" s="2"/>
      <c r="H23" s="8"/>
      <c r="I23" s="4"/>
      <c r="J23" s="4"/>
    </row>
    <row r="24" spans="1:10" ht="15.75" x14ac:dyDescent="0.25">
      <c r="A24" s="2" t="s">
        <v>77</v>
      </c>
      <c r="B24" s="3" t="s">
        <v>236</v>
      </c>
      <c r="C24" s="4"/>
      <c r="D24" s="4"/>
      <c r="E24" s="4"/>
      <c r="F24" s="4"/>
      <c r="G24" s="4"/>
      <c r="H24" s="4"/>
      <c r="I24" s="4"/>
      <c r="J24" s="3"/>
    </row>
    <row r="25" spans="1:10" ht="15.75" x14ac:dyDescent="0.25">
      <c r="A25" s="2"/>
      <c r="B25" s="145"/>
      <c r="C25" s="4"/>
      <c r="D25" s="4"/>
      <c r="E25" s="4"/>
      <c r="F25" s="4"/>
      <c r="G25" s="4"/>
      <c r="H25" s="4"/>
      <c r="I25" s="4"/>
      <c r="J25" s="4"/>
    </row>
    <row r="26" spans="1:10" ht="15.75" x14ac:dyDescent="0.25">
      <c r="B26" s="2" t="s">
        <v>78</v>
      </c>
      <c r="C26" s="4"/>
      <c r="D26" s="4"/>
      <c r="E26" s="4"/>
      <c r="F26" s="26" t="s">
        <v>176</v>
      </c>
      <c r="G26" s="2" t="s">
        <v>242</v>
      </c>
      <c r="H26" s="2"/>
      <c r="I26" s="4"/>
      <c r="J26" s="2"/>
    </row>
    <row r="27" spans="1:10" ht="15.75" x14ac:dyDescent="0.25">
      <c r="B27" s="2" t="s">
        <v>79</v>
      </c>
      <c r="C27" s="3"/>
      <c r="D27" s="4"/>
      <c r="E27" s="4"/>
      <c r="F27" s="188" t="s">
        <v>176</v>
      </c>
      <c r="G27" s="2" t="s">
        <v>242</v>
      </c>
      <c r="H27" s="2" t="s">
        <v>243</v>
      </c>
      <c r="I27" s="4"/>
      <c r="J27" s="2"/>
    </row>
    <row r="28" spans="1:10" ht="15.75" x14ac:dyDescent="0.25">
      <c r="B28" s="2" t="s">
        <v>80</v>
      </c>
      <c r="C28" s="3"/>
      <c r="D28" s="4"/>
      <c r="E28" s="4"/>
      <c r="F28" s="188" t="s">
        <v>176</v>
      </c>
      <c r="G28" s="2" t="s">
        <v>242</v>
      </c>
      <c r="H28" s="2" t="s">
        <v>243</v>
      </c>
      <c r="I28" s="4"/>
      <c r="J28" s="2"/>
    </row>
    <row r="29" spans="1:10" ht="15.75" x14ac:dyDescent="0.25">
      <c r="B29" s="2" t="s">
        <v>81</v>
      </c>
      <c r="C29" s="4"/>
      <c r="D29" s="4"/>
      <c r="E29" s="193"/>
      <c r="F29" s="188" t="s">
        <v>176</v>
      </c>
      <c r="G29" s="2" t="s">
        <v>242</v>
      </c>
      <c r="H29" s="2"/>
      <c r="I29" s="4"/>
      <c r="J29" s="2"/>
    </row>
    <row r="30" spans="1:10" ht="15.75" x14ac:dyDescent="0.25">
      <c r="B30" s="2" t="s">
        <v>82</v>
      </c>
      <c r="C30" s="4"/>
      <c r="D30" s="4"/>
      <c r="E30" s="3"/>
      <c r="F30" s="2" t="s">
        <v>176</v>
      </c>
      <c r="G30" s="2"/>
      <c r="H30" s="2"/>
      <c r="I30" s="4"/>
      <c r="J30" s="2"/>
    </row>
    <row r="31" spans="1:10" ht="15.75" x14ac:dyDescent="0.25">
      <c r="A31" s="4"/>
      <c r="B31" s="4"/>
      <c r="C31" s="4"/>
      <c r="D31" s="4"/>
      <c r="E31" s="4"/>
      <c r="F31" s="4"/>
      <c r="G31" s="4"/>
      <c r="H31" s="4"/>
      <c r="I31" s="4"/>
      <c r="J31" s="4"/>
    </row>
    <row r="32" spans="1:10" ht="15.75" x14ac:dyDescent="0.25">
      <c r="A32" s="1" t="s">
        <v>335</v>
      </c>
      <c r="C32" s="4"/>
      <c r="D32" s="4"/>
      <c r="E32" s="4"/>
      <c r="F32" s="4"/>
      <c r="G32" s="4"/>
      <c r="H32" s="4"/>
      <c r="I32" s="4"/>
    </row>
    <row r="33" spans="1:10" ht="15.75" x14ac:dyDescent="0.25">
      <c r="A33" s="4"/>
      <c r="B33" s="4"/>
      <c r="C33" s="4"/>
      <c r="D33" s="4"/>
      <c r="E33" s="4"/>
      <c r="F33" s="4"/>
      <c r="G33" s="4"/>
      <c r="H33" s="4"/>
      <c r="I33" s="4"/>
      <c r="J33" s="4"/>
    </row>
    <row r="34" spans="1:10" ht="15.75" x14ac:dyDescent="0.25">
      <c r="A34" s="18" t="s">
        <v>0</v>
      </c>
      <c r="B34" s="4" t="s">
        <v>189</v>
      </c>
      <c r="C34" s="4"/>
      <c r="D34" s="99" t="s">
        <v>200</v>
      </c>
      <c r="E34" s="4"/>
      <c r="F34" s="4"/>
      <c r="G34" s="4"/>
      <c r="H34" s="4"/>
      <c r="I34" s="4"/>
      <c r="J34" s="4"/>
    </row>
    <row r="35" spans="1:10" ht="15.75" x14ac:dyDescent="0.25">
      <c r="A35" s="18"/>
      <c r="B35" s="4"/>
      <c r="C35" s="4"/>
      <c r="D35" s="4"/>
      <c r="E35" s="4"/>
      <c r="F35" s="4"/>
      <c r="G35" s="4"/>
      <c r="H35" s="4"/>
      <c r="I35" s="4"/>
      <c r="J35" s="4"/>
    </row>
    <row r="36" spans="1:10" ht="15.75" x14ac:dyDescent="0.25">
      <c r="A36" s="18"/>
      <c r="B36" s="4" t="s">
        <v>218</v>
      </c>
      <c r="C36" s="4"/>
      <c r="D36" s="4"/>
      <c r="E36" s="9" t="s">
        <v>176</v>
      </c>
      <c r="F36" s="4" t="s">
        <v>219</v>
      </c>
      <c r="G36" s="4"/>
      <c r="H36" s="8"/>
      <c r="I36" s="4"/>
      <c r="J36" s="4"/>
    </row>
    <row r="37" spans="1:10" ht="15.75" x14ac:dyDescent="0.25">
      <c r="A37" s="4"/>
      <c r="B37" s="4" t="s">
        <v>20</v>
      </c>
      <c r="C37" s="4"/>
      <c r="D37" s="4"/>
      <c r="E37" s="15" t="s">
        <v>176</v>
      </c>
      <c r="F37" s="4" t="s">
        <v>219</v>
      </c>
      <c r="G37" s="4"/>
      <c r="H37" s="8"/>
      <c r="I37" s="4"/>
      <c r="J37" s="4"/>
    </row>
    <row r="38" spans="1:10" ht="15.75" x14ac:dyDescent="0.25">
      <c r="A38" s="4"/>
      <c r="B38" s="4"/>
      <c r="C38" s="4"/>
      <c r="D38" s="4"/>
      <c r="E38" s="4"/>
      <c r="F38" s="4"/>
      <c r="G38" s="4"/>
      <c r="H38" s="4"/>
      <c r="I38" s="4"/>
      <c r="J38" s="4"/>
    </row>
    <row r="39" spans="1:10" ht="18" x14ac:dyDescent="0.4">
      <c r="A39" s="4" t="s">
        <v>205</v>
      </c>
      <c r="B39" s="4"/>
      <c r="C39" s="4"/>
      <c r="D39" s="4"/>
      <c r="E39" s="24" t="s">
        <v>176</v>
      </c>
      <c r="F39" s="4"/>
      <c r="G39" s="4"/>
      <c r="H39" s="4"/>
      <c r="I39" s="4"/>
      <c r="J39" s="4"/>
    </row>
    <row r="40" spans="1:10" ht="18" x14ac:dyDescent="0.4">
      <c r="A40" s="4" t="s">
        <v>206</v>
      </c>
      <c r="B40" s="4"/>
      <c r="C40" s="4"/>
      <c r="D40" s="4"/>
      <c r="E40" s="24"/>
      <c r="F40" s="4"/>
      <c r="G40" s="4"/>
      <c r="H40" s="4"/>
      <c r="I40" s="4"/>
      <c r="J40" s="4"/>
    </row>
    <row r="41" spans="1:10" ht="15.75" x14ac:dyDescent="0.25">
      <c r="A41" s="4"/>
      <c r="B41" s="4"/>
      <c r="C41" s="4"/>
      <c r="D41" s="4"/>
      <c r="E41" s="4"/>
      <c r="F41" s="4"/>
      <c r="G41" s="4"/>
      <c r="H41" s="4"/>
      <c r="I41" s="4"/>
      <c r="J41" s="4"/>
    </row>
    <row r="42" spans="1:10" ht="15.75" x14ac:dyDescent="0.25">
      <c r="A42" s="18" t="s">
        <v>3</v>
      </c>
      <c r="B42" s="4" t="s">
        <v>25</v>
      </c>
      <c r="C42" s="4"/>
      <c r="D42" s="4"/>
      <c r="E42" s="4" t="s">
        <v>220</v>
      </c>
      <c r="F42" s="4"/>
      <c r="G42" s="4"/>
      <c r="H42" s="4"/>
      <c r="I42" s="4"/>
      <c r="J42" s="4"/>
    </row>
    <row r="43" spans="1:10" ht="15.75" x14ac:dyDescent="0.25">
      <c r="A43" s="4"/>
      <c r="B43" s="145"/>
      <c r="C43" s="4"/>
      <c r="D43" s="4"/>
      <c r="E43" s="4"/>
      <c r="F43" s="4"/>
      <c r="G43" s="4"/>
      <c r="H43" s="4"/>
      <c r="I43" s="4"/>
      <c r="J43" s="4"/>
    </row>
    <row r="44" spans="1:10" ht="15.75" x14ac:dyDescent="0.25">
      <c r="A44" s="4"/>
      <c r="B44" s="4" t="s">
        <v>167</v>
      </c>
      <c r="C44" s="4"/>
      <c r="D44" s="16" t="s">
        <v>343</v>
      </c>
      <c r="E44" s="4"/>
      <c r="F44" s="4"/>
      <c r="G44" s="4"/>
      <c r="H44" s="4"/>
      <c r="I44" s="4"/>
      <c r="J44" s="4"/>
    </row>
    <row r="45" spans="1:10" ht="15.75" x14ac:dyDescent="0.25">
      <c r="A45" s="4"/>
      <c r="B45" s="4" t="s">
        <v>164</v>
      </c>
      <c r="C45" s="4"/>
      <c r="D45" s="18" t="s">
        <v>163</v>
      </c>
      <c r="E45" s="9">
        <v>1800</v>
      </c>
      <c r="F45" s="4"/>
      <c r="G45" s="9"/>
      <c r="H45" s="4"/>
      <c r="I45" s="4"/>
      <c r="J45" s="4"/>
    </row>
    <row r="46" spans="1:10" ht="15.75" x14ac:dyDescent="0.25">
      <c r="A46" s="4"/>
      <c r="B46" s="4"/>
      <c r="C46" s="4"/>
      <c r="D46" s="18" t="s">
        <v>165</v>
      </c>
      <c r="E46" s="15"/>
      <c r="F46" s="4"/>
      <c r="G46" s="15"/>
      <c r="H46" s="4"/>
      <c r="I46" s="4"/>
      <c r="J46" s="4"/>
    </row>
    <row r="47" spans="1:10" ht="15.75" x14ac:dyDescent="0.25">
      <c r="A47" s="4"/>
      <c r="B47" s="4"/>
      <c r="C47" s="4"/>
      <c r="D47" s="18" t="s">
        <v>166</v>
      </c>
      <c r="E47" s="15"/>
      <c r="F47" s="4"/>
      <c r="G47" s="15"/>
      <c r="H47" s="4"/>
      <c r="I47" s="4"/>
      <c r="J47" s="4"/>
    </row>
    <row r="48" spans="1:10" ht="15.75" x14ac:dyDescent="0.25">
      <c r="A48" s="4"/>
      <c r="B48" s="4"/>
      <c r="C48" s="4"/>
      <c r="D48" s="18"/>
      <c r="E48" s="8"/>
      <c r="F48" s="4"/>
      <c r="G48" s="8"/>
      <c r="H48" s="4"/>
      <c r="I48" s="4"/>
      <c r="J48" s="4"/>
    </row>
    <row r="49" spans="1:10" ht="15.75" x14ac:dyDescent="0.25">
      <c r="A49" s="4" t="s">
        <v>4</v>
      </c>
      <c r="B49" s="4" t="s">
        <v>344</v>
      </c>
      <c r="C49" s="4"/>
      <c r="D49" s="4"/>
      <c r="E49" s="4"/>
      <c r="F49" s="4"/>
      <c r="G49" s="4"/>
      <c r="H49" s="4"/>
      <c r="I49" s="4"/>
      <c r="J49" s="4"/>
    </row>
    <row r="50" spans="1:10" ht="15.75" x14ac:dyDescent="0.25">
      <c r="A50" s="4"/>
      <c r="B50" s="8"/>
      <c r="C50" s="4"/>
      <c r="D50" s="4"/>
      <c r="E50" s="4"/>
      <c r="F50" s="4"/>
      <c r="G50" s="4"/>
      <c r="H50" s="4"/>
      <c r="I50" s="4"/>
      <c r="J50" s="4"/>
    </row>
    <row r="51" spans="1:10" ht="15.75" x14ac:dyDescent="0.25">
      <c r="A51" s="1" t="s">
        <v>170</v>
      </c>
      <c r="C51" s="4"/>
      <c r="D51" s="4"/>
      <c r="E51" s="4"/>
      <c r="F51" s="4"/>
      <c r="G51" s="4"/>
      <c r="H51" s="4"/>
      <c r="I51" s="4"/>
    </row>
    <row r="52" spans="1:10" ht="15.75" x14ac:dyDescent="0.25">
      <c r="A52" s="4"/>
      <c r="B52" s="4"/>
      <c r="C52" s="4"/>
      <c r="D52" s="4"/>
      <c r="E52" s="4"/>
      <c r="F52" s="4"/>
      <c r="G52" s="4"/>
      <c r="H52" s="4"/>
      <c r="I52" s="4"/>
      <c r="J52" s="4"/>
    </row>
    <row r="53" spans="1:10" ht="15.75" x14ac:dyDescent="0.25">
      <c r="A53" s="4" t="s">
        <v>78</v>
      </c>
      <c r="B53" s="4"/>
      <c r="C53" s="4"/>
      <c r="D53" s="4"/>
      <c r="E53" s="4"/>
      <c r="F53" s="16" t="s">
        <v>176</v>
      </c>
      <c r="G53" s="4"/>
      <c r="H53" s="4"/>
      <c r="I53" s="4"/>
      <c r="J53" s="4"/>
    </row>
    <row r="54" spans="1:10" ht="15.75" x14ac:dyDescent="0.25">
      <c r="A54" s="4" t="s">
        <v>79</v>
      </c>
      <c r="B54" s="4"/>
      <c r="C54" s="4"/>
      <c r="D54" s="4"/>
      <c r="E54" s="4"/>
      <c r="F54" s="16" t="s">
        <v>336</v>
      </c>
      <c r="G54" s="4"/>
      <c r="H54" s="4"/>
      <c r="I54" s="4"/>
      <c r="J54" s="4"/>
    </row>
    <row r="55" spans="1:10" ht="15.75" x14ac:dyDescent="0.25">
      <c r="A55" s="4" t="s">
        <v>190</v>
      </c>
      <c r="B55" s="4"/>
      <c r="C55" s="4"/>
      <c r="D55" s="4"/>
      <c r="E55" s="4"/>
      <c r="F55" s="16" t="s">
        <v>176</v>
      </c>
      <c r="G55" s="4"/>
      <c r="H55" s="4"/>
      <c r="I55" s="4"/>
      <c r="J55" s="4"/>
    </row>
    <row r="56" spans="1:10" ht="15.75" x14ac:dyDescent="0.25">
      <c r="A56" s="4" t="s">
        <v>81</v>
      </c>
      <c r="B56" s="4"/>
      <c r="C56" s="4"/>
      <c r="D56" s="4"/>
      <c r="E56" s="4"/>
      <c r="F56" s="151" t="s">
        <v>336</v>
      </c>
      <c r="G56" s="4"/>
      <c r="H56" s="4"/>
      <c r="I56" s="4"/>
      <c r="J56" s="4"/>
    </row>
    <row r="57" spans="1:10" ht="15.75" x14ac:dyDescent="0.25">
      <c r="A57" s="4" t="s">
        <v>82</v>
      </c>
      <c r="B57" s="4"/>
      <c r="C57" s="4"/>
      <c r="D57" s="4"/>
      <c r="E57" s="4"/>
      <c r="F57" s="331" t="s">
        <v>176</v>
      </c>
      <c r="G57" s="4"/>
      <c r="H57" s="4"/>
      <c r="I57" s="4"/>
      <c r="J57" s="4"/>
    </row>
    <row r="58" spans="1:10" ht="15.75" x14ac:dyDescent="0.25">
      <c r="A58" s="2"/>
      <c r="B58" s="4"/>
      <c r="C58" s="4"/>
      <c r="D58" s="4"/>
      <c r="E58" s="4"/>
      <c r="F58" s="4"/>
      <c r="G58" s="4"/>
      <c r="H58" s="4"/>
      <c r="I58" s="4"/>
      <c r="J58" s="4"/>
    </row>
    <row r="59" spans="1:10" ht="15.75" x14ac:dyDescent="0.25">
      <c r="A59" s="3" t="s">
        <v>221</v>
      </c>
      <c r="C59" s="4"/>
      <c r="D59" s="4"/>
      <c r="E59" s="4"/>
      <c r="F59" s="4"/>
      <c r="G59" s="4"/>
      <c r="H59" s="4"/>
      <c r="I59" s="4"/>
      <c r="J59" s="3"/>
    </row>
    <row r="60" spans="1:10" ht="15.75" x14ac:dyDescent="0.25">
      <c r="A60" s="2"/>
      <c r="B60" s="145"/>
      <c r="C60" s="4"/>
      <c r="D60" s="4"/>
      <c r="E60" s="4"/>
      <c r="F60" s="4"/>
      <c r="G60" s="4"/>
      <c r="H60" s="4"/>
      <c r="I60" s="4"/>
      <c r="J60" s="4"/>
    </row>
    <row r="61" spans="1:10" ht="15.75" x14ac:dyDescent="0.25">
      <c r="A61" s="28" t="s">
        <v>83</v>
      </c>
      <c r="B61" s="29" t="s">
        <v>174</v>
      </c>
      <c r="C61" s="2"/>
      <c r="D61" s="2"/>
      <c r="E61" s="2"/>
      <c r="F61" s="2"/>
      <c r="G61" s="2"/>
      <c r="H61" s="2"/>
      <c r="I61" s="4"/>
      <c r="J61" s="23"/>
    </row>
    <row r="62" spans="1:10" ht="15.75" x14ac:dyDescent="0.25">
      <c r="A62" s="2"/>
      <c r="B62" s="2" t="s">
        <v>222</v>
      </c>
      <c r="C62" s="2"/>
      <c r="D62" s="2"/>
      <c r="E62" s="2"/>
      <c r="F62" s="2"/>
      <c r="G62" s="2"/>
      <c r="H62" s="2"/>
      <c r="I62" s="4"/>
      <c r="J62" s="4"/>
    </row>
    <row r="63" spans="1:10" ht="15.75" x14ac:dyDescent="0.25">
      <c r="A63" s="4"/>
      <c r="B63" s="4"/>
      <c r="C63" s="4"/>
      <c r="D63" s="4"/>
      <c r="E63" s="4"/>
      <c r="F63" s="4"/>
      <c r="G63" s="4"/>
      <c r="H63" s="4"/>
      <c r="I63" s="4"/>
      <c r="J63" s="4"/>
    </row>
    <row r="64" spans="1:10" ht="15.75" x14ac:dyDescent="0.25">
      <c r="A64" s="4" t="s">
        <v>84</v>
      </c>
      <c r="B64" s="1" t="s">
        <v>337</v>
      </c>
      <c r="C64" s="4"/>
      <c r="D64" s="4"/>
      <c r="E64" s="4"/>
      <c r="F64" s="4"/>
      <c r="G64" s="4"/>
      <c r="H64" s="4"/>
      <c r="I64" s="4"/>
      <c r="J64" s="1"/>
    </row>
    <row r="65" spans="1:10" ht="15.75" x14ac:dyDescent="0.25">
      <c r="A65" s="4"/>
      <c r="B65" s="4"/>
      <c r="C65" s="4"/>
      <c r="D65" s="4"/>
      <c r="E65" s="4"/>
      <c r="F65" s="4"/>
      <c r="G65" s="4"/>
      <c r="H65" s="4"/>
      <c r="I65" s="4"/>
      <c r="J65" s="4"/>
    </row>
    <row r="66" spans="1:10" ht="15.75" x14ac:dyDescent="0.25">
      <c r="A66" s="4" t="s">
        <v>55</v>
      </c>
      <c r="B66" s="4" t="s">
        <v>338</v>
      </c>
      <c r="C66" s="4"/>
      <c r="D66" s="4"/>
      <c r="E66" s="4"/>
      <c r="F66" s="9">
        <f>Usage!I83-Usage!I82</f>
        <v>374.07999999999993</v>
      </c>
      <c r="G66" s="4"/>
      <c r="H66" s="4"/>
      <c r="I66" s="4"/>
      <c r="J66" s="4"/>
    </row>
    <row r="67" spans="1:10" ht="15.75" x14ac:dyDescent="0.25">
      <c r="A67" s="4"/>
      <c r="B67" s="4"/>
      <c r="C67" s="4"/>
      <c r="D67" s="4"/>
      <c r="E67" s="4"/>
      <c r="F67" s="8"/>
      <c r="G67" s="4"/>
      <c r="H67" s="4"/>
      <c r="I67" s="4"/>
      <c r="J67" s="4"/>
    </row>
    <row r="68" spans="1:10" ht="15.75" x14ac:dyDescent="0.25">
      <c r="A68" s="4" t="s">
        <v>56</v>
      </c>
      <c r="B68" s="4"/>
      <c r="C68" s="1"/>
      <c r="D68" s="4"/>
      <c r="E68" s="4"/>
      <c r="F68" s="9" t="s">
        <v>339</v>
      </c>
      <c r="G68" s="8"/>
      <c r="H68" s="4"/>
      <c r="I68" s="4"/>
      <c r="J68" s="4"/>
    </row>
    <row r="69" spans="1:10" ht="15.75" x14ac:dyDescent="0.25">
      <c r="A69" s="4"/>
      <c r="B69" s="4"/>
      <c r="C69" s="4"/>
      <c r="D69" s="4"/>
      <c r="E69" s="4"/>
      <c r="F69" s="4"/>
      <c r="G69" s="4"/>
      <c r="H69" s="4"/>
      <c r="I69" s="4"/>
      <c r="J69" s="4"/>
    </row>
    <row r="70" spans="1:10" ht="15.75" x14ac:dyDescent="0.25">
      <c r="A70" s="23" t="s">
        <v>169</v>
      </c>
      <c r="C70" s="4"/>
      <c r="D70" s="4"/>
      <c r="E70" s="4"/>
      <c r="F70" s="4"/>
      <c r="G70" s="4"/>
      <c r="H70" s="4"/>
      <c r="I70" s="4"/>
    </row>
    <row r="71" spans="1:10" ht="15.75" x14ac:dyDescent="0.25">
      <c r="A71" s="4"/>
      <c r="B71" s="22" t="s">
        <v>223</v>
      </c>
      <c r="C71" s="4"/>
      <c r="D71" s="4"/>
      <c r="E71" s="4"/>
      <c r="F71" s="4"/>
      <c r="G71" s="4"/>
      <c r="H71" s="4"/>
      <c r="I71" s="4"/>
      <c r="J71" s="4"/>
    </row>
    <row r="72" spans="1:10" ht="15.75" x14ac:dyDescent="0.25">
      <c r="A72" s="4"/>
      <c r="B72" s="1"/>
      <c r="C72" s="1"/>
      <c r="D72" s="34"/>
      <c r="E72" s="4"/>
      <c r="F72" s="4"/>
      <c r="G72" s="4"/>
      <c r="H72" s="4"/>
      <c r="I72" s="4"/>
      <c r="J72" s="1"/>
    </row>
    <row r="73" spans="1:10" ht="15.75" x14ac:dyDescent="0.25">
      <c r="A73" s="3" t="s">
        <v>340</v>
      </c>
      <c r="C73" s="4"/>
      <c r="D73" s="4"/>
      <c r="E73" s="4"/>
      <c r="F73" s="4"/>
      <c r="G73" s="4"/>
      <c r="H73" s="4"/>
      <c r="I73" s="4"/>
      <c r="J73" s="1"/>
    </row>
    <row r="74" spans="1:10" ht="15.75" x14ac:dyDescent="0.25">
      <c r="A74" s="4"/>
      <c r="B74" s="2"/>
      <c r="C74" s="2"/>
      <c r="D74" s="2"/>
      <c r="E74" s="2"/>
      <c r="F74" s="116"/>
      <c r="G74" s="2"/>
      <c r="H74" s="4"/>
      <c r="I74" s="45"/>
      <c r="J74" s="33"/>
    </row>
    <row r="75" spans="1:10" ht="15.75" x14ac:dyDescent="0.25">
      <c r="A75" s="1" t="s">
        <v>359</v>
      </c>
      <c r="C75" s="4"/>
      <c r="D75" s="4"/>
      <c r="E75" s="4"/>
      <c r="F75" s="4"/>
      <c r="G75" s="4"/>
      <c r="H75" s="4"/>
      <c r="I75" s="4"/>
      <c r="J75" s="48"/>
    </row>
    <row r="76" spans="1:10" ht="15.75" x14ac:dyDescent="0.25">
      <c r="A76" s="4"/>
      <c r="B76" s="4"/>
      <c r="C76" s="4"/>
      <c r="D76" s="4"/>
      <c r="E76" s="4"/>
      <c r="F76" s="4"/>
      <c r="G76" s="4"/>
      <c r="H76" s="4"/>
      <c r="I76" s="4"/>
      <c r="J76" s="4"/>
    </row>
    <row r="77" spans="1:10" ht="15.75" x14ac:dyDescent="0.25">
      <c r="A77" s="4" t="s">
        <v>0</v>
      </c>
      <c r="B77" s="4" t="s">
        <v>324</v>
      </c>
      <c r="C77" s="4"/>
      <c r="D77" s="4"/>
      <c r="E77" s="4"/>
      <c r="F77" s="4"/>
      <c r="G77" s="4"/>
      <c r="H77" s="4"/>
      <c r="I77" s="4"/>
      <c r="J77" s="4"/>
    </row>
    <row r="78" spans="1:10" ht="15.75" x14ac:dyDescent="0.25">
      <c r="A78" s="132"/>
      <c r="B78" s="132"/>
      <c r="C78" s="132"/>
      <c r="D78" s="132"/>
      <c r="E78" s="132"/>
      <c r="F78" s="4"/>
      <c r="G78" s="4"/>
      <c r="H78" s="4"/>
      <c r="I78" s="4"/>
      <c r="J78" s="4"/>
    </row>
    <row r="79" spans="1:10" ht="15.75" x14ac:dyDescent="0.25">
      <c r="A79" s="4"/>
      <c r="B79" s="348" t="s">
        <v>248</v>
      </c>
      <c r="C79" s="348"/>
      <c r="D79" s="348"/>
      <c r="E79" s="348"/>
      <c r="F79" s="348"/>
      <c r="G79" s="348"/>
      <c r="H79" s="348"/>
      <c r="I79" s="4"/>
      <c r="J79" s="4"/>
    </row>
    <row r="80" spans="1:10" ht="15.75" x14ac:dyDescent="0.25">
      <c r="A80" s="4"/>
      <c r="B80" s="180" t="s">
        <v>63</v>
      </c>
      <c r="C80" s="4">
        <v>2000</v>
      </c>
      <c r="D80" s="4" t="s">
        <v>64</v>
      </c>
      <c r="E80" s="4" t="s">
        <v>65</v>
      </c>
      <c r="F80" s="181">
        <f>20.55*1.06</f>
        <v>21.783000000000001</v>
      </c>
      <c r="G80" s="181"/>
      <c r="H80" s="287" t="s">
        <v>193</v>
      </c>
      <c r="I80" s="4"/>
      <c r="J80" s="4"/>
    </row>
    <row r="81" spans="1:13" ht="15.75" x14ac:dyDescent="0.25">
      <c r="A81" s="4"/>
      <c r="B81" s="180" t="s">
        <v>67</v>
      </c>
      <c r="C81" s="4">
        <v>98000</v>
      </c>
      <c r="D81" s="4" t="s">
        <v>64</v>
      </c>
      <c r="E81" s="4" t="s">
        <v>65</v>
      </c>
      <c r="F81" s="181">
        <f>6.92*1.06</f>
        <v>7.3352000000000004</v>
      </c>
      <c r="G81" s="181"/>
      <c r="H81" s="287" t="s">
        <v>66</v>
      </c>
      <c r="I81" s="4"/>
      <c r="J81" s="4"/>
    </row>
    <row r="82" spans="1:13" ht="15.75" x14ac:dyDescent="0.25">
      <c r="A82" s="4"/>
      <c r="B82" s="180" t="s">
        <v>67</v>
      </c>
      <c r="C82" s="4">
        <v>400000</v>
      </c>
      <c r="D82" s="4" t="s">
        <v>64</v>
      </c>
      <c r="E82" s="4" t="s">
        <v>65</v>
      </c>
      <c r="F82" s="181">
        <f>5.63*1.06</f>
        <v>5.9678000000000004</v>
      </c>
      <c r="G82" s="181"/>
      <c r="H82" s="287" t="s">
        <v>66</v>
      </c>
      <c r="I82" s="4"/>
      <c r="J82" s="4"/>
    </row>
    <row r="83" spans="1:13" ht="15.75" x14ac:dyDescent="0.25">
      <c r="A83" s="4"/>
      <c r="B83" s="180" t="s">
        <v>68</v>
      </c>
      <c r="C83" s="4">
        <v>500000</v>
      </c>
      <c r="D83" s="4" t="s">
        <v>64</v>
      </c>
      <c r="E83" s="4" t="s">
        <v>65</v>
      </c>
      <c r="F83" s="181">
        <f>4.11*1.06</f>
        <v>4.3566000000000003</v>
      </c>
      <c r="G83" s="181"/>
      <c r="H83" s="287" t="s">
        <v>66</v>
      </c>
      <c r="I83" s="4"/>
      <c r="J83" s="4"/>
    </row>
    <row r="84" spans="1:13" ht="15.75" x14ac:dyDescent="0.25">
      <c r="A84" s="4"/>
      <c r="B84" s="180"/>
      <c r="C84" s="4"/>
      <c r="D84" s="4"/>
      <c r="E84" s="4"/>
      <c r="F84" s="181"/>
      <c r="G84" s="181"/>
      <c r="H84" s="287"/>
      <c r="I84" s="4"/>
      <c r="J84" s="4"/>
    </row>
    <row r="85" spans="1:13" ht="15.75" x14ac:dyDescent="0.25">
      <c r="A85" s="4"/>
      <c r="B85" s="348" t="s">
        <v>250</v>
      </c>
      <c r="C85" s="348"/>
      <c r="D85" s="348"/>
      <c r="E85" s="348"/>
      <c r="F85" s="348"/>
      <c r="G85" s="348"/>
      <c r="H85" s="348"/>
      <c r="K85" s="4"/>
      <c r="L85" s="47"/>
      <c r="M85" s="81"/>
    </row>
    <row r="86" spans="1:13" ht="15.75" x14ac:dyDescent="0.25">
      <c r="A86" s="4"/>
      <c r="B86" s="180" t="s">
        <v>63</v>
      </c>
      <c r="C86" s="4">
        <v>4000</v>
      </c>
      <c r="D86" s="4" t="s">
        <v>64</v>
      </c>
      <c r="E86" s="4" t="s">
        <v>65</v>
      </c>
      <c r="F86" s="181">
        <f>34.39*1.06</f>
        <v>36.453400000000002</v>
      </c>
      <c r="G86" s="181"/>
      <c r="H86" s="287" t="s">
        <v>193</v>
      </c>
      <c r="K86" s="117"/>
      <c r="M86" s="81"/>
    </row>
    <row r="87" spans="1:13" ht="15.75" x14ac:dyDescent="0.25">
      <c r="A87" s="4"/>
      <c r="B87" s="180" t="s">
        <v>67</v>
      </c>
      <c r="C87" s="4">
        <v>96000</v>
      </c>
      <c r="D87" s="4" t="s">
        <v>64</v>
      </c>
      <c r="E87" s="4" t="s">
        <v>65</v>
      </c>
      <c r="F87" s="181">
        <f>6.92*1.06</f>
        <v>7.3352000000000004</v>
      </c>
      <c r="G87" s="181"/>
      <c r="H87" s="287" t="s">
        <v>66</v>
      </c>
      <c r="I87" s="4"/>
      <c r="J87" s="4"/>
    </row>
    <row r="88" spans="1:13" ht="15.75" x14ac:dyDescent="0.25">
      <c r="A88" s="4"/>
      <c r="B88" s="180" t="s">
        <v>67</v>
      </c>
      <c r="C88" s="4">
        <v>400000</v>
      </c>
      <c r="D88" s="4" t="s">
        <v>64</v>
      </c>
      <c r="E88" s="4" t="s">
        <v>65</v>
      </c>
      <c r="F88" s="181">
        <f>5.63*1.06</f>
        <v>5.9678000000000004</v>
      </c>
      <c r="G88" s="181"/>
      <c r="H88" s="287" t="s">
        <v>66</v>
      </c>
      <c r="K88" s="50"/>
      <c r="L88" s="50"/>
    </row>
    <row r="89" spans="1:13" ht="15.75" x14ac:dyDescent="0.25">
      <c r="A89" s="132"/>
      <c r="B89" s="180" t="s">
        <v>68</v>
      </c>
      <c r="C89" s="4">
        <v>500000</v>
      </c>
      <c r="D89" s="4" t="s">
        <v>64</v>
      </c>
      <c r="E89" s="4" t="s">
        <v>65</v>
      </c>
      <c r="F89" s="181">
        <f>4.11*1.06</f>
        <v>4.3566000000000003</v>
      </c>
      <c r="G89" s="181"/>
      <c r="H89" s="287" t="s">
        <v>66</v>
      </c>
      <c r="I89" s="4"/>
      <c r="K89" s="81"/>
      <c r="L89" s="81"/>
    </row>
    <row r="90" spans="1:13" ht="15.75" x14ac:dyDescent="0.25">
      <c r="A90" s="132"/>
      <c r="B90" s="180"/>
      <c r="C90" s="4"/>
      <c r="D90" s="4"/>
      <c r="E90" s="4"/>
      <c r="F90" s="181"/>
      <c r="G90" s="181"/>
      <c r="H90" s="287"/>
      <c r="I90" s="4"/>
      <c r="J90" s="4"/>
    </row>
    <row r="91" spans="1:13" ht="15.75" x14ac:dyDescent="0.25">
      <c r="A91" s="132"/>
      <c r="B91" s="348" t="s">
        <v>249</v>
      </c>
      <c r="C91" s="348"/>
      <c r="D91" s="348"/>
      <c r="E91" s="348"/>
      <c r="F91" s="348"/>
      <c r="G91" s="348"/>
      <c r="H91" s="348"/>
      <c r="I91" s="4"/>
      <c r="J91" s="4"/>
    </row>
    <row r="92" spans="1:13" ht="15.75" x14ac:dyDescent="0.25">
      <c r="A92" s="132"/>
      <c r="B92" s="180" t="s">
        <v>63</v>
      </c>
      <c r="C92" s="4">
        <v>8000</v>
      </c>
      <c r="D92" s="4" t="s">
        <v>64</v>
      </c>
      <c r="E92" s="4" t="s">
        <v>65</v>
      </c>
      <c r="F92" s="181">
        <f>62.09*1.06</f>
        <v>65.815400000000011</v>
      </c>
      <c r="G92" s="181"/>
      <c r="H92" s="287" t="s">
        <v>193</v>
      </c>
    </row>
    <row r="93" spans="1:13" ht="15.75" x14ac:dyDescent="0.25">
      <c r="A93" s="4"/>
      <c r="B93" s="180" t="s">
        <v>67</v>
      </c>
      <c r="C93" s="4">
        <v>92000</v>
      </c>
      <c r="D93" s="4" t="s">
        <v>64</v>
      </c>
      <c r="E93" s="4" t="s">
        <v>65</v>
      </c>
      <c r="F93" s="181">
        <f>6.92*1.06</f>
        <v>7.3352000000000004</v>
      </c>
      <c r="G93" s="181"/>
      <c r="H93" s="287" t="s">
        <v>66</v>
      </c>
      <c r="M93" s="81"/>
    </row>
    <row r="94" spans="1:13" ht="15.75" x14ac:dyDescent="0.25">
      <c r="A94" s="4"/>
      <c r="B94" s="180" t="s">
        <v>67</v>
      </c>
      <c r="C94" s="4">
        <v>400000</v>
      </c>
      <c r="D94" s="4" t="s">
        <v>64</v>
      </c>
      <c r="E94" s="4" t="s">
        <v>65</v>
      </c>
      <c r="F94" s="181">
        <f>5.63*1.06</f>
        <v>5.9678000000000004</v>
      </c>
      <c r="G94" s="181"/>
      <c r="H94" s="287" t="s">
        <v>66</v>
      </c>
    </row>
    <row r="95" spans="1:13" ht="15.75" x14ac:dyDescent="0.25">
      <c r="A95" s="4"/>
      <c r="B95" s="180" t="s">
        <v>68</v>
      </c>
      <c r="C95" s="4">
        <v>500000</v>
      </c>
      <c r="D95" s="4" t="s">
        <v>64</v>
      </c>
      <c r="E95" s="4" t="s">
        <v>65</v>
      </c>
      <c r="F95" s="181">
        <f>4.11*1.06</f>
        <v>4.3566000000000003</v>
      </c>
      <c r="G95" s="181"/>
      <c r="H95" s="287" t="s">
        <v>66</v>
      </c>
      <c r="M95" s="81"/>
    </row>
    <row r="96" spans="1:13" ht="15.75" x14ac:dyDescent="0.25">
      <c r="A96" s="4"/>
      <c r="B96" s="180"/>
      <c r="C96" s="4"/>
      <c r="D96" s="4"/>
      <c r="E96" s="4"/>
      <c r="F96" s="181"/>
      <c r="G96" s="181"/>
      <c r="H96" s="287"/>
    </row>
    <row r="97" spans="1:8" ht="15.75" x14ac:dyDescent="0.25">
      <c r="A97" s="4"/>
      <c r="B97" s="348" t="s">
        <v>251</v>
      </c>
      <c r="C97" s="348"/>
      <c r="D97" s="348"/>
      <c r="E97" s="348"/>
      <c r="F97" s="348"/>
      <c r="G97" s="348"/>
      <c r="H97" s="348"/>
    </row>
    <row r="98" spans="1:8" ht="15.75" x14ac:dyDescent="0.25">
      <c r="A98" s="4"/>
      <c r="B98" s="180" t="s">
        <v>63</v>
      </c>
      <c r="C98" s="4">
        <v>15000</v>
      </c>
      <c r="D98" s="4" t="s">
        <v>64</v>
      </c>
      <c r="E98" s="4" t="s">
        <v>65</v>
      </c>
      <c r="F98" s="181">
        <f>110.56*1.06</f>
        <v>117.1936</v>
      </c>
      <c r="G98" s="181"/>
      <c r="H98" s="287" t="s">
        <v>193</v>
      </c>
    </row>
    <row r="99" spans="1:8" ht="15.75" x14ac:dyDescent="0.25">
      <c r="A99" s="4"/>
      <c r="B99" s="180" t="s">
        <v>67</v>
      </c>
      <c r="C99" s="4">
        <v>85000</v>
      </c>
      <c r="D99" s="4" t="s">
        <v>64</v>
      </c>
      <c r="E99" s="4" t="s">
        <v>65</v>
      </c>
      <c r="F99" s="181">
        <f>6.92*1.06</f>
        <v>7.3352000000000004</v>
      </c>
      <c r="G99" s="181"/>
      <c r="H99" s="287" t="s">
        <v>66</v>
      </c>
    </row>
    <row r="100" spans="1:8" ht="15.75" x14ac:dyDescent="0.25">
      <c r="A100" s="132"/>
      <c r="B100" s="180" t="s">
        <v>67</v>
      </c>
      <c r="C100" s="4">
        <v>400000</v>
      </c>
      <c r="D100" s="4" t="s">
        <v>64</v>
      </c>
      <c r="E100" s="4" t="s">
        <v>65</v>
      </c>
      <c r="F100" s="181">
        <f>5.63*1.06</f>
        <v>5.9678000000000004</v>
      </c>
      <c r="G100" s="181"/>
      <c r="H100" s="287" t="s">
        <v>66</v>
      </c>
    </row>
    <row r="101" spans="1:8" ht="15.75" x14ac:dyDescent="0.25">
      <c r="B101" s="180" t="s">
        <v>68</v>
      </c>
      <c r="C101" s="4">
        <v>500000</v>
      </c>
      <c r="D101" s="4" t="s">
        <v>64</v>
      </c>
      <c r="E101" s="4" t="s">
        <v>65</v>
      </c>
      <c r="F101" s="181">
        <f>4.11*1.06</f>
        <v>4.3566000000000003</v>
      </c>
      <c r="G101" s="181"/>
      <c r="H101" s="287" t="s">
        <v>66</v>
      </c>
    </row>
    <row r="102" spans="1:8" ht="15.75" x14ac:dyDescent="0.25">
      <c r="B102" s="180"/>
      <c r="C102" s="4"/>
      <c r="D102" s="4"/>
      <c r="E102" s="4"/>
      <c r="F102" s="181"/>
      <c r="G102" s="181"/>
      <c r="H102" s="287"/>
    </row>
    <row r="103" spans="1:8" ht="15.75" x14ac:dyDescent="0.25">
      <c r="B103" s="348" t="s">
        <v>252</v>
      </c>
      <c r="C103" s="348"/>
      <c r="D103" s="348"/>
      <c r="E103" s="348"/>
      <c r="F103" s="348"/>
      <c r="G103" s="348"/>
      <c r="H103" s="348"/>
    </row>
    <row r="104" spans="1:8" ht="15.75" x14ac:dyDescent="0.25">
      <c r="B104" s="180" t="s">
        <v>63</v>
      </c>
      <c r="C104" s="4">
        <v>25000</v>
      </c>
      <c r="D104" s="4" t="s">
        <v>64</v>
      </c>
      <c r="E104" s="4" t="s">
        <v>65</v>
      </c>
      <c r="F104" s="181">
        <f>179.81*1.06</f>
        <v>190.5986</v>
      </c>
      <c r="G104" s="181"/>
      <c r="H104" s="287" t="s">
        <v>193</v>
      </c>
    </row>
    <row r="105" spans="1:8" ht="15.75" x14ac:dyDescent="0.25">
      <c r="B105" s="180" t="s">
        <v>67</v>
      </c>
      <c r="C105" s="4">
        <v>75000</v>
      </c>
      <c r="D105" s="4" t="s">
        <v>64</v>
      </c>
      <c r="E105" s="4" t="s">
        <v>65</v>
      </c>
      <c r="F105" s="181">
        <f>6.92*1.06</f>
        <v>7.3352000000000004</v>
      </c>
      <c r="G105" s="181"/>
      <c r="H105" s="287" t="s">
        <v>66</v>
      </c>
    </row>
    <row r="106" spans="1:8" ht="15.75" x14ac:dyDescent="0.25">
      <c r="B106" s="180" t="s">
        <v>67</v>
      </c>
      <c r="C106" s="4">
        <v>400000</v>
      </c>
      <c r="D106" s="4" t="s">
        <v>64</v>
      </c>
      <c r="E106" s="4" t="s">
        <v>65</v>
      </c>
      <c r="F106" s="181">
        <f>5.63*1.06</f>
        <v>5.9678000000000004</v>
      </c>
      <c r="G106" s="181"/>
      <c r="H106" s="287" t="s">
        <v>66</v>
      </c>
    </row>
    <row r="107" spans="1:8" ht="15.75" x14ac:dyDescent="0.25">
      <c r="B107" s="180" t="s">
        <v>68</v>
      </c>
      <c r="C107" s="4">
        <v>500000</v>
      </c>
      <c r="D107" s="4" t="s">
        <v>64</v>
      </c>
      <c r="E107" s="4" t="s">
        <v>65</v>
      </c>
      <c r="F107" s="181">
        <f>4.11*1.06</f>
        <v>4.3566000000000003</v>
      </c>
      <c r="G107" s="181"/>
      <c r="H107" s="287" t="s">
        <v>66</v>
      </c>
    </row>
    <row r="108" spans="1:8" ht="15.75" x14ac:dyDescent="0.25">
      <c r="B108" s="180"/>
      <c r="C108" s="4"/>
      <c r="D108" s="4"/>
      <c r="E108" s="4"/>
      <c r="F108" s="181"/>
      <c r="G108" s="181"/>
      <c r="H108" s="287"/>
    </row>
    <row r="109" spans="1:8" ht="15.75" x14ac:dyDescent="0.25">
      <c r="B109" s="54"/>
      <c r="C109" s="1"/>
      <c r="D109" s="1"/>
      <c r="E109" s="1"/>
      <c r="F109" s="181"/>
      <c r="G109" s="181"/>
    </row>
    <row r="110" spans="1:8" ht="15.75" x14ac:dyDescent="0.25">
      <c r="B110" s="120" t="s">
        <v>356</v>
      </c>
      <c r="C110" s="4"/>
      <c r="D110" s="4"/>
      <c r="E110" s="37">
        <f>2.23*1.1</f>
        <v>2.4530000000000003</v>
      </c>
      <c r="F110" s="37"/>
      <c r="G110" s="4"/>
      <c r="H110" s="93"/>
    </row>
  </sheetData>
  <mergeCells count="9">
    <mergeCell ref="D19:E19"/>
    <mergeCell ref="D20:E20"/>
    <mergeCell ref="D21:E21"/>
    <mergeCell ref="D22:E22"/>
    <mergeCell ref="B103:H103"/>
    <mergeCell ref="B97:H97"/>
    <mergeCell ref="B91:H91"/>
    <mergeCell ref="B85:H85"/>
    <mergeCell ref="B79:H79"/>
  </mergeCells>
  <phoneticPr fontId="14" type="noConversion"/>
  <pageMargins left="0.75" right="0.75" top="1" bottom="1" header="0.5" footer="0.5"/>
  <pageSetup scale="70" firstPageNumber="13" orientation="portrait" useFirstPageNumber="1" r:id="rId1"/>
  <headerFooter alignWithMargins="0">
    <oddFooter>Page &amp;P</oddFooter>
  </headerFooter>
  <rowBreaks count="3" manualBreakCount="3">
    <brk id="31" max="16383" man="1"/>
    <brk id="58" max="16383" man="1"/>
    <brk id="74"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385"/>
  <sheetViews>
    <sheetView view="pageBreakPreview" topLeftCell="A12" zoomScale="60" zoomScaleNormal="75" workbookViewId="0">
      <selection activeCell="H100" sqref="H100"/>
    </sheetView>
  </sheetViews>
  <sheetFormatPr defaultRowHeight="12.75" x14ac:dyDescent="0.2"/>
  <cols>
    <col min="1" max="1" width="7.42578125" customWidth="1"/>
    <col min="2" max="2" width="24.42578125" customWidth="1"/>
    <col min="3" max="3" width="14.140625" customWidth="1"/>
    <col min="4" max="4" width="11.28515625" customWidth="1"/>
    <col min="5" max="5" width="12.28515625" customWidth="1"/>
    <col min="6" max="7" width="16.7109375" customWidth="1"/>
    <col min="8" max="8" width="24" bestFit="1" customWidth="1"/>
    <col min="9" max="9" width="15.7109375" customWidth="1"/>
    <col min="10" max="10" width="14.5703125" customWidth="1"/>
    <col min="11" max="11" width="10.5703125" customWidth="1"/>
    <col min="12" max="12" width="10.42578125" bestFit="1" customWidth="1"/>
    <col min="13" max="13" width="15.7109375" bestFit="1" customWidth="1"/>
    <col min="14" max="14" width="17.28515625" bestFit="1" customWidth="1"/>
    <col min="15" max="15" width="13.5703125" customWidth="1"/>
    <col min="16" max="16" width="12.85546875" bestFit="1" customWidth="1"/>
    <col min="17" max="18" width="12.85546875" customWidth="1"/>
    <col min="19" max="19" width="11.28515625" bestFit="1" customWidth="1"/>
    <col min="20" max="20" width="10.5703125" customWidth="1"/>
    <col min="22" max="23" width="11.28515625" bestFit="1" customWidth="1"/>
    <col min="24" max="24" width="11.28515625" customWidth="1"/>
    <col min="25" max="26" width="10.28515625" bestFit="1" customWidth="1"/>
  </cols>
  <sheetData>
    <row r="1" spans="1:29" ht="15.75" x14ac:dyDescent="0.25">
      <c r="A1" s="3" t="s">
        <v>259</v>
      </c>
      <c r="C1" s="4"/>
      <c r="D1" s="4"/>
      <c r="F1" s="4"/>
      <c r="G1" s="4"/>
      <c r="H1" s="4"/>
      <c r="I1" s="4"/>
      <c r="J1" s="4"/>
      <c r="K1" s="71"/>
    </row>
    <row r="2" spans="1:29" ht="15.75" x14ac:dyDescent="0.25">
      <c r="A2" s="2"/>
      <c r="B2" s="3" t="s">
        <v>207</v>
      </c>
      <c r="C2" s="4"/>
      <c r="D2" s="4"/>
      <c r="E2" s="4"/>
      <c r="F2" s="4"/>
      <c r="G2" s="4"/>
      <c r="H2" s="4"/>
      <c r="I2" s="4"/>
      <c r="J2" s="4"/>
      <c r="K2" s="71"/>
      <c r="L2" s="76"/>
      <c r="M2" s="76"/>
      <c r="N2" s="222"/>
      <c r="O2" s="223"/>
      <c r="P2" s="76"/>
      <c r="Q2" s="76"/>
      <c r="R2" s="76"/>
      <c r="S2" s="76"/>
      <c r="T2" s="76"/>
      <c r="U2" s="76"/>
      <c r="V2" s="76"/>
      <c r="W2" s="76"/>
      <c r="X2" s="76"/>
      <c r="Y2" s="76"/>
      <c r="Z2" s="76"/>
      <c r="AA2" s="76"/>
      <c r="AB2" s="76"/>
      <c r="AC2" s="76"/>
    </row>
    <row r="3" spans="1:29" ht="15.75" x14ac:dyDescent="0.25">
      <c r="A3" s="2"/>
      <c r="B3" s="3"/>
      <c r="C3" s="4"/>
      <c r="D3" s="4"/>
      <c r="E3" s="4"/>
      <c r="F3" s="4"/>
      <c r="G3" s="4"/>
      <c r="H3" s="4"/>
      <c r="I3" s="4"/>
      <c r="J3" s="4"/>
      <c r="K3" s="71"/>
      <c r="L3" s="76"/>
      <c r="M3" s="76"/>
      <c r="N3" s="222"/>
      <c r="O3" s="223"/>
      <c r="P3" s="76"/>
      <c r="Q3" s="76"/>
      <c r="R3" s="76"/>
      <c r="S3" s="76"/>
      <c r="T3" s="76"/>
      <c r="U3" s="76"/>
      <c r="V3" s="76"/>
      <c r="W3" s="76"/>
      <c r="X3" s="76"/>
      <c r="Y3" s="76"/>
      <c r="Z3" s="76"/>
      <c r="AA3" s="76"/>
      <c r="AB3" s="76"/>
      <c r="AC3" s="76"/>
    </row>
    <row r="4" spans="1:29" ht="15.75" x14ac:dyDescent="0.25">
      <c r="A4" s="4"/>
      <c r="B4" s="4"/>
      <c r="C4" s="4"/>
      <c r="D4" s="4"/>
      <c r="E4" s="4"/>
      <c r="H4" s="52"/>
      <c r="I4" s="4"/>
      <c r="J4" s="4"/>
      <c r="K4" s="71"/>
      <c r="L4" s="8"/>
      <c r="M4" s="76"/>
      <c r="N4" s="76"/>
      <c r="O4" s="76"/>
      <c r="P4" s="76"/>
      <c r="Q4" s="76"/>
      <c r="R4" s="76"/>
      <c r="S4" s="76"/>
      <c r="T4" s="76"/>
      <c r="U4" s="76"/>
      <c r="V4" s="76"/>
      <c r="W4" s="76"/>
      <c r="X4" s="76"/>
      <c r="Y4" s="76"/>
      <c r="Z4" s="76"/>
      <c r="AA4" s="76"/>
      <c r="AB4" s="76"/>
      <c r="AC4" s="76"/>
    </row>
    <row r="5" spans="1:29" ht="15.75" x14ac:dyDescent="0.25">
      <c r="A5" s="3" t="s">
        <v>211</v>
      </c>
      <c r="B5" s="4"/>
      <c r="C5" s="4"/>
      <c r="D5" s="4"/>
      <c r="E5" s="4"/>
      <c r="F5" s="4"/>
      <c r="G5" s="45"/>
      <c r="H5" s="4"/>
      <c r="I5" s="4"/>
      <c r="J5" s="4"/>
      <c r="K5" s="71"/>
      <c r="L5" s="76"/>
      <c r="M5" s="76"/>
      <c r="N5" s="76"/>
      <c r="O5" s="76"/>
      <c r="P5" s="76"/>
      <c r="Q5" s="76"/>
      <c r="R5" s="76"/>
      <c r="S5" s="76"/>
      <c r="T5" s="76"/>
      <c r="U5" s="76"/>
      <c r="V5" s="76"/>
      <c r="W5" s="76"/>
      <c r="X5" s="76"/>
      <c r="Y5" s="76"/>
      <c r="Z5" s="76"/>
      <c r="AA5" s="76"/>
      <c r="AB5" s="76"/>
      <c r="AC5" s="76"/>
    </row>
    <row r="6" spans="1:29" ht="15.75" x14ac:dyDescent="0.25">
      <c r="A6" s="2"/>
      <c r="B6" s="4"/>
      <c r="C6" s="4"/>
      <c r="D6" s="4"/>
      <c r="E6" s="4"/>
      <c r="F6" s="4"/>
      <c r="G6" s="4"/>
      <c r="H6" s="4"/>
      <c r="I6" s="4"/>
      <c r="J6" s="4"/>
      <c r="K6" s="71"/>
      <c r="L6" s="76"/>
      <c r="M6" s="76"/>
      <c r="N6" s="76"/>
      <c r="O6" s="76"/>
      <c r="P6" s="76"/>
      <c r="Q6" s="76"/>
      <c r="R6" s="76"/>
      <c r="S6" s="76"/>
      <c r="T6" s="76"/>
      <c r="U6" s="76"/>
      <c r="V6" s="76"/>
      <c r="W6" s="76"/>
      <c r="X6" s="76"/>
      <c r="Y6" s="76"/>
      <c r="Z6" s="76"/>
      <c r="AA6" s="76"/>
      <c r="AB6" s="76"/>
      <c r="AC6" s="76"/>
    </row>
    <row r="7" spans="1:29" ht="15.75" x14ac:dyDescent="0.25">
      <c r="A7" s="366" t="s">
        <v>104</v>
      </c>
      <c r="B7" s="366"/>
      <c r="C7" s="366"/>
      <c r="D7" s="366"/>
      <c r="E7" s="366"/>
      <c r="F7" s="366"/>
      <c r="G7" s="366"/>
      <c r="H7" s="366"/>
      <c r="I7" s="366"/>
      <c r="J7" s="366"/>
      <c r="K7" s="71"/>
      <c r="L7" s="76"/>
      <c r="M7" s="76"/>
      <c r="N7" s="76"/>
      <c r="O7" s="76"/>
      <c r="P7" s="76"/>
      <c r="Q7" s="76"/>
      <c r="R7" s="76"/>
      <c r="S7" s="76"/>
      <c r="T7" s="76"/>
      <c r="U7" s="76"/>
      <c r="V7" s="76"/>
      <c r="W7" s="76"/>
      <c r="X7" s="76"/>
      <c r="Y7" s="76"/>
      <c r="Z7" s="76"/>
      <c r="AA7" s="76"/>
      <c r="AB7" s="76"/>
      <c r="AC7" s="76"/>
    </row>
    <row r="8" spans="1:29" ht="15.75" x14ac:dyDescent="0.25">
      <c r="A8" s="366"/>
      <c r="B8" s="366"/>
      <c r="C8" s="366"/>
      <c r="D8" s="366"/>
      <c r="E8" s="366"/>
      <c r="F8" s="366"/>
      <c r="G8" s="366"/>
      <c r="H8" s="366"/>
      <c r="I8" s="366"/>
      <c r="J8" s="366"/>
      <c r="K8" s="71"/>
      <c r="L8" s="76"/>
      <c r="M8" s="76"/>
      <c r="N8" s="76"/>
      <c r="O8" s="76"/>
      <c r="P8" s="76"/>
      <c r="Q8" s="76"/>
      <c r="R8" s="76"/>
      <c r="S8" s="76"/>
      <c r="T8" s="76"/>
      <c r="U8" s="76"/>
      <c r="V8" s="76"/>
      <c r="W8" s="76"/>
      <c r="X8" s="76"/>
      <c r="Y8" s="76"/>
      <c r="Z8" s="76"/>
      <c r="AA8" s="76"/>
      <c r="AB8" s="76"/>
      <c r="AC8" s="76"/>
    </row>
    <row r="9" spans="1:29" ht="15.75" x14ac:dyDescent="0.25">
      <c r="A9" s="2"/>
      <c r="B9" s="4"/>
      <c r="C9" s="4"/>
      <c r="D9" s="4"/>
      <c r="E9" s="4"/>
      <c r="F9" s="4"/>
      <c r="G9" s="4"/>
      <c r="H9" s="4"/>
      <c r="I9" s="4"/>
      <c r="J9" s="4"/>
      <c r="K9" s="71"/>
      <c r="L9" s="76"/>
      <c r="M9" s="76"/>
      <c r="N9" s="76"/>
      <c r="O9" s="76"/>
      <c r="P9" s="76"/>
      <c r="Q9" s="76"/>
      <c r="R9" s="76"/>
      <c r="S9" s="76"/>
      <c r="T9" s="76"/>
      <c r="U9" s="76"/>
      <c r="V9" s="76"/>
      <c r="W9" s="76"/>
      <c r="X9" s="76"/>
      <c r="Y9" s="76"/>
      <c r="Z9" s="76"/>
      <c r="AA9" s="76"/>
      <c r="AB9" s="76"/>
      <c r="AC9" s="76"/>
    </row>
    <row r="10" spans="1:29" ht="15.75" x14ac:dyDescent="0.25">
      <c r="A10" s="4"/>
      <c r="B10" s="2" t="s">
        <v>105</v>
      </c>
      <c r="C10" s="2" t="s">
        <v>106</v>
      </c>
      <c r="D10" s="2" t="s">
        <v>106</v>
      </c>
      <c r="E10" s="2" t="s">
        <v>107</v>
      </c>
      <c r="F10" s="4"/>
      <c r="G10" s="4"/>
      <c r="H10" s="4"/>
      <c r="I10" s="4"/>
      <c r="J10" s="4"/>
      <c r="K10" s="71"/>
      <c r="L10" s="76"/>
      <c r="M10" s="76"/>
      <c r="N10" s="76"/>
      <c r="O10" s="76"/>
      <c r="P10" s="76"/>
      <c r="Q10" s="76"/>
      <c r="R10" s="76"/>
      <c r="S10" s="76"/>
      <c r="T10" s="76"/>
      <c r="U10" s="76"/>
      <c r="V10" s="76"/>
      <c r="W10" s="76"/>
      <c r="X10" s="76"/>
      <c r="Y10" s="76"/>
      <c r="Z10" s="76"/>
      <c r="AA10" s="76"/>
      <c r="AB10" s="76"/>
      <c r="AC10" s="76"/>
    </row>
    <row r="11" spans="1:29" ht="15.75" x14ac:dyDescent="0.25">
      <c r="A11" s="4"/>
      <c r="B11" s="3" t="s">
        <v>108</v>
      </c>
      <c r="C11" s="3" t="s">
        <v>109</v>
      </c>
      <c r="D11" s="3" t="s">
        <v>110</v>
      </c>
      <c r="E11" s="3" t="s">
        <v>111</v>
      </c>
      <c r="F11" s="4"/>
      <c r="G11" s="4"/>
      <c r="H11" s="4"/>
      <c r="I11" s="4"/>
      <c r="J11" s="4"/>
      <c r="K11" s="71"/>
      <c r="L11" s="76"/>
      <c r="M11" s="76"/>
      <c r="N11" s="76"/>
      <c r="O11" s="76"/>
      <c r="P11" s="76"/>
      <c r="Q11" s="76"/>
      <c r="R11" s="76"/>
      <c r="S11" s="76"/>
      <c r="T11" s="76"/>
      <c r="U11" s="76"/>
      <c r="V11" s="76"/>
      <c r="W11" s="76"/>
      <c r="X11" s="76"/>
      <c r="Y11" s="76"/>
      <c r="Z11" s="76"/>
      <c r="AA11" s="76"/>
      <c r="AB11" s="76"/>
      <c r="AC11" s="76"/>
    </row>
    <row r="12" spans="1:29" ht="15.75" x14ac:dyDescent="0.25">
      <c r="A12" s="2"/>
      <c r="B12" s="4"/>
      <c r="C12" s="4"/>
      <c r="D12" s="4"/>
      <c r="E12" s="4"/>
      <c r="F12" s="4"/>
      <c r="G12" s="4"/>
      <c r="H12" s="4"/>
      <c r="I12" s="4"/>
      <c r="J12" s="4"/>
      <c r="K12" s="71"/>
      <c r="L12" s="76"/>
      <c r="M12" s="76"/>
      <c r="N12" s="76"/>
      <c r="O12" s="76"/>
      <c r="P12" s="76"/>
      <c r="Q12" s="76"/>
      <c r="R12" s="76"/>
      <c r="S12" s="76"/>
      <c r="T12" s="76"/>
      <c r="U12" s="76"/>
      <c r="V12" s="76"/>
      <c r="W12" s="76"/>
      <c r="X12" s="76"/>
      <c r="Y12" s="76"/>
      <c r="Z12" s="76"/>
      <c r="AA12" s="76"/>
      <c r="AB12" s="76"/>
      <c r="AC12" s="76"/>
    </row>
    <row r="13" spans="1:29" ht="15.75" x14ac:dyDescent="0.25">
      <c r="B13" s="2" t="s">
        <v>112</v>
      </c>
      <c r="C13" s="2" t="s">
        <v>113</v>
      </c>
      <c r="D13" s="2" t="s">
        <v>113</v>
      </c>
      <c r="E13" s="2" t="s">
        <v>114</v>
      </c>
      <c r="F13" s="4"/>
      <c r="G13" s="4"/>
      <c r="H13" s="4"/>
      <c r="I13" s="4"/>
      <c r="J13" s="4"/>
      <c r="K13" s="71"/>
      <c r="L13" s="76"/>
      <c r="M13" s="76"/>
      <c r="N13" s="76"/>
      <c r="O13" s="76"/>
      <c r="P13" s="76"/>
      <c r="Q13" s="76"/>
      <c r="R13" s="76"/>
      <c r="S13" s="76"/>
      <c r="T13" s="76"/>
      <c r="U13" s="76"/>
      <c r="V13" s="76"/>
      <c r="W13" s="76"/>
      <c r="X13" s="76"/>
      <c r="Y13" s="76"/>
      <c r="Z13" s="76"/>
      <c r="AA13" s="76"/>
      <c r="AB13" s="76"/>
      <c r="AC13" s="76"/>
    </row>
    <row r="14" spans="1:29" ht="15.75" x14ac:dyDescent="0.25">
      <c r="B14" s="2" t="s">
        <v>112</v>
      </c>
      <c r="C14" s="2" t="s">
        <v>113</v>
      </c>
      <c r="D14" s="2" t="s">
        <v>113</v>
      </c>
      <c r="E14" s="2" t="s">
        <v>114</v>
      </c>
      <c r="F14" s="4"/>
      <c r="G14" s="4"/>
      <c r="H14" s="4"/>
      <c r="I14" s="4"/>
      <c r="J14" s="4"/>
      <c r="K14" s="71"/>
      <c r="L14" s="76"/>
      <c r="M14" s="76"/>
      <c r="N14" s="76"/>
      <c r="O14" s="76"/>
      <c r="P14" s="76"/>
      <c r="Q14" s="76"/>
      <c r="R14" s="76"/>
      <c r="S14" s="76"/>
      <c r="T14" s="76"/>
      <c r="U14" s="76"/>
      <c r="V14" s="76"/>
      <c r="W14" s="76"/>
      <c r="X14" s="76"/>
      <c r="Y14" s="76"/>
      <c r="Z14" s="76"/>
      <c r="AA14" s="76"/>
      <c r="AB14" s="76"/>
      <c r="AC14" s="76"/>
    </row>
    <row r="15" spans="1:29" ht="15.75" x14ac:dyDescent="0.25">
      <c r="B15" s="2" t="s">
        <v>112</v>
      </c>
      <c r="C15" s="2" t="s">
        <v>113</v>
      </c>
      <c r="D15" s="2" t="s">
        <v>113</v>
      </c>
      <c r="E15" s="2" t="s">
        <v>114</v>
      </c>
      <c r="F15" s="4"/>
      <c r="G15" s="4"/>
      <c r="H15" s="4"/>
      <c r="I15" s="4"/>
      <c r="J15" s="4"/>
      <c r="K15" s="71"/>
      <c r="L15" s="76"/>
      <c r="M15" s="76"/>
      <c r="N15" s="76"/>
      <c r="O15" s="76"/>
      <c r="P15" s="76"/>
      <c r="Q15" s="76"/>
      <c r="R15" s="76"/>
      <c r="S15" s="76"/>
      <c r="T15" s="76"/>
      <c r="U15" s="76"/>
      <c r="V15" s="76"/>
      <c r="W15" s="76"/>
      <c r="X15" s="76"/>
      <c r="Y15" s="76"/>
      <c r="Z15" s="76"/>
      <c r="AA15" s="76"/>
      <c r="AB15" s="76"/>
      <c r="AC15" s="76"/>
    </row>
    <row r="16" spans="1:29" ht="15.75" x14ac:dyDescent="0.25">
      <c r="B16" s="2" t="s">
        <v>112</v>
      </c>
      <c r="C16" s="2" t="s">
        <v>113</v>
      </c>
      <c r="D16" s="2" t="s">
        <v>113</v>
      </c>
      <c r="E16" s="2" t="s">
        <v>114</v>
      </c>
      <c r="F16" s="4"/>
      <c r="G16" s="4"/>
      <c r="H16" s="4"/>
      <c r="I16" s="4"/>
      <c r="J16" s="4"/>
      <c r="K16" s="71"/>
      <c r="L16" s="76"/>
      <c r="M16" s="76"/>
      <c r="N16" s="76"/>
      <c r="O16" s="76"/>
      <c r="P16" s="76"/>
      <c r="Q16" s="76"/>
      <c r="R16" s="76"/>
      <c r="S16" s="76"/>
      <c r="T16" s="76"/>
      <c r="U16" s="76"/>
      <c r="V16" s="76"/>
      <c r="W16" s="76"/>
      <c r="X16" s="76"/>
      <c r="Y16" s="76"/>
      <c r="Z16" s="76"/>
      <c r="AA16" s="76"/>
      <c r="AB16" s="76"/>
      <c r="AC16" s="76"/>
    </row>
    <row r="17" spans="1:29" ht="15.75" x14ac:dyDescent="0.25">
      <c r="B17" s="2" t="s">
        <v>112</v>
      </c>
      <c r="C17" s="2" t="s">
        <v>113</v>
      </c>
      <c r="D17" s="2" t="s">
        <v>113</v>
      </c>
      <c r="E17" s="2" t="s">
        <v>114</v>
      </c>
      <c r="F17" s="4"/>
      <c r="G17" s="4"/>
      <c r="H17" s="4"/>
      <c r="I17" s="4"/>
      <c r="J17" s="4"/>
      <c r="K17" s="71"/>
      <c r="L17" s="76"/>
      <c r="M17" s="76"/>
      <c r="N17" s="76"/>
      <c r="O17" s="76"/>
      <c r="P17" s="76"/>
      <c r="Q17" s="76"/>
      <c r="R17" s="76"/>
      <c r="S17" s="76"/>
      <c r="T17" s="76"/>
      <c r="U17" s="76"/>
      <c r="V17" s="76"/>
      <c r="W17" s="76"/>
      <c r="X17" s="76"/>
      <c r="Y17" s="76"/>
      <c r="Z17" s="76"/>
      <c r="AA17" s="76"/>
      <c r="AB17" s="76"/>
      <c r="AC17" s="76"/>
    </row>
    <row r="18" spans="1:29" ht="15.75" x14ac:dyDescent="0.25">
      <c r="B18" s="2" t="s">
        <v>112</v>
      </c>
      <c r="C18" s="2" t="s">
        <v>113</v>
      </c>
      <c r="D18" s="2" t="s">
        <v>113</v>
      </c>
      <c r="E18" s="2" t="s">
        <v>114</v>
      </c>
      <c r="F18" s="4"/>
      <c r="G18" s="4"/>
      <c r="H18" s="4"/>
      <c r="I18" s="4"/>
      <c r="J18" s="4"/>
      <c r="K18" s="71"/>
      <c r="L18" s="76"/>
      <c r="M18" s="76"/>
      <c r="N18" s="76"/>
      <c r="O18" s="76"/>
      <c r="P18" s="76"/>
      <c r="Q18" s="76"/>
      <c r="R18" s="76"/>
      <c r="S18" s="76"/>
      <c r="T18" s="76"/>
      <c r="U18" s="76"/>
      <c r="V18" s="76"/>
      <c r="W18" s="76"/>
      <c r="X18" s="76"/>
      <c r="Y18" s="76"/>
      <c r="Z18" s="76"/>
      <c r="AA18" s="76"/>
      <c r="AB18" s="76"/>
      <c r="AC18" s="76"/>
    </row>
    <row r="19" spans="1:29" ht="15.75" x14ac:dyDescent="0.25">
      <c r="B19" s="2" t="s">
        <v>112</v>
      </c>
      <c r="C19" s="2" t="s">
        <v>113</v>
      </c>
      <c r="D19" s="2" t="s">
        <v>113</v>
      </c>
      <c r="E19" s="2" t="s">
        <v>114</v>
      </c>
      <c r="F19" s="4"/>
      <c r="G19" s="4"/>
      <c r="H19" s="4"/>
      <c r="I19" s="4"/>
      <c r="J19" s="4"/>
      <c r="K19" s="71"/>
      <c r="L19" s="76"/>
      <c r="M19" s="76"/>
      <c r="N19" s="76"/>
      <c r="O19" s="76"/>
      <c r="P19" s="76"/>
      <c r="Q19" s="76"/>
      <c r="R19" s="76"/>
      <c r="S19" s="76"/>
      <c r="T19" s="76"/>
      <c r="U19" s="76"/>
      <c r="V19" s="76"/>
      <c r="W19" s="76"/>
      <c r="X19" s="76"/>
      <c r="Y19" s="76"/>
      <c r="Z19" s="76"/>
      <c r="AA19" s="76"/>
      <c r="AB19" s="76"/>
      <c r="AC19" s="76"/>
    </row>
    <row r="20" spans="1:29" ht="15.75" x14ac:dyDescent="0.25">
      <c r="A20" s="2"/>
      <c r="B20" s="4"/>
      <c r="C20" s="4"/>
      <c r="D20" s="4"/>
      <c r="E20" s="4"/>
      <c r="F20" s="4"/>
      <c r="G20" s="4"/>
      <c r="H20" s="4"/>
      <c r="I20" s="4"/>
      <c r="J20" s="4"/>
      <c r="K20" s="71"/>
      <c r="L20" s="76"/>
      <c r="M20" s="76"/>
      <c r="N20" s="76"/>
      <c r="O20" s="76"/>
      <c r="P20" s="76"/>
      <c r="Q20" s="76"/>
      <c r="R20" s="76"/>
      <c r="S20" s="76"/>
      <c r="T20" s="76"/>
      <c r="U20" s="76"/>
      <c r="V20" s="76"/>
      <c r="W20" s="76"/>
      <c r="X20" s="76"/>
      <c r="Y20" s="76"/>
      <c r="Z20" s="76"/>
      <c r="AA20" s="76"/>
      <c r="AB20" s="76"/>
      <c r="AC20" s="76"/>
    </row>
    <row r="21" spans="1:29" ht="15.75" x14ac:dyDescent="0.25">
      <c r="A21" s="2" t="s">
        <v>101</v>
      </c>
      <c r="B21" s="2" t="s">
        <v>209</v>
      </c>
      <c r="C21" s="4"/>
      <c r="D21" s="4"/>
      <c r="E21" s="4"/>
      <c r="F21" s="4"/>
      <c r="G21" s="4"/>
      <c r="H21" s="4"/>
      <c r="I21" s="4"/>
      <c r="J21" s="4"/>
      <c r="K21" s="71"/>
      <c r="L21" s="76"/>
      <c r="M21" s="76"/>
      <c r="N21" s="76"/>
      <c r="O21" s="76"/>
      <c r="P21" s="76"/>
      <c r="Q21" s="76"/>
      <c r="R21" s="76"/>
      <c r="S21" s="76"/>
      <c r="T21" s="76"/>
      <c r="U21" s="76"/>
      <c r="V21" s="76"/>
      <c r="W21" s="76"/>
      <c r="X21" s="76"/>
      <c r="Y21" s="76"/>
      <c r="Z21" s="76"/>
      <c r="AA21" s="76"/>
      <c r="AB21" s="76"/>
      <c r="AC21" s="76"/>
    </row>
    <row r="22" spans="1:29" ht="15.75" x14ac:dyDescent="0.25">
      <c r="B22" s="2" t="s">
        <v>210</v>
      </c>
      <c r="C22" s="2"/>
      <c r="D22" s="4"/>
      <c r="E22" s="4"/>
      <c r="F22" s="4"/>
      <c r="G22" s="4"/>
      <c r="H22" s="4"/>
      <c r="I22" s="4"/>
      <c r="J22" s="4"/>
      <c r="K22" s="71"/>
      <c r="L22" s="76"/>
      <c r="M22" s="76"/>
      <c r="N22" s="76"/>
      <c r="O22" s="76"/>
      <c r="P22" s="76"/>
      <c r="Q22" s="76"/>
      <c r="R22" s="76"/>
      <c r="S22" s="76"/>
      <c r="T22" s="76"/>
      <c r="U22" s="76"/>
      <c r="V22" s="76"/>
      <c r="W22" s="76"/>
      <c r="X22" s="76"/>
      <c r="Y22" s="76"/>
      <c r="Z22" s="76"/>
      <c r="AA22" s="76"/>
      <c r="AB22" s="76"/>
      <c r="AC22" s="76"/>
    </row>
    <row r="23" spans="1:29" ht="15.75" x14ac:dyDescent="0.25">
      <c r="A23" s="2"/>
      <c r="B23" s="4"/>
      <c r="C23" s="4"/>
      <c r="D23" s="4"/>
      <c r="E23" s="4"/>
      <c r="F23" s="4"/>
      <c r="G23" s="4"/>
      <c r="H23" s="4"/>
      <c r="I23" s="4"/>
      <c r="J23" s="4"/>
      <c r="K23" s="71"/>
      <c r="L23" s="76"/>
      <c r="M23" s="76"/>
      <c r="N23" s="76"/>
      <c r="O23" s="76"/>
      <c r="P23" s="76"/>
      <c r="Q23" s="76"/>
      <c r="R23" s="76"/>
      <c r="S23" s="76"/>
      <c r="T23" s="76"/>
      <c r="U23" s="76"/>
      <c r="V23" s="76"/>
      <c r="W23" s="76"/>
      <c r="X23" s="76"/>
      <c r="Y23" s="76"/>
      <c r="Z23" s="76"/>
      <c r="AA23" s="76"/>
      <c r="AB23" s="76"/>
      <c r="AC23" s="76"/>
    </row>
    <row r="24" spans="1:29" ht="15.75" x14ac:dyDescent="0.25">
      <c r="A24" s="2" t="s">
        <v>102</v>
      </c>
      <c r="B24" s="2" t="s">
        <v>103</v>
      </c>
      <c r="C24" s="4"/>
      <c r="D24" s="4"/>
      <c r="E24" s="4"/>
      <c r="F24" s="4"/>
      <c r="G24" s="4"/>
      <c r="H24" s="4"/>
      <c r="I24" s="4"/>
      <c r="J24" s="4"/>
      <c r="K24" s="71"/>
      <c r="L24" s="76"/>
      <c r="M24" s="76"/>
      <c r="N24" s="76"/>
      <c r="O24" s="76"/>
      <c r="P24" s="76"/>
      <c r="Q24" s="76"/>
      <c r="R24" s="76"/>
      <c r="S24" s="76"/>
      <c r="T24" s="76"/>
      <c r="U24" s="76"/>
      <c r="V24" s="76"/>
      <c r="W24" s="76"/>
      <c r="X24" s="76"/>
      <c r="Y24" s="76"/>
      <c r="Z24" s="76"/>
      <c r="AA24" s="76"/>
      <c r="AB24" s="76"/>
      <c r="AC24" s="76"/>
    </row>
    <row r="25" spans="1:29" ht="15.75" x14ac:dyDescent="0.25">
      <c r="A25" s="2"/>
      <c r="B25" s="2"/>
      <c r="C25" s="4"/>
      <c r="D25" s="4"/>
      <c r="E25" s="4"/>
      <c r="F25" s="4"/>
      <c r="G25" s="4"/>
      <c r="H25" s="4"/>
      <c r="I25" s="4"/>
      <c r="J25" s="4"/>
      <c r="K25" s="71"/>
      <c r="L25" s="76"/>
      <c r="M25" s="76"/>
      <c r="N25" s="76"/>
      <c r="O25" s="76"/>
      <c r="P25" s="76"/>
      <c r="Q25" s="76"/>
      <c r="R25" s="76"/>
      <c r="S25" s="76"/>
      <c r="T25" s="76"/>
      <c r="U25" s="76"/>
      <c r="V25" s="76"/>
      <c r="W25" s="76"/>
      <c r="X25" s="76"/>
      <c r="Y25" s="76"/>
      <c r="Z25" s="76"/>
      <c r="AA25" s="76"/>
      <c r="AB25" s="76"/>
      <c r="AC25" s="76"/>
    </row>
    <row r="26" spans="1:29" ht="15.75" x14ac:dyDescent="0.25">
      <c r="A26" s="27"/>
      <c r="B26" s="4"/>
      <c r="C26" s="4"/>
      <c r="D26" s="4"/>
      <c r="E26" s="4"/>
      <c r="F26" s="4"/>
      <c r="G26" s="4"/>
      <c r="H26" s="4"/>
      <c r="I26" s="4"/>
      <c r="J26" s="4"/>
      <c r="K26" s="71"/>
      <c r="L26" s="76"/>
      <c r="M26" s="76"/>
      <c r="N26" s="76"/>
      <c r="O26" s="76"/>
      <c r="P26" s="76"/>
      <c r="Q26" s="76"/>
      <c r="R26" s="76"/>
      <c r="S26" s="76"/>
      <c r="T26" s="76"/>
      <c r="U26" s="76"/>
      <c r="V26" s="76"/>
      <c r="W26" s="76"/>
      <c r="X26" s="76"/>
      <c r="Y26" s="76"/>
      <c r="Z26" s="76"/>
      <c r="AA26" s="76"/>
      <c r="AB26" s="76"/>
      <c r="AC26" s="76"/>
    </row>
    <row r="27" spans="1:29" ht="15.75" x14ac:dyDescent="0.25">
      <c r="A27" s="56" t="s">
        <v>260</v>
      </c>
      <c r="B27" s="4"/>
      <c r="C27" s="4"/>
      <c r="D27" s="4"/>
      <c r="E27" s="4"/>
      <c r="F27" s="4"/>
      <c r="G27" s="4"/>
      <c r="H27" s="4"/>
      <c r="I27" s="4"/>
      <c r="J27" s="4"/>
      <c r="K27" s="71"/>
      <c r="L27" s="76"/>
      <c r="M27" s="76"/>
      <c r="N27" s="76"/>
      <c r="O27" s="76"/>
      <c r="P27" s="76"/>
      <c r="Q27" s="76"/>
      <c r="R27" s="76"/>
      <c r="S27" s="76"/>
      <c r="T27" s="76"/>
      <c r="U27" s="76"/>
      <c r="V27" s="76"/>
      <c r="W27" s="76"/>
      <c r="X27" s="76"/>
      <c r="Y27" s="76"/>
      <c r="Z27" s="76"/>
      <c r="AA27" s="76"/>
      <c r="AB27" s="76"/>
      <c r="AC27" s="76"/>
    </row>
    <row r="28" spans="1:29" ht="15.75" x14ac:dyDescent="0.25">
      <c r="A28" s="4"/>
      <c r="B28" s="4"/>
      <c r="C28" s="17"/>
      <c r="D28" s="4"/>
      <c r="E28" s="4"/>
      <c r="F28" s="4"/>
      <c r="G28" s="4"/>
      <c r="H28" s="4"/>
      <c r="I28" s="4"/>
      <c r="J28" s="4"/>
      <c r="K28" s="71"/>
      <c r="L28" s="76"/>
      <c r="M28" s="76"/>
      <c r="N28" s="76"/>
      <c r="O28" s="76"/>
      <c r="P28" s="76"/>
      <c r="Q28" s="76"/>
      <c r="R28" s="76"/>
      <c r="S28" s="76"/>
      <c r="T28" s="76"/>
      <c r="U28" s="76"/>
      <c r="V28" s="76"/>
      <c r="W28" s="76"/>
      <c r="X28" s="76"/>
      <c r="Y28" s="76"/>
      <c r="Z28" s="76"/>
      <c r="AA28" s="76"/>
      <c r="AB28" s="76"/>
      <c r="AC28" s="76"/>
    </row>
    <row r="29" spans="1:29" ht="15.75" x14ac:dyDescent="0.25">
      <c r="A29" s="2" t="s">
        <v>101</v>
      </c>
      <c r="B29" s="2" t="s">
        <v>209</v>
      </c>
      <c r="C29" s="4"/>
      <c r="D29" s="4"/>
      <c r="E29" s="4"/>
      <c r="F29" s="4"/>
      <c r="G29" s="4"/>
      <c r="H29" s="4"/>
      <c r="I29" s="4"/>
      <c r="J29" s="4"/>
      <c r="K29" s="71"/>
      <c r="L29" s="76"/>
      <c r="M29" s="76"/>
      <c r="N29" s="76"/>
      <c r="O29" s="76"/>
      <c r="P29" s="76"/>
      <c r="Q29" s="76"/>
      <c r="R29" s="76"/>
      <c r="S29" s="76"/>
      <c r="T29" s="76"/>
      <c r="U29" s="76"/>
      <c r="V29" s="76"/>
      <c r="W29" s="76"/>
      <c r="X29" s="76"/>
      <c r="Y29" s="76"/>
      <c r="Z29" s="76"/>
      <c r="AA29" s="76"/>
      <c r="AB29" s="76"/>
      <c r="AC29" s="76"/>
    </row>
    <row r="30" spans="1:29" ht="15.75" x14ac:dyDescent="0.25">
      <c r="B30" s="2" t="s">
        <v>210</v>
      </c>
      <c r="C30" s="2"/>
      <c r="D30" s="4"/>
      <c r="E30" s="4"/>
      <c r="F30" s="4"/>
      <c r="G30" s="4"/>
      <c r="H30" s="4"/>
      <c r="I30" s="4"/>
      <c r="J30" s="4"/>
      <c r="K30" s="71"/>
      <c r="L30" s="76"/>
      <c r="M30" s="76"/>
      <c r="N30" s="76"/>
      <c r="O30" s="76"/>
      <c r="P30" s="76"/>
      <c r="Q30" s="76"/>
      <c r="R30" s="76"/>
      <c r="S30" s="76"/>
      <c r="T30" s="76"/>
      <c r="U30" s="76"/>
      <c r="V30" s="76"/>
      <c r="W30" s="76"/>
      <c r="X30" s="76"/>
      <c r="Y30" s="76"/>
      <c r="Z30" s="76"/>
      <c r="AA30" s="76"/>
      <c r="AB30" s="76"/>
      <c r="AC30" s="76"/>
    </row>
    <row r="31" spans="1:29" ht="15.75" x14ac:dyDescent="0.25">
      <c r="B31" s="2"/>
      <c r="C31" s="2"/>
      <c r="D31" s="4"/>
      <c r="E31" s="4"/>
      <c r="F31" s="4"/>
      <c r="G31" s="4"/>
      <c r="H31" s="4"/>
      <c r="I31" s="4"/>
      <c r="J31" s="4"/>
      <c r="K31" s="71"/>
      <c r="L31" s="76"/>
      <c r="M31" s="76"/>
      <c r="N31" s="76"/>
      <c r="O31" s="76"/>
      <c r="P31" s="76"/>
      <c r="Q31" s="76"/>
      <c r="R31" s="76"/>
      <c r="S31" s="76"/>
      <c r="T31" s="76"/>
      <c r="U31" s="76"/>
      <c r="V31" s="76"/>
      <c r="W31" s="76"/>
      <c r="X31" s="76"/>
      <c r="Y31" s="76"/>
      <c r="Z31" s="76"/>
      <c r="AA31" s="76"/>
      <c r="AB31" s="76"/>
      <c r="AC31" s="76"/>
    </row>
    <row r="32" spans="1:29" ht="15.75" x14ac:dyDescent="0.25">
      <c r="A32" s="2" t="s">
        <v>102</v>
      </c>
      <c r="B32" s="2" t="s">
        <v>103</v>
      </c>
      <c r="C32" s="4"/>
      <c r="D32" s="4"/>
      <c r="E32" s="4"/>
      <c r="F32" s="4"/>
      <c r="G32" s="4"/>
      <c r="H32" s="4"/>
      <c r="I32" s="4"/>
      <c r="J32" s="4"/>
      <c r="K32" s="71"/>
      <c r="L32" s="76"/>
      <c r="M32" s="76"/>
      <c r="N32" s="76"/>
      <c r="O32" s="76"/>
      <c r="P32" s="76"/>
      <c r="Q32" s="76"/>
      <c r="R32" s="76"/>
      <c r="S32" s="76"/>
      <c r="T32" s="76"/>
      <c r="U32" s="76"/>
      <c r="V32" s="76"/>
      <c r="W32" s="76"/>
      <c r="X32" s="76"/>
      <c r="Y32" s="76"/>
      <c r="Z32" s="76"/>
      <c r="AA32" s="76"/>
      <c r="AB32" s="76"/>
      <c r="AC32" s="76"/>
    </row>
    <row r="33" spans="1:29" ht="15.75" x14ac:dyDescent="0.25">
      <c r="A33" s="2"/>
      <c r="B33" s="2"/>
      <c r="C33" s="4"/>
      <c r="D33" s="4"/>
      <c r="E33" s="4"/>
      <c r="F33" s="4"/>
      <c r="G33" s="4"/>
      <c r="H33" s="4"/>
      <c r="I33" s="4"/>
      <c r="J33" s="4"/>
      <c r="K33" s="71"/>
      <c r="L33" s="76"/>
      <c r="M33" s="76"/>
      <c r="N33" s="76"/>
      <c r="O33" s="76"/>
      <c r="P33" s="76"/>
      <c r="Q33" s="76"/>
      <c r="R33" s="76"/>
      <c r="S33" s="76"/>
      <c r="T33" s="76"/>
      <c r="U33" s="76"/>
      <c r="V33" s="76"/>
      <c r="W33" s="76"/>
      <c r="X33" s="76"/>
      <c r="Y33" s="76"/>
      <c r="Z33" s="76"/>
      <c r="AA33" s="76"/>
      <c r="AB33" s="76"/>
      <c r="AC33" s="76"/>
    </row>
    <row r="34" spans="1:29" ht="15.75" x14ac:dyDescent="0.25">
      <c r="A34" s="4"/>
      <c r="B34" s="30" t="s">
        <v>92</v>
      </c>
      <c r="C34" s="30" t="s">
        <v>92</v>
      </c>
      <c r="D34" s="30" t="s">
        <v>92</v>
      </c>
      <c r="E34" s="30" t="s">
        <v>92</v>
      </c>
      <c r="F34" s="30" t="s">
        <v>92</v>
      </c>
      <c r="G34" s="30" t="s">
        <v>92</v>
      </c>
      <c r="H34" s="30" t="s">
        <v>92</v>
      </c>
      <c r="I34" s="30" t="s">
        <v>92</v>
      </c>
      <c r="J34" s="30" t="s">
        <v>92</v>
      </c>
      <c r="K34" s="73"/>
      <c r="L34" s="76"/>
      <c r="M34" s="76"/>
      <c r="N34" s="76"/>
      <c r="O34" s="76"/>
      <c r="P34" s="76"/>
      <c r="Q34" s="76"/>
      <c r="R34" s="76"/>
      <c r="S34" s="76"/>
      <c r="T34" s="76"/>
      <c r="U34" s="76"/>
      <c r="V34" s="76"/>
      <c r="W34" s="76"/>
      <c r="X34" s="76"/>
      <c r="Y34" s="76"/>
      <c r="Z34" s="76"/>
      <c r="AA34" s="76"/>
      <c r="AB34" s="76"/>
      <c r="AC34" s="76"/>
    </row>
    <row r="35" spans="1:29" ht="15.75" x14ac:dyDescent="0.25">
      <c r="A35" s="4"/>
      <c r="B35" s="30" t="s">
        <v>92</v>
      </c>
      <c r="C35" s="30" t="s">
        <v>92</v>
      </c>
      <c r="D35" s="30" t="s">
        <v>92</v>
      </c>
      <c r="E35" s="30" t="s">
        <v>92</v>
      </c>
      <c r="F35" s="30" t="s">
        <v>92</v>
      </c>
      <c r="G35" s="30" t="s">
        <v>92</v>
      </c>
      <c r="H35" s="30" t="s">
        <v>92</v>
      </c>
      <c r="I35" s="30" t="s">
        <v>92</v>
      </c>
      <c r="J35" s="30" t="s">
        <v>92</v>
      </c>
      <c r="K35" s="73"/>
      <c r="L35" s="76"/>
      <c r="M35" s="76"/>
      <c r="N35" s="76"/>
      <c r="O35" s="76"/>
      <c r="P35" s="76"/>
      <c r="Q35" s="76"/>
      <c r="R35" s="76"/>
      <c r="S35" s="76"/>
      <c r="T35" s="76"/>
      <c r="U35" s="76"/>
      <c r="V35" s="76"/>
      <c r="W35" s="76"/>
      <c r="X35" s="76"/>
      <c r="Y35" s="76"/>
      <c r="Z35" s="76"/>
      <c r="AA35" s="76"/>
      <c r="AB35" s="76"/>
      <c r="AC35" s="76"/>
    </row>
    <row r="36" spans="1:29" ht="15.75" x14ac:dyDescent="0.25">
      <c r="A36" s="2" t="s">
        <v>96</v>
      </c>
      <c r="B36" s="30" t="s">
        <v>92</v>
      </c>
      <c r="C36" s="30" t="s">
        <v>92</v>
      </c>
      <c r="D36" s="30" t="s">
        <v>92</v>
      </c>
      <c r="E36" s="30" t="s">
        <v>92</v>
      </c>
      <c r="F36" s="30" t="s">
        <v>92</v>
      </c>
      <c r="G36" s="30" t="s">
        <v>92</v>
      </c>
      <c r="H36" s="30" t="s">
        <v>92</v>
      </c>
      <c r="I36" s="30" t="s">
        <v>92</v>
      </c>
      <c r="J36" s="30" t="s">
        <v>92</v>
      </c>
      <c r="K36" s="73"/>
      <c r="L36" s="76"/>
      <c r="M36" s="76"/>
      <c r="N36" s="76"/>
      <c r="O36" s="76"/>
      <c r="P36" s="76"/>
      <c r="Q36" s="76"/>
      <c r="R36" s="76"/>
      <c r="S36" s="76"/>
      <c r="T36" s="76"/>
      <c r="U36" s="76"/>
      <c r="V36" s="76"/>
      <c r="W36" s="76"/>
      <c r="X36" s="76"/>
      <c r="Y36" s="76"/>
      <c r="Z36" s="76"/>
      <c r="AA36" s="76"/>
      <c r="AB36" s="76"/>
      <c r="AC36" s="76"/>
    </row>
    <row r="37" spans="1:29" ht="15.75" x14ac:dyDescent="0.25">
      <c r="A37" s="2" t="s">
        <v>91</v>
      </c>
      <c r="B37" s="30" t="s">
        <v>92</v>
      </c>
      <c r="C37" s="30" t="s">
        <v>92</v>
      </c>
      <c r="D37" s="30" t="s">
        <v>92</v>
      </c>
      <c r="E37" s="30" t="s">
        <v>92</v>
      </c>
      <c r="F37" s="30" t="s">
        <v>92</v>
      </c>
      <c r="G37" s="30" t="s">
        <v>92</v>
      </c>
      <c r="H37" s="30" t="s">
        <v>92</v>
      </c>
      <c r="I37" s="30" t="s">
        <v>92</v>
      </c>
      <c r="J37" s="30" t="s">
        <v>92</v>
      </c>
      <c r="K37" s="73"/>
      <c r="L37" s="76"/>
      <c r="M37" s="76"/>
      <c r="N37" s="76"/>
      <c r="O37" s="76"/>
      <c r="P37" s="76"/>
      <c r="Q37" s="76"/>
      <c r="R37" s="76"/>
      <c r="S37" s="76"/>
      <c r="T37" s="76"/>
      <c r="U37" s="76"/>
      <c r="V37" s="76"/>
      <c r="W37" s="76"/>
      <c r="X37" s="76"/>
      <c r="Y37" s="76"/>
      <c r="Z37" s="76"/>
      <c r="AA37" s="76"/>
      <c r="AB37" s="76"/>
      <c r="AC37" s="76"/>
    </row>
    <row r="38" spans="1:29" ht="15.75" x14ac:dyDescent="0.25">
      <c r="A38" s="4"/>
      <c r="B38" s="30" t="s">
        <v>92</v>
      </c>
      <c r="C38" s="30" t="s">
        <v>92</v>
      </c>
      <c r="D38" s="30" t="s">
        <v>92</v>
      </c>
      <c r="E38" s="30" t="s">
        <v>92</v>
      </c>
      <c r="F38" s="30" t="s">
        <v>92</v>
      </c>
      <c r="G38" s="30" t="s">
        <v>92</v>
      </c>
      <c r="H38" s="30" t="s">
        <v>92</v>
      </c>
      <c r="I38" s="30" t="s">
        <v>92</v>
      </c>
      <c r="J38" s="30" t="s">
        <v>92</v>
      </c>
      <c r="K38" s="73"/>
      <c r="L38" s="76"/>
      <c r="M38" s="76"/>
      <c r="N38" s="76"/>
      <c r="O38" s="76"/>
      <c r="P38" s="76"/>
      <c r="Q38" s="76"/>
      <c r="R38" s="76"/>
      <c r="S38" s="76"/>
      <c r="T38" s="76"/>
      <c r="U38" s="76"/>
      <c r="V38" s="76"/>
      <c r="W38" s="76"/>
      <c r="X38" s="76"/>
      <c r="Y38" s="76"/>
      <c r="Z38" s="76"/>
      <c r="AA38" s="76"/>
      <c r="AB38" s="76"/>
      <c r="AC38" s="76"/>
    </row>
    <row r="39" spans="1:29" ht="15.75" x14ac:dyDescent="0.25">
      <c r="A39" s="4"/>
      <c r="B39" s="30" t="s">
        <v>92</v>
      </c>
      <c r="C39" s="30" t="s">
        <v>92</v>
      </c>
      <c r="D39" s="30" t="s">
        <v>92</v>
      </c>
      <c r="E39" s="30" t="s">
        <v>92</v>
      </c>
      <c r="F39" s="30" t="s">
        <v>92</v>
      </c>
      <c r="G39" s="30" t="s">
        <v>92</v>
      </c>
      <c r="H39" s="30" t="s">
        <v>92</v>
      </c>
      <c r="I39" s="30" t="s">
        <v>92</v>
      </c>
      <c r="J39" s="30" t="s">
        <v>92</v>
      </c>
      <c r="K39" s="73"/>
      <c r="L39" s="76"/>
      <c r="M39" s="76"/>
      <c r="N39" s="76"/>
      <c r="O39" s="76"/>
      <c r="P39" s="76"/>
      <c r="Q39" s="76"/>
      <c r="R39" s="76"/>
      <c r="S39" s="76"/>
      <c r="T39" s="76"/>
      <c r="U39" s="76"/>
      <c r="V39" s="76"/>
      <c r="W39" s="76"/>
      <c r="X39" s="76"/>
      <c r="Y39" s="76"/>
      <c r="Z39" s="76"/>
      <c r="AA39" s="76"/>
      <c r="AB39" s="76"/>
      <c r="AC39" s="76"/>
    </row>
    <row r="40" spans="1:29" ht="15.75" x14ac:dyDescent="0.25">
      <c r="A40" s="4"/>
      <c r="B40" s="18"/>
      <c r="C40" s="30" t="s">
        <v>93</v>
      </c>
      <c r="D40" s="43"/>
      <c r="E40" s="18"/>
      <c r="F40" s="30" t="s">
        <v>97</v>
      </c>
      <c r="G40" s="30" t="s">
        <v>97</v>
      </c>
      <c r="H40" s="30" t="s">
        <v>97</v>
      </c>
      <c r="I40" s="30" t="s">
        <v>97</v>
      </c>
      <c r="J40" s="30" t="s">
        <v>97</v>
      </c>
      <c r="K40" s="73"/>
      <c r="L40" s="76"/>
      <c r="M40" s="76"/>
      <c r="N40" s="76"/>
      <c r="O40" s="76"/>
      <c r="P40" s="76"/>
      <c r="Q40" s="76"/>
      <c r="R40" s="76"/>
      <c r="S40" s="76"/>
      <c r="T40" s="76"/>
      <c r="U40" s="76"/>
      <c r="V40" s="76"/>
      <c r="W40" s="76"/>
      <c r="X40" s="76"/>
      <c r="Y40" s="76"/>
      <c r="Z40" s="76"/>
      <c r="AA40" s="76"/>
      <c r="AB40" s="76"/>
      <c r="AC40" s="76"/>
    </row>
    <row r="41" spans="1:29" ht="15.75" x14ac:dyDescent="0.25">
      <c r="A41" s="2"/>
      <c r="B41" s="18"/>
      <c r="C41" s="18"/>
      <c r="D41" s="18"/>
      <c r="E41" s="18"/>
      <c r="F41" s="18"/>
      <c r="G41" s="18"/>
      <c r="H41" s="18"/>
      <c r="I41" s="18"/>
      <c r="J41" s="18"/>
      <c r="K41" s="74"/>
      <c r="L41" s="76"/>
      <c r="M41" s="76"/>
      <c r="N41" s="76"/>
      <c r="O41" s="76"/>
      <c r="P41" s="76"/>
      <c r="Q41" s="76"/>
      <c r="R41" s="76"/>
      <c r="S41" s="76"/>
      <c r="T41" s="76"/>
      <c r="U41" s="76"/>
      <c r="V41" s="76"/>
      <c r="W41" s="76"/>
      <c r="X41" s="76"/>
      <c r="Y41" s="76"/>
      <c r="Z41" s="76"/>
      <c r="AA41" s="76"/>
      <c r="AB41" s="76"/>
      <c r="AC41" s="76"/>
    </row>
    <row r="42" spans="1:29" ht="15.75" x14ac:dyDescent="0.25">
      <c r="A42" s="4"/>
      <c r="B42" s="30" t="s">
        <v>92</v>
      </c>
      <c r="C42" s="30" t="s">
        <v>92</v>
      </c>
      <c r="D42" s="30" t="s">
        <v>92</v>
      </c>
      <c r="E42" s="30" t="s">
        <v>92</v>
      </c>
      <c r="F42" s="30" t="s">
        <v>92</v>
      </c>
      <c r="G42" s="30" t="s">
        <v>92</v>
      </c>
      <c r="H42" s="30" t="s">
        <v>92</v>
      </c>
      <c r="I42" s="30" t="s">
        <v>92</v>
      </c>
      <c r="J42" s="30" t="s">
        <v>92</v>
      </c>
      <c r="K42" s="73"/>
      <c r="L42" s="76"/>
      <c r="M42" s="76"/>
      <c r="N42" s="76"/>
      <c r="O42" s="76"/>
      <c r="P42" s="76"/>
      <c r="Q42" s="76"/>
      <c r="R42" s="76"/>
      <c r="S42" s="76"/>
      <c r="T42" s="76"/>
      <c r="U42" s="76"/>
      <c r="V42" s="76"/>
      <c r="W42" s="76"/>
      <c r="X42" s="76"/>
      <c r="Y42" s="76"/>
      <c r="Z42" s="76"/>
      <c r="AA42" s="76"/>
      <c r="AB42" s="76"/>
      <c r="AC42" s="76"/>
    </row>
    <row r="43" spans="1:29" ht="15.75" x14ac:dyDescent="0.25">
      <c r="B43" s="30" t="s">
        <v>92</v>
      </c>
      <c r="C43" s="30" t="s">
        <v>92</v>
      </c>
      <c r="D43" s="30" t="s">
        <v>92</v>
      </c>
      <c r="E43" s="30" t="s">
        <v>92</v>
      </c>
      <c r="F43" s="30" t="s">
        <v>92</v>
      </c>
      <c r="G43" s="30" t="s">
        <v>92</v>
      </c>
      <c r="H43" s="30" t="s">
        <v>92</v>
      </c>
      <c r="I43" s="30" t="s">
        <v>92</v>
      </c>
      <c r="J43" s="30" t="s">
        <v>92</v>
      </c>
      <c r="K43" s="73"/>
      <c r="L43" s="76"/>
      <c r="M43" s="76"/>
      <c r="N43" s="76"/>
      <c r="O43" s="76"/>
      <c r="P43" s="76"/>
      <c r="Q43" s="76"/>
      <c r="R43" s="76"/>
      <c r="S43" s="76"/>
      <c r="T43" s="76"/>
      <c r="U43" s="76"/>
      <c r="V43" s="76"/>
      <c r="W43" s="76"/>
      <c r="X43" s="76"/>
      <c r="Y43" s="76"/>
      <c r="Z43" s="76"/>
      <c r="AA43" s="76"/>
      <c r="AB43" s="76"/>
      <c r="AC43" s="76"/>
    </row>
    <row r="44" spans="1:29" ht="15.75" x14ac:dyDescent="0.25">
      <c r="A44" s="57" t="s">
        <v>171</v>
      </c>
      <c r="B44" s="30" t="s">
        <v>92</v>
      </c>
      <c r="C44" s="30" t="s">
        <v>92</v>
      </c>
      <c r="D44" s="30" t="s">
        <v>92</v>
      </c>
      <c r="E44" s="30" t="s">
        <v>92</v>
      </c>
      <c r="F44" s="30" t="s">
        <v>92</v>
      </c>
      <c r="G44" s="30" t="s">
        <v>92</v>
      </c>
      <c r="H44" s="30" t="s">
        <v>92</v>
      </c>
      <c r="I44" s="30" t="s">
        <v>92</v>
      </c>
      <c r="J44" s="30" t="s">
        <v>92</v>
      </c>
      <c r="K44" s="73"/>
      <c r="L44" s="76"/>
      <c r="M44" s="76"/>
      <c r="N44" s="76"/>
      <c r="O44" s="76"/>
      <c r="P44" s="76"/>
      <c r="Q44" s="76"/>
      <c r="R44" s="76"/>
      <c r="S44" s="76"/>
      <c r="T44" s="76"/>
      <c r="U44" s="76"/>
      <c r="V44" s="76"/>
      <c r="W44" s="76"/>
      <c r="X44" s="76"/>
      <c r="Y44" s="76"/>
      <c r="Z44" s="76"/>
      <c r="AA44" s="76"/>
      <c r="AB44" s="76"/>
      <c r="AC44" s="76"/>
    </row>
    <row r="45" spans="1:29" ht="15.75" x14ac:dyDescent="0.25">
      <c r="A45" s="2" t="s">
        <v>91</v>
      </c>
      <c r="B45" s="30" t="s">
        <v>92</v>
      </c>
      <c r="C45" s="30" t="s">
        <v>92</v>
      </c>
      <c r="D45" s="30" t="s">
        <v>92</v>
      </c>
      <c r="E45" s="30" t="s">
        <v>92</v>
      </c>
      <c r="F45" s="30" t="s">
        <v>92</v>
      </c>
      <c r="G45" s="30" t="s">
        <v>92</v>
      </c>
      <c r="H45" s="30" t="s">
        <v>92</v>
      </c>
      <c r="I45" s="30" t="s">
        <v>92</v>
      </c>
      <c r="J45" s="30" t="s">
        <v>92</v>
      </c>
      <c r="K45" s="73"/>
      <c r="L45" s="76"/>
      <c r="M45" s="76"/>
      <c r="N45" s="76"/>
      <c r="O45" s="76"/>
      <c r="P45" s="76"/>
      <c r="Q45" s="76"/>
      <c r="R45" s="76"/>
      <c r="S45" s="76"/>
      <c r="T45" s="76"/>
      <c r="U45" s="76"/>
      <c r="V45" s="76"/>
      <c r="W45" s="76"/>
      <c r="X45" s="76"/>
      <c r="Y45" s="76"/>
      <c r="Z45" s="76"/>
      <c r="AA45" s="76"/>
      <c r="AB45" s="76"/>
      <c r="AC45" s="76"/>
    </row>
    <row r="46" spans="1:29" ht="15.75" x14ac:dyDescent="0.25">
      <c r="A46" s="4"/>
      <c r="B46" s="30" t="s">
        <v>92</v>
      </c>
      <c r="C46" s="30" t="s">
        <v>92</v>
      </c>
      <c r="D46" s="30" t="s">
        <v>92</v>
      </c>
      <c r="E46" s="30" t="s">
        <v>92</v>
      </c>
      <c r="F46" s="30" t="s">
        <v>92</v>
      </c>
      <c r="G46" s="30" t="s">
        <v>92</v>
      </c>
      <c r="H46" s="30" t="s">
        <v>92</v>
      </c>
      <c r="I46" s="30" t="s">
        <v>92</v>
      </c>
      <c r="J46" s="30" t="s">
        <v>92</v>
      </c>
      <c r="K46" s="73"/>
      <c r="L46" s="76"/>
      <c r="M46" s="76"/>
      <c r="N46" s="76"/>
      <c r="O46" s="76"/>
      <c r="P46" s="76"/>
      <c r="Q46" s="76"/>
      <c r="R46" s="76"/>
      <c r="S46" s="76"/>
      <c r="T46" s="76"/>
      <c r="U46" s="76"/>
      <c r="V46" s="76"/>
      <c r="W46" s="76"/>
      <c r="X46" s="76"/>
      <c r="Y46" s="76"/>
      <c r="Z46" s="76"/>
      <c r="AA46" s="76"/>
      <c r="AB46" s="76"/>
      <c r="AC46" s="76"/>
    </row>
    <row r="47" spans="1:29" ht="15.75" x14ac:dyDescent="0.25">
      <c r="A47" s="4"/>
      <c r="B47" s="30" t="s">
        <v>92</v>
      </c>
      <c r="C47" s="30" t="s">
        <v>92</v>
      </c>
      <c r="D47" s="30" t="s">
        <v>92</v>
      </c>
      <c r="E47" s="30" t="s">
        <v>92</v>
      </c>
      <c r="F47" s="30" t="s">
        <v>92</v>
      </c>
      <c r="G47" s="30" t="s">
        <v>92</v>
      </c>
      <c r="H47" s="30" t="s">
        <v>92</v>
      </c>
      <c r="I47" s="30" t="s">
        <v>92</v>
      </c>
      <c r="J47" s="30" t="s">
        <v>92</v>
      </c>
      <c r="K47" s="73"/>
      <c r="L47" s="76"/>
      <c r="M47" s="76"/>
      <c r="N47" s="76"/>
      <c r="O47" s="76"/>
      <c r="P47" s="76"/>
      <c r="Q47" s="76"/>
      <c r="R47" s="76"/>
      <c r="S47" s="76"/>
      <c r="T47" s="76"/>
      <c r="U47" s="76"/>
      <c r="V47" s="76"/>
      <c r="W47" s="76"/>
      <c r="X47" s="76"/>
      <c r="Y47" s="76"/>
      <c r="Z47" s="76"/>
      <c r="AA47" s="76"/>
      <c r="AB47" s="76"/>
      <c r="AC47" s="76"/>
    </row>
    <row r="48" spans="1:29" ht="15.75" x14ac:dyDescent="0.25">
      <c r="A48" s="4"/>
      <c r="B48" s="18"/>
      <c r="C48" s="30" t="s">
        <v>93</v>
      </c>
      <c r="D48" s="43"/>
      <c r="E48" s="18"/>
      <c r="F48" s="30" t="s">
        <v>97</v>
      </c>
      <c r="G48" s="30" t="s">
        <v>97</v>
      </c>
      <c r="H48" s="30" t="s">
        <v>97</v>
      </c>
      <c r="I48" s="30" t="s">
        <v>97</v>
      </c>
      <c r="J48" s="30" t="s">
        <v>97</v>
      </c>
      <c r="K48" s="73"/>
      <c r="L48" s="76"/>
      <c r="M48" s="76"/>
      <c r="N48" s="76"/>
      <c r="O48" s="76"/>
      <c r="P48" s="76"/>
      <c r="Q48" s="76"/>
      <c r="R48" s="76"/>
      <c r="S48" s="76"/>
      <c r="T48" s="76"/>
      <c r="U48" s="76"/>
      <c r="V48" s="76"/>
      <c r="W48" s="76"/>
      <c r="X48" s="76"/>
      <c r="Y48" s="76"/>
      <c r="Z48" s="76"/>
      <c r="AA48" s="76"/>
      <c r="AB48" s="76"/>
      <c r="AC48" s="76"/>
    </row>
    <row r="49" spans="1:29" ht="15.75" x14ac:dyDescent="0.25">
      <c r="A49" s="2"/>
      <c r="B49" s="18"/>
      <c r="C49" s="18"/>
      <c r="D49" s="18"/>
      <c r="E49" s="18"/>
      <c r="F49" s="18"/>
      <c r="G49" s="18"/>
      <c r="H49" s="18"/>
      <c r="I49" s="18"/>
      <c r="J49" s="18"/>
      <c r="K49" s="74"/>
      <c r="L49" s="76"/>
      <c r="M49" s="76"/>
      <c r="N49" s="76"/>
      <c r="O49" s="76"/>
      <c r="P49" s="76"/>
      <c r="Q49" s="76"/>
      <c r="R49" s="76"/>
      <c r="S49" s="76"/>
      <c r="T49" s="76"/>
      <c r="U49" s="76"/>
      <c r="V49" s="76"/>
      <c r="W49" s="76"/>
      <c r="X49" s="76"/>
      <c r="Y49" s="76"/>
      <c r="Z49" s="76"/>
      <c r="AA49" s="76"/>
      <c r="AB49" s="76"/>
      <c r="AC49" s="76"/>
    </row>
    <row r="50" spans="1:29" ht="15.75" x14ac:dyDescent="0.25">
      <c r="A50" s="4"/>
      <c r="B50" s="30" t="s">
        <v>92</v>
      </c>
      <c r="C50" s="30" t="s">
        <v>92</v>
      </c>
      <c r="D50" s="30" t="s">
        <v>92</v>
      </c>
      <c r="E50" s="30" t="s">
        <v>92</v>
      </c>
      <c r="F50" s="30" t="s">
        <v>92</v>
      </c>
      <c r="G50" s="30" t="s">
        <v>92</v>
      </c>
      <c r="H50" s="30" t="s">
        <v>92</v>
      </c>
      <c r="I50" s="30" t="s">
        <v>92</v>
      </c>
      <c r="J50" s="30" t="s">
        <v>92</v>
      </c>
      <c r="K50" s="75"/>
      <c r="L50" s="76"/>
      <c r="M50" s="76"/>
      <c r="N50" s="76"/>
      <c r="O50" s="76"/>
      <c r="P50" s="76"/>
      <c r="Q50" s="76"/>
      <c r="R50" s="76"/>
      <c r="S50" s="76"/>
      <c r="T50" s="76"/>
      <c r="U50" s="76"/>
      <c r="V50" s="76"/>
      <c r="W50" s="76"/>
      <c r="X50" s="76"/>
      <c r="Y50" s="76"/>
      <c r="Z50" s="76"/>
      <c r="AA50" s="76"/>
      <c r="AB50" s="76"/>
      <c r="AC50" s="76"/>
    </row>
    <row r="51" spans="1:29" ht="15.75" x14ac:dyDescent="0.25">
      <c r="A51" s="4"/>
      <c r="B51" s="30" t="s">
        <v>92</v>
      </c>
      <c r="C51" s="30" t="s">
        <v>92</v>
      </c>
      <c r="D51" s="30" t="s">
        <v>92</v>
      </c>
      <c r="E51" s="30" t="s">
        <v>92</v>
      </c>
      <c r="F51" s="30" t="s">
        <v>92</v>
      </c>
      <c r="G51" s="30" t="s">
        <v>92</v>
      </c>
      <c r="H51" s="30" t="s">
        <v>92</v>
      </c>
      <c r="I51" s="30" t="s">
        <v>92</v>
      </c>
      <c r="J51" s="30" t="s">
        <v>92</v>
      </c>
      <c r="K51" s="75"/>
      <c r="L51" s="76"/>
      <c r="M51" s="76"/>
      <c r="N51" s="76"/>
      <c r="O51" s="76"/>
      <c r="P51" s="76"/>
      <c r="Q51" s="76"/>
      <c r="R51" s="76"/>
      <c r="S51" s="76"/>
      <c r="T51" s="76"/>
      <c r="U51" s="76"/>
      <c r="V51" s="76"/>
      <c r="W51" s="76"/>
      <c r="X51" s="76"/>
      <c r="Y51" s="76"/>
      <c r="Z51" s="76"/>
      <c r="AA51" s="76"/>
      <c r="AB51" s="76"/>
      <c r="AC51" s="76"/>
    </row>
    <row r="52" spans="1:29" ht="15.75" x14ac:dyDescent="0.25">
      <c r="A52" s="2" t="s">
        <v>98</v>
      </c>
      <c r="B52" s="30" t="s">
        <v>92</v>
      </c>
      <c r="C52" s="30" t="s">
        <v>92</v>
      </c>
      <c r="D52" s="30" t="s">
        <v>92</v>
      </c>
      <c r="E52" s="30" t="s">
        <v>92</v>
      </c>
      <c r="F52" s="30" t="s">
        <v>92</v>
      </c>
      <c r="G52" s="30" t="s">
        <v>92</v>
      </c>
      <c r="H52" s="30" t="s">
        <v>92</v>
      </c>
      <c r="I52" s="30" t="s">
        <v>92</v>
      </c>
      <c r="J52" s="30" t="s">
        <v>92</v>
      </c>
      <c r="K52" s="75"/>
      <c r="L52" s="76"/>
      <c r="M52" s="76"/>
      <c r="N52" s="76"/>
      <c r="O52" s="76"/>
      <c r="P52" s="76"/>
      <c r="Q52" s="76"/>
      <c r="R52" s="76"/>
      <c r="S52" s="76"/>
      <c r="T52" s="76"/>
      <c r="U52" s="76"/>
      <c r="V52" s="76"/>
      <c r="W52" s="76"/>
      <c r="X52" s="76"/>
      <c r="Y52" s="76"/>
      <c r="Z52" s="76"/>
      <c r="AA52" s="76"/>
      <c r="AB52" s="76"/>
      <c r="AC52" s="76"/>
    </row>
    <row r="53" spans="1:29" ht="15.75" x14ac:dyDescent="0.25">
      <c r="A53" s="2" t="s">
        <v>91</v>
      </c>
      <c r="B53" s="30" t="s">
        <v>92</v>
      </c>
      <c r="C53" s="30" t="s">
        <v>92</v>
      </c>
      <c r="D53" s="30" t="s">
        <v>92</v>
      </c>
      <c r="E53" s="30" t="s">
        <v>92</v>
      </c>
      <c r="F53" s="30" t="s">
        <v>92</v>
      </c>
      <c r="G53" s="30" t="s">
        <v>92</v>
      </c>
      <c r="H53" s="30" t="s">
        <v>92</v>
      </c>
      <c r="I53" s="30" t="s">
        <v>92</v>
      </c>
      <c r="J53" s="30" t="s">
        <v>92</v>
      </c>
      <c r="K53" s="75"/>
      <c r="L53" s="76"/>
      <c r="M53" s="76"/>
      <c r="N53" s="76"/>
      <c r="O53" s="76"/>
      <c r="P53" s="76"/>
      <c r="Q53" s="76"/>
      <c r="R53" s="76"/>
      <c r="S53" s="76"/>
      <c r="T53" s="76"/>
      <c r="U53" s="76"/>
      <c r="V53" s="76"/>
      <c r="W53" s="76"/>
      <c r="X53" s="76"/>
      <c r="Y53" s="76"/>
      <c r="Z53" s="76"/>
      <c r="AA53" s="76"/>
      <c r="AB53" s="76"/>
      <c r="AC53" s="76"/>
    </row>
    <row r="54" spans="1:29" ht="15.75" x14ac:dyDescent="0.25">
      <c r="A54" s="4"/>
      <c r="B54" s="30" t="s">
        <v>92</v>
      </c>
      <c r="C54" s="30" t="s">
        <v>92</v>
      </c>
      <c r="D54" s="30" t="s">
        <v>92</v>
      </c>
      <c r="E54" s="30" t="s">
        <v>92</v>
      </c>
      <c r="F54" s="30" t="s">
        <v>92</v>
      </c>
      <c r="G54" s="30" t="s">
        <v>92</v>
      </c>
      <c r="H54" s="30" t="s">
        <v>92</v>
      </c>
      <c r="I54" s="30" t="s">
        <v>92</v>
      </c>
      <c r="J54" s="30" t="s">
        <v>92</v>
      </c>
      <c r="K54" s="75"/>
      <c r="L54" s="76"/>
      <c r="M54" s="76"/>
      <c r="N54" s="76"/>
      <c r="O54" s="76"/>
      <c r="P54" s="76"/>
      <c r="Q54" s="76"/>
      <c r="R54" s="76"/>
      <c r="S54" s="76"/>
      <c r="T54" s="76"/>
      <c r="U54" s="76"/>
      <c r="V54" s="76"/>
      <c r="W54" s="76"/>
      <c r="X54" s="76"/>
      <c r="Y54" s="76"/>
      <c r="Z54" s="76"/>
      <c r="AA54" s="76"/>
      <c r="AB54" s="76"/>
      <c r="AC54" s="76"/>
    </row>
    <row r="55" spans="1:29" ht="15.75" x14ac:dyDescent="0.25">
      <c r="A55" s="4"/>
      <c r="B55" s="30" t="s">
        <v>92</v>
      </c>
      <c r="C55" s="30" t="s">
        <v>92</v>
      </c>
      <c r="D55" s="30" t="s">
        <v>92</v>
      </c>
      <c r="E55" s="30" t="s">
        <v>92</v>
      </c>
      <c r="F55" s="30" t="s">
        <v>92</v>
      </c>
      <c r="G55" s="30" t="s">
        <v>92</v>
      </c>
      <c r="H55" s="30" t="s">
        <v>92</v>
      </c>
      <c r="I55" s="30" t="s">
        <v>92</v>
      </c>
      <c r="J55" s="30" t="s">
        <v>92</v>
      </c>
      <c r="K55" s="75"/>
      <c r="L55" s="76"/>
      <c r="M55" s="76"/>
      <c r="N55" s="76"/>
      <c r="O55" s="76"/>
      <c r="P55" s="76"/>
      <c r="Q55" s="76"/>
      <c r="R55" s="76"/>
      <c r="S55" s="76"/>
      <c r="T55" s="76"/>
      <c r="U55" s="76"/>
      <c r="V55" s="76"/>
      <c r="W55" s="76"/>
      <c r="X55" s="76"/>
      <c r="Y55" s="76"/>
      <c r="Z55" s="76"/>
      <c r="AA55" s="76"/>
      <c r="AB55" s="76"/>
      <c r="AC55" s="76"/>
    </row>
    <row r="56" spans="1:29" ht="15.75" x14ac:dyDescent="0.25">
      <c r="A56" s="4"/>
      <c r="B56" s="18"/>
      <c r="C56" s="30" t="s">
        <v>93</v>
      </c>
      <c r="D56" s="43"/>
      <c r="E56" s="18"/>
      <c r="F56" s="30" t="s">
        <v>97</v>
      </c>
      <c r="G56" s="30" t="s">
        <v>97</v>
      </c>
      <c r="H56" s="30" t="s">
        <v>97</v>
      </c>
      <c r="I56" s="30" t="s">
        <v>97</v>
      </c>
      <c r="J56" s="30" t="s">
        <v>97</v>
      </c>
      <c r="K56" s="75"/>
      <c r="L56" s="76"/>
      <c r="M56" s="76"/>
      <c r="N56" s="76"/>
      <c r="O56" s="76"/>
      <c r="P56" s="76"/>
      <c r="Q56" s="76"/>
      <c r="R56" s="76"/>
      <c r="S56" s="76"/>
      <c r="T56" s="76"/>
      <c r="U56" s="76"/>
      <c r="V56" s="76"/>
      <c r="W56" s="76"/>
      <c r="X56" s="76"/>
      <c r="Y56" s="76"/>
      <c r="Z56" s="76"/>
      <c r="AA56" s="76"/>
      <c r="AB56" s="76"/>
      <c r="AC56" s="76"/>
    </row>
    <row r="57" spans="1:29" ht="15.75" x14ac:dyDescent="0.25">
      <c r="A57" s="2"/>
      <c r="B57" s="18"/>
      <c r="C57" s="18"/>
      <c r="D57" s="18"/>
      <c r="E57" s="18"/>
      <c r="F57" s="18"/>
      <c r="G57" s="18"/>
      <c r="H57" s="18"/>
      <c r="I57" s="18"/>
      <c r="J57" s="18"/>
      <c r="K57" s="74"/>
      <c r="L57" s="76"/>
      <c r="M57" s="76"/>
      <c r="N57" s="76"/>
      <c r="O57" s="76"/>
      <c r="P57" s="76"/>
      <c r="Q57" s="76"/>
      <c r="R57" s="76"/>
      <c r="S57" s="76"/>
      <c r="T57" s="76"/>
      <c r="U57" s="76"/>
      <c r="V57" s="76"/>
      <c r="W57" s="76"/>
      <c r="X57" s="76"/>
      <c r="Y57" s="76"/>
      <c r="Z57" s="76"/>
      <c r="AA57" s="76"/>
      <c r="AB57" s="76"/>
      <c r="AC57" s="76"/>
    </row>
    <row r="58" spans="1:29" ht="15.75" x14ac:dyDescent="0.25">
      <c r="A58" s="4"/>
      <c r="B58" s="30" t="s">
        <v>92</v>
      </c>
      <c r="C58" s="30" t="s">
        <v>92</v>
      </c>
      <c r="D58" s="30" t="s">
        <v>92</v>
      </c>
      <c r="E58" s="30" t="s">
        <v>92</v>
      </c>
      <c r="F58" s="30" t="s">
        <v>92</v>
      </c>
      <c r="G58" s="30" t="s">
        <v>92</v>
      </c>
      <c r="H58" s="30" t="s">
        <v>92</v>
      </c>
      <c r="I58" s="30" t="s">
        <v>92</v>
      </c>
      <c r="J58" s="30" t="s">
        <v>92</v>
      </c>
      <c r="K58" s="75"/>
      <c r="L58" s="76"/>
      <c r="M58" s="76"/>
      <c r="N58" s="76"/>
      <c r="O58" s="76"/>
      <c r="P58" s="76"/>
      <c r="Q58" s="76"/>
      <c r="R58" s="76"/>
      <c r="S58" s="76"/>
      <c r="T58" s="76"/>
      <c r="U58" s="76"/>
      <c r="V58" s="76"/>
      <c r="W58" s="76"/>
      <c r="X58" s="76"/>
      <c r="Y58" s="76"/>
      <c r="Z58" s="76"/>
      <c r="AA58" s="76"/>
      <c r="AB58" s="76"/>
      <c r="AC58" s="76"/>
    </row>
    <row r="59" spans="1:29" ht="15.75" x14ac:dyDescent="0.25">
      <c r="A59" s="4"/>
      <c r="B59" s="30" t="s">
        <v>92</v>
      </c>
      <c r="C59" s="30" t="s">
        <v>92</v>
      </c>
      <c r="D59" s="30" t="s">
        <v>92</v>
      </c>
      <c r="E59" s="30" t="s">
        <v>92</v>
      </c>
      <c r="F59" s="30" t="s">
        <v>92</v>
      </c>
      <c r="G59" s="30" t="s">
        <v>92</v>
      </c>
      <c r="H59" s="30" t="s">
        <v>92</v>
      </c>
      <c r="I59" s="30" t="s">
        <v>92</v>
      </c>
      <c r="J59" s="30" t="s">
        <v>92</v>
      </c>
      <c r="K59" s="75"/>
      <c r="L59" s="76"/>
      <c r="M59" s="76"/>
      <c r="N59" s="76"/>
      <c r="O59" s="76"/>
      <c r="P59" s="76"/>
      <c r="Q59" s="76"/>
      <c r="R59" s="76"/>
      <c r="S59" s="76"/>
      <c r="T59" s="76"/>
      <c r="U59" s="76"/>
      <c r="V59" s="76"/>
      <c r="W59" s="76"/>
      <c r="X59" s="76"/>
      <c r="Y59" s="76"/>
      <c r="Z59" s="76"/>
      <c r="AA59" s="76"/>
      <c r="AB59" s="76"/>
      <c r="AC59" s="76"/>
    </row>
    <row r="60" spans="1:29" ht="15.75" x14ac:dyDescent="0.25">
      <c r="A60" s="2" t="s">
        <v>99</v>
      </c>
      <c r="B60" s="30" t="s">
        <v>92</v>
      </c>
      <c r="C60" s="30" t="s">
        <v>92</v>
      </c>
      <c r="D60" s="30" t="s">
        <v>92</v>
      </c>
      <c r="E60" s="30" t="s">
        <v>92</v>
      </c>
      <c r="F60" s="30" t="s">
        <v>92</v>
      </c>
      <c r="G60" s="30" t="s">
        <v>92</v>
      </c>
      <c r="H60" s="30" t="s">
        <v>92</v>
      </c>
      <c r="I60" s="30" t="s">
        <v>92</v>
      </c>
      <c r="J60" s="30" t="s">
        <v>92</v>
      </c>
      <c r="K60" s="75"/>
      <c r="L60" s="76"/>
      <c r="M60" s="76"/>
      <c r="N60" s="76"/>
      <c r="O60" s="76"/>
      <c r="P60" s="76"/>
      <c r="Q60" s="76"/>
      <c r="R60" s="76"/>
      <c r="S60" s="76"/>
      <c r="T60" s="76"/>
      <c r="U60" s="76"/>
      <c r="V60" s="76"/>
      <c r="W60" s="76"/>
      <c r="X60" s="76"/>
      <c r="Y60" s="76"/>
      <c r="Z60" s="76"/>
      <c r="AA60" s="76"/>
      <c r="AB60" s="76"/>
      <c r="AC60" s="76"/>
    </row>
    <row r="61" spans="1:29" ht="15.75" x14ac:dyDescent="0.25">
      <c r="A61" s="2" t="s">
        <v>91</v>
      </c>
      <c r="B61" s="30" t="s">
        <v>92</v>
      </c>
      <c r="C61" s="30" t="s">
        <v>92</v>
      </c>
      <c r="D61" s="30" t="s">
        <v>92</v>
      </c>
      <c r="E61" s="30" t="s">
        <v>92</v>
      </c>
      <c r="F61" s="30" t="s">
        <v>92</v>
      </c>
      <c r="G61" s="30" t="s">
        <v>92</v>
      </c>
      <c r="H61" s="30" t="s">
        <v>92</v>
      </c>
      <c r="I61" s="30" t="s">
        <v>92</v>
      </c>
      <c r="J61" s="30" t="s">
        <v>92</v>
      </c>
      <c r="K61" s="75"/>
      <c r="L61" s="76"/>
      <c r="M61" s="76"/>
      <c r="N61" s="76"/>
      <c r="O61" s="76"/>
      <c r="P61" s="76"/>
      <c r="Q61" s="76"/>
      <c r="R61" s="76"/>
      <c r="S61" s="76"/>
      <c r="T61" s="76"/>
      <c r="U61" s="76"/>
      <c r="V61" s="76"/>
      <c r="W61" s="76"/>
      <c r="X61" s="76"/>
      <c r="Y61" s="76"/>
      <c r="Z61" s="76"/>
      <c r="AA61" s="76"/>
      <c r="AB61" s="76"/>
      <c r="AC61" s="76"/>
    </row>
    <row r="62" spans="1:29" ht="15.75" x14ac:dyDescent="0.25">
      <c r="A62" s="4"/>
      <c r="B62" s="30" t="s">
        <v>92</v>
      </c>
      <c r="C62" s="30" t="s">
        <v>92</v>
      </c>
      <c r="D62" s="30" t="s">
        <v>92</v>
      </c>
      <c r="E62" s="30" t="s">
        <v>92</v>
      </c>
      <c r="F62" s="30" t="s">
        <v>92</v>
      </c>
      <c r="G62" s="30" t="s">
        <v>92</v>
      </c>
      <c r="H62" s="30" t="s">
        <v>92</v>
      </c>
      <c r="I62" s="30" t="s">
        <v>92</v>
      </c>
      <c r="J62" s="30" t="s">
        <v>92</v>
      </c>
      <c r="K62" s="75"/>
      <c r="L62" s="76"/>
      <c r="M62" s="76"/>
      <c r="N62" s="76"/>
      <c r="O62" s="76"/>
      <c r="P62" s="76"/>
      <c r="Q62" s="76"/>
      <c r="R62" s="76"/>
      <c r="S62" s="76"/>
      <c r="T62" s="76"/>
      <c r="U62" s="76"/>
      <c r="V62" s="76"/>
      <c r="W62" s="76"/>
      <c r="X62" s="76"/>
      <c r="Y62" s="76"/>
      <c r="Z62" s="76"/>
      <c r="AA62" s="76"/>
      <c r="AB62" s="76"/>
      <c r="AC62" s="76"/>
    </row>
    <row r="63" spans="1:29" ht="15.75" x14ac:dyDescent="0.25">
      <c r="A63" s="4"/>
      <c r="B63" s="30" t="s">
        <v>92</v>
      </c>
      <c r="C63" s="30" t="s">
        <v>92</v>
      </c>
      <c r="D63" s="30" t="s">
        <v>92</v>
      </c>
      <c r="E63" s="30" t="s">
        <v>92</v>
      </c>
      <c r="F63" s="30" t="s">
        <v>92</v>
      </c>
      <c r="G63" s="30" t="s">
        <v>92</v>
      </c>
      <c r="H63" s="30" t="s">
        <v>92</v>
      </c>
      <c r="I63" s="30" t="s">
        <v>92</v>
      </c>
      <c r="J63" s="30" t="s">
        <v>92</v>
      </c>
      <c r="K63" s="75"/>
      <c r="L63" s="76"/>
      <c r="M63" s="76"/>
      <c r="N63" s="76"/>
      <c r="O63" s="76"/>
      <c r="P63" s="76"/>
      <c r="Q63" s="76"/>
      <c r="R63" s="76"/>
      <c r="S63" s="76"/>
      <c r="T63" s="76"/>
      <c r="U63" s="76"/>
      <c r="V63" s="76"/>
      <c r="W63" s="76"/>
      <c r="X63" s="76"/>
      <c r="Y63" s="76"/>
      <c r="Z63" s="76"/>
      <c r="AA63" s="76"/>
      <c r="AB63" s="76"/>
      <c r="AC63" s="76"/>
    </row>
    <row r="64" spans="1:29" ht="15.75" x14ac:dyDescent="0.25">
      <c r="A64" s="4"/>
      <c r="B64" s="18"/>
      <c r="C64" s="30" t="s">
        <v>93</v>
      </c>
      <c r="D64" s="43"/>
      <c r="E64" s="18"/>
      <c r="F64" s="30" t="s">
        <v>97</v>
      </c>
      <c r="G64" s="30" t="s">
        <v>97</v>
      </c>
      <c r="H64" s="30" t="s">
        <v>97</v>
      </c>
      <c r="I64" s="30" t="s">
        <v>97</v>
      </c>
      <c r="J64" s="30" t="s">
        <v>97</v>
      </c>
      <c r="K64" s="75"/>
      <c r="L64" s="76"/>
      <c r="M64" s="76"/>
      <c r="N64" s="76"/>
      <c r="O64" s="76"/>
      <c r="P64" s="76"/>
      <c r="Q64" s="76"/>
      <c r="R64" s="76"/>
      <c r="S64" s="76"/>
      <c r="T64" s="76"/>
      <c r="U64" s="76"/>
      <c r="V64" s="76"/>
      <c r="W64" s="76"/>
      <c r="X64" s="76"/>
      <c r="Y64" s="76"/>
      <c r="Z64" s="76"/>
      <c r="AA64" s="76"/>
      <c r="AB64" s="76"/>
      <c r="AC64" s="76"/>
    </row>
    <row r="65" spans="1:29" ht="15.75" x14ac:dyDescent="0.25">
      <c r="A65" s="2"/>
      <c r="B65" s="18"/>
      <c r="C65" s="18"/>
      <c r="D65" s="18"/>
      <c r="E65" s="18"/>
      <c r="F65" s="18"/>
      <c r="G65" s="18"/>
      <c r="H65" s="18"/>
      <c r="I65" s="18"/>
      <c r="J65" s="18"/>
      <c r="K65" s="74"/>
      <c r="L65" s="76"/>
      <c r="M65" s="76"/>
      <c r="N65" s="76"/>
      <c r="O65" s="76"/>
      <c r="P65" s="76"/>
      <c r="Q65" s="76"/>
      <c r="R65" s="76"/>
      <c r="S65" s="76"/>
      <c r="T65" s="76"/>
      <c r="U65" s="76"/>
      <c r="V65" s="76"/>
      <c r="W65" s="76"/>
      <c r="X65" s="76"/>
      <c r="Y65" s="76"/>
      <c r="Z65" s="76"/>
      <c r="AA65" s="76"/>
      <c r="AB65" s="76"/>
      <c r="AC65" s="76"/>
    </row>
    <row r="66" spans="1:29" ht="15.75" x14ac:dyDescent="0.25">
      <c r="A66" s="4"/>
      <c r="B66" s="30" t="s">
        <v>92</v>
      </c>
      <c r="C66" s="30" t="s">
        <v>92</v>
      </c>
      <c r="D66" s="30" t="s">
        <v>92</v>
      </c>
      <c r="E66" s="30" t="s">
        <v>92</v>
      </c>
      <c r="F66" s="30" t="s">
        <v>92</v>
      </c>
      <c r="G66" s="30" t="s">
        <v>92</v>
      </c>
      <c r="H66" s="30" t="s">
        <v>92</v>
      </c>
      <c r="I66" s="30" t="s">
        <v>92</v>
      </c>
      <c r="J66" s="30" t="s">
        <v>92</v>
      </c>
      <c r="K66" s="75"/>
      <c r="L66" s="76"/>
      <c r="M66" s="76"/>
      <c r="N66" s="76"/>
      <c r="O66" s="76"/>
      <c r="P66" s="76"/>
      <c r="Q66" s="76"/>
      <c r="R66" s="76"/>
      <c r="S66" s="76"/>
      <c r="T66" s="76"/>
      <c r="U66" s="76"/>
      <c r="V66" s="76"/>
      <c r="W66" s="76"/>
      <c r="X66" s="76"/>
      <c r="Y66" s="76"/>
      <c r="Z66" s="76"/>
      <c r="AA66" s="76"/>
      <c r="AB66" s="76"/>
      <c r="AC66" s="76"/>
    </row>
    <row r="67" spans="1:29" ht="15.75" x14ac:dyDescent="0.25">
      <c r="A67" s="4"/>
      <c r="B67" s="30" t="s">
        <v>92</v>
      </c>
      <c r="C67" s="30" t="s">
        <v>92</v>
      </c>
      <c r="D67" s="30" t="s">
        <v>92</v>
      </c>
      <c r="E67" s="30" t="s">
        <v>92</v>
      </c>
      <c r="F67" s="30" t="s">
        <v>92</v>
      </c>
      <c r="G67" s="30" t="s">
        <v>92</v>
      </c>
      <c r="H67" s="30" t="s">
        <v>92</v>
      </c>
      <c r="I67" s="30" t="s">
        <v>92</v>
      </c>
      <c r="J67" s="30" t="s">
        <v>92</v>
      </c>
      <c r="K67" s="75"/>
      <c r="L67" s="76"/>
      <c r="M67" s="76"/>
      <c r="N67" s="76"/>
      <c r="O67" s="76"/>
      <c r="P67" s="76"/>
      <c r="Q67" s="76"/>
      <c r="R67" s="76"/>
      <c r="S67" s="76"/>
      <c r="T67" s="76"/>
      <c r="U67" s="76"/>
      <c r="V67" s="76"/>
      <c r="W67" s="76"/>
      <c r="X67" s="76"/>
      <c r="Y67" s="76"/>
      <c r="Z67" s="76"/>
      <c r="AA67" s="76"/>
      <c r="AB67" s="76"/>
      <c r="AC67" s="76"/>
    </row>
    <row r="68" spans="1:29" ht="15.75" x14ac:dyDescent="0.25">
      <c r="A68" s="2" t="s">
        <v>100</v>
      </c>
      <c r="B68" s="30" t="s">
        <v>92</v>
      </c>
      <c r="C68" s="30" t="s">
        <v>92</v>
      </c>
      <c r="D68" s="30" t="s">
        <v>92</v>
      </c>
      <c r="E68" s="30" t="s">
        <v>92</v>
      </c>
      <c r="F68" s="30" t="s">
        <v>92</v>
      </c>
      <c r="G68" s="30" t="s">
        <v>92</v>
      </c>
      <c r="H68" s="30" t="s">
        <v>92</v>
      </c>
      <c r="I68" s="30" t="s">
        <v>92</v>
      </c>
      <c r="J68" s="30" t="s">
        <v>92</v>
      </c>
      <c r="K68" s="75"/>
      <c r="L68" s="76"/>
      <c r="M68" s="76"/>
      <c r="N68" s="76"/>
      <c r="O68" s="76"/>
      <c r="P68" s="76"/>
      <c r="Q68" s="76"/>
      <c r="R68" s="76"/>
      <c r="S68" s="76"/>
      <c r="T68" s="76"/>
      <c r="U68" s="76"/>
      <c r="V68" s="76"/>
      <c r="W68" s="76"/>
      <c r="X68" s="76"/>
      <c r="Y68" s="76"/>
      <c r="Z68" s="76"/>
      <c r="AA68" s="76"/>
      <c r="AB68" s="76"/>
      <c r="AC68" s="76"/>
    </row>
    <row r="69" spans="1:29" ht="15.75" x14ac:dyDescent="0.25">
      <c r="A69" s="2" t="s">
        <v>91</v>
      </c>
      <c r="B69" s="30" t="s">
        <v>92</v>
      </c>
      <c r="C69" s="30" t="s">
        <v>92</v>
      </c>
      <c r="D69" s="30" t="s">
        <v>92</v>
      </c>
      <c r="E69" s="30" t="s">
        <v>92</v>
      </c>
      <c r="F69" s="30" t="s">
        <v>92</v>
      </c>
      <c r="G69" s="30" t="s">
        <v>92</v>
      </c>
      <c r="H69" s="30" t="s">
        <v>92</v>
      </c>
      <c r="I69" s="30" t="s">
        <v>92</v>
      </c>
      <c r="J69" s="30" t="s">
        <v>92</v>
      </c>
      <c r="K69" s="75"/>
      <c r="L69" s="76"/>
      <c r="M69" s="76"/>
      <c r="N69" s="76"/>
      <c r="O69" s="76"/>
      <c r="P69" s="76"/>
      <c r="Q69" s="76"/>
      <c r="R69" s="76"/>
      <c r="S69" s="76"/>
      <c r="T69" s="76"/>
      <c r="U69" s="76"/>
      <c r="V69" s="76"/>
      <c r="W69" s="76"/>
      <c r="X69" s="76"/>
      <c r="Y69" s="76"/>
      <c r="Z69" s="76"/>
      <c r="AA69" s="76"/>
      <c r="AB69" s="76"/>
      <c r="AC69" s="76"/>
    </row>
    <row r="70" spans="1:29" ht="15.75" x14ac:dyDescent="0.25">
      <c r="A70" s="4"/>
      <c r="B70" s="30" t="s">
        <v>92</v>
      </c>
      <c r="C70" s="30" t="s">
        <v>92</v>
      </c>
      <c r="D70" s="30" t="s">
        <v>92</v>
      </c>
      <c r="E70" s="30" t="s">
        <v>92</v>
      </c>
      <c r="F70" s="30" t="s">
        <v>92</v>
      </c>
      <c r="G70" s="30" t="s">
        <v>92</v>
      </c>
      <c r="H70" s="30" t="s">
        <v>92</v>
      </c>
      <c r="I70" s="30" t="s">
        <v>92</v>
      </c>
      <c r="J70" s="30" t="s">
        <v>92</v>
      </c>
      <c r="K70" s="75"/>
      <c r="L70" s="76"/>
      <c r="M70" s="76"/>
      <c r="N70" s="76"/>
      <c r="O70" s="76"/>
      <c r="P70" s="76"/>
      <c r="Q70" s="76"/>
      <c r="R70" s="76"/>
      <c r="S70" s="76"/>
      <c r="T70" s="76"/>
      <c r="U70" s="76"/>
      <c r="V70" s="76"/>
      <c r="W70" s="76"/>
      <c r="X70" s="76"/>
      <c r="Y70" s="76"/>
      <c r="Z70" s="76"/>
      <c r="AA70" s="76"/>
      <c r="AB70" s="76"/>
      <c r="AC70" s="76"/>
    </row>
    <row r="71" spans="1:29" ht="15.75" x14ac:dyDescent="0.25">
      <c r="A71" s="4"/>
      <c r="B71" s="30" t="s">
        <v>92</v>
      </c>
      <c r="C71" s="30" t="s">
        <v>92</v>
      </c>
      <c r="D71" s="30" t="s">
        <v>92</v>
      </c>
      <c r="E71" s="30" t="s">
        <v>92</v>
      </c>
      <c r="F71" s="30" t="s">
        <v>92</v>
      </c>
      <c r="G71" s="30" t="s">
        <v>92</v>
      </c>
      <c r="H71" s="30" t="s">
        <v>92</v>
      </c>
      <c r="I71" s="30" t="s">
        <v>92</v>
      </c>
      <c r="J71" s="30" t="s">
        <v>92</v>
      </c>
      <c r="K71" s="75"/>
      <c r="L71" s="76"/>
      <c r="M71" s="76"/>
      <c r="N71" s="76"/>
      <c r="O71" s="76"/>
      <c r="P71" s="76"/>
      <c r="Q71" s="76"/>
      <c r="R71" s="76"/>
      <c r="S71" s="76"/>
      <c r="T71" s="76"/>
      <c r="U71" s="76"/>
      <c r="V71" s="76"/>
      <c r="W71" s="76"/>
      <c r="X71" s="76"/>
      <c r="Y71" s="76"/>
      <c r="Z71" s="76"/>
      <c r="AA71" s="76"/>
      <c r="AB71" s="76"/>
      <c r="AC71" s="76"/>
    </row>
    <row r="72" spans="1:29" ht="15.75" x14ac:dyDescent="0.25">
      <c r="A72" s="4"/>
      <c r="B72" s="18"/>
      <c r="C72" s="30" t="s">
        <v>93</v>
      </c>
      <c r="D72" s="43"/>
      <c r="E72" s="18"/>
      <c r="F72" s="30" t="s">
        <v>97</v>
      </c>
      <c r="G72" s="30" t="s">
        <v>97</v>
      </c>
      <c r="H72" s="30" t="s">
        <v>97</v>
      </c>
      <c r="I72" s="30" t="s">
        <v>97</v>
      </c>
      <c r="J72" s="30" t="s">
        <v>97</v>
      </c>
      <c r="K72" s="75"/>
      <c r="L72" s="76"/>
      <c r="M72" s="76"/>
      <c r="N72" s="76"/>
      <c r="O72" s="76"/>
      <c r="P72" s="76"/>
      <c r="Q72" s="76"/>
      <c r="R72" s="76"/>
      <c r="S72" s="76"/>
      <c r="T72" s="76"/>
      <c r="U72" s="76"/>
      <c r="V72" s="76"/>
      <c r="W72" s="76"/>
      <c r="X72" s="76"/>
      <c r="Y72" s="76"/>
      <c r="Z72" s="76"/>
      <c r="AA72" s="76"/>
      <c r="AB72" s="76"/>
      <c r="AC72" s="76"/>
    </row>
    <row r="73" spans="1:29" ht="15.75" x14ac:dyDescent="0.25">
      <c r="A73" s="2"/>
      <c r="B73" s="18"/>
      <c r="C73" s="18"/>
      <c r="D73" s="18"/>
      <c r="E73" s="18"/>
      <c r="F73" s="18"/>
      <c r="G73" s="18"/>
      <c r="H73" s="18"/>
      <c r="I73" s="18"/>
      <c r="J73" s="18"/>
      <c r="K73" s="74"/>
      <c r="L73" s="76"/>
      <c r="M73" s="76"/>
      <c r="N73" s="76"/>
      <c r="O73" s="76"/>
      <c r="P73" s="76"/>
      <c r="Q73" s="76"/>
      <c r="R73" s="76"/>
      <c r="S73" s="76"/>
      <c r="T73" s="76"/>
      <c r="U73" s="76"/>
      <c r="V73" s="76"/>
      <c r="W73" s="76"/>
      <c r="X73" s="76"/>
      <c r="Y73" s="76"/>
      <c r="Z73" s="76"/>
      <c r="AA73" s="76"/>
      <c r="AB73" s="76"/>
      <c r="AC73" s="76"/>
    </row>
    <row r="74" spans="1:29" ht="15.75" x14ac:dyDescent="0.25">
      <c r="A74" s="4"/>
      <c r="B74" s="30" t="s">
        <v>92</v>
      </c>
      <c r="C74" s="30" t="s">
        <v>92</v>
      </c>
      <c r="D74" s="30" t="s">
        <v>92</v>
      </c>
      <c r="E74" s="30" t="s">
        <v>92</v>
      </c>
      <c r="F74" s="30" t="s">
        <v>92</v>
      </c>
      <c r="G74" s="30" t="s">
        <v>92</v>
      </c>
      <c r="H74" s="30" t="s">
        <v>92</v>
      </c>
      <c r="I74" s="30" t="s">
        <v>92</v>
      </c>
      <c r="J74" s="30" t="s">
        <v>92</v>
      </c>
      <c r="K74" s="75"/>
      <c r="L74" s="76"/>
      <c r="M74" s="76"/>
      <c r="N74" s="76"/>
      <c r="O74" s="76"/>
      <c r="P74" s="76"/>
      <c r="Q74" s="76"/>
      <c r="R74" s="76"/>
      <c r="S74" s="76"/>
      <c r="T74" s="76"/>
      <c r="U74" s="76"/>
      <c r="V74" s="76"/>
      <c r="W74" s="76"/>
      <c r="X74" s="76"/>
      <c r="Y74" s="76"/>
      <c r="Z74" s="76"/>
      <c r="AA74" s="76"/>
      <c r="AB74" s="76"/>
      <c r="AC74" s="76"/>
    </row>
    <row r="75" spans="1:29" ht="15.75" x14ac:dyDescent="0.25">
      <c r="A75" s="4"/>
      <c r="B75" s="30" t="s">
        <v>92</v>
      </c>
      <c r="C75" s="30" t="s">
        <v>92</v>
      </c>
      <c r="D75" s="30" t="s">
        <v>92</v>
      </c>
      <c r="E75" s="30" t="s">
        <v>92</v>
      </c>
      <c r="F75" s="30" t="s">
        <v>92</v>
      </c>
      <c r="G75" s="30" t="s">
        <v>92</v>
      </c>
      <c r="H75" s="30" t="s">
        <v>92</v>
      </c>
      <c r="I75" s="30" t="s">
        <v>92</v>
      </c>
      <c r="J75" s="30" t="s">
        <v>92</v>
      </c>
      <c r="K75" s="75"/>
      <c r="L75" s="76"/>
      <c r="M75" s="76"/>
      <c r="N75" s="76"/>
      <c r="O75" s="76"/>
      <c r="P75" s="76"/>
      <c r="Q75" s="76"/>
      <c r="R75" s="76"/>
      <c r="S75" s="76"/>
      <c r="T75" s="76"/>
      <c r="U75" s="76"/>
      <c r="V75" s="76"/>
      <c r="W75" s="76"/>
      <c r="X75" s="76"/>
      <c r="Y75" s="76"/>
      <c r="Z75" s="76"/>
      <c r="AA75" s="76"/>
      <c r="AB75" s="76"/>
      <c r="AC75" s="76"/>
    </row>
    <row r="76" spans="1:29" ht="15.75" x14ac:dyDescent="0.25">
      <c r="A76" s="2" t="s">
        <v>117</v>
      </c>
      <c r="B76" s="30" t="s">
        <v>92</v>
      </c>
      <c r="C76" s="30" t="s">
        <v>92</v>
      </c>
      <c r="D76" s="30" t="s">
        <v>92</v>
      </c>
      <c r="E76" s="30" t="s">
        <v>92</v>
      </c>
      <c r="F76" s="30" t="s">
        <v>92</v>
      </c>
      <c r="G76" s="30" t="s">
        <v>92</v>
      </c>
      <c r="H76" s="30" t="s">
        <v>92</v>
      </c>
      <c r="I76" s="30" t="s">
        <v>92</v>
      </c>
      <c r="J76" s="30" t="s">
        <v>92</v>
      </c>
      <c r="K76" s="75"/>
      <c r="L76" s="76"/>
      <c r="M76" s="76"/>
      <c r="N76" s="76"/>
      <c r="O76" s="76"/>
      <c r="P76" s="76"/>
      <c r="Q76" s="76"/>
      <c r="R76" s="76"/>
      <c r="S76" s="76"/>
      <c r="T76" s="76"/>
      <c r="U76" s="76"/>
      <c r="V76" s="76"/>
      <c r="W76" s="76"/>
      <c r="X76" s="76"/>
      <c r="Y76" s="76"/>
      <c r="Z76" s="76"/>
      <c r="AA76" s="76"/>
      <c r="AB76" s="76"/>
      <c r="AC76" s="76"/>
    </row>
    <row r="77" spans="1:29" ht="15.75" x14ac:dyDescent="0.25">
      <c r="A77" s="2" t="s">
        <v>91</v>
      </c>
      <c r="B77" s="30" t="s">
        <v>92</v>
      </c>
      <c r="C77" s="30" t="s">
        <v>92</v>
      </c>
      <c r="D77" s="30" t="s">
        <v>92</v>
      </c>
      <c r="E77" s="30" t="s">
        <v>92</v>
      </c>
      <c r="F77" s="30" t="s">
        <v>92</v>
      </c>
      <c r="G77" s="30" t="s">
        <v>92</v>
      </c>
      <c r="H77" s="30" t="s">
        <v>92</v>
      </c>
      <c r="I77" s="30" t="s">
        <v>92</v>
      </c>
      <c r="J77" s="30" t="s">
        <v>92</v>
      </c>
      <c r="K77" s="75"/>
      <c r="L77" s="76"/>
      <c r="M77" s="76"/>
      <c r="N77" s="76"/>
      <c r="O77" s="76"/>
      <c r="P77" s="76"/>
      <c r="Q77" s="76"/>
      <c r="R77" s="76"/>
      <c r="S77" s="76"/>
      <c r="T77" s="76"/>
      <c r="U77" s="76"/>
      <c r="V77" s="76"/>
      <c r="W77" s="76"/>
      <c r="X77" s="76"/>
      <c r="Y77" s="76"/>
      <c r="Z77" s="76"/>
      <c r="AA77" s="76"/>
      <c r="AB77" s="76"/>
      <c r="AC77" s="76"/>
    </row>
    <row r="78" spans="1:29" ht="15.75" x14ac:dyDescent="0.25">
      <c r="A78" s="4"/>
      <c r="B78" s="30" t="s">
        <v>92</v>
      </c>
      <c r="C78" s="30" t="s">
        <v>92</v>
      </c>
      <c r="D78" s="30" t="s">
        <v>92</v>
      </c>
      <c r="E78" s="30" t="s">
        <v>92</v>
      </c>
      <c r="F78" s="30" t="s">
        <v>92</v>
      </c>
      <c r="G78" s="30" t="s">
        <v>92</v>
      </c>
      <c r="H78" s="30" t="s">
        <v>92</v>
      </c>
      <c r="I78" s="30" t="s">
        <v>92</v>
      </c>
      <c r="J78" s="30" t="s">
        <v>92</v>
      </c>
      <c r="K78" s="75"/>
      <c r="L78" s="76"/>
      <c r="M78" s="76"/>
      <c r="N78" s="76"/>
      <c r="O78" s="76"/>
      <c r="P78" s="76"/>
      <c r="Q78" s="76"/>
      <c r="R78" s="76"/>
      <c r="S78" s="76"/>
      <c r="T78" s="76"/>
      <c r="U78" s="76"/>
      <c r="V78" s="76"/>
      <c r="W78" s="76"/>
      <c r="X78" s="76"/>
      <c r="Y78" s="76"/>
      <c r="Z78" s="76"/>
      <c r="AA78" s="76"/>
      <c r="AB78" s="76"/>
      <c r="AC78" s="76"/>
    </row>
    <row r="79" spans="1:29" ht="15.75" x14ac:dyDescent="0.25">
      <c r="A79" s="4"/>
      <c r="B79" s="30" t="s">
        <v>92</v>
      </c>
      <c r="C79" s="30" t="s">
        <v>92</v>
      </c>
      <c r="D79" s="30" t="s">
        <v>92</v>
      </c>
      <c r="E79" s="30" t="s">
        <v>92</v>
      </c>
      <c r="F79" s="30" t="s">
        <v>92</v>
      </c>
      <c r="G79" s="30" t="s">
        <v>92</v>
      </c>
      <c r="H79" s="30" t="s">
        <v>92</v>
      </c>
      <c r="I79" s="30" t="s">
        <v>92</v>
      </c>
      <c r="J79" s="30" t="s">
        <v>92</v>
      </c>
      <c r="K79" s="75"/>
      <c r="L79" s="76"/>
      <c r="M79" s="76"/>
      <c r="N79" s="76"/>
      <c r="O79" s="76"/>
      <c r="P79" s="76"/>
      <c r="Q79" s="76"/>
      <c r="R79" s="76"/>
      <c r="S79" s="76"/>
      <c r="T79" s="76"/>
      <c r="U79" s="76"/>
      <c r="V79" s="76"/>
      <c r="W79" s="76"/>
      <c r="X79" s="76"/>
      <c r="Y79" s="76"/>
      <c r="Z79" s="76"/>
      <c r="AA79" s="76"/>
      <c r="AB79" s="76"/>
      <c r="AC79" s="76"/>
    </row>
    <row r="80" spans="1:29" ht="15.75" x14ac:dyDescent="0.25">
      <c r="A80" s="4"/>
      <c r="B80" s="18"/>
      <c r="C80" s="30" t="s">
        <v>93</v>
      </c>
      <c r="D80" s="43"/>
      <c r="E80" s="18"/>
      <c r="F80" s="30" t="s">
        <v>97</v>
      </c>
      <c r="G80" s="30" t="s">
        <v>97</v>
      </c>
      <c r="H80" s="30">
        <v>0.3</v>
      </c>
      <c r="I80" s="30" t="s">
        <v>97</v>
      </c>
      <c r="J80" s="30" t="s">
        <v>97</v>
      </c>
      <c r="K80" s="75"/>
      <c r="L80" s="76"/>
      <c r="M80" s="76"/>
      <c r="N80" s="76"/>
      <c r="O80" s="76"/>
      <c r="P80" s="76"/>
      <c r="Q80" s="76"/>
      <c r="R80" s="76"/>
      <c r="S80" s="76"/>
      <c r="T80" s="76"/>
      <c r="U80" s="76"/>
      <c r="V80" s="76"/>
      <c r="W80" s="76"/>
      <c r="X80" s="76"/>
      <c r="Y80" s="76"/>
      <c r="Z80" s="76"/>
      <c r="AA80" s="76"/>
      <c r="AB80" s="76"/>
      <c r="AC80" s="76"/>
    </row>
    <row r="81" spans="1:29" ht="15.75" x14ac:dyDescent="0.25">
      <c r="A81" s="2"/>
      <c r="B81" s="18"/>
      <c r="C81" s="18"/>
      <c r="D81" s="18"/>
      <c r="E81" s="18"/>
      <c r="F81" s="18"/>
      <c r="G81" s="18"/>
      <c r="H81" s="18"/>
      <c r="I81" s="18"/>
      <c r="J81" s="18"/>
      <c r="K81" s="74"/>
      <c r="L81" s="76"/>
      <c r="M81" s="76"/>
      <c r="N81" s="76"/>
      <c r="O81" s="76"/>
      <c r="P81" s="76"/>
      <c r="Q81" s="76"/>
      <c r="R81" s="76"/>
      <c r="S81" s="76"/>
      <c r="T81" s="76"/>
      <c r="U81" s="76"/>
      <c r="V81" s="76"/>
      <c r="W81" s="76"/>
      <c r="X81" s="76"/>
      <c r="Y81" s="76"/>
      <c r="Z81" s="76"/>
      <c r="AA81" s="76"/>
      <c r="AB81" s="76"/>
      <c r="AC81" s="76"/>
    </row>
    <row r="82" spans="1:29" ht="15.75" x14ac:dyDescent="0.25">
      <c r="A82" s="4"/>
      <c r="B82" s="30" t="s">
        <v>92</v>
      </c>
      <c r="C82" s="30" t="s">
        <v>92</v>
      </c>
      <c r="D82" s="30" t="s">
        <v>92</v>
      </c>
      <c r="E82" s="30" t="s">
        <v>92</v>
      </c>
      <c r="F82" s="30" t="s">
        <v>92</v>
      </c>
      <c r="G82" s="30" t="s">
        <v>92</v>
      </c>
      <c r="H82" s="30" t="s">
        <v>92</v>
      </c>
      <c r="I82" s="30" t="s">
        <v>92</v>
      </c>
      <c r="J82" s="30" t="s">
        <v>92</v>
      </c>
      <c r="K82" s="75"/>
      <c r="L82" s="76"/>
      <c r="M82" s="76"/>
      <c r="N82" s="76"/>
      <c r="O82" s="76"/>
      <c r="P82" s="76"/>
      <c r="Q82" s="76"/>
      <c r="R82" s="76"/>
      <c r="S82" s="76"/>
      <c r="T82" s="76"/>
      <c r="U82" s="76"/>
      <c r="V82" s="76"/>
      <c r="W82" s="76"/>
      <c r="X82" s="76"/>
      <c r="Y82" s="76"/>
      <c r="Z82" s="76"/>
      <c r="AA82" s="76"/>
      <c r="AB82" s="76"/>
      <c r="AC82" s="76"/>
    </row>
    <row r="83" spans="1:29" ht="15.75" x14ac:dyDescent="0.25">
      <c r="A83" s="4"/>
      <c r="B83" s="30" t="s">
        <v>92</v>
      </c>
      <c r="C83" s="30" t="s">
        <v>92</v>
      </c>
      <c r="D83" s="30" t="s">
        <v>92</v>
      </c>
      <c r="E83" s="30" t="s">
        <v>92</v>
      </c>
      <c r="F83" s="30" t="s">
        <v>92</v>
      </c>
      <c r="G83" s="30" t="s">
        <v>92</v>
      </c>
      <c r="H83" s="30" t="s">
        <v>92</v>
      </c>
      <c r="I83" s="30" t="s">
        <v>92</v>
      </c>
      <c r="J83" s="30" t="s">
        <v>92</v>
      </c>
      <c r="K83" s="75"/>
      <c r="L83" s="76"/>
      <c r="M83" s="76"/>
      <c r="N83" s="76"/>
      <c r="O83" s="76"/>
      <c r="P83" s="76"/>
      <c r="Q83" s="76"/>
      <c r="R83" s="76"/>
      <c r="S83" s="76"/>
      <c r="T83" s="76"/>
      <c r="U83" s="76"/>
      <c r="V83" s="76"/>
      <c r="W83" s="76"/>
      <c r="X83" s="76"/>
      <c r="Y83" s="76"/>
      <c r="Z83" s="76"/>
      <c r="AA83" s="76"/>
      <c r="AB83" s="76"/>
      <c r="AC83" s="76"/>
    </row>
    <row r="84" spans="1:29" ht="15.75" x14ac:dyDescent="0.25">
      <c r="A84" s="2" t="s">
        <v>118</v>
      </c>
      <c r="B84" s="30" t="s">
        <v>92</v>
      </c>
      <c r="C84" s="30" t="s">
        <v>92</v>
      </c>
      <c r="D84" s="30" t="s">
        <v>92</v>
      </c>
      <c r="E84" s="30" t="s">
        <v>92</v>
      </c>
      <c r="F84" s="30" t="s">
        <v>92</v>
      </c>
      <c r="G84" s="30" t="s">
        <v>92</v>
      </c>
      <c r="H84" s="30" t="s">
        <v>92</v>
      </c>
      <c r="I84" s="30" t="s">
        <v>92</v>
      </c>
      <c r="J84" s="30" t="s">
        <v>92</v>
      </c>
      <c r="K84" s="75"/>
      <c r="L84" s="76"/>
      <c r="M84" s="76"/>
      <c r="N84" s="76"/>
      <c r="O84" s="76"/>
      <c r="P84" s="76"/>
      <c r="Q84" s="76"/>
      <c r="R84" s="76"/>
      <c r="S84" s="76"/>
      <c r="T84" s="76"/>
      <c r="U84" s="76"/>
      <c r="V84" s="76"/>
      <c r="W84" s="76"/>
      <c r="X84" s="76"/>
      <c r="Y84" s="76"/>
      <c r="Z84" s="76"/>
      <c r="AA84" s="76"/>
      <c r="AB84" s="76"/>
      <c r="AC84" s="76"/>
    </row>
    <row r="85" spans="1:29" ht="15.75" x14ac:dyDescent="0.25">
      <c r="A85" s="2" t="s">
        <v>91</v>
      </c>
      <c r="B85" s="30" t="s">
        <v>92</v>
      </c>
      <c r="C85" s="30" t="s">
        <v>92</v>
      </c>
      <c r="D85" s="30" t="s">
        <v>92</v>
      </c>
      <c r="E85" s="30" t="s">
        <v>92</v>
      </c>
      <c r="F85" s="30" t="s">
        <v>92</v>
      </c>
      <c r="G85" s="30" t="s">
        <v>92</v>
      </c>
      <c r="H85" s="30" t="s">
        <v>92</v>
      </c>
      <c r="I85" s="30" t="s">
        <v>92</v>
      </c>
      <c r="J85" s="30" t="s">
        <v>92</v>
      </c>
      <c r="K85" s="75"/>
      <c r="L85" s="76"/>
      <c r="M85" s="76"/>
      <c r="N85" s="76"/>
      <c r="O85" s="76"/>
      <c r="P85" s="76"/>
      <c r="Q85" s="76"/>
      <c r="R85" s="76"/>
      <c r="S85" s="76"/>
      <c r="T85" s="76"/>
      <c r="U85" s="76"/>
      <c r="V85" s="76"/>
      <c r="W85" s="76"/>
      <c r="X85" s="76"/>
      <c r="Y85" s="76"/>
      <c r="Z85" s="76"/>
      <c r="AA85" s="76"/>
      <c r="AB85" s="76"/>
      <c r="AC85" s="76"/>
    </row>
    <row r="86" spans="1:29" ht="15.75" x14ac:dyDescent="0.25">
      <c r="A86" s="4"/>
      <c r="B86" s="30" t="s">
        <v>92</v>
      </c>
      <c r="C86" s="30" t="s">
        <v>92</v>
      </c>
      <c r="D86" s="30" t="s">
        <v>92</v>
      </c>
      <c r="E86" s="30" t="s">
        <v>92</v>
      </c>
      <c r="F86" s="30" t="s">
        <v>92</v>
      </c>
      <c r="G86" s="30" t="s">
        <v>92</v>
      </c>
      <c r="H86" s="30" t="s">
        <v>92</v>
      </c>
      <c r="I86" s="30" t="s">
        <v>92</v>
      </c>
      <c r="J86" s="30" t="s">
        <v>92</v>
      </c>
      <c r="K86" s="75"/>
      <c r="L86" s="76"/>
      <c r="M86" s="76"/>
      <c r="N86" s="76"/>
      <c r="O86" s="76"/>
      <c r="P86" s="76"/>
      <c r="Q86" s="76"/>
      <c r="R86" s="76"/>
      <c r="S86" s="76"/>
      <c r="T86" s="76"/>
      <c r="U86" s="76"/>
      <c r="V86" s="76"/>
      <c r="W86" s="76"/>
      <c r="X86" s="76"/>
      <c r="Y86" s="76"/>
      <c r="Z86" s="76"/>
      <c r="AA86" s="76"/>
      <c r="AB86" s="76"/>
      <c r="AC86" s="76"/>
    </row>
    <row r="87" spans="1:29" ht="15.75" x14ac:dyDescent="0.25">
      <c r="A87" s="4"/>
      <c r="B87" s="30" t="s">
        <v>92</v>
      </c>
      <c r="C87" s="30" t="s">
        <v>92</v>
      </c>
      <c r="D87" s="30" t="s">
        <v>92</v>
      </c>
      <c r="E87" s="30" t="s">
        <v>92</v>
      </c>
      <c r="F87" s="30" t="s">
        <v>92</v>
      </c>
      <c r="G87" s="30" t="s">
        <v>92</v>
      </c>
      <c r="H87" s="30" t="s">
        <v>92</v>
      </c>
      <c r="I87" s="30" t="s">
        <v>92</v>
      </c>
      <c r="J87" s="30" t="s">
        <v>92</v>
      </c>
      <c r="K87" s="75"/>
      <c r="L87" s="76"/>
      <c r="M87" s="76"/>
      <c r="N87" s="76"/>
      <c r="O87" s="76"/>
      <c r="P87" s="76"/>
      <c r="Q87" s="76"/>
      <c r="R87" s="76"/>
      <c r="S87" s="76"/>
      <c r="T87" s="76"/>
      <c r="U87" s="76"/>
      <c r="V87" s="76"/>
      <c r="W87" s="76"/>
      <c r="X87" s="76"/>
      <c r="Y87" s="76"/>
      <c r="Z87" s="76"/>
      <c r="AA87" s="76"/>
      <c r="AB87" s="76"/>
      <c r="AC87" s="76"/>
    </row>
    <row r="88" spans="1:29" ht="15.75" x14ac:dyDescent="0.25">
      <c r="A88" s="4"/>
      <c r="B88" s="18"/>
      <c r="C88" s="30" t="s">
        <v>93</v>
      </c>
      <c r="D88" s="43"/>
      <c r="E88" s="18"/>
      <c r="F88" s="30" t="s">
        <v>97</v>
      </c>
      <c r="G88" s="30" t="s">
        <v>97</v>
      </c>
      <c r="H88" s="30" t="s">
        <v>97</v>
      </c>
      <c r="I88" s="30" t="s">
        <v>97</v>
      </c>
      <c r="J88" s="30" t="s">
        <v>97</v>
      </c>
      <c r="K88" s="75"/>
      <c r="L88" s="76"/>
      <c r="M88" s="76"/>
      <c r="N88" s="76"/>
      <c r="O88" s="76"/>
      <c r="P88" s="76"/>
      <c r="Q88" s="76"/>
      <c r="R88" s="76"/>
      <c r="S88" s="76"/>
      <c r="T88" s="76"/>
      <c r="U88" s="76"/>
      <c r="V88" s="76"/>
      <c r="W88" s="76"/>
      <c r="X88" s="76"/>
      <c r="Y88" s="76"/>
      <c r="Z88" s="76"/>
      <c r="AA88" s="76"/>
      <c r="AB88" s="76"/>
      <c r="AC88" s="76"/>
    </row>
    <row r="89" spans="1:29" ht="15.75" x14ac:dyDescent="0.25">
      <c r="A89" s="4"/>
      <c r="B89" s="18"/>
      <c r="C89" s="30" t="s">
        <v>119</v>
      </c>
      <c r="D89" s="18"/>
      <c r="E89" s="18"/>
      <c r="F89" s="30" t="s">
        <v>97</v>
      </c>
      <c r="G89" s="30" t="s">
        <v>97</v>
      </c>
      <c r="H89" s="30" t="s">
        <v>97</v>
      </c>
      <c r="I89" s="30" t="s">
        <v>97</v>
      </c>
      <c r="J89" s="30" t="s">
        <v>97</v>
      </c>
      <c r="K89" s="75"/>
      <c r="L89" s="76"/>
      <c r="M89" s="76"/>
      <c r="N89" s="76"/>
      <c r="O89" s="76"/>
      <c r="P89" s="76"/>
      <c r="Q89" s="76"/>
      <c r="R89" s="76"/>
      <c r="S89" s="76"/>
      <c r="T89" s="76"/>
      <c r="U89" s="76"/>
      <c r="V89" s="76"/>
      <c r="W89" s="76"/>
      <c r="X89" s="76"/>
      <c r="Y89" s="76"/>
      <c r="Z89" s="76"/>
      <c r="AA89" s="76"/>
      <c r="AB89" s="76"/>
      <c r="AC89" s="76"/>
    </row>
    <row r="90" spans="1:29" ht="15.75" x14ac:dyDescent="0.25">
      <c r="A90" s="2"/>
      <c r="B90" s="4"/>
      <c r="C90" s="4"/>
      <c r="D90" s="4"/>
      <c r="E90" s="4"/>
      <c r="F90" s="4"/>
      <c r="G90" s="4"/>
      <c r="H90" s="4"/>
      <c r="I90" s="4"/>
      <c r="J90" s="4"/>
      <c r="K90" s="71"/>
      <c r="L90" s="76"/>
      <c r="M90" s="76"/>
      <c r="N90" s="76"/>
      <c r="O90" s="76"/>
      <c r="P90" s="76"/>
      <c r="Q90" s="76"/>
      <c r="R90" s="76"/>
      <c r="S90" s="76"/>
      <c r="T90" s="76"/>
      <c r="U90" s="76"/>
      <c r="V90" s="76"/>
      <c r="W90" s="76"/>
      <c r="X90" s="76"/>
      <c r="Y90" s="76"/>
      <c r="Z90" s="76"/>
      <c r="AA90" s="76"/>
      <c r="AB90" s="76"/>
      <c r="AC90" s="76"/>
    </row>
    <row r="91" spans="1:29" ht="15.75" x14ac:dyDescent="0.25">
      <c r="A91" s="3" t="s">
        <v>212</v>
      </c>
      <c r="B91" s="4"/>
      <c r="C91" s="4"/>
      <c r="D91" s="4"/>
      <c r="E91" s="4"/>
      <c r="F91" s="4"/>
      <c r="G91" s="4"/>
      <c r="H91" s="4"/>
      <c r="I91" s="4"/>
      <c r="J91" s="4"/>
      <c r="K91" s="71"/>
      <c r="L91" s="76"/>
      <c r="M91" s="76"/>
      <c r="N91" s="76"/>
      <c r="O91" s="76"/>
      <c r="P91" s="76"/>
      <c r="Q91" s="76"/>
      <c r="R91" s="76"/>
      <c r="S91" s="76"/>
      <c r="T91" s="76"/>
      <c r="U91" s="76"/>
      <c r="V91" s="76"/>
      <c r="W91" s="76"/>
      <c r="X91" s="76"/>
      <c r="Y91" s="76"/>
      <c r="Z91" s="76"/>
      <c r="AA91" s="76"/>
      <c r="AB91" s="76"/>
      <c r="AC91" s="76"/>
    </row>
    <row r="92" spans="1:29" ht="15.75" x14ac:dyDescent="0.25">
      <c r="A92" s="2"/>
      <c r="B92" s="4"/>
      <c r="C92" s="4"/>
      <c r="D92" s="4"/>
      <c r="E92" s="4"/>
      <c r="F92" s="4"/>
      <c r="G92" s="4"/>
      <c r="H92" s="4"/>
      <c r="I92" s="4"/>
      <c r="J92" s="4"/>
      <c r="K92" s="71"/>
      <c r="L92" s="76"/>
      <c r="M92" s="76"/>
      <c r="N92" s="76"/>
      <c r="O92" s="76"/>
      <c r="P92" s="76"/>
      <c r="Q92" s="76"/>
      <c r="R92" s="76"/>
      <c r="S92" s="76"/>
      <c r="T92" s="76"/>
      <c r="U92" s="76"/>
      <c r="V92" s="76"/>
      <c r="W92" s="76"/>
      <c r="X92" s="76"/>
      <c r="Y92" s="76"/>
      <c r="Z92" s="76"/>
      <c r="AA92" s="76"/>
      <c r="AB92" s="76"/>
      <c r="AC92" s="76"/>
    </row>
    <row r="93" spans="1:29" ht="15.75" x14ac:dyDescent="0.25">
      <c r="A93" s="366" t="s">
        <v>104</v>
      </c>
      <c r="B93" s="366"/>
      <c r="C93" s="366"/>
      <c r="D93" s="366"/>
      <c r="E93" s="366"/>
      <c r="F93" s="366"/>
      <c r="G93" s="366"/>
      <c r="H93" s="366"/>
      <c r="I93" s="366"/>
      <c r="J93" s="366"/>
      <c r="K93" s="71"/>
      <c r="L93" s="76"/>
      <c r="M93" s="76"/>
      <c r="N93" s="76"/>
      <c r="O93" s="76"/>
      <c r="P93" s="76"/>
      <c r="Q93" s="76"/>
      <c r="R93" s="76"/>
      <c r="S93" s="76"/>
      <c r="T93" s="76"/>
      <c r="U93" s="76"/>
      <c r="V93" s="76"/>
      <c r="W93" s="76"/>
      <c r="X93" s="76"/>
      <c r="Y93" s="76"/>
      <c r="Z93" s="76"/>
      <c r="AA93" s="76"/>
      <c r="AB93" s="76"/>
      <c r="AC93" s="76"/>
    </row>
    <row r="94" spans="1:29" ht="15.75" x14ac:dyDescent="0.25">
      <c r="A94" s="366"/>
      <c r="B94" s="366"/>
      <c r="C94" s="366"/>
      <c r="D94" s="366"/>
      <c r="E94" s="366"/>
      <c r="F94" s="366"/>
      <c r="G94" s="366"/>
      <c r="H94" s="366"/>
      <c r="I94" s="366"/>
      <c r="J94" s="366"/>
      <c r="K94" s="71"/>
      <c r="L94" s="76"/>
      <c r="M94" s="76"/>
      <c r="N94" s="76"/>
      <c r="O94" s="76"/>
      <c r="P94" s="76"/>
      <c r="Q94" s="76"/>
      <c r="R94" s="76"/>
      <c r="S94" s="76"/>
      <c r="T94" s="76"/>
      <c r="U94" s="76"/>
      <c r="V94" s="76"/>
      <c r="W94" s="76"/>
      <c r="X94" s="76"/>
      <c r="Y94" s="76"/>
      <c r="Z94" s="76"/>
      <c r="AA94" s="76"/>
      <c r="AB94" s="76"/>
      <c r="AC94" s="76"/>
    </row>
    <row r="95" spans="1:29" ht="15.75" x14ac:dyDescent="0.25">
      <c r="A95" s="2"/>
      <c r="B95" s="4"/>
      <c r="C95" s="4"/>
      <c r="D95" s="4"/>
      <c r="E95" s="4"/>
      <c r="F95" s="4"/>
      <c r="G95" s="4"/>
      <c r="H95" s="4"/>
      <c r="I95" s="4"/>
      <c r="J95" s="4"/>
      <c r="K95" s="71"/>
      <c r="L95" s="76"/>
      <c r="M95" s="76"/>
      <c r="N95" s="76"/>
      <c r="O95" s="76"/>
      <c r="P95" s="76"/>
      <c r="Q95" s="76"/>
      <c r="R95" s="76"/>
      <c r="S95" s="76"/>
      <c r="T95" s="76"/>
      <c r="U95" s="76"/>
      <c r="V95" s="76"/>
      <c r="W95" s="76"/>
      <c r="X95" s="76"/>
      <c r="Y95" s="76"/>
      <c r="Z95" s="76"/>
      <c r="AA95" s="76"/>
      <c r="AB95" s="76"/>
      <c r="AC95" s="76"/>
    </row>
    <row r="96" spans="1:29" ht="15.75" x14ac:dyDescent="0.25">
      <c r="A96" s="4"/>
      <c r="B96" s="2" t="s">
        <v>105</v>
      </c>
      <c r="C96" s="2" t="s">
        <v>106</v>
      </c>
      <c r="D96" s="2" t="s">
        <v>106</v>
      </c>
      <c r="E96" s="2" t="s">
        <v>107</v>
      </c>
      <c r="F96" s="4"/>
      <c r="G96" s="4"/>
      <c r="H96" s="4"/>
      <c r="I96" s="4"/>
      <c r="J96" s="4"/>
      <c r="K96" s="71"/>
      <c r="L96" s="76"/>
      <c r="M96" s="76"/>
      <c r="N96" s="76"/>
      <c r="O96" s="76"/>
      <c r="P96" s="76"/>
      <c r="Q96" s="76"/>
      <c r="R96" s="76"/>
      <c r="S96" s="76"/>
      <c r="T96" s="76"/>
      <c r="U96" s="76"/>
      <c r="V96" s="76"/>
      <c r="W96" s="76"/>
      <c r="X96" s="76"/>
      <c r="Y96" s="76"/>
      <c r="Z96" s="76"/>
      <c r="AA96" s="76"/>
      <c r="AB96" s="76"/>
      <c r="AC96" s="76"/>
    </row>
    <row r="97" spans="1:29" ht="15.75" x14ac:dyDescent="0.25">
      <c r="A97" s="4"/>
      <c r="B97" s="3" t="s">
        <v>108</v>
      </c>
      <c r="C97" s="3" t="s">
        <v>109</v>
      </c>
      <c r="D97" s="3" t="s">
        <v>110</v>
      </c>
      <c r="E97" s="3" t="s">
        <v>111</v>
      </c>
      <c r="F97" s="4"/>
      <c r="G97" s="4"/>
      <c r="H97" s="4"/>
      <c r="I97" s="4"/>
      <c r="J97" s="4"/>
      <c r="K97" s="71"/>
      <c r="L97" s="76"/>
      <c r="M97" s="76"/>
      <c r="N97" s="76"/>
      <c r="O97" s="76"/>
      <c r="P97" s="76"/>
      <c r="Q97" s="76"/>
      <c r="R97" s="76"/>
      <c r="S97" s="76"/>
      <c r="T97" s="76"/>
      <c r="U97" s="76"/>
      <c r="V97" s="76"/>
      <c r="W97" s="76"/>
      <c r="X97" s="76"/>
      <c r="Y97" s="76"/>
      <c r="Z97" s="76"/>
      <c r="AA97" s="76"/>
      <c r="AB97" s="76"/>
      <c r="AC97" s="76"/>
    </row>
    <row r="98" spans="1:29" ht="15.75" x14ac:dyDescent="0.25">
      <c r="A98" s="2"/>
      <c r="B98" s="4"/>
      <c r="C98" s="4"/>
      <c r="D98" s="4"/>
      <c r="E98" s="4"/>
      <c r="F98" s="4"/>
      <c r="G98" s="4"/>
      <c r="H98" s="4"/>
      <c r="I98" s="4"/>
      <c r="J98" s="4"/>
      <c r="K98" s="71"/>
      <c r="L98" s="76"/>
      <c r="M98" s="76"/>
      <c r="N98" s="76"/>
      <c r="O98" s="76"/>
      <c r="P98" s="76"/>
      <c r="Q98" s="76"/>
      <c r="R98" s="76"/>
      <c r="S98" s="76"/>
      <c r="T98" s="76"/>
      <c r="U98" s="76"/>
      <c r="V98" s="76"/>
      <c r="W98" s="76"/>
      <c r="X98" s="76"/>
      <c r="Y98" s="76"/>
      <c r="Z98" s="76"/>
      <c r="AA98" s="76"/>
      <c r="AB98" s="76"/>
      <c r="AC98" s="76"/>
    </row>
    <row r="99" spans="1:29" ht="15.75" x14ac:dyDescent="0.25">
      <c r="A99" s="2" t="s">
        <v>112</v>
      </c>
      <c r="B99" s="2" t="s">
        <v>113</v>
      </c>
      <c r="C99" s="2" t="s">
        <v>113</v>
      </c>
      <c r="D99" s="2" t="s">
        <v>114</v>
      </c>
      <c r="E99" s="4"/>
      <c r="F99" s="4"/>
      <c r="G99" s="4"/>
      <c r="H99" s="4"/>
      <c r="I99" s="4"/>
      <c r="J99" s="4"/>
      <c r="K99" s="71"/>
      <c r="L99" s="76"/>
      <c r="M99" s="76"/>
      <c r="N99" s="76"/>
      <c r="O99" s="76"/>
      <c r="P99" s="76"/>
      <c r="Q99" s="76"/>
      <c r="R99" s="76"/>
      <c r="S99" s="76"/>
      <c r="T99" s="76"/>
      <c r="U99" s="76"/>
      <c r="V99" s="76"/>
      <c r="W99" s="76"/>
      <c r="X99" s="76"/>
      <c r="Y99" s="76"/>
      <c r="Z99" s="76"/>
      <c r="AA99" s="76"/>
      <c r="AB99" s="76"/>
      <c r="AC99" s="76"/>
    </row>
    <row r="100" spans="1:29" ht="15.75" x14ac:dyDescent="0.25">
      <c r="A100" s="2" t="s">
        <v>112</v>
      </c>
      <c r="B100" s="2" t="s">
        <v>113</v>
      </c>
      <c r="C100" s="2" t="s">
        <v>113</v>
      </c>
      <c r="D100" s="2" t="s">
        <v>114</v>
      </c>
      <c r="E100" s="4"/>
      <c r="F100" s="4"/>
      <c r="G100" s="4"/>
      <c r="H100" s="4"/>
      <c r="I100" s="4"/>
      <c r="J100" s="4"/>
      <c r="K100" s="71"/>
      <c r="L100" s="76"/>
      <c r="M100" s="76"/>
      <c r="N100" s="76"/>
      <c r="O100" s="76"/>
      <c r="P100" s="76"/>
      <c r="Q100" s="76"/>
      <c r="R100" s="76"/>
      <c r="S100" s="76"/>
      <c r="T100" s="76"/>
      <c r="U100" s="76"/>
      <c r="V100" s="76"/>
      <c r="W100" s="76"/>
      <c r="X100" s="76"/>
      <c r="Y100" s="76"/>
      <c r="Z100" s="76"/>
      <c r="AA100" s="76"/>
      <c r="AB100" s="76"/>
      <c r="AC100" s="76"/>
    </row>
    <row r="101" spans="1:29" ht="15.75" x14ac:dyDescent="0.25">
      <c r="A101" s="2" t="s">
        <v>112</v>
      </c>
      <c r="B101" s="2" t="s">
        <v>113</v>
      </c>
      <c r="C101" s="2" t="s">
        <v>113</v>
      </c>
      <c r="D101" s="2" t="s">
        <v>114</v>
      </c>
      <c r="E101" s="4"/>
      <c r="F101" s="4"/>
      <c r="G101" s="4"/>
      <c r="H101" s="4"/>
      <c r="I101" s="4"/>
      <c r="J101" s="4"/>
      <c r="K101" s="71"/>
      <c r="L101" s="76"/>
      <c r="M101" s="76"/>
      <c r="N101" s="76"/>
      <c r="O101" s="76"/>
      <c r="P101" s="76"/>
      <c r="Q101" s="76"/>
      <c r="R101" s="76"/>
      <c r="S101" s="76"/>
      <c r="T101" s="76"/>
      <c r="U101" s="76"/>
      <c r="V101" s="76"/>
      <c r="W101" s="76"/>
      <c r="X101" s="76"/>
      <c r="Y101" s="76"/>
      <c r="Z101" s="76"/>
      <c r="AA101" s="76"/>
      <c r="AB101" s="76"/>
      <c r="AC101" s="76"/>
    </row>
    <row r="102" spans="1:29" ht="15.75" x14ac:dyDescent="0.25">
      <c r="A102" s="2" t="s">
        <v>112</v>
      </c>
      <c r="B102" s="2" t="s">
        <v>113</v>
      </c>
      <c r="C102" s="2" t="s">
        <v>113</v>
      </c>
      <c r="D102" s="2" t="s">
        <v>114</v>
      </c>
      <c r="E102" s="4"/>
      <c r="F102" s="4"/>
      <c r="G102" s="4"/>
      <c r="H102" s="4"/>
      <c r="I102" s="4"/>
      <c r="J102" s="4"/>
      <c r="K102" s="71"/>
      <c r="L102" s="76"/>
      <c r="M102" s="76"/>
      <c r="N102" s="76"/>
      <c r="O102" s="76"/>
      <c r="P102" s="76"/>
      <c r="Q102" s="76"/>
      <c r="R102" s="76"/>
      <c r="S102" s="76"/>
      <c r="T102" s="76"/>
      <c r="U102" s="76"/>
      <c r="V102" s="76"/>
      <c r="W102" s="76"/>
      <c r="X102" s="76"/>
      <c r="Y102" s="76"/>
      <c r="Z102" s="76"/>
      <c r="AA102" s="76"/>
      <c r="AB102" s="76"/>
      <c r="AC102" s="76"/>
    </row>
    <row r="103" spans="1:29" ht="15.75" x14ac:dyDescent="0.25">
      <c r="A103" s="2" t="s">
        <v>112</v>
      </c>
      <c r="B103" s="2" t="s">
        <v>113</v>
      </c>
      <c r="C103" s="2" t="s">
        <v>113</v>
      </c>
      <c r="D103" s="2" t="s">
        <v>114</v>
      </c>
      <c r="E103" s="4"/>
      <c r="F103" s="4"/>
      <c r="G103" s="4"/>
      <c r="H103" s="4"/>
      <c r="I103" s="4"/>
      <c r="J103" s="4"/>
      <c r="K103" s="71"/>
      <c r="L103" s="76"/>
      <c r="M103" s="76"/>
      <c r="N103" s="76"/>
      <c r="O103" s="76"/>
      <c r="P103" s="76"/>
      <c r="Q103" s="76"/>
      <c r="R103" s="76"/>
      <c r="S103" s="76"/>
      <c r="T103" s="76"/>
      <c r="U103" s="76"/>
      <c r="V103" s="76"/>
      <c r="W103" s="76"/>
      <c r="X103" s="76"/>
      <c r="Y103" s="76"/>
      <c r="Z103" s="76"/>
      <c r="AA103" s="76"/>
      <c r="AB103" s="76"/>
      <c r="AC103" s="76"/>
    </row>
    <row r="104" spans="1:29" ht="15.75" x14ac:dyDescent="0.25">
      <c r="A104" s="2" t="s">
        <v>112</v>
      </c>
      <c r="B104" s="2" t="s">
        <v>113</v>
      </c>
      <c r="C104" s="2" t="s">
        <v>113</v>
      </c>
      <c r="D104" s="2" t="s">
        <v>114</v>
      </c>
      <c r="E104" s="4"/>
      <c r="F104" s="4"/>
      <c r="G104" s="4"/>
      <c r="H104" s="4"/>
      <c r="I104" s="4"/>
      <c r="J104" s="4"/>
      <c r="K104" s="71"/>
      <c r="L104" s="76"/>
      <c r="M104" s="76"/>
      <c r="N104" s="76"/>
      <c r="O104" s="76"/>
      <c r="P104" s="76"/>
      <c r="Q104" s="76"/>
      <c r="R104" s="76"/>
      <c r="S104" s="76"/>
      <c r="T104" s="76"/>
      <c r="U104" s="76"/>
      <c r="V104" s="76"/>
      <c r="W104" s="76"/>
      <c r="X104" s="76"/>
      <c r="Y104" s="76"/>
      <c r="Z104" s="76"/>
      <c r="AA104" s="76"/>
      <c r="AB104" s="76"/>
      <c r="AC104" s="76"/>
    </row>
    <row r="105" spans="1:29" ht="15.75" x14ac:dyDescent="0.25">
      <c r="A105" s="2" t="s">
        <v>112</v>
      </c>
      <c r="B105" s="2" t="s">
        <v>113</v>
      </c>
      <c r="C105" s="2" t="s">
        <v>113</v>
      </c>
      <c r="D105" s="2" t="s">
        <v>114</v>
      </c>
      <c r="E105" s="4"/>
      <c r="F105" s="4"/>
      <c r="G105" s="4"/>
      <c r="H105" s="4"/>
      <c r="I105" s="4"/>
      <c r="J105" s="4"/>
      <c r="K105" s="71"/>
      <c r="L105" s="76"/>
      <c r="M105" s="76"/>
      <c r="N105" s="76"/>
      <c r="O105" s="76"/>
      <c r="P105" s="76"/>
      <c r="Q105" s="76"/>
      <c r="R105" s="76"/>
      <c r="S105" s="76"/>
      <c r="T105" s="76"/>
      <c r="U105" s="76"/>
      <c r="V105" s="76"/>
      <c r="W105" s="76"/>
      <c r="X105" s="76"/>
      <c r="Y105" s="76"/>
      <c r="Z105" s="76"/>
      <c r="AA105" s="76"/>
      <c r="AB105" s="76"/>
      <c r="AC105" s="76"/>
    </row>
    <row r="106" spans="1:29" ht="15.75" x14ac:dyDescent="0.25">
      <c r="A106" s="2"/>
      <c r="B106" s="4"/>
      <c r="C106" s="4"/>
      <c r="D106" s="4"/>
      <c r="E106" s="4"/>
      <c r="F106" s="4"/>
      <c r="G106" s="4"/>
      <c r="H106" s="4"/>
      <c r="I106" s="4"/>
      <c r="J106" s="4"/>
      <c r="K106" s="71"/>
      <c r="L106" s="76"/>
      <c r="M106" s="76"/>
      <c r="N106" s="76"/>
      <c r="O106" s="76"/>
      <c r="P106" s="76"/>
      <c r="Q106" s="76"/>
      <c r="R106" s="76"/>
      <c r="S106" s="76"/>
      <c r="T106" s="76"/>
      <c r="U106" s="76"/>
      <c r="V106" s="76"/>
      <c r="W106" s="76"/>
      <c r="X106" s="76"/>
      <c r="Y106" s="76"/>
      <c r="Z106" s="76"/>
      <c r="AA106" s="76"/>
      <c r="AB106" s="76"/>
      <c r="AC106" s="76"/>
    </row>
    <row r="107" spans="1:29" ht="15.75" x14ac:dyDescent="0.25">
      <c r="A107" s="2"/>
      <c r="B107" s="4"/>
      <c r="C107" s="4"/>
      <c r="D107" s="4"/>
      <c r="E107" s="4"/>
      <c r="F107" s="4"/>
      <c r="G107" s="4"/>
      <c r="H107" s="4"/>
      <c r="I107" s="4"/>
      <c r="J107" s="4"/>
      <c r="K107" s="71"/>
      <c r="L107" s="76"/>
      <c r="M107" s="76"/>
      <c r="N107" s="76"/>
      <c r="O107" s="76"/>
      <c r="P107" s="76"/>
      <c r="Q107" s="76"/>
      <c r="R107" s="76"/>
      <c r="S107" s="76"/>
      <c r="T107" s="76"/>
      <c r="U107" s="76"/>
      <c r="V107" s="76"/>
      <c r="W107" s="76"/>
      <c r="X107" s="76"/>
      <c r="Y107" s="76"/>
      <c r="Z107" s="76"/>
      <c r="AA107" s="76"/>
      <c r="AB107" s="76"/>
      <c r="AC107" s="76"/>
    </row>
    <row r="108" spans="1:29" ht="15.75" x14ac:dyDescent="0.25">
      <c r="A108" s="21"/>
      <c r="B108" s="4"/>
      <c r="C108" s="4"/>
      <c r="D108" s="4"/>
      <c r="E108" s="4"/>
      <c r="F108" s="4"/>
      <c r="G108" s="4"/>
      <c r="H108" s="4"/>
      <c r="I108" s="4"/>
      <c r="J108" s="4"/>
      <c r="K108" s="71"/>
      <c r="L108" s="76"/>
      <c r="M108" s="76"/>
      <c r="N108" s="76"/>
      <c r="O108" s="76"/>
      <c r="P108" s="76"/>
      <c r="Q108" s="76"/>
      <c r="R108" s="76"/>
      <c r="S108" s="76"/>
      <c r="T108" s="76"/>
      <c r="U108" s="76"/>
      <c r="V108" s="76"/>
      <c r="W108" s="76"/>
      <c r="X108" s="76"/>
      <c r="Y108" s="76"/>
      <c r="Z108" s="76"/>
      <c r="AA108" s="76"/>
      <c r="AB108" s="76"/>
      <c r="AC108" s="76"/>
    </row>
    <row r="109" spans="1:29" ht="15.75" x14ac:dyDescent="0.25">
      <c r="K109" s="71"/>
      <c r="L109" s="226"/>
      <c r="M109" s="227"/>
      <c r="N109" s="76"/>
      <c r="O109" s="76"/>
      <c r="P109" s="76"/>
      <c r="Q109" s="76"/>
      <c r="R109" s="76"/>
      <c r="S109" s="76"/>
      <c r="T109" s="76"/>
      <c r="U109" s="76"/>
      <c r="V109" s="76"/>
      <c r="W109" s="76"/>
      <c r="X109" s="76"/>
      <c r="Y109" s="76"/>
      <c r="Z109" s="76"/>
      <c r="AA109" s="76"/>
      <c r="AB109" s="76"/>
      <c r="AC109" s="76"/>
    </row>
    <row r="110" spans="1:29" ht="15.75" x14ac:dyDescent="0.25">
      <c r="K110" s="71"/>
      <c r="L110" s="76"/>
      <c r="M110" s="76"/>
      <c r="N110" s="76"/>
      <c r="O110" s="76"/>
      <c r="P110" s="76"/>
      <c r="Q110" s="76"/>
      <c r="R110" s="76"/>
      <c r="S110" s="76"/>
      <c r="T110" s="76"/>
      <c r="U110" s="76"/>
      <c r="V110" s="76"/>
      <c r="W110" s="76"/>
      <c r="X110" s="76"/>
      <c r="Y110" s="76"/>
      <c r="Z110" s="76"/>
      <c r="AA110" s="76"/>
      <c r="AB110" s="76"/>
      <c r="AC110" s="76"/>
    </row>
    <row r="111" spans="1:29" ht="15.75" x14ac:dyDescent="0.25">
      <c r="K111" s="71"/>
      <c r="L111" s="76"/>
      <c r="M111" s="76"/>
      <c r="N111" s="76"/>
      <c r="O111" s="76"/>
      <c r="P111" s="76"/>
      <c r="Q111" s="76"/>
      <c r="R111" s="76"/>
      <c r="S111" s="76"/>
      <c r="T111" s="76"/>
      <c r="U111" s="76"/>
      <c r="V111" s="76"/>
      <c r="W111" s="76"/>
      <c r="X111" s="76"/>
      <c r="Y111" s="76"/>
      <c r="Z111" s="76"/>
      <c r="AA111" s="76"/>
      <c r="AB111" s="76"/>
      <c r="AC111" s="76"/>
    </row>
    <row r="112" spans="1:29" ht="15.75" x14ac:dyDescent="0.25">
      <c r="K112" s="72"/>
      <c r="L112" s="76"/>
      <c r="M112" s="76"/>
      <c r="N112" s="76"/>
      <c r="O112" s="76"/>
      <c r="P112" s="76"/>
      <c r="Q112" s="76"/>
      <c r="R112" s="76"/>
      <c r="S112" s="76"/>
      <c r="T112" s="76"/>
      <c r="U112" s="76"/>
      <c r="V112" s="76"/>
      <c r="W112" s="76"/>
      <c r="X112" s="76"/>
      <c r="Y112" s="228"/>
      <c r="Z112" s="228"/>
      <c r="AA112" s="76"/>
      <c r="AB112" s="76"/>
      <c r="AC112" s="76"/>
    </row>
    <row r="113" spans="11:29" ht="15.75" x14ac:dyDescent="0.25">
      <c r="K113" s="72"/>
      <c r="L113" s="76"/>
      <c r="M113" s="76"/>
      <c r="N113" s="76"/>
      <c r="O113" s="76"/>
      <c r="P113" s="76"/>
      <c r="Q113" s="76"/>
      <c r="R113" s="76"/>
      <c r="S113" s="76"/>
      <c r="T113" s="76"/>
      <c r="U113" s="76"/>
      <c r="V113" s="76"/>
      <c r="W113" s="76"/>
      <c r="X113" s="76"/>
      <c r="Y113" s="76"/>
      <c r="Z113" s="76"/>
      <c r="AA113" s="8"/>
      <c r="AB113" s="76"/>
      <c r="AC113" s="76"/>
    </row>
    <row r="114" spans="11:29" ht="15.75" x14ac:dyDescent="0.25">
      <c r="K114" s="72"/>
      <c r="L114" s="76"/>
      <c r="M114" s="76"/>
      <c r="N114" s="76"/>
      <c r="O114" s="76"/>
      <c r="P114" s="76"/>
      <c r="Q114" s="76"/>
      <c r="R114" s="76"/>
      <c r="S114" s="76"/>
      <c r="T114" s="76"/>
      <c r="U114" s="76"/>
      <c r="V114" s="76"/>
      <c r="W114" s="76"/>
      <c r="X114" s="76"/>
      <c r="Y114" s="76"/>
      <c r="Z114" s="76"/>
      <c r="AA114" s="8"/>
      <c r="AB114" s="76"/>
      <c r="AC114" s="76"/>
    </row>
    <row r="115" spans="11:29" x14ac:dyDescent="0.2">
      <c r="K115" s="80"/>
      <c r="L115" s="76"/>
      <c r="M115" s="76"/>
      <c r="N115" s="76"/>
      <c r="O115" s="76"/>
      <c r="P115" s="76"/>
      <c r="Q115" s="76"/>
      <c r="R115" s="76"/>
      <c r="S115" s="76"/>
      <c r="T115" s="76"/>
      <c r="U115" s="76"/>
      <c r="V115" s="76"/>
      <c r="W115" s="76"/>
      <c r="X115" s="76"/>
      <c r="Y115" s="76"/>
      <c r="Z115" s="76"/>
      <c r="AA115" s="76"/>
      <c r="AB115" s="76"/>
      <c r="AC115" s="76"/>
    </row>
    <row r="116" spans="11:29" ht="15.75" x14ac:dyDescent="0.25">
      <c r="K116" s="80"/>
      <c r="L116" s="76"/>
      <c r="M116" s="76"/>
      <c r="N116" s="76"/>
      <c r="O116" s="76"/>
      <c r="P116" s="76"/>
      <c r="Q116" s="76"/>
      <c r="R116" s="76"/>
      <c r="S116" s="76"/>
      <c r="T116" s="76"/>
      <c r="U116" s="76"/>
      <c r="V116" s="76"/>
      <c r="W116" s="76"/>
      <c r="X116" s="76"/>
      <c r="Y116" s="76"/>
      <c r="Z116" s="76"/>
      <c r="AA116" s="8"/>
      <c r="AB116" s="76"/>
      <c r="AC116" s="76"/>
    </row>
    <row r="117" spans="11:29" ht="15.75" x14ac:dyDescent="0.25">
      <c r="K117" s="80"/>
      <c r="L117" s="76"/>
      <c r="M117" s="76"/>
      <c r="N117" s="76"/>
      <c r="O117" s="76"/>
      <c r="P117" s="76"/>
      <c r="Q117" s="76"/>
      <c r="R117" s="76"/>
      <c r="S117" s="76"/>
      <c r="T117" s="76"/>
      <c r="U117" s="76"/>
      <c r="V117" s="76"/>
      <c r="W117" s="76"/>
      <c r="X117" s="76"/>
      <c r="Y117" s="76"/>
      <c r="Z117" s="76"/>
      <c r="AA117" s="8"/>
      <c r="AB117" s="76"/>
      <c r="AC117" s="76"/>
    </row>
    <row r="118" spans="11:29" ht="15.75" x14ac:dyDescent="0.25">
      <c r="K118" s="80"/>
      <c r="L118" s="76"/>
      <c r="M118" s="76"/>
      <c r="N118" s="76"/>
      <c r="O118" s="76"/>
      <c r="P118" s="76"/>
      <c r="Q118" s="76"/>
      <c r="R118" s="76"/>
      <c r="S118" s="76"/>
      <c r="T118" s="76"/>
      <c r="U118" s="76"/>
      <c r="V118" s="76"/>
      <c r="W118" s="76"/>
      <c r="X118" s="76"/>
      <c r="Y118" s="76"/>
      <c r="Z118" s="76"/>
      <c r="AA118" s="8"/>
      <c r="AB118" s="76"/>
      <c r="AC118" s="76"/>
    </row>
    <row r="119" spans="11:29" ht="15.75" x14ac:dyDescent="0.25">
      <c r="K119" s="80"/>
      <c r="L119" s="76"/>
      <c r="M119" s="76"/>
      <c r="N119" s="76"/>
      <c r="O119" s="76"/>
      <c r="P119" s="76"/>
      <c r="Q119" s="76"/>
      <c r="R119" s="76"/>
      <c r="S119" s="76"/>
      <c r="T119" s="76"/>
      <c r="U119" s="76"/>
      <c r="V119" s="76"/>
      <c r="W119" s="76"/>
      <c r="X119" s="76"/>
      <c r="Y119" s="76"/>
      <c r="Z119" s="76"/>
      <c r="AA119" s="8"/>
      <c r="AB119" s="76"/>
      <c r="AC119" s="76"/>
    </row>
    <row r="120" spans="11:29" ht="15.75" x14ac:dyDescent="0.25">
      <c r="K120" s="80"/>
      <c r="L120" s="76"/>
      <c r="M120" s="76"/>
      <c r="N120" s="76"/>
      <c r="O120" s="76"/>
      <c r="P120" s="76"/>
      <c r="Q120" s="76"/>
      <c r="R120" s="76"/>
      <c r="S120" s="76"/>
      <c r="T120" s="76"/>
      <c r="U120" s="76"/>
      <c r="V120" s="76"/>
      <c r="W120" s="76"/>
      <c r="X120" s="76"/>
      <c r="Y120" s="76"/>
      <c r="Z120" s="76"/>
      <c r="AA120" s="8"/>
      <c r="AB120" s="76"/>
      <c r="AC120" s="76"/>
    </row>
    <row r="121" spans="11:29" ht="15.75" x14ac:dyDescent="0.25">
      <c r="K121" s="72"/>
      <c r="L121" s="76"/>
      <c r="M121" s="76"/>
      <c r="N121" s="76"/>
      <c r="O121" s="76"/>
      <c r="P121" s="76"/>
      <c r="Q121" s="76"/>
      <c r="R121" s="76"/>
      <c r="S121" s="76"/>
      <c r="T121" s="76"/>
      <c r="U121" s="76"/>
      <c r="V121" s="76"/>
      <c r="W121" s="76"/>
      <c r="X121" s="76"/>
      <c r="Y121" s="76"/>
      <c r="Z121" s="76"/>
      <c r="AA121" s="8"/>
      <c r="AB121" s="76"/>
      <c r="AC121" s="76"/>
    </row>
    <row r="122" spans="11:29" ht="15.75" x14ac:dyDescent="0.25">
      <c r="K122" s="72"/>
      <c r="L122" s="76"/>
      <c r="M122" s="76"/>
      <c r="N122" s="224"/>
      <c r="O122" s="76"/>
      <c r="P122" s="76"/>
      <c r="Q122" s="76"/>
      <c r="R122" s="76"/>
      <c r="S122" s="76"/>
      <c r="T122" s="76"/>
      <c r="U122" s="76"/>
      <c r="V122" s="76"/>
      <c r="W122" s="76"/>
      <c r="X122" s="76"/>
      <c r="Y122" s="76"/>
      <c r="Z122" s="76"/>
      <c r="AA122" s="8"/>
      <c r="AB122" s="76"/>
      <c r="AC122" s="76"/>
    </row>
    <row r="123" spans="11:29" ht="15.75" x14ac:dyDescent="0.25">
      <c r="K123" s="71"/>
      <c r="L123" s="76"/>
      <c r="M123" s="76"/>
      <c r="N123" s="76"/>
      <c r="O123" s="76"/>
      <c r="P123" s="76"/>
      <c r="Q123" s="76"/>
      <c r="R123" s="76"/>
      <c r="S123" s="76"/>
      <c r="T123" s="76"/>
      <c r="U123" s="76"/>
      <c r="V123" s="76"/>
      <c r="W123" s="76"/>
      <c r="X123" s="76"/>
      <c r="Y123" s="76"/>
      <c r="Z123" s="76"/>
      <c r="AA123" s="8"/>
      <c r="AB123" s="76"/>
      <c r="AC123" s="76"/>
    </row>
    <row r="124" spans="11:29" ht="15.75" x14ac:dyDescent="0.25">
      <c r="K124" s="72"/>
      <c r="L124" s="76"/>
      <c r="M124" s="76"/>
      <c r="N124" s="76"/>
      <c r="O124" s="76"/>
      <c r="P124" s="76"/>
      <c r="Q124" s="76"/>
      <c r="R124" s="76"/>
      <c r="S124" s="76"/>
      <c r="T124" s="76"/>
      <c r="U124" s="76"/>
      <c r="V124" s="76"/>
      <c r="W124" s="76"/>
      <c r="X124" s="76"/>
      <c r="Y124" s="76"/>
      <c r="Z124" s="76"/>
      <c r="AA124" s="8"/>
      <c r="AB124" s="76"/>
      <c r="AC124" s="76"/>
    </row>
    <row r="125" spans="11:29" x14ac:dyDescent="0.2">
      <c r="K125" s="72"/>
      <c r="L125" s="76"/>
      <c r="M125" s="76"/>
      <c r="N125" s="76"/>
      <c r="O125" s="76"/>
      <c r="P125" s="76"/>
      <c r="Q125" s="76"/>
      <c r="R125" s="76"/>
      <c r="S125" s="76"/>
      <c r="T125" s="76"/>
      <c r="U125" s="76"/>
      <c r="V125" s="76"/>
      <c r="W125" s="76"/>
      <c r="X125" s="76"/>
      <c r="Y125" s="76"/>
      <c r="Z125" s="76"/>
      <c r="AA125" s="76"/>
      <c r="AB125" s="76"/>
      <c r="AC125" s="76"/>
    </row>
    <row r="126" spans="11:29" ht="15.75" x14ac:dyDescent="0.25">
      <c r="K126" s="72"/>
      <c r="L126" s="76"/>
      <c r="M126" s="128"/>
      <c r="N126" s="225"/>
      <c r="O126" s="76"/>
      <c r="P126" s="76"/>
      <c r="Q126" s="76"/>
      <c r="R126" s="76"/>
      <c r="S126" s="76"/>
      <c r="T126" s="76"/>
      <c r="U126" s="76"/>
      <c r="V126" s="76"/>
      <c r="W126" s="76"/>
      <c r="X126" s="76"/>
      <c r="Y126" s="76"/>
      <c r="Z126" s="76"/>
      <c r="AA126" s="8"/>
      <c r="AB126" s="76"/>
      <c r="AC126" s="76"/>
    </row>
    <row r="127" spans="11:29" ht="15.75" x14ac:dyDescent="0.25">
      <c r="K127" s="72"/>
      <c r="L127" s="76"/>
      <c r="M127" s="128"/>
      <c r="N127" s="225"/>
      <c r="O127" s="76"/>
      <c r="P127" s="76"/>
      <c r="Q127" s="76"/>
      <c r="R127" s="76"/>
      <c r="S127" s="76"/>
      <c r="T127" s="76"/>
      <c r="U127" s="76"/>
      <c r="V127" s="76"/>
      <c r="W127" s="76"/>
      <c r="X127" s="76"/>
      <c r="Y127" s="76"/>
      <c r="Z127" s="76"/>
      <c r="AA127" s="8"/>
      <c r="AB127" s="76"/>
      <c r="AC127" s="76"/>
    </row>
    <row r="128" spans="11:29" ht="15.75" x14ac:dyDescent="0.25">
      <c r="K128" s="72"/>
      <c r="L128" s="76"/>
      <c r="M128" s="128"/>
      <c r="N128" s="225"/>
      <c r="O128" s="76"/>
      <c r="P128" s="76"/>
      <c r="Q128" s="76"/>
      <c r="R128" s="76"/>
      <c r="S128" s="76"/>
      <c r="T128" s="76"/>
      <c r="U128" s="76"/>
      <c r="V128" s="76"/>
      <c r="W128" s="76"/>
      <c r="X128" s="76"/>
      <c r="Y128" s="76"/>
      <c r="Z128" s="76"/>
      <c r="AA128" s="8"/>
      <c r="AB128" s="76"/>
      <c r="AC128" s="76"/>
    </row>
    <row r="129" spans="11:29" x14ac:dyDescent="0.2">
      <c r="L129" s="76"/>
      <c r="M129" s="128"/>
      <c r="N129" s="225"/>
      <c r="O129" s="225"/>
      <c r="P129" s="76"/>
      <c r="Q129" s="76"/>
      <c r="R129" s="76"/>
      <c r="S129" s="76"/>
      <c r="T129" s="76"/>
      <c r="U129" s="76"/>
      <c r="V129" s="76"/>
      <c r="W129" s="76"/>
      <c r="X129" s="76"/>
      <c r="Y129" s="76"/>
      <c r="Z129" s="76"/>
      <c r="AA129" s="76"/>
      <c r="AB129" s="76"/>
      <c r="AC129" s="76"/>
    </row>
    <row r="130" spans="11:29" ht="15.75" x14ac:dyDescent="0.25">
      <c r="K130" s="72"/>
      <c r="L130" s="229"/>
      <c r="M130" s="76"/>
      <c r="N130" s="225"/>
      <c r="O130" s="225"/>
      <c r="P130" s="76"/>
      <c r="Q130" s="76"/>
      <c r="R130" s="76"/>
      <c r="S130" s="76"/>
      <c r="T130" s="76"/>
      <c r="U130" s="76"/>
      <c r="V130" s="76"/>
      <c r="W130" s="76"/>
      <c r="X130" s="76"/>
      <c r="Y130" s="76"/>
      <c r="Z130" s="76"/>
      <c r="AA130" s="8"/>
      <c r="AB130" s="76"/>
      <c r="AC130" s="76"/>
    </row>
    <row r="131" spans="11:29" ht="15.75" x14ac:dyDescent="0.25">
      <c r="K131" s="72"/>
      <c r="L131" s="76"/>
      <c r="M131" s="76"/>
      <c r="N131" s="225"/>
      <c r="O131" s="225"/>
      <c r="P131" s="76"/>
      <c r="Q131" s="76"/>
      <c r="R131" s="76"/>
      <c r="S131" s="76"/>
      <c r="T131" s="76"/>
      <c r="U131" s="76"/>
      <c r="V131" s="76"/>
      <c r="W131" s="76"/>
      <c r="X131" s="76"/>
      <c r="Y131" s="76"/>
      <c r="Z131" s="76"/>
      <c r="AA131" s="8"/>
      <c r="AB131" s="76"/>
      <c r="AC131" s="76"/>
    </row>
    <row r="132" spans="11:29" ht="15.75" x14ac:dyDescent="0.25">
      <c r="K132" s="72"/>
      <c r="L132" s="128"/>
      <c r="M132" s="76"/>
      <c r="N132" s="225"/>
      <c r="O132" s="76"/>
      <c r="P132" s="76"/>
      <c r="Q132" s="76"/>
      <c r="R132" s="76"/>
      <c r="S132" s="76"/>
      <c r="T132" s="76"/>
      <c r="U132" s="76"/>
      <c r="V132" s="76"/>
      <c r="W132" s="76"/>
      <c r="X132" s="76"/>
      <c r="Y132" s="76"/>
      <c r="Z132" s="76"/>
      <c r="AA132" s="8"/>
      <c r="AB132" s="76"/>
      <c r="AC132" s="76"/>
    </row>
    <row r="133" spans="11:29" x14ac:dyDescent="0.2">
      <c r="K133" s="80"/>
      <c r="L133" s="76"/>
      <c r="M133" s="76"/>
      <c r="N133" s="225"/>
      <c r="O133" s="76"/>
      <c r="P133" s="76"/>
      <c r="Q133" s="76"/>
      <c r="R133" s="76"/>
      <c r="S133" s="76"/>
      <c r="T133" s="76"/>
      <c r="U133" s="76"/>
      <c r="V133" s="76"/>
      <c r="W133" s="76"/>
      <c r="X133" s="76"/>
      <c r="Y133" s="76"/>
      <c r="Z133" s="76"/>
      <c r="AA133" s="76"/>
      <c r="AB133" s="76"/>
      <c r="AC133" s="76"/>
    </row>
    <row r="134" spans="11:29" x14ac:dyDescent="0.2">
      <c r="K134" s="72"/>
      <c r="L134" s="76"/>
      <c r="M134" s="76"/>
      <c r="N134" s="76"/>
      <c r="O134" s="76"/>
      <c r="P134" s="76"/>
      <c r="Q134" s="76"/>
      <c r="R134" s="76"/>
      <c r="S134" s="76"/>
      <c r="T134" s="76"/>
      <c r="U134" s="76"/>
      <c r="V134" s="76"/>
      <c r="W134" s="76"/>
      <c r="X134" s="76"/>
      <c r="Y134" s="76"/>
      <c r="Z134" s="76"/>
      <c r="AA134" s="76"/>
      <c r="AB134" s="76"/>
      <c r="AC134" s="76"/>
    </row>
    <row r="135" spans="11:29" x14ac:dyDescent="0.2">
      <c r="K135" s="76"/>
      <c r="L135" s="76"/>
      <c r="M135" s="76"/>
      <c r="N135" s="76"/>
      <c r="O135" s="76"/>
      <c r="P135" s="76"/>
      <c r="Q135" s="76"/>
      <c r="R135" s="76"/>
      <c r="S135" s="76"/>
      <c r="T135" s="76"/>
      <c r="U135" s="76"/>
      <c r="V135" s="76"/>
      <c r="W135" s="76"/>
      <c r="X135" s="76"/>
      <c r="Y135" s="76"/>
      <c r="Z135" s="76"/>
      <c r="AA135" s="76"/>
      <c r="AB135" s="76"/>
      <c r="AC135" s="76"/>
    </row>
    <row r="136" spans="11:29" x14ac:dyDescent="0.2">
      <c r="K136" s="76"/>
      <c r="L136" s="76"/>
      <c r="M136" s="76"/>
      <c r="N136" s="76"/>
      <c r="O136" s="76"/>
      <c r="P136" s="76"/>
      <c r="Q136" s="76"/>
      <c r="R136" s="76"/>
      <c r="S136" s="76"/>
      <c r="T136" s="76"/>
      <c r="U136" s="76"/>
      <c r="V136" s="76"/>
      <c r="W136" s="76"/>
      <c r="X136" s="76"/>
      <c r="Y136" s="76"/>
      <c r="Z136" s="76"/>
      <c r="AA136" s="76"/>
      <c r="AB136" s="76"/>
      <c r="AC136" s="76"/>
    </row>
    <row r="137" spans="11:29" x14ac:dyDescent="0.2">
      <c r="K137" s="72"/>
      <c r="L137" s="76"/>
      <c r="M137" s="76"/>
      <c r="N137" s="76"/>
      <c r="O137" s="76"/>
      <c r="P137" s="76"/>
      <c r="Q137" s="76"/>
      <c r="R137" s="76"/>
      <c r="S137" s="76"/>
      <c r="T137" s="76"/>
      <c r="U137" s="76"/>
      <c r="V137" s="76"/>
      <c r="W137" s="76"/>
      <c r="X137" s="76"/>
      <c r="Y137" s="76"/>
      <c r="Z137" s="76"/>
      <c r="AA137" s="76"/>
      <c r="AB137" s="76"/>
      <c r="AC137" s="76"/>
    </row>
    <row r="138" spans="11:29" x14ac:dyDescent="0.2">
      <c r="K138" s="72"/>
      <c r="L138" s="76"/>
      <c r="M138" s="76"/>
      <c r="N138" s="76"/>
      <c r="O138" s="76"/>
      <c r="P138" s="76"/>
      <c r="Q138" s="76"/>
      <c r="R138" s="76"/>
      <c r="S138" s="76"/>
      <c r="T138" s="76"/>
      <c r="U138" s="76"/>
      <c r="V138" s="76"/>
      <c r="W138" s="76"/>
      <c r="X138" s="76"/>
      <c r="Y138" s="76"/>
      <c r="Z138" s="76"/>
      <c r="AA138" s="76"/>
      <c r="AB138" s="76"/>
      <c r="AC138" s="76"/>
    </row>
    <row r="139" spans="11:29" x14ac:dyDescent="0.2">
      <c r="K139" s="72"/>
      <c r="L139" s="367"/>
      <c r="M139" s="367"/>
      <c r="N139" s="367"/>
      <c r="O139" s="367"/>
      <c r="P139" s="367"/>
      <c r="Q139" s="367"/>
      <c r="R139" s="367"/>
      <c r="S139" s="367"/>
      <c r="T139" s="367"/>
      <c r="U139" s="367"/>
      <c r="V139" s="367"/>
      <c r="W139" s="367"/>
      <c r="X139" s="367"/>
      <c r="Y139" s="76"/>
      <c r="Z139" s="76"/>
      <c r="AA139" s="76"/>
      <c r="AB139" s="76"/>
      <c r="AC139" s="76"/>
    </row>
    <row r="140" spans="11:29" x14ac:dyDescent="0.2">
      <c r="K140" s="72"/>
      <c r="L140" s="367"/>
      <c r="M140" s="367"/>
      <c r="N140" s="367"/>
      <c r="O140" s="367"/>
      <c r="P140" s="367"/>
      <c r="Q140" s="367"/>
      <c r="R140" s="367"/>
      <c r="S140" s="367"/>
      <c r="T140" s="367"/>
      <c r="U140" s="367"/>
      <c r="V140" s="367"/>
      <c r="W140" s="367"/>
      <c r="X140" s="367"/>
      <c r="Y140" s="76"/>
      <c r="Z140" s="76"/>
      <c r="AA140" s="76"/>
      <c r="AB140" s="76"/>
      <c r="AC140" s="76"/>
    </row>
    <row r="141" spans="11:29" x14ac:dyDescent="0.2">
      <c r="K141" s="72"/>
      <c r="L141" s="367"/>
      <c r="M141" s="367"/>
      <c r="N141" s="367"/>
      <c r="O141" s="367"/>
      <c r="P141" s="367"/>
      <c r="Q141" s="367"/>
      <c r="R141" s="367"/>
      <c r="S141" s="367"/>
      <c r="T141" s="367"/>
      <c r="U141" s="367"/>
      <c r="V141" s="367"/>
      <c r="W141" s="367"/>
      <c r="X141" s="367"/>
      <c r="Y141" s="76"/>
      <c r="Z141" s="76"/>
      <c r="AA141" s="76"/>
      <c r="AB141" s="76"/>
      <c r="AC141" s="76"/>
    </row>
    <row r="142" spans="11:29" x14ac:dyDescent="0.2">
      <c r="K142" s="72"/>
      <c r="L142" s="367"/>
      <c r="M142" s="367"/>
      <c r="N142" s="367"/>
      <c r="O142" s="367"/>
      <c r="P142" s="367"/>
      <c r="Q142" s="367"/>
      <c r="R142" s="367"/>
      <c r="S142" s="367"/>
      <c r="T142" s="367"/>
      <c r="U142" s="367"/>
      <c r="V142" s="367"/>
      <c r="W142" s="367"/>
      <c r="X142" s="367"/>
      <c r="Y142" s="76"/>
      <c r="Z142" s="76"/>
      <c r="AA142" s="76"/>
      <c r="AB142" s="76"/>
      <c r="AC142" s="76"/>
    </row>
    <row r="143" spans="11:29" x14ac:dyDescent="0.2">
      <c r="K143" s="72"/>
      <c r="L143" s="76"/>
      <c r="M143" s="76"/>
      <c r="N143" s="76"/>
      <c r="O143" s="76"/>
      <c r="P143" s="76"/>
      <c r="Q143" s="76"/>
      <c r="R143" s="76"/>
      <c r="S143" s="76"/>
      <c r="T143" s="76"/>
      <c r="U143" s="76"/>
      <c r="V143" s="76"/>
      <c r="W143" s="76"/>
      <c r="X143" s="76"/>
      <c r="Y143" s="76"/>
      <c r="Z143" s="76"/>
      <c r="AA143" s="76"/>
      <c r="AB143" s="76"/>
      <c r="AC143" s="76"/>
    </row>
    <row r="144" spans="11:29" x14ac:dyDescent="0.2">
      <c r="K144" s="72"/>
      <c r="L144" s="76"/>
      <c r="M144" s="76"/>
      <c r="N144" s="76"/>
      <c r="O144" s="76"/>
      <c r="P144" s="76"/>
      <c r="Q144" s="76"/>
      <c r="R144" s="76"/>
      <c r="S144" s="76"/>
      <c r="T144" s="76"/>
      <c r="U144" s="76"/>
      <c r="V144" s="76"/>
      <c r="W144" s="76"/>
      <c r="X144" s="76"/>
      <c r="Y144" s="76"/>
      <c r="Z144" s="76"/>
      <c r="AA144" s="76"/>
      <c r="AB144" s="76"/>
      <c r="AC144" s="76"/>
    </row>
    <row r="145" spans="11:29" x14ac:dyDescent="0.2">
      <c r="K145" s="72"/>
      <c r="L145" s="76"/>
      <c r="M145" s="76"/>
      <c r="N145" s="76"/>
      <c r="O145" s="76"/>
      <c r="P145" s="76"/>
      <c r="Q145" s="76"/>
      <c r="R145" s="76"/>
      <c r="S145" s="76"/>
      <c r="T145" s="76"/>
      <c r="U145" s="76"/>
      <c r="V145" s="76"/>
      <c r="W145" s="76"/>
      <c r="X145" s="76"/>
      <c r="Y145" s="76"/>
      <c r="Z145" s="76"/>
      <c r="AA145" s="76"/>
      <c r="AB145" s="76"/>
      <c r="AC145" s="76"/>
    </row>
    <row r="146" spans="11:29" x14ac:dyDescent="0.2">
      <c r="K146" s="72"/>
      <c r="L146" s="76"/>
      <c r="M146" s="76"/>
      <c r="N146" s="76"/>
      <c r="O146" s="76"/>
      <c r="P146" s="76"/>
      <c r="Q146" s="76"/>
      <c r="R146" s="76"/>
      <c r="S146" s="76"/>
      <c r="T146" s="76"/>
      <c r="U146" s="76"/>
      <c r="V146" s="76"/>
      <c r="W146" s="76"/>
      <c r="X146" s="76"/>
      <c r="Y146" s="76"/>
      <c r="Z146" s="76"/>
      <c r="AA146" s="76"/>
      <c r="AB146" s="76"/>
      <c r="AC146" s="76"/>
    </row>
    <row r="147" spans="11:29" x14ac:dyDescent="0.2">
      <c r="K147" s="82"/>
      <c r="L147" s="76"/>
      <c r="M147" s="76"/>
      <c r="N147" s="76"/>
      <c r="O147" s="76"/>
      <c r="P147" s="76"/>
      <c r="Q147" s="76"/>
      <c r="R147" s="76"/>
      <c r="S147" s="76"/>
      <c r="T147" s="76"/>
      <c r="U147" s="76"/>
      <c r="V147" s="76"/>
      <c r="W147" s="76"/>
      <c r="X147" s="76"/>
      <c r="Y147" s="76"/>
      <c r="Z147" s="76"/>
      <c r="AA147" s="76"/>
      <c r="AB147" s="76"/>
      <c r="AC147" s="76"/>
    </row>
    <row r="148" spans="11:29" x14ac:dyDescent="0.2">
      <c r="K148" s="72"/>
    </row>
    <row r="149" spans="11:29" ht="15.75" x14ac:dyDescent="0.25">
      <c r="K149" s="83"/>
    </row>
    <row r="150" spans="11:29" ht="15.75" x14ac:dyDescent="0.25">
      <c r="K150" s="71"/>
    </row>
    <row r="151" spans="11:29" ht="15.75" x14ac:dyDescent="0.25">
      <c r="K151" s="71"/>
    </row>
    <row r="152" spans="11:29" ht="15.75" x14ac:dyDescent="0.25">
      <c r="K152" s="71"/>
    </row>
    <row r="153" spans="11:29" ht="15.75" x14ac:dyDescent="0.25">
      <c r="K153" s="71"/>
    </row>
    <row r="154" spans="11:29" ht="15.75" x14ac:dyDescent="0.25">
      <c r="K154" s="71"/>
    </row>
    <row r="155" spans="11:29" ht="15.75" x14ac:dyDescent="0.25">
      <c r="K155" s="71"/>
    </row>
    <row r="156" spans="11:29" ht="15.75" x14ac:dyDescent="0.25">
      <c r="K156" s="71"/>
    </row>
    <row r="157" spans="11:29" ht="15.75" x14ac:dyDescent="0.25">
      <c r="K157" s="71"/>
    </row>
    <row r="158" spans="11:29" ht="15.75" x14ac:dyDescent="0.25">
      <c r="K158" s="71"/>
    </row>
    <row r="159" spans="11:29" ht="15.75" x14ac:dyDescent="0.25">
      <c r="K159" s="71"/>
    </row>
    <row r="160" spans="11:29" ht="15.75" x14ac:dyDescent="0.25">
      <c r="K160" s="71"/>
    </row>
    <row r="161" spans="11:11" ht="15.75" x14ac:dyDescent="0.25">
      <c r="K161" s="71"/>
    </row>
    <row r="162" spans="11:11" ht="15.75" x14ac:dyDescent="0.25">
      <c r="K162" s="71"/>
    </row>
    <row r="163" spans="11:11" ht="15.75" x14ac:dyDescent="0.25">
      <c r="K163" s="71"/>
    </row>
    <row r="164" spans="11:11" ht="15.75" x14ac:dyDescent="0.25">
      <c r="K164" s="71"/>
    </row>
    <row r="165" spans="11:11" ht="15.75" x14ac:dyDescent="0.25">
      <c r="K165" s="71"/>
    </row>
    <row r="166" spans="11:11" ht="15.75" x14ac:dyDescent="0.25">
      <c r="K166" s="71"/>
    </row>
    <row r="167" spans="11:11" ht="15.75" x14ac:dyDescent="0.25">
      <c r="K167" s="71"/>
    </row>
    <row r="168" spans="11:11" ht="15.75" x14ac:dyDescent="0.25">
      <c r="K168" s="71"/>
    </row>
    <row r="169" spans="11:11" ht="15.75" x14ac:dyDescent="0.25">
      <c r="K169" s="71"/>
    </row>
    <row r="170" spans="11:11" ht="15.75" x14ac:dyDescent="0.25">
      <c r="K170" s="71"/>
    </row>
    <row r="171" spans="11:11" ht="15.75" x14ac:dyDescent="0.25">
      <c r="K171" s="71"/>
    </row>
    <row r="172" spans="11:11" ht="15.75" x14ac:dyDescent="0.25">
      <c r="K172" s="71"/>
    </row>
    <row r="173" spans="11:11" ht="15.75" x14ac:dyDescent="0.25">
      <c r="K173" s="71"/>
    </row>
    <row r="174" spans="11:11" ht="15.75" x14ac:dyDescent="0.25">
      <c r="K174" s="71"/>
    </row>
    <row r="175" spans="11:11" ht="15.75" x14ac:dyDescent="0.25">
      <c r="K175" s="71"/>
    </row>
    <row r="176" spans="11:11" ht="15.75" x14ac:dyDescent="0.25">
      <c r="K176" s="71"/>
    </row>
    <row r="177" spans="11:11" ht="15.75" x14ac:dyDescent="0.25">
      <c r="K177" s="71"/>
    </row>
    <row r="178" spans="11:11" ht="15.75" x14ac:dyDescent="0.25">
      <c r="K178" s="71"/>
    </row>
    <row r="179" spans="11:11" ht="15.75" x14ac:dyDescent="0.25">
      <c r="K179" s="71"/>
    </row>
    <row r="180" spans="11:11" ht="15.75" x14ac:dyDescent="0.25">
      <c r="K180" s="71"/>
    </row>
    <row r="181" spans="11:11" ht="15.75" x14ac:dyDescent="0.25">
      <c r="K181" s="71"/>
    </row>
    <row r="182" spans="11:11" ht="15.75" x14ac:dyDescent="0.25">
      <c r="K182" s="71"/>
    </row>
    <row r="183" spans="11:11" ht="15.75" x14ac:dyDescent="0.25">
      <c r="K183" s="71"/>
    </row>
    <row r="184" spans="11:11" ht="15.75" x14ac:dyDescent="0.25">
      <c r="K184" s="71"/>
    </row>
    <row r="185" spans="11:11" ht="15.75" x14ac:dyDescent="0.25">
      <c r="K185" s="71"/>
    </row>
    <row r="186" spans="11:11" ht="15.75" x14ac:dyDescent="0.25">
      <c r="K186" s="71"/>
    </row>
    <row r="187" spans="11:11" ht="15.75" x14ac:dyDescent="0.25">
      <c r="K187" s="71"/>
    </row>
    <row r="188" spans="11:11" ht="15.75" x14ac:dyDescent="0.25">
      <c r="K188" s="71"/>
    </row>
    <row r="189" spans="11:11" ht="15.75" x14ac:dyDescent="0.25">
      <c r="K189" s="71"/>
    </row>
    <row r="190" spans="11:11" ht="15.75" x14ac:dyDescent="0.25">
      <c r="K190" s="71"/>
    </row>
    <row r="191" spans="11:11" ht="15.75" x14ac:dyDescent="0.25">
      <c r="K191" s="71"/>
    </row>
    <row r="192" spans="11:11" ht="15.75" x14ac:dyDescent="0.25">
      <c r="K192" s="71"/>
    </row>
    <row r="193" spans="11:11" ht="15.75" x14ac:dyDescent="0.25">
      <c r="K193" s="71"/>
    </row>
    <row r="194" spans="11:11" ht="15.75" x14ac:dyDescent="0.25">
      <c r="K194" s="71"/>
    </row>
    <row r="195" spans="11:11" ht="15.75" x14ac:dyDescent="0.25">
      <c r="K195" s="71"/>
    </row>
    <row r="196" spans="11:11" ht="15.75" x14ac:dyDescent="0.25">
      <c r="K196" s="71"/>
    </row>
    <row r="197" spans="11:11" ht="15.75" x14ac:dyDescent="0.25">
      <c r="K197" s="71"/>
    </row>
    <row r="198" spans="11:11" ht="15.75" x14ac:dyDescent="0.25">
      <c r="K198" s="71"/>
    </row>
    <row r="199" spans="11:11" ht="15.75" x14ac:dyDescent="0.25">
      <c r="K199" s="71"/>
    </row>
    <row r="200" spans="11:11" ht="15.75" x14ac:dyDescent="0.25">
      <c r="K200" s="71"/>
    </row>
    <row r="201" spans="11:11" ht="15.75" x14ac:dyDescent="0.25">
      <c r="K201" s="71"/>
    </row>
    <row r="202" spans="11:11" ht="15.75" x14ac:dyDescent="0.25">
      <c r="K202" s="71"/>
    </row>
    <row r="203" spans="11:11" ht="15.75" x14ac:dyDescent="0.25">
      <c r="K203" s="71"/>
    </row>
    <row r="204" spans="11:11" ht="15.75" x14ac:dyDescent="0.25">
      <c r="K204" s="71"/>
    </row>
    <row r="205" spans="11:11" ht="15.75" x14ac:dyDescent="0.25">
      <c r="K205" s="71"/>
    </row>
    <row r="206" spans="11:11" ht="15.75" x14ac:dyDescent="0.25">
      <c r="K206" s="71"/>
    </row>
    <row r="207" spans="11:11" ht="15.75" x14ac:dyDescent="0.25">
      <c r="K207" s="71"/>
    </row>
    <row r="208" spans="11:11" ht="15.75" x14ac:dyDescent="0.25">
      <c r="K208" s="71"/>
    </row>
    <row r="209" spans="11:11" ht="15.75" x14ac:dyDescent="0.25">
      <c r="K209" s="71"/>
    </row>
    <row r="210" spans="11:11" ht="15.75" x14ac:dyDescent="0.25">
      <c r="K210" s="71"/>
    </row>
    <row r="211" spans="11:11" ht="15.75" x14ac:dyDescent="0.25">
      <c r="K211" s="71"/>
    </row>
    <row r="212" spans="11:11" ht="15.75" x14ac:dyDescent="0.25">
      <c r="K212" s="71"/>
    </row>
    <row r="213" spans="11:11" ht="15.75" x14ac:dyDescent="0.25">
      <c r="K213" s="71"/>
    </row>
    <row r="214" spans="11:11" ht="15.75" x14ac:dyDescent="0.25">
      <c r="K214" s="71"/>
    </row>
    <row r="215" spans="11:11" ht="15.75" x14ac:dyDescent="0.25">
      <c r="K215" s="71"/>
    </row>
    <row r="216" spans="11:11" ht="15.75" x14ac:dyDescent="0.25">
      <c r="K216" s="71"/>
    </row>
    <row r="217" spans="11:11" ht="15.75" x14ac:dyDescent="0.25">
      <c r="K217" s="71"/>
    </row>
    <row r="218" spans="11:11" ht="15.75" x14ac:dyDescent="0.25">
      <c r="K218" s="71"/>
    </row>
    <row r="219" spans="11:11" ht="15.75" x14ac:dyDescent="0.25">
      <c r="K219" s="71"/>
    </row>
    <row r="220" spans="11:11" ht="15.75" x14ac:dyDescent="0.25">
      <c r="K220" s="71"/>
    </row>
    <row r="221" spans="11:11" ht="15.75" x14ac:dyDescent="0.25">
      <c r="K221" s="71"/>
    </row>
    <row r="222" spans="11:11" ht="15.75" x14ac:dyDescent="0.25">
      <c r="K222" s="71"/>
    </row>
    <row r="223" spans="11:11" ht="15.75" x14ac:dyDescent="0.25">
      <c r="K223" s="71"/>
    </row>
    <row r="224" spans="11:11" ht="15.75" x14ac:dyDescent="0.25">
      <c r="K224" s="71"/>
    </row>
    <row r="225" spans="11:11" ht="15.75" x14ac:dyDescent="0.25">
      <c r="K225" s="71"/>
    </row>
    <row r="226" spans="11:11" ht="15.75" x14ac:dyDescent="0.25">
      <c r="K226" s="71"/>
    </row>
    <row r="227" spans="11:11" ht="15.75" x14ac:dyDescent="0.25">
      <c r="K227" s="71"/>
    </row>
    <row r="228" spans="11:11" ht="15.75" x14ac:dyDescent="0.25">
      <c r="K228" s="71"/>
    </row>
    <row r="229" spans="11:11" ht="15.75" x14ac:dyDescent="0.25">
      <c r="K229" s="71"/>
    </row>
    <row r="230" spans="11:11" ht="15.75" x14ac:dyDescent="0.25">
      <c r="K230" s="71"/>
    </row>
    <row r="231" spans="11:11" ht="15.75" x14ac:dyDescent="0.25">
      <c r="K231" s="71"/>
    </row>
    <row r="232" spans="11:11" ht="15.75" x14ac:dyDescent="0.25">
      <c r="K232" s="71"/>
    </row>
    <row r="233" spans="11:11" ht="15.75" x14ac:dyDescent="0.25">
      <c r="K233" s="71"/>
    </row>
    <row r="234" spans="11:11" ht="15.75" x14ac:dyDescent="0.25">
      <c r="K234" s="71"/>
    </row>
    <row r="235" spans="11:11" ht="15.75" x14ac:dyDescent="0.25">
      <c r="K235" s="71"/>
    </row>
    <row r="236" spans="11:11" ht="15.75" x14ac:dyDescent="0.25">
      <c r="K236" s="71"/>
    </row>
    <row r="237" spans="11:11" ht="15.75" x14ac:dyDescent="0.25">
      <c r="K237" s="71"/>
    </row>
    <row r="238" spans="11:11" ht="15.75" x14ac:dyDescent="0.25">
      <c r="K238" s="71"/>
    </row>
    <row r="239" spans="11:11" ht="15.75" x14ac:dyDescent="0.25">
      <c r="K239" s="71"/>
    </row>
    <row r="240" spans="11:11" ht="15.75" x14ac:dyDescent="0.25">
      <c r="K240" s="71"/>
    </row>
    <row r="241" spans="11:11" ht="15.75" x14ac:dyDescent="0.25">
      <c r="K241" s="71"/>
    </row>
    <row r="242" spans="11:11" x14ac:dyDescent="0.2">
      <c r="K242" s="72"/>
    </row>
    <row r="243" spans="11:11" x14ac:dyDescent="0.2">
      <c r="K243" s="72"/>
    </row>
    <row r="244" spans="11:11" x14ac:dyDescent="0.2">
      <c r="K244" s="72"/>
    </row>
    <row r="245" spans="11:11" x14ac:dyDescent="0.2">
      <c r="K245" s="72"/>
    </row>
    <row r="246" spans="11:11" x14ac:dyDescent="0.2">
      <c r="K246" s="72"/>
    </row>
    <row r="247" spans="11:11" x14ac:dyDescent="0.2">
      <c r="K247" s="72"/>
    </row>
    <row r="248" spans="11:11" x14ac:dyDescent="0.2">
      <c r="K248" s="72"/>
    </row>
    <row r="249" spans="11:11" x14ac:dyDescent="0.2">
      <c r="K249" s="72"/>
    </row>
    <row r="250" spans="11:11" x14ac:dyDescent="0.2">
      <c r="K250" s="72"/>
    </row>
    <row r="251" spans="11:11" ht="15.75" x14ac:dyDescent="0.25">
      <c r="K251" s="71"/>
    </row>
    <row r="252" spans="11:11" ht="15.75" x14ac:dyDescent="0.25">
      <c r="K252" s="71"/>
    </row>
    <row r="253" spans="11:11" ht="15.75" x14ac:dyDescent="0.25">
      <c r="K253" s="71"/>
    </row>
    <row r="254" spans="11:11" ht="15.75" x14ac:dyDescent="0.25">
      <c r="K254" s="71"/>
    </row>
    <row r="255" spans="11:11" ht="15.75" x14ac:dyDescent="0.25">
      <c r="K255" s="71"/>
    </row>
    <row r="256" spans="11:11" ht="15.75" x14ac:dyDescent="0.25">
      <c r="K256" s="71"/>
    </row>
    <row r="257" spans="11:11" ht="15.75" x14ac:dyDescent="0.25">
      <c r="K257" s="71"/>
    </row>
    <row r="258" spans="11:11" ht="15.75" x14ac:dyDescent="0.25">
      <c r="K258" s="71"/>
    </row>
    <row r="259" spans="11:11" ht="15.75" x14ac:dyDescent="0.25">
      <c r="K259" s="71"/>
    </row>
    <row r="260" spans="11:11" ht="15.75" x14ac:dyDescent="0.25">
      <c r="K260" s="71"/>
    </row>
    <row r="261" spans="11:11" ht="15.75" x14ac:dyDescent="0.25">
      <c r="K261" s="71"/>
    </row>
    <row r="262" spans="11:11" ht="15.75" x14ac:dyDescent="0.25">
      <c r="K262" s="71"/>
    </row>
    <row r="263" spans="11:11" ht="15.75" x14ac:dyDescent="0.25">
      <c r="K263" s="71"/>
    </row>
    <row r="264" spans="11:11" ht="15.75" x14ac:dyDescent="0.25">
      <c r="K264" s="71"/>
    </row>
    <row r="265" spans="11:11" ht="15.75" x14ac:dyDescent="0.25">
      <c r="K265" s="71"/>
    </row>
    <row r="266" spans="11:11" ht="15.75" x14ac:dyDescent="0.25">
      <c r="K266" s="71"/>
    </row>
    <row r="267" spans="11:11" ht="15.75" x14ac:dyDescent="0.25">
      <c r="K267" s="71"/>
    </row>
    <row r="268" spans="11:11" ht="15.75" x14ac:dyDescent="0.25">
      <c r="K268" s="71"/>
    </row>
    <row r="269" spans="11:11" ht="15.75" x14ac:dyDescent="0.25">
      <c r="K269" s="71"/>
    </row>
    <row r="270" spans="11:11" ht="15.75" x14ac:dyDescent="0.25">
      <c r="K270" s="71"/>
    </row>
    <row r="271" spans="11:11" ht="15.75" x14ac:dyDescent="0.25">
      <c r="K271" s="71"/>
    </row>
    <row r="272" spans="11:11" ht="15.75" x14ac:dyDescent="0.25">
      <c r="K272" s="71"/>
    </row>
    <row r="273" spans="11:11" ht="15.75" x14ac:dyDescent="0.25">
      <c r="K273" s="71"/>
    </row>
    <row r="274" spans="11:11" ht="15.75" x14ac:dyDescent="0.25">
      <c r="K274" s="71"/>
    </row>
    <row r="275" spans="11:11" ht="15.75" x14ac:dyDescent="0.25">
      <c r="K275" s="71"/>
    </row>
    <row r="276" spans="11:11" ht="15.75" x14ac:dyDescent="0.25">
      <c r="K276" s="71"/>
    </row>
    <row r="277" spans="11:11" ht="15.75" x14ac:dyDescent="0.25">
      <c r="K277" s="71"/>
    </row>
    <row r="278" spans="11:11" ht="15.75" x14ac:dyDescent="0.25">
      <c r="K278" s="71"/>
    </row>
    <row r="279" spans="11:11" ht="15.75" x14ac:dyDescent="0.25">
      <c r="K279" s="71"/>
    </row>
    <row r="280" spans="11:11" ht="15.75" x14ac:dyDescent="0.25">
      <c r="K280" s="71"/>
    </row>
    <row r="281" spans="11:11" ht="15.75" x14ac:dyDescent="0.25">
      <c r="K281" s="71"/>
    </row>
    <row r="282" spans="11:11" ht="15.75" x14ac:dyDescent="0.25">
      <c r="K282" s="71"/>
    </row>
    <row r="283" spans="11:11" ht="15.75" x14ac:dyDescent="0.25">
      <c r="K283" s="71"/>
    </row>
    <row r="284" spans="11:11" ht="15.75" x14ac:dyDescent="0.25">
      <c r="K284" s="71"/>
    </row>
    <row r="285" spans="11:11" ht="15.75" x14ac:dyDescent="0.25">
      <c r="K285" s="71"/>
    </row>
    <row r="286" spans="11:11" ht="15.75" x14ac:dyDescent="0.25">
      <c r="K286" s="71"/>
    </row>
    <row r="287" spans="11:11" ht="15.75" x14ac:dyDescent="0.25">
      <c r="K287" s="71"/>
    </row>
    <row r="288" spans="11:11" ht="15.75" x14ac:dyDescent="0.25">
      <c r="K288" s="71"/>
    </row>
    <row r="289" spans="11:11" ht="15.75" x14ac:dyDescent="0.25">
      <c r="K289" s="71"/>
    </row>
    <row r="290" spans="11:11" ht="15.75" x14ac:dyDescent="0.25">
      <c r="K290" s="71"/>
    </row>
    <row r="291" spans="11:11" ht="15.75" x14ac:dyDescent="0.25">
      <c r="K291" s="71"/>
    </row>
    <row r="292" spans="11:11" ht="15.75" x14ac:dyDescent="0.25">
      <c r="K292" s="71"/>
    </row>
    <row r="293" spans="11:11" ht="15.75" x14ac:dyDescent="0.25">
      <c r="K293" s="71"/>
    </row>
    <row r="294" spans="11:11" ht="15.75" x14ac:dyDescent="0.25">
      <c r="K294" s="71"/>
    </row>
    <row r="295" spans="11:11" ht="15.75" x14ac:dyDescent="0.25">
      <c r="K295" s="71"/>
    </row>
    <row r="296" spans="11:11" ht="15.75" x14ac:dyDescent="0.25">
      <c r="K296" s="71"/>
    </row>
    <row r="297" spans="11:11" ht="15.75" x14ac:dyDescent="0.25">
      <c r="K297" s="71"/>
    </row>
    <row r="298" spans="11:11" ht="15.75" x14ac:dyDescent="0.25">
      <c r="K298" s="71"/>
    </row>
    <row r="299" spans="11:11" ht="15.75" x14ac:dyDescent="0.25">
      <c r="K299" s="71"/>
    </row>
    <row r="300" spans="11:11" ht="15.75" x14ac:dyDescent="0.25">
      <c r="K300" s="71"/>
    </row>
    <row r="301" spans="11:11" ht="15.75" x14ac:dyDescent="0.25">
      <c r="K301" s="71"/>
    </row>
    <row r="302" spans="11:11" ht="15.75" x14ac:dyDescent="0.25">
      <c r="K302" s="71"/>
    </row>
    <row r="303" spans="11:11" ht="15.75" x14ac:dyDescent="0.25">
      <c r="K303" s="71"/>
    </row>
    <row r="304" spans="11:11" ht="15.75" x14ac:dyDescent="0.25">
      <c r="K304" s="71"/>
    </row>
    <row r="305" spans="11:11" ht="15.75" x14ac:dyDescent="0.25">
      <c r="K305" s="71"/>
    </row>
    <row r="306" spans="11:11" ht="15.75" x14ac:dyDescent="0.25">
      <c r="K306" s="71"/>
    </row>
    <row r="307" spans="11:11" ht="15.75" x14ac:dyDescent="0.25">
      <c r="K307" s="71"/>
    </row>
    <row r="308" spans="11:11" ht="15.75" x14ac:dyDescent="0.25">
      <c r="K308" s="71"/>
    </row>
    <row r="309" spans="11:11" ht="15.75" x14ac:dyDescent="0.25">
      <c r="K309" s="71"/>
    </row>
    <row r="310" spans="11:11" ht="15.75" x14ac:dyDescent="0.25">
      <c r="K310" s="71"/>
    </row>
    <row r="311" spans="11:11" ht="15.75" x14ac:dyDescent="0.25">
      <c r="K311" s="71"/>
    </row>
    <row r="312" spans="11:11" ht="15.75" x14ac:dyDescent="0.25">
      <c r="K312" s="71"/>
    </row>
    <row r="313" spans="11:11" ht="15.75" x14ac:dyDescent="0.25">
      <c r="K313" s="71"/>
    </row>
    <row r="314" spans="11:11" ht="15.75" x14ac:dyDescent="0.25">
      <c r="K314" s="71"/>
    </row>
    <row r="315" spans="11:11" ht="15.75" x14ac:dyDescent="0.25">
      <c r="K315" s="71"/>
    </row>
    <row r="316" spans="11:11" ht="15.75" x14ac:dyDescent="0.25">
      <c r="K316" s="71"/>
    </row>
    <row r="317" spans="11:11" ht="15.75" x14ac:dyDescent="0.25">
      <c r="K317" s="71"/>
    </row>
    <row r="318" spans="11:11" ht="15.75" x14ac:dyDescent="0.25">
      <c r="K318" s="71"/>
    </row>
    <row r="319" spans="11:11" ht="15.75" x14ac:dyDescent="0.25">
      <c r="K319" s="71"/>
    </row>
    <row r="320" spans="11:11" ht="15.75" x14ac:dyDescent="0.25">
      <c r="K320" s="71"/>
    </row>
    <row r="321" spans="11:11" ht="15.75" x14ac:dyDescent="0.25">
      <c r="K321" s="71"/>
    </row>
    <row r="322" spans="11:11" ht="15.75" x14ac:dyDescent="0.25">
      <c r="K322" s="71"/>
    </row>
    <row r="323" spans="11:11" ht="15.75" x14ac:dyDescent="0.25">
      <c r="K323" s="71"/>
    </row>
    <row r="324" spans="11:11" ht="15.75" x14ac:dyDescent="0.25">
      <c r="K324" s="71"/>
    </row>
    <row r="325" spans="11:11" ht="15.75" x14ac:dyDescent="0.25">
      <c r="K325" s="71"/>
    </row>
    <row r="326" spans="11:11" ht="15.75" x14ac:dyDescent="0.25">
      <c r="K326" s="71"/>
    </row>
    <row r="327" spans="11:11" ht="15.75" x14ac:dyDescent="0.25">
      <c r="K327" s="71"/>
    </row>
    <row r="328" spans="11:11" ht="15.75" x14ac:dyDescent="0.25">
      <c r="K328" s="71"/>
    </row>
    <row r="329" spans="11:11" ht="15.75" x14ac:dyDescent="0.25">
      <c r="K329" s="71"/>
    </row>
    <row r="330" spans="11:11" ht="15.75" x14ac:dyDescent="0.25">
      <c r="K330" s="71"/>
    </row>
    <row r="331" spans="11:11" ht="15.75" x14ac:dyDescent="0.25">
      <c r="K331" s="71"/>
    </row>
    <row r="332" spans="11:11" ht="15.75" x14ac:dyDescent="0.25">
      <c r="K332" s="71"/>
    </row>
    <row r="333" spans="11:11" ht="15.75" x14ac:dyDescent="0.25">
      <c r="K333" s="71"/>
    </row>
    <row r="334" spans="11:11" x14ac:dyDescent="0.2">
      <c r="K334" s="72"/>
    </row>
    <row r="335" spans="11:11" ht="15.75" x14ac:dyDescent="0.25">
      <c r="K335" s="71"/>
    </row>
    <row r="336" spans="11:11" ht="15.75" x14ac:dyDescent="0.25">
      <c r="K336" s="71"/>
    </row>
    <row r="337" spans="11:11" ht="15.75" x14ac:dyDescent="0.25">
      <c r="K337" s="71"/>
    </row>
    <row r="338" spans="11:11" ht="15.75" x14ac:dyDescent="0.25">
      <c r="K338" s="71"/>
    </row>
    <row r="339" spans="11:11" ht="15.75" x14ac:dyDescent="0.25">
      <c r="K339" s="71"/>
    </row>
    <row r="340" spans="11:11" ht="15.75" x14ac:dyDescent="0.25">
      <c r="K340" s="71"/>
    </row>
    <row r="341" spans="11:11" ht="15.75" x14ac:dyDescent="0.25">
      <c r="K341" s="71"/>
    </row>
    <row r="342" spans="11:11" ht="15.75" x14ac:dyDescent="0.25">
      <c r="K342" s="71"/>
    </row>
    <row r="343" spans="11:11" ht="15.75" x14ac:dyDescent="0.25">
      <c r="K343" s="71"/>
    </row>
    <row r="344" spans="11:11" ht="15.75" x14ac:dyDescent="0.25">
      <c r="K344" s="71"/>
    </row>
    <row r="345" spans="11:11" ht="15.75" x14ac:dyDescent="0.25">
      <c r="K345" s="71"/>
    </row>
    <row r="346" spans="11:11" ht="15.75" x14ac:dyDescent="0.25">
      <c r="K346" s="71"/>
    </row>
    <row r="347" spans="11:11" ht="15.75" x14ac:dyDescent="0.25">
      <c r="K347" s="71"/>
    </row>
    <row r="348" spans="11:11" ht="15.75" x14ac:dyDescent="0.25">
      <c r="K348" s="71"/>
    </row>
    <row r="349" spans="11:11" ht="15.75" x14ac:dyDescent="0.25">
      <c r="K349" s="71"/>
    </row>
    <row r="350" spans="11:11" ht="15.75" x14ac:dyDescent="0.25">
      <c r="K350" s="71"/>
    </row>
    <row r="351" spans="11:11" ht="15.75" x14ac:dyDescent="0.25">
      <c r="K351" s="71"/>
    </row>
    <row r="352" spans="11:11" ht="15.75" x14ac:dyDescent="0.25">
      <c r="K352" s="71"/>
    </row>
    <row r="353" spans="11:11" ht="15.75" x14ac:dyDescent="0.25">
      <c r="K353" s="71"/>
    </row>
    <row r="354" spans="11:11" ht="15.75" x14ac:dyDescent="0.25">
      <c r="K354" s="71"/>
    </row>
    <row r="355" spans="11:11" ht="15.75" x14ac:dyDescent="0.25">
      <c r="K355" s="71"/>
    </row>
    <row r="356" spans="11:11" ht="15.75" x14ac:dyDescent="0.25">
      <c r="K356" s="71"/>
    </row>
    <row r="357" spans="11:11" x14ac:dyDescent="0.2">
      <c r="K357" s="72"/>
    </row>
    <row r="358" spans="11:11" x14ac:dyDescent="0.2">
      <c r="K358" s="72"/>
    </row>
    <row r="359" spans="11:11" x14ac:dyDescent="0.2">
      <c r="K359" s="72"/>
    </row>
    <row r="360" spans="11:11" x14ac:dyDescent="0.2">
      <c r="K360" s="72"/>
    </row>
    <row r="361" spans="11:11" x14ac:dyDescent="0.2">
      <c r="K361" s="72"/>
    </row>
    <row r="362" spans="11:11" x14ac:dyDescent="0.2">
      <c r="K362" s="72"/>
    </row>
    <row r="363" spans="11:11" x14ac:dyDescent="0.2">
      <c r="K363" s="72"/>
    </row>
    <row r="364" spans="11:11" x14ac:dyDescent="0.2">
      <c r="K364" s="72"/>
    </row>
    <row r="365" spans="11:11" x14ac:dyDescent="0.2">
      <c r="K365" s="72"/>
    </row>
    <row r="366" spans="11:11" x14ac:dyDescent="0.2">
      <c r="K366" s="72"/>
    </row>
    <row r="367" spans="11:11" x14ac:dyDescent="0.2">
      <c r="K367" s="72"/>
    </row>
    <row r="368" spans="11:11" x14ac:dyDescent="0.2">
      <c r="K368" s="72"/>
    </row>
    <row r="369" spans="11:11" x14ac:dyDescent="0.2">
      <c r="K369" s="72"/>
    </row>
    <row r="370" spans="11:11" x14ac:dyDescent="0.2">
      <c r="K370" s="72"/>
    </row>
    <row r="371" spans="11:11" x14ac:dyDescent="0.2">
      <c r="K371" s="72"/>
    </row>
    <row r="372" spans="11:11" x14ac:dyDescent="0.2">
      <c r="K372" s="72"/>
    </row>
    <row r="373" spans="11:11" x14ac:dyDescent="0.2">
      <c r="K373" s="72"/>
    </row>
    <row r="374" spans="11:11" x14ac:dyDescent="0.2">
      <c r="K374" s="72"/>
    </row>
    <row r="375" spans="11:11" x14ac:dyDescent="0.2">
      <c r="K375" s="72"/>
    </row>
    <row r="376" spans="11:11" x14ac:dyDescent="0.2">
      <c r="K376" s="72"/>
    </row>
    <row r="377" spans="11:11" x14ac:dyDescent="0.2">
      <c r="K377" s="72"/>
    </row>
    <row r="378" spans="11:11" x14ac:dyDescent="0.2">
      <c r="K378" s="72"/>
    </row>
    <row r="379" spans="11:11" x14ac:dyDescent="0.2">
      <c r="K379" s="72"/>
    </row>
    <row r="380" spans="11:11" x14ac:dyDescent="0.2">
      <c r="K380" s="72"/>
    </row>
    <row r="381" spans="11:11" x14ac:dyDescent="0.2">
      <c r="K381" s="72"/>
    </row>
    <row r="382" spans="11:11" x14ac:dyDescent="0.2">
      <c r="K382" s="72"/>
    </row>
    <row r="383" spans="11:11" x14ac:dyDescent="0.2">
      <c r="K383" s="72"/>
    </row>
    <row r="384" spans="11:11" x14ac:dyDescent="0.2">
      <c r="K384" s="72"/>
    </row>
    <row r="385" spans="11:11" x14ac:dyDescent="0.2">
      <c r="K385" s="72"/>
    </row>
  </sheetData>
  <mergeCells count="3">
    <mergeCell ref="A7:J8"/>
    <mergeCell ref="A93:J94"/>
    <mergeCell ref="L139:X142"/>
  </mergeCells>
  <phoneticPr fontId="14" type="noConversion"/>
  <pageMargins left="0.25" right="0.25" top="1" bottom="1" header="0.5" footer="0.5"/>
  <pageSetup scale="63" firstPageNumber="18" orientation="portrait" useFirstPageNumber="1" r:id="rId1"/>
  <headerFooter alignWithMargins="0">
    <oddFooter>&amp;CPage &amp;P</oddFooter>
  </headerFooter>
  <rowBreaks count="8" manualBreakCount="8">
    <brk id="26" max="10" man="1"/>
    <brk id="89" max="10" man="1"/>
    <brk id="108" max="10" man="1"/>
    <brk id="152" max="10" man="1"/>
    <brk id="198" max="10" man="1"/>
    <brk id="233" max="10" man="1"/>
    <brk id="273" max="10" man="1"/>
    <brk id="31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353"/>
  <sheetViews>
    <sheetView topLeftCell="A244" zoomScaleNormal="100" zoomScaleSheetLayoutView="50" workbookViewId="0">
      <selection activeCell="B200" sqref="B200:I200"/>
    </sheetView>
  </sheetViews>
  <sheetFormatPr defaultColWidth="9.140625" defaultRowHeight="15.75" customHeight="1" x14ac:dyDescent="0.2"/>
  <cols>
    <col min="1" max="1" width="7.28515625" customWidth="1"/>
    <col min="2" max="2" width="12.28515625" customWidth="1"/>
    <col min="3" max="3" width="11.42578125" customWidth="1"/>
    <col min="4" max="4" width="11" customWidth="1"/>
    <col min="5" max="5" width="13.5703125" customWidth="1"/>
    <col min="6" max="6" width="13.28515625" customWidth="1"/>
    <col min="7" max="7" width="11.85546875" customWidth="1"/>
    <col min="8" max="8" width="17.7109375" bestFit="1" customWidth="1"/>
    <col min="9" max="9" width="23.28515625" customWidth="1"/>
    <col min="10" max="10" width="9.7109375" customWidth="1"/>
    <col min="11" max="11" width="14.85546875" customWidth="1"/>
    <col min="13" max="13" width="11" bestFit="1" customWidth="1"/>
    <col min="14" max="14" width="12.28515625" bestFit="1" customWidth="1"/>
    <col min="15" max="15" width="11" bestFit="1" customWidth="1"/>
    <col min="16" max="16" width="14" customWidth="1"/>
    <col min="17" max="17" width="11.28515625" bestFit="1" customWidth="1"/>
    <col min="18" max="18" width="11.42578125" bestFit="1" customWidth="1"/>
    <col min="19" max="19" width="12.7109375" customWidth="1"/>
    <col min="21" max="21" width="14.28515625" customWidth="1"/>
    <col min="22" max="22" width="19.42578125" customWidth="1"/>
  </cols>
  <sheetData>
    <row r="1" spans="1:22" ht="15.75" customHeight="1" x14ac:dyDescent="0.25">
      <c r="A1" s="22" t="s">
        <v>120</v>
      </c>
      <c r="B1" s="23" t="s">
        <v>208</v>
      </c>
      <c r="C1" s="4"/>
      <c r="D1" s="4"/>
      <c r="E1" s="4"/>
      <c r="F1" s="4"/>
      <c r="G1" s="4"/>
      <c r="H1" s="4"/>
      <c r="I1" s="4"/>
      <c r="J1" s="4"/>
      <c r="K1" s="4"/>
      <c r="N1" s="226"/>
      <c r="O1" s="227"/>
      <c r="P1" s="8"/>
      <c r="Q1" s="8"/>
      <c r="R1" s="8"/>
      <c r="S1" s="8"/>
      <c r="T1" s="8"/>
      <c r="U1" s="8"/>
      <c r="V1" s="8"/>
    </row>
    <row r="2" spans="1:22" ht="15.75" customHeight="1" x14ac:dyDescent="0.25">
      <c r="A2" s="22"/>
      <c r="B2" s="23"/>
      <c r="C2" s="4"/>
      <c r="D2" s="4"/>
      <c r="E2" s="4"/>
      <c r="F2" s="4"/>
      <c r="G2" s="4"/>
      <c r="H2" s="4"/>
      <c r="I2" s="4"/>
      <c r="J2" s="4"/>
      <c r="K2" s="4"/>
      <c r="N2" s="226"/>
      <c r="O2" s="227"/>
      <c r="P2" s="8"/>
      <c r="Q2" s="8"/>
      <c r="R2" s="8"/>
      <c r="S2" s="8"/>
      <c r="T2" s="8"/>
      <c r="U2" s="8"/>
      <c r="V2" s="8"/>
    </row>
    <row r="3" spans="1:22" ht="15.75" customHeight="1" x14ac:dyDescent="0.25">
      <c r="A3" s="4"/>
      <c r="B3" s="368" t="s">
        <v>257</v>
      </c>
      <c r="C3" s="368"/>
      <c r="D3" s="368"/>
      <c r="E3" s="368"/>
      <c r="F3" s="368"/>
      <c r="G3" s="368"/>
      <c r="H3" s="368"/>
      <c r="I3" s="368"/>
      <c r="J3" s="4"/>
      <c r="K3" s="55"/>
      <c r="N3" s="8"/>
      <c r="O3" s="370"/>
      <c r="P3" s="370"/>
      <c r="Q3" s="370"/>
      <c r="R3" s="370"/>
      <c r="S3" s="370"/>
      <c r="T3" s="370"/>
      <c r="U3" s="370"/>
      <c r="V3" s="370"/>
    </row>
    <row r="4" spans="1:22" ht="15.75" customHeight="1" x14ac:dyDescent="0.25">
      <c r="A4" s="4"/>
      <c r="B4" s="4"/>
      <c r="C4" s="4"/>
      <c r="D4" s="4"/>
      <c r="E4" s="4"/>
      <c r="F4" s="201" t="s">
        <v>70</v>
      </c>
      <c r="G4" s="201" t="s">
        <v>71</v>
      </c>
      <c r="H4" s="342" t="s">
        <v>195</v>
      </c>
      <c r="I4" s="342"/>
      <c r="J4" s="156"/>
      <c r="K4" s="132"/>
      <c r="N4" s="8"/>
      <c r="O4" s="8"/>
      <c r="P4" s="8"/>
      <c r="Q4" s="8"/>
      <c r="R4" s="8"/>
      <c r="S4" s="289"/>
      <c r="T4" s="289"/>
      <c r="U4" s="370"/>
      <c r="V4" s="370"/>
    </row>
    <row r="5" spans="1:22" ht="15.75" customHeight="1" x14ac:dyDescent="0.4">
      <c r="A5" s="4"/>
      <c r="B5" s="4"/>
      <c r="C5" s="4"/>
      <c r="D5" s="4"/>
      <c r="E5" s="158" t="s">
        <v>70</v>
      </c>
      <c r="F5" s="202" t="s">
        <v>87</v>
      </c>
      <c r="G5" s="202" t="s">
        <v>73</v>
      </c>
      <c r="H5" s="303" t="s">
        <v>72</v>
      </c>
      <c r="I5" s="202" t="s">
        <v>89</v>
      </c>
      <c r="J5" s="132"/>
      <c r="K5" s="132"/>
      <c r="L5" s="46"/>
      <c r="N5" s="8"/>
      <c r="O5" s="8"/>
      <c r="P5" s="8"/>
      <c r="Q5" s="8"/>
      <c r="R5" s="313"/>
      <c r="S5" s="130"/>
      <c r="T5" s="130"/>
      <c r="U5" s="8"/>
      <c r="V5" s="130"/>
    </row>
    <row r="6" spans="1:22" ht="15.75" customHeight="1" x14ac:dyDescent="0.25">
      <c r="A6" s="4"/>
      <c r="B6" s="4"/>
      <c r="C6" s="4"/>
      <c r="D6" s="4"/>
      <c r="E6" s="4"/>
      <c r="F6" s="132"/>
      <c r="G6" s="1"/>
      <c r="H6" s="4"/>
      <c r="I6" s="132"/>
      <c r="J6" s="132"/>
      <c r="K6" s="132"/>
      <c r="L6" s="46"/>
      <c r="N6" s="8"/>
      <c r="O6" s="8"/>
      <c r="P6" s="8"/>
      <c r="Q6" s="8"/>
      <c r="R6" s="8"/>
      <c r="S6" s="223"/>
      <c r="T6" s="314"/>
      <c r="U6" s="8"/>
      <c r="V6" s="223"/>
    </row>
    <row r="7" spans="1:22" ht="15.75" customHeight="1" x14ac:dyDescent="0.25">
      <c r="A7" s="4"/>
      <c r="B7" s="159">
        <v>0</v>
      </c>
      <c r="C7" s="4">
        <v>2000</v>
      </c>
      <c r="D7" s="4" t="s">
        <v>64</v>
      </c>
      <c r="E7" s="153">
        <f>Usage!E9</f>
        <v>505</v>
      </c>
      <c r="F7" s="214">
        <f>Rates!F22</f>
        <v>20.55</v>
      </c>
      <c r="G7" s="4">
        <f>Usage!F9</f>
        <v>3630</v>
      </c>
      <c r="H7" s="4">
        <f>G7*E7</f>
        <v>1833150</v>
      </c>
      <c r="I7" s="65">
        <f>ROUND(+G7*F7,0)</f>
        <v>74597</v>
      </c>
      <c r="J7" s="132"/>
      <c r="K7" s="132"/>
      <c r="L7" s="46"/>
      <c r="N7" s="8"/>
      <c r="O7" s="315"/>
      <c r="P7" s="8"/>
      <c r="Q7" s="8"/>
      <c r="R7" s="316"/>
      <c r="S7" s="317"/>
      <c r="T7" s="8"/>
      <c r="U7" s="8"/>
      <c r="V7" s="96"/>
    </row>
    <row r="8" spans="1:22" ht="15.75" customHeight="1" x14ac:dyDescent="0.25">
      <c r="A8" s="4"/>
      <c r="B8" s="4">
        <v>2001</v>
      </c>
      <c r="C8" s="4">
        <v>100000</v>
      </c>
      <c r="D8" s="4" t="s">
        <v>64</v>
      </c>
      <c r="E8" s="153">
        <f>Usage!E10</f>
        <v>5856</v>
      </c>
      <c r="F8" s="37">
        <f>F7+((E8-C7)/1000)*6.92</f>
        <v>47.233519999999999</v>
      </c>
      <c r="G8" s="4">
        <f>Usage!F10</f>
        <v>2107</v>
      </c>
      <c r="H8" s="4">
        <f>G8*E8</f>
        <v>12338592</v>
      </c>
      <c r="I8" s="65">
        <f t="shared" ref="I8:I10" si="0">ROUND(+G8*F8,0)</f>
        <v>99521</v>
      </c>
      <c r="J8" s="132"/>
      <c r="K8" s="132"/>
      <c r="N8" s="8"/>
      <c r="O8" s="8"/>
      <c r="P8" s="8"/>
      <c r="Q8" s="8"/>
      <c r="R8" s="316"/>
      <c r="S8" s="34"/>
      <c r="T8" s="8"/>
      <c r="U8" s="8"/>
      <c r="V8" s="96"/>
    </row>
    <row r="9" spans="1:22" ht="15.75" customHeight="1" x14ac:dyDescent="0.25">
      <c r="A9" s="4"/>
      <c r="B9" s="4">
        <v>100001</v>
      </c>
      <c r="C9" s="4">
        <v>500000</v>
      </c>
      <c r="D9" s="4" t="s">
        <v>64</v>
      </c>
      <c r="E9" s="153">
        <v>0</v>
      </c>
      <c r="F9" s="37"/>
      <c r="G9" s="4">
        <v>0</v>
      </c>
      <c r="H9" s="4">
        <f>G9*E9</f>
        <v>0</v>
      </c>
      <c r="I9" s="65">
        <f t="shared" si="0"/>
        <v>0</v>
      </c>
      <c r="J9" s="132"/>
      <c r="K9" s="132"/>
      <c r="N9" s="8"/>
      <c r="O9" s="8"/>
      <c r="P9" s="8"/>
      <c r="Q9" s="8"/>
      <c r="R9" s="316"/>
      <c r="S9" s="34"/>
      <c r="T9" s="8"/>
      <c r="U9" s="8"/>
      <c r="V9" s="96"/>
    </row>
    <row r="10" spans="1:22" ht="15.75" customHeight="1" x14ac:dyDescent="0.4">
      <c r="A10" s="4"/>
      <c r="B10" s="32" t="s">
        <v>201</v>
      </c>
      <c r="C10" s="4">
        <v>500000</v>
      </c>
      <c r="D10" s="4" t="s">
        <v>64</v>
      </c>
      <c r="E10" s="153">
        <v>0</v>
      </c>
      <c r="F10" s="37"/>
      <c r="G10" s="24">
        <v>0</v>
      </c>
      <c r="H10" s="24">
        <f>G10*E10</f>
        <v>0</v>
      </c>
      <c r="I10" s="84">
        <f t="shared" si="0"/>
        <v>0</v>
      </c>
      <c r="J10" s="98"/>
      <c r="K10" s="132"/>
      <c r="N10" s="8"/>
      <c r="O10" s="318"/>
      <c r="P10" s="8"/>
      <c r="Q10" s="8"/>
      <c r="R10" s="316"/>
      <c r="S10" s="34"/>
      <c r="T10" s="35"/>
      <c r="U10" s="35"/>
      <c r="V10" s="319"/>
    </row>
    <row r="11" spans="1:22" ht="15.75" customHeight="1" x14ac:dyDescent="0.25">
      <c r="A11" s="4"/>
      <c r="B11" s="4" t="s">
        <v>55</v>
      </c>
      <c r="C11" s="4"/>
      <c r="D11" s="4"/>
      <c r="E11" s="132"/>
      <c r="F11" s="132"/>
      <c r="G11" s="4">
        <f>SUM(G7:G10)</f>
        <v>5737</v>
      </c>
      <c r="H11" s="4">
        <f>SUM(H7:H10)</f>
        <v>14171742</v>
      </c>
      <c r="I11" s="65">
        <f>SUM(I7:I10)</f>
        <v>174118</v>
      </c>
      <c r="J11" s="4"/>
      <c r="K11" s="132"/>
      <c r="N11" s="8"/>
      <c r="O11" s="8"/>
      <c r="P11" s="8"/>
      <c r="Q11" s="8"/>
      <c r="R11" s="223"/>
      <c r="S11" s="223"/>
      <c r="T11" s="8"/>
      <c r="U11" s="8"/>
      <c r="V11" s="96"/>
    </row>
    <row r="12" spans="1:22" ht="15.75" customHeight="1" x14ac:dyDescent="0.25">
      <c r="A12" s="4"/>
      <c r="B12" s="120" t="s">
        <v>197</v>
      </c>
      <c r="C12" s="4"/>
      <c r="D12" s="4"/>
      <c r="E12" s="132"/>
      <c r="F12" s="132"/>
      <c r="G12" s="4"/>
      <c r="H12" s="98"/>
      <c r="I12" s="161">
        <f>+I11/G11</f>
        <v>30.350008715356459</v>
      </c>
      <c r="J12" s="98"/>
      <c r="K12" s="132"/>
      <c r="N12" s="8"/>
      <c r="O12" s="320"/>
      <c r="P12" s="8"/>
      <c r="Q12" s="8"/>
      <c r="R12" s="223"/>
      <c r="S12" s="223"/>
      <c r="T12" s="8"/>
      <c r="U12" s="265"/>
      <c r="V12" s="321"/>
    </row>
    <row r="13" spans="1:22" ht="15.75" customHeight="1" x14ac:dyDescent="0.25">
      <c r="A13" s="4"/>
      <c r="B13" s="4" t="s">
        <v>196</v>
      </c>
      <c r="C13" s="4"/>
      <c r="D13" s="4"/>
      <c r="E13" s="132"/>
      <c r="F13" s="132"/>
      <c r="G13" s="4"/>
      <c r="H13" s="4">
        <f>+H11*12</f>
        <v>170060904</v>
      </c>
      <c r="I13" s="65">
        <f>+I11*12</f>
        <v>2089416</v>
      </c>
      <c r="J13" s="98"/>
      <c r="K13" s="157"/>
      <c r="N13" s="8"/>
      <c r="O13" s="8"/>
      <c r="P13" s="8"/>
      <c r="Q13" s="8"/>
      <c r="R13" s="223"/>
      <c r="S13" s="223"/>
      <c r="T13" s="8"/>
      <c r="U13" s="8"/>
      <c r="V13" s="96"/>
    </row>
    <row r="14" spans="1:22" ht="15.75" customHeight="1" x14ac:dyDescent="0.25">
      <c r="A14" s="4"/>
      <c r="B14" s="4"/>
      <c r="C14" s="4"/>
      <c r="D14" s="4"/>
      <c r="E14" s="132"/>
      <c r="F14" s="132"/>
      <c r="G14" s="4"/>
      <c r="H14" s="4"/>
      <c r="I14" s="65"/>
      <c r="J14" s="98"/>
      <c r="K14" s="132"/>
      <c r="N14" s="8"/>
      <c r="O14" s="8"/>
      <c r="P14" s="8"/>
      <c r="Q14" s="8"/>
      <c r="R14" s="223"/>
      <c r="S14" s="223"/>
      <c r="T14" s="8"/>
      <c r="U14" s="8"/>
      <c r="V14" s="96"/>
    </row>
    <row r="15" spans="1:22" ht="15.75" customHeight="1" x14ac:dyDescent="0.25">
      <c r="A15" s="132"/>
      <c r="B15" s="368" t="s">
        <v>256</v>
      </c>
      <c r="C15" s="368"/>
      <c r="D15" s="368"/>
      <c r="E15" s="368"/>
      <c r="F15" s="368"/>
      <c r="G15" s="368"/>
      <c r="H15" s="368"/>
      <c r="I15" s="368"/>
      <c r="J15" s="132"/>
      <c r="K15" s="81"/>
      <c r="N15" s="223"/>
      <c r="O15" s="370"/>
      <c r="P15" s="370"/>
      <c r="Q15" s="370"/>
      <c r="R15" s="370"/>
      <c r="S15" s="370"/>
      <c r="T15" s="370"/>
      <c r="U15" s="370"/>
      <c r="V15" s="370"/>
    </row>
    <row r="16" spans="1:22" ht="15.75" customHeight="1" x14ac:dyDescent="0.25">
      <c r="A16" s="4"/>
      <c r="B16" s="4"/>
      <c r="C16" s="4"/>
      <c r="D16" s="4"/>
      <c r="E16" s="4"/>
      <c r="F16" s="201" t="s">
        <v>70</v>
      </c>
      <c r="G16" s="201" t="s">
        <v>71</v>
      </c>
      <c r="H16" s="342" t="s">
        <v>195</v>
      </c>
      <c r="I16" s="342"/>
      <c r="J16" s="152"/>
      <c r="K16" s="81"/>
      <c r="N16" s="8"/>
      <c r="O16" s="8"/>
      <c r="P16" s="8"/>
      <c r="Q16" s="8"/>
      <c r="R16" s="8"/>
      <c r="S16" s="289"/>
      <c r="T16" s="289"/>
      <c r="U16" s="370"/>
      <c r="V16" s="370"/>
    </row>
    <row r="17" spans="1:22" ht="15.75" customHeight="1" x14ac:dyDescent="0.4">
      <c r="A17" s="4"/>
      <c r="B17" s="4"/>
      <c r="C17" s="4"/>
      <c r="D17" s="4"/>
      <c r="E17" s="158" t="s">
        <v>70</v>
      </c>
      <c r="F17" s="202" t="s">
        <v>87</v>
      </c>
      <c r="G17" s="202" t="s">
        <v>73</v>
      </c>
      <c r="H17" s="303" t="s">
        <v>72</v>
      </c>
      <c r="I17" s="202" t="s">
        <v>89</v>
      </c>
      <c r="J17" s="152"/>
      <c r="K17" s="81"/>
      <c r="N17" s="8"/>
      <c r="O17" s="8"/>
      <c r="P17" s="8"/>
      <c r="Q17" s="8"/>
      <c r="R17" s="313"/>
      <c r="S17" s="130"/>
      <c r="T17" s="130"/>
      <c r="U17" s="8"/>
      <c r="V17" s="130"/>
    </row>
    <row r="18" spans="1:22" ht="15.75" customHeight="1" x14ac:dyDescent="0.25">
      <c r="A18" s="4"/>
      <c r="B18" s="4"/>
      <c r="C18" s="4"/>
      <c r="D18" s="4"/>
      <c r="E18" s="4"/>
      <c r="F18" s="132"/>
      <c r="G18" s="1"/>
      <c r="H18" s="4"/>
      <c r="I18" s="132"/>
      <c r="J18" s="152"/>
      <c r="K18" s="81"/>
      <c r="N18" s="8"/>
      <c r="O18" s="8"/>
      <c r="P18" s="8"/>
      <c r="Q18" s="8"/>
      <c r="R18" s="8"/>
      <c r="S18" s="223"/>
      <c r="T18" s="314"/>
      <c r="U18" s="8"/>
      <c r="V18" s="223"/>
    </row>
    <row r="19" spans="1:22" ht="15.75" customHeight="1" x14ac:dyDescent="0.25">
      <c r="A19" s="4"/>
      <c r="B19" s="159">
        <v>0</v>
      </c>
      <c r="C19" s="4">
        <v>4000</v>
      </c>
      <c r="D19" s="4" t="s">
        <v>64</v>
      </c>
      <c r="E19" s="153">
        <f>Usage!E21</f>
        <v>1180.1020408163265</v>
      </c>
      <c r="F19" s="214">
        <f>Rates!F28</f>
        <v>34.39</v>
      </c>
      <c r="G19" s="4">
        <f>Usage!F21</f>
        <v>49</v>
      </c>
      <c r="H19" s="4">
        <f>G19*E19</f>
        <v>57825</v>
      </c>
      <c r="I19" s="65">
        <f>ROUND(+G19*F19,0)</f>
        <v>1685</v>
      </c>
      <c r="J19" s="152"/>
      <c r="K19" s="81"/>
      <c r="N19" s="8"/>
      <c r="O19" s="315"/>
      <c r="P19" s="8"/>
      <c r="Q19" s="8"/>
      <c r="R19" s="316"/>
      <c r="S19" s="317"/>
      <c r="T19" s="8"/>
      <c r="U19" s="8"/>
      <c r="V19" s="96"/>
    </row>
    <row r="20" spans="1:22" ht="15.75" customHeight="1" x14ac:dyDescent="0.25">
      <c r="A20" s="4"/>
      <c r="B20" s="4">
        <v>4001</v>
      </c>
      <c r="C20" s="4">
        <v>100000</v>
      </c>
      <c r="D20" s="4" t="s">
        <v>64</v>
      </c>
      <c r="E20" s="153">
        <f>Usage!E22</f>
        <v>13666.091954022988</v>
      </c>
      <c r="F20" s="37">
        <f>F19+((E20-C19)/1000)*6.92</f>
        <v>101.27935632183907</v>
      </c>
      <c r="G20" s="4">
        <f>Usage!F22</f>
        <v>29</v>
      </c>
      <c r="H20" s="4">
        <f>G20*E20</f>
        <v>396316.66666666663</v>
      </c>
      <c r="I20" s="65">
        <f t="shared" ref="I20:I22" si="1">ROUND(+G20*F20,0)</f>
        <v>2937</v>
      </c>
      <c r="J20" s="152"/>
      <c r="N20" s="8"/>
      <c r="O20" s="8"/>
      <c r="P20" s="8"/>
      <c r="Q20" s="8"/>
      <c r="R20" s="316"/>
      <c r="S20" s="34"/>
      <c r="T20" s="8"/>
      <c r="U20" s="8"/>
      <c r="V20" s="96"/>
    </row>
    <row r="21" spans="1:22" ht="15.75" customHeight="1" x14ac:dyDescent="0.25">
      <c r="A21" s="4"/>
      <c r="B21" s="4">
        <v>100001</v>
      </c>
      <c r="C21" s="4">
        <v>500000</v>
      </c>
      <c r="D21" s="4" t="s">
        <v>64</v>
      </c>
      <c r="E21" s="153"/>
      <c r="F21" s="37"/>
      <c r="G21" s="4"/>
      <c r="H21" s="4">
        <f>G21*E21</f>
        <v>0</v>
      </c>
      <c r="I21" s="65">
        <f t="shared" si="1"/>
        <v>0</v>
      </c>
      <c r="J21" s="152"/>
      <c r="K21" s="81"/>
      <c r="N21" s="8"/>
      <c r="O21" s="8"/>
      <c r="P21" s="8"/>
      <c r="Q21" s="8"/>
      <c r="R21" s="316"/>
      <c r="S21" s="34"/>
      <c r="T21" s="8"/>
      <c r="U21" s="8"/>
      <c r="V21" s="96"/>
    </row>
    <row r="22" spans="1:22" ht="15.75" customHeight="1" x14ac:dyDescent="0.4">
      <c r="A22" s="4"/>
      <c r="B22" s="32" t="s">
        <v>201</v>
      </c>
      <c r="C22" s="4">
        <v>500000</v>
      </c>
      <c r="D22" s="4" t="s">
        <v>64</v>
      </c>
      <c r="E22" s="153">
        <v>0</v>
      </c>
      <c r="F22" s="37"/>
      <c r="G22" s="24"/>
      <c r="H22" s="24">
        <f>G22*E22</f>
        <v>0</v>
      </c>
      <c r="I22" s="84">
        <f t="shared" si="1"/>
        <v>0</v>
      </c>
      <c r="J22" s="152"/>
      <c r="N22" s="8"/>
      <c r="O22" s="318"/>
      <c r="P22" s="8"/>
      <c r="Q22" s="8"/>
      <c r="R22" s="316"/>
      <c r="S22" s="34"/>
      <c r="T22" s="35"/>
      <c r="U22" s="35"/>
      <c r="V22" s="319"/>
    </row>
    <row r="23" spans="1:22" ht="15.75" customHeight="1" x14ac:dyDescent="0.25">
      <c r="A23" s="4"/>
      <c r="B23" s="4" t="s">
        <v>55</v>
      </c>
      <c r="C23" s="4"/>
      <c r="D23" s="4"/>
      <c r="E23" s="132"/>
      <c r="F23" s="132"/>
      <c r="G23" s="4">
        <f>SUM(G19:G22)</f>
        <v>78</v>
      </c>
      <c r="H23" s="4">
        <f>SUM(H19:H22)</f>
        <v>454141.66666666663</v>
      </c>
      <c r="I23" s="65">
        <f>SUM(I19:I22)</f>
        <v>4622</v>
      </c>
      <c r="J23" s="152"/>
      <c r="N23" s="8"/>
      <c r="O23" s="8"/>
      <c r="P23" s="8"/>
      <c r="Q23" s="8"/>
      <c r="R23" s="223"/>
      <c r="S23" s="223"/>
      <c r="T23" s="8"/>
      <c r="U23" s="8"/>
      <c r="V23" s="96"/>
    </row>
    <row r="24" spans="1:22" ht="15.75" customHeight="1" x14ac:dyDescent="0.25">
      <c r="A24" s="4"/>
      <c r="B24" s="120" t="s">
        <v>197</v>
      </c>
      <c r="C24" s="4"/>
      <c r="D24" s="4"/>
      <c r="E24" s="132"/>
      <c r="F24" s="132"/>
      <c r="G24" s="4"/>
      <c r="H24" s="98"/>
      <c r="I24" s="161">
        <f>+I23/G23</f>
        <v>59.256410256410255</v>
      </c>
      <c r="J24" s="152"/>
      <c r="N24" s="8"/>
      <c r="O24" s="320"/>
      <c r="P24" s="8"/>
      <c r="Q24" s="8"/>
      <c r="R24" s="223"/>
      <c r="S24" s="223"/>
      <c r="T24" s="8"/>
      <c r="U24" s="265"/>
      <c r="V24" s="321"/>
    </row>
    <row r="25" spans="1:22" ht="15.75" customHeight="1" x14ac:dyDescent="0.25">
      <c r="A25" s="4"/>
      <c r="B25" s="4" t="s">
        <v>196</v>
      </c>
      <c r="C25" s="4"/>
      <c r="D25" s="4"/>
      <c r="E25" s="132"/>
      <c r="F25" s="132"/>
      <c r="G25" s="4"/>
      <c r="H25" s="4">
        <f>+H23*12</f>
        <v>5449700</v>
      </c>
      <c r="I25" s="65">
        <f>+I23*12</f>
        <v>55464</v>
      </c>
      <c r="J25" s="152"/>
      <c r="N25" s="8"/>
      <c r="O25" s="8"/>
      <c r="P25" s="8"/>
      <c r="Q25" s="8"/>
      <c r="R25" s="223"/>
      <c r="S25" s="223"/>
      <c r="T25" s="8"/>
      <c r="U25" s="8"/>
      <c r="V25" s="96"/>
    </row>
    <row r="26" spans="1:22" ht="15.75" customHeight="1" x14ac:dyDescent="0.25">
      <c r="A26" s="4"/>
      <c r="B26" s="32"/>
      <c r="C26" s="4"/>
      <c r="D26" s="4"/>
      <c r="E26" s="155"/>
      <c r="F26" s="160"/>
      <c r="G26" s="4"/>
      <c r="H26" s="4"/>
      <c r="I26" s="163"/>
      <c r="J26" s="152"/>
      <c r="N26" s="8"/>
      <c r="O26" s="318"/>
      <c r="P26" s="8"/>
      <c r="Q26" s="8"/>
      <c r="R26" s="322"/>
      <c r="S26" s="323"/>
      <c r="T26" s="8"/>
      <c r="U26" s="8"/>
      <c r="V26" s="324"/>
    </row>
    <row r="27" spans="1:22" ht="15.75" customHeight="1" x14ac:dyDescent="0.25">
      <c r="A27" s="4"/>
      <c r="B27" s="368" t="s">
        <v>254</v>
      </c>
      <c r="C27" s="368"/>
      <c r="D27" s="368"/>
      <c r="E27" s="368"/>
      <c r="F27" s="368"/>
      <c r="G27" s="368"/>
      <c r="H27" s="368"/>
      <c r="I27" s="368"/>
      <c r="J27" s="152"/>
      <c r="N27" s="8"/>
      <c r="O27" s="370"/>
      <c r="P27" s="370"/>
      <c r="Q27" s="370"/>
      <c r="R27" s="370"/>
      <c r="S27" s="370"/>
      <c r="T27" s="370"/>
      <c r="U27" s="370"/>
      <c r="V27" s="370"/>
    </row>
    <row r="28" spans="1:22" ht="15.75" customHeight="1" x14ac:dyDescent="0.25">
      <c r="A28" s="132"/>
      <c r="B28" s="4"/>
      <c r="C28" s="4"/>
      <c r="D28" s="4"/>
      <c r="E28" s="4"/>
      <c r="F28" s="201" t="s">
        <v>70</v>
      </c>
      <c r="G28" s="201" t="s">
        <v>71</v>
      </c>
      <c r="H28" s="342" t="s">
        <v>195</v>
      </c>
      <c r="I28" s="342"/>
      <c r="J28" s="132"/>
      <c r="K28" s="81"/>
      <c r="L28" s="81"/>
      <c r="N28" s="223"/>
      <c r="O28" s="8"/>
      <c r="P28" s="8"/>
      <c r="Q28" s="8"/>
      <c r="R28" s="8"/>
      <c r="S28" s="289"/>
      <c r="T28" s="289"/>
      <c r="U28" s="370"/>
      <c r="V28" s="370"/>
    </row>
    <row r="29" spans="1:22" ht="15.75" customHeight="1" x14ac:dyDescent="0.4">
      <c r="A29" s="132"/>
      <c r="B29" s="4"/>
      <c r="C29" s="4"/>
      <c r="D29" s="4"/>
      <c r="E29" s="158" t="s">
        <v>70</v>
      </c>
      <c r="F29" s="202" t="s">
        <v>87</v>
      </c>
      <c r="G29" s="202" t="s">
        <v>73</v>
      </c>
      <c r="H29" s="303" t="s">
        <v>72</v>
      </c>
      <c r="I29" s="202" t="s">
        <v>89</v>
      </c>
      <c r="J29" s="132"/>
      <c r="K29" s="81"/>
      <c r="L29" s="81"/>
      <c r="N29" s="223"/>
      <c r="O29" s="8"/>
      <c r="P29" s="8"/>
      <c r="Q29" s="8"/>
      <c r="R29" s="313"/>
      <c r="S29" s="130"/>
      <c r="T29" s="130"/>
      <c r="U29" s="8"/>
      <c r="V29" s="130"/>
    </row>
    <row r="30" spans="1:22" ht="15.75" customHeight="1" x14ac:dyDescent="0.25">
      <c r="A30" s="132"/>
      <c r="B30" s="4"/>
      <c r="C30" s="4"/>
      <c r="D30" s="4"/>
      <c r="E30" s="4"/>
      <c r="F30" s="132"/>
      <c r="G30" s="1"/>
      <c r="H30" s="4"/>
      <c r="I30" s="132"/>
      <c r="J30" s="132"/>
      <c r="K30" s="81"/>
      <c r="L30" s="81"/>
      <c r="N30" s="223"/>
      <c r="O30" s="8"/>
      <c r="P30" s="8"/>
      <c r="Q30" s="8"/>
      <c r="R30" s="8"/>
      <c r="S30" s="223"/>
      <c r="T30" s="314"/>
      <c r="U30" s="8"/>
      <c r="V30" s="223"/>
    </row>
    <row r="31" spans="1:22" ht="15.75" customHeight="1" x14ac:dyDescent="0.25">
      <c r="A31" s="132"/>
      <c r="B31" s="159">
        <v>0</v>
      </c>
      <c r="C31" s="4">
        <v>8000</v>
      </c>
      <c r="D31" s="4" t="s">
        <v>64</v>
      </c>
      <c r="E31" s="153">
        <f>Usage!E33</f>
        <v>1331.25</v>
      </c>
      <c r="F31" s="214">
        <f>Rates!F34</f>
        <v>62.09</v>
      </c>
      <c r="G31" s="4">
        <f>Usage!F33</f>
        <v>4</v>
      </c>
      <c r="H31" s="4">
        <f>G31*E31</f>
        <v>5325</v>
      </c>
      <c r="I31" s="65">
        <f>G31*F31</f>
        <v>248.36</v>
      </c>
      <c r="J31" s="157"/>
      <c r="K31" s="81"/>
      <c r="L31" s="81"/>
      <c r="N31" s="223"/>
      <c r="O31" s="315"/>
      <c r="P31" s="8"/>
      <c r="Q31" s="8"/>
      <c r="R31" s="316"/>
      <c r="S31" s="317"/>
      <c r="T31" s="8"/>
      <c r="U31" s="8"/>
      <c r="V31" s="96"/>
    </row>
    <row r="32" spans="1:22" ht="15.75" customHeight="1" x14ac:dyDescent="0.25">
      <c r="A32" s="4"/>
      <c r="B32" s="4">
        <v>8001</v>
      </c>
      <c r="C32" s="4">
        <v>100000</v>
      </c>
      <c r="D32" s="4" t="s">
        <v>64</v>
      </c>
      <c r="E32" s="153">
        <f>Usage!E34</f>
        <v>53662.5</v>
      </c>
      <c r="F32" s="37">
        <f>F31+((E32-C31)/1000)*6.92</f>
        <v>378.07450000000006</v>
      </c>
      <c r="G32" s="4">
        <f>Usage!F34</f>
        <v>2</v>
      </c>
      <c r="H32" s="4">
        <f>G32*E32</f>
        <v>107325</v>
      </c>
      <c r="I32" s="65">
        <f>G32*F32</f>
        <v>756.14900000000011</v>
      </c>
      <c r="J32" s="152"/>
      <c r="N32" s="8"/>
      <c r="O32" s="8"/>
      <c r="P32" s="8"/>
      <c r="Q32" s="8"/>
      <c r="R32" s="316"/>
      <c r="S32" s="34"/>
      <c r="T32" s="8"/>
      <c r="U32" s="8"/>
      <c r="V32" s="96"/>
    </row>
    <row r="33" spans="1:22" ht="15.75" customHeight="1" x14ac:dyDescent="0.4">
      <c r="A33" s="4"/>
      <c r="B33" s="4">
        <v>100001</v>
      </c>
      <c r="C33" s="4">
        <v>500000</v>
      </c>
      <c r="D33" s="4" t="s">
        <v>64</v>
      </c>
      <c r="E33" s="153">
        <f>Usage!E35</f>
        <v>467791.66666666669</v>
      </c>
      <c r="F33" s="214">
        <f>F31+(((C32-C31)/1000)*6.92)+(((E33-C32)/1000)*5.63)</f>
        <v>2769.3970833333333</v>
      </c>
      <c r="G33" s="4">
        <f>Usage!F35</f>
        <v>1</v>
      </c>
      <c r="H33" s="4">
        <f>G33*E33</f>
        <v>467791.66666666669</v>
      </c>
      <c r="I33" s="65">
        <f>G33*F33</f>
        <v>2769.3970833333333</v>
      </c>
      <c r="J33" s="216"/>
      <c r="N33" s="8"/>
      <c r="O33" s="8"/>
      <c r="P33" s="8"/>
      <c r="Q33" s="8"/>
      <c r="R33" s="316"/>
      <c r="S33" s="317"/>
      <c r="T33" s="8"/>
      <c r="U33" s="8"/>
      <c r="V33" s="96"/>
    </row>
    <row r="34" spans="1:22" ht="15.75" customHeight="1" x14ac:dyDescent="0.4">
      <c r="A34" s="4"/>
      <c r="B34" s="32" t="s">
        <v>201</v>
      </c>
      <c r="C34" s="4">
        <v>500000</v>
      </c>
      <c r="D34" s="4" t="s">
        <v>64</v>
      </c>
      <c r="E34" s="153"/>
      <c r="F34" s="37"/>
      <c r="G34" s="24"/>
      <c r="H34" s="24">
        <f>G34*E34</f>
        <v>0</v>
      </c>
      <c r="I34" s="84">
        <f t="shared" ref="I34" si="2">ROUND(+G34*F34,0)</f>
        <v>0</v>
      </c>
      <c r="J34" s="164"/>
      <c r="N34" s="8"/>
      <c r="O34" s="318"/>
      <c r="P34" s="8"/>
      <c r="Q34" s="8"/>
      <c r="R34" s="316"/>
      <c r="S34" s="34"/>
      <c r="T34" s="35"/>
      <c r="U34" s="35"/>
      <c r="V34" s="319"/>
    </row>
    <row r="35" spans="1:22" ht="15.75" customHeight="1" x14ac:dyDescent="0.25">
      <c r="A35" s="4"/>
      <c r="B35" s="4" t="s">
        <v>55</v>
      </c>
      <c r="C35" s="4"/>
      <c r="D35" s="4"/>
      <c r="E35" s="132"/>
      <c r="F35" s="132"/>
      <c r="G35" s="4">
        <f>SUM(G31:G34)</f>
        <v>7</v>
      </c>
      <c r="H35" s="4">
        <f>SUM(H31:H34)</f>
        <v>580441.66666666674</v>
      </c>
      <c r="I35" s="65">
        <f>SUM(I31:I34)</f>
        <v>3773.9060833333333</v>
      </c>
      <c r="J35" s="65"/>
      <c r="N35" s="8"/>
      <c r="O35" s="8"/>
      <c r="P35" s="8"/>
      <c r="Q35" s="8"/>
      <c r="R35" s="223"/>
      <c r="S35" s="223"/>
      <c r="T35" s="8"/>
      <c r="U35" s="8"/>
      <c r="V35" s="96"/>
    </row>
    <row r="36" spans="1:22" ht="15.75" customHeight="1" x14ac:dyDescent="0.25">
      <c r="A36" s="4"/>
      <c r="B36" s="120" t="s">
        <v>197</v>
      </c>
      <c r="C36" s="4"/>
      <c r="D36" s="4"/>
      <c r="E36" s="132"/>
      <c r="F36" s="132"/>
      <c r="G36" s="4"/>
      <c r="H36" s="98"/>
      <c r="I36" s="161">
        <f>+I35/G35</f>
        <v>539.12944047619044</v>
      </c>
      <c r="J36" s="152"/>
      <c r="N36" s="8"/>
      <c r="O36" s="320"/>
      <c r="P36" s="8"/>
      <c r="Q36" s="8"/>
      <c r="R36" s="223"/>
      <c r="S36" s="223"/>
      <c r="T36" s="8"/>
      <c r="U36" s="265"/>
      <c r="V36" s="321"/>
    </row>
    <row r="37" spans="1:22" ht="15.75" customHeight="1" x14ac:dyDescent="0.25">
      <c r="A37" s="4"/>
      <c r="B37" s="4" t="s">
        <v>196</v>
      </c>
      <c r="C37" s="4"/>
      <c r="D37" s="4"/>
      <c r="E37" s="132"/>
      <c r="F37" s="132"/>
      <c r="G37" s="4"/>
      <c r="H37" s="4">
        <f>+H35*12</f>
        <v>6965300.0000000009</v>
      </c>
      <c r="I37" s="65">
        <f>+I35*12</f>
        <v>45286.873</v>
      </c>
      <c r="J37" s="34"/>
      <c r="N37" s="8"/>
      <c r="O37" s="8"/>
      <c r="P37" s="8"/>
      <c r="Q37" s="8"/>
      <c r="R37" s="223"/>
      <c r="S37" s="223"/>
      <c r="T37" s="8"/>
      <c r="U37" s="8"/>
      <c r="V37" s="96"/>
    </row>
    <row r="38" spans="1:22" ht="15.75" customHeight="1" x14ac:dyDescent="0.25">
      <c r="A38" s="4"/>
      <c r="B38" s="150"/>
      <c r="C38" s="152"/>
      <c r="D38" s="152"/>
      <c r="E38" s="132"/>
      <c r="F38" s="165"/>
      <c r="G38" s="132"/>
      <c r="H38" s="132"/>
      <c r="I38" s="165"/>
      <c r="J38" s="132"/>
      <c r="N38" s="8"/>
      <c r="O38" s="325"/>
      <c r="P38" s="289"/>
      <c r="Q38" s="289"/>
      <c r="R38" s="223"/>
      <c r="S38" s="326"/>
      <c r="T38" s="223"/>
      <c r="U38" s="223"/>
      <c r="V38" s="326"/>
    </row>
    <row r="39" spans="1:22" ht="15.75" customHeight="1" x14ac:dyDescent="0.25">
      <c r="A39" s="4"/>
      <c r="B39" s="368" t="s">
        <v>255</v>
      </c>
      <c r="C39" s="368"/>
      <c r="D39" s="368"/>
      <c r="E39" s="368"/>
      <c r="F39" s="368"/>
      <c r="G39" s="368"/>
      <c r="H39" s="368"/>
      <c r="I39" s="368"/>
      <c r="J39" s="132"/>
      <c r="N39" s="8"/>
      <c r="O39" s="370"/>
      <c r="P39" s="370"/>
      <c r="Q39" s="370"/>
      <c r="R39" s="370"/>
      <c r="S39" s="370"/>
      <c r="T39" s="370"/>
      <c r="U39" s="370"/>
      <c r="V39" s="370"/>
    </row>
    <row r="40" spans="1:22" ht="15.75" customHeight="1" x14ac:dyDescent="0.25">
      <c r="A40" s="4"/>
      <c r="B40" s="4"/>
      <c r="C40" s="4"/>
      <c r="D40" s="4"/>
      <c r="E40" s="4"/>
      <c r="F40" s="206" t="s">
        <v>70</v>
      </c>
      <c r="G40" s="206" t="s">
        <v>71</v>
      </c>
      <c r="H40" s="342" t="s">
        <v>195</v>
      </c>
      <c r="I40" s="342"/>
      <c r="J40" s="132"/>
      <c r="N40" s="8"/>
      <c r="O40" s="8"/>
      <c r="P40" s="8"/>
      <c r="Q40" s="8"/>
      <c r="R40" s="8"/>
      <c r="S40" s="289"/>
      <c r="T40" s="289"/>
      <c r="U40" s="370"/>
      <c r="V40" s="370"/>
    </row>
    <row r="41" spans="1:22" ht="15.75" customHeight="1" x14ac:dyDescent="0.4">
      <c r="A41" s="4"/>
      <c r="B41" s="4"/>
      <c r="C41" s="4"/>
      <c r="D41" s="4"/>
      <c r="E41" s="215" t="s">
        <v>70</v>
      </c>
      <c r="F41" s="208" t="s">
        <v>87</v>
      </c>
      <c r="G41" s="208" t="s">
        <v>73</v>
      </c>
      <c r="H41" s="303" t="s">
        <v>72</v>
      </c>
      <c r="I41" s="208" t="s">
        <v>89</v>
      </c>
      <c r="J41" s="132"/>
      <c r="N41" s="8"/>
      <c r="O41" s="8"/>
      <c r="P41" s="8"/>
      <c r="Q41" s="8"/>
      <c r="R41" s="313"/>
      <c r="S41" s="130"/>
      <c r="T41" s="130"/>
      <c r="U41" s="8"/>
      <c r="V41" s="130"/>
    </row>
    <row r="42" spans="1:22" ht="15.75" customHeight="1" x14ac:dyDescent="0.25">
      <c r="A42" s="4"/>
      <c r="B42" s="4"/>
      <c r="C42" s="4"/>
      <c r="D42" s="4"/>
      <c r="E42" s="4"/>
      <c r="F42" s="132"/>
      <c r="G42" s="1"/>
      <c r="H42" s="4"/>
      <c r="I42" s="132"/>
      <c r="J42" s="132"/>
      <c r="N42" s="8"/>
      <c r="O42" s="8"/>
      <c r="P42" s="8"/>
      <c r="Q42" s="8"/>
      <c r="R42" s="8"/>
      <c r="S42" s="223"/>
      <c r="T42" s="314"/>
      <c r="U42" s="8"/>
      <c r="V42" s="223"/>
    </row>
    <row r="43" spans="1:22" ht="15.75" customHeight="1" x14ac:dyDescent="0.25">
      <c r="A43" s="4"/>
      <c r="B43" s="159">
        <v>0</v>
      </c>
      <c r="C43" s="4">
        <v>15000</v>
      </c>
      <c r="D43" s="4" t="s">
        <v>64</v>
      </c>
      <c r="E43" s="153">
        <f>Usage!E45</f>
        <v>2497.0588235294117</v>
      </c>
      <c r="F43" s="214">
        <f>Rates!F40</f>
        <v>110.56</v>
      </c>
      <c r="G43" s="4">
        <f>Usage!F45</f>
        <v>17</v>
      </c>
      <c r="H43" s="4">
        <f>G43*E43</f>
        <v>42450</v>
      </c>
      <c r="I43" s="65">
        <f>G43*F43</f>
        <v>1879.52</v>
      </c>
      <c r="J43" s="132"/>
      <c r="N43" s="8"/>
      <c r="O43" s="315"/>
      <c r="P43" s="8"/>
      <c r="Q43" s="8"/>
      <c r="R43" s="316"/>
      <c r="S43" s="317"/>
      <c r="T43" s="8"/>
      <c r="U43" s="8"/>
      <c r="V43" s="96"/>
    </row>
    <row r="44" spans="1:22" ht="15.75" customHeight="1" x14ac:dyDescent="0.25">
      <c r="A44" s="4"/>
      <c r="B44" s="4">
        <v>15001</v>
      </c>
      <c r="C44" s="4">
        <v>100000</v>
      </c>
      <c r="D44" s="4" t="s">
        <v>64</v>
      </c>
      <c r="E44" s="153">
        <f>Usage!E46</f>
        <v>70064.583333333328</v>
      </c>
      <c r="F44" s="37">
        <f>F43+((E44-C43)/1000)*6.92</f>
        <v>491.60691666666668</v>
      </c>
      <c r="G44" s="4">
        <f>Usage!F46</f>
        <v>4</v>
      </c>
      <c r="H44" s="4">
        <f>G44*E44</f>
        <v>280258.33333333331</v>
      </c>
      <c r="I44" s="65">
        <f>G44*F44</f>
        <v>1966.4276666666667</v>
      </c>
      <c r="J44" s="132"/>
      <c r="N44" s="8"/>
      <c r="O44" s="8"/>
      <c r="P44" s="8"/>
      <c r="Q44" s="8"/>
      <c r="R44" s="316"/>
      <c r="S44" s="34"/>
      <c r="T44" s="8"/>
      <c r="U44" s="8"/>
      <c r="V44" s="96"/>
    </row>
    <row r="45" spans="1:22" ht="15.75" customHeight="1" x14ac:dyDescent="0.25">
      <c r="A45" s="4"/>
      <c r="B45" s="4">
        <v>100001</v>
      </c>
      <c r="C45" s="4">
        <v>500000</v>
      </c>
      <c r="D45" s="4" t="s">
        <v>64</v>
      </c>
      <c r="E45" s="153">
        <f>Usage!E47</f>
        <v>279116.66666666669</v>
      </c>
      <c r="F45" s="214">
        <f>F43+(((C44-C43)/1000)*6.92)+(((E45-C44)/1000)*5.63)</f>
        <v>1707.1868333333332</v>
      </c>
      <c r="G45" s="4">
        <f>Usage!F47</f>
        <v>1</v>
      </c>
      <c r="H45" s="4">
        <f>G45*E45</f>
        <v>279116.66666666669</v>
      </c>
      <c r="I45" s="65">
        <f>G45*F45</f>
        <v>1707.1868333333332</v>
      </c>
      <c r="J45" s="132"/>
      <c r="N45" s="8"/>
      <c r="O45" s="8"/>
      <c r="P45" s="8"/>
      <c r="Q45" s="8"/>
      <c r="R45" s="316"/>
      <c r="S45" s="317"/>
      <c r="T45" s="8"/>
      <c r="U45" s="8"/>
      <c r="V45" s="96"/>
    </row>
    <row r="46" spans="1:22" ht="15.75" customHeight="1" x14ac:dyDescent="0.4">
      <c r="A46" s="4"/>
      <c r="B46" s="32" t="s">
        <v>201</v>
      </c>
      <c r="C46" s="4">
        <v>500000</v>
      </c>
      <c r="D46" s="4" t="s">
        <v>64</v>
      </c>
      <c r="E46" s="153"/>
      <c r="F46" s="37"/>
      <c r="G46" s="24"/>
      <c r="H46" s="24">
        <f>G46*E46</f>
        <v>0</v>
      </c>
      <c r="I46" s="84">
        <f t="shared" ref="I46" si="3">ROUND(+G46*F46,0)</f>
        <v>0</v>
      </c>
      <c r="J46" s="132"/>
      <c r="N46" s="8"/>
      <c r="O46" s="318"/>
      <c r="P46" s="8"/>
      <c r="Q46" s="8"/>
      <c r="R46" s="316"/>
      <c r="S46" s="34"/>
      <c r="T46" s="35"/>
      <c r="U46" s="35"/>
      <c r="V46" s="319"/>
    </row>
    <row r="47" spans="1:22" ht="15.75" customHeight="1" x14ac:dyDescent="0.25">
      <c r="A47" s="4"/>
      <c r="B47" s="4" t="s">
        <v>55</v>
      </c>
      <c r="C47" s="4"/>
      <c r="D47" s="4"/>
      <c r="E47" s="132"/>
      <c r="F47" s="132"/>
      <c r="G47" s="4">
        <f>SUM(G43:G46)</f>
        <v>22</v>
      </c>
      <c r="H47" s="4">
        <f>SUM(H43:H46)</f>
        <v>601825</v>
      </c>
      <c r="I47" s="65">
        <f>SUM(I43:I46)</f>
        <v>5553.1345000000001</v>
      </c>
      <c r="J47" s="132"/>
      <c r="N47" s="8"/>
      <c r="O47" s="8"/>
      <c r="P47" s="8"/>
      <c r="Q47" s="8"/>
      <c r="R47" s="223"/>
      <c r="S47" s="223"/>
      <c r="T47" s="8"/>
      <c r="U47" s="8"/>
      <c r="V47" s="96"/>
    </row>
    <row r="48" spans="1:22" ht="15.75" customHeight="1" x14ac:dyDescent="0.25">
      <c r="A48" s="4"/>
      <c r="B48" s="120" t="s">
        <v>197</v>
      </c>
      <c r="C48" s="4"/>
      <c r="D48" s="4"/>
      <c r="E48" s="132"/>
      <c r="F48" s="132"/>
      <c r="G48" s="4"/>
      <c r="H48" s="98"/>
      <c r="I48" s="161">
        <f>+I47/G47</f>
        <v>252.41520454545454</v>
      </c>
      <c r="J48" s="132"/>
      <c r="N48" s="8"/>
      <c r="O48" s="320"/>
      <c r="P48" s="8"/>
      <c r="Q48" s="8"/>
      <c r="R48" s="223"/>
      <c r="S48" s="223"/>
      <c r="T48" s="8"/>
      <c r="U48" s="265"/>
      <c r="V48" s="321"/>
    </row>
    <row r="49" spans="1:22" ht="15.75" customHeight="1" x14ac:dyDescent="0.25">
      <c r="A49" s="4"/>
      <c r="B49" s="4" t="s">
        <v>196</v>
      </c>
      <c r="C49" s="4"/>
      <c r="D49" s="4"/>
      <c r="E49" s="132"/>
      <c r="F49" s="132"/>
      <c r="G49" s="4"/>
      <c r="H49" s="4">
        <f>+H47*12</f>
        <v>7221900</v>
      </c>
      <c r="I49" s="65">
        <f>+I47*12</f>
        <v>66637.614000000001</v>
      </c>
      <c r="J49" s="132"/>
      <c r="N49" s="8"/>
      <c r="O49" s="8"/>
      <c r="P49" s="8"/>
      <c r="Q49" s="8"/>
      <c r="R49" s="223"/>
      <c r="S49" s="223"/>
      <c r="T49" s="8"/>
      <c r="U49" s="8"/>
      <c r="V49" s="96"/>
    </row>
    <row r="50" spans="1:22" ht="15.75" customHeight="1" x14ac:dyDescent="0.25">
      <c r="A50" s="4"/>
      <c r="B50" s="203"/>
      <c r="C50" s="206"/>
      <c r="D50" s="206"/>
      <c r="E50" s="132"/>
      <c r="F50" s="165"/>
      <c r="G50" s="132"/>
      <c r="H50" s="132"/>
      <c r="I50" s="165"/>
      <c r="J50" s="132"/>
      <c r="N50" s="8"/>
      <c r="O50" s="325"/>
      <c r="P50" s="289"/>
      <c r="Q50" s="289"/>
      <c r="R50" s="223"/>
      <c r="S50" s="326"/>
      <c r="T50" s="223"/>
      <c r="U50" s="223"/>
      <c r="V50" s="326"/>
    </row>
    <row r="51" spans="1:22" ht="15.75" customHeight="1" x14ac:dyDescent="0.25">
      <c r="A51" s="4"/>
      <c r="B51" s="368" t="s">
        <v>258</v>
      </c>
      <c r="C51" s="368"/>
      <c r="D51" s="368"/>
      <c r="E51" s="368"/>
      <c r="F51" s="368"/>
      <c r="G51" s="368"/>
      <c r="H51" s="368"/>
      <c r="I51" s="368"/>
      <c r="J51" s="132"/>
      <c r="N51" s="8"/>
      <c r="O51" s="370"/>
      <c r="P51" s="370"/>
      <c r="Q51" s="370"/>
      <c r="R51" s="370"/>
      <c r="S51" s="370"/>
      <c r="T51" s="370"/>
      <c r="U51" s="370"/>
      <c r="V51" s="370"/>
    </row>
    <row r="52" spans="1:22" ht="15.75" customHeight="1" x14ac:dyDescent="0.25">
      <c r="A52" s="4"/>
      <c r="B52" s="4"/>
      <c r="C52" s="4"/>
      <c r="D52" s="4"/>
      <c r="E52" s="4"/>
      <c r="F52" s="206" t="s">
        <v>70</v>
      </c>
      <c r="G52" s="206" t="s">
        <v>71</v>
      </c>
      <c r="H52" s="342" t="s">
        <v>195</v>
      </c>
      <c r="I52" s="342"/>
      <c r="J52" s="132"/>
      <c r="N52" s="8"/>
      <c r="O52" s="8"/>
      <c r="P52" s="8"/>
      <c r="Q52" s="8"/>
      <c r="R52" s="8"/>
      <c r="S52" s="289"/>
      <c r="T52" s="289"/>
      <c r="U52" s="370"/>
      <c r="V52" s="370"/>
    </row>
    <row r="53" spans="1:22" ht="15.75" customHeight="1" x14ac:dyDescent="0.4">
      <c r="A53" s="4"/>
      <c r="B53" s="4"/>
      <c r="C53" s="4"/>
      <c r="D53" s="4"/>
      <c r="E53" s="215" t="s">
        <v>70</v>
      </c>
      <c r="F53" s="208" t="s">
        <v>87</v>
      </c>
      <c r="G53" s="208" t="s">
        <v>73</v>
      </c>
      <c r="H53" s="303" t="s">
        <v>72</v>
      </c>
      <c r="I53" s="208" t="s">
        <v>89</v>
      </c>
      <c r="J53" s="132"/>
      <c r="N53" s="8"/>
      <c r="O53" s="8"/>
      <c r="P53" s="8"/>
      <c r="Q53" s="8"/>
      <c r="R53" s="313"/>
      <c r="S53" s="130"/>
      <c r="T53" s="130"/>
      <c r="U53" s="8"/>
      <c r="V53" s="130"/>
    </row>
    <row r="54" spans="1:22" ht="15.75" customHeight="1" x14ac:dyDescent="0.25">
      <c r="A54" s="4"/>
      <c r="B54" s="4"/>
      <c r="C54" s="4"/>
      <c r="D54" s="4"/>
      <c r="E54" s="4"/>
      <c r="F54" s="132"/>
      <c r="G54" s="1"/>
      <c r="H54" s="4"/>
      <c r="I54" s="132"/>
      <c r="J54" s="132"/>
      <c r="N54" s="8"/>
      <c r="O54" s="8"/>
      <c r="P54" s="8"/>
      <c r="Q54" s="8"/>
      <c r="R54" s="8"/>
      <c r="S54" s="223"/>
      <c r="T54" s="314"/>
      <c r="U54" s="8"/>
      <c r="V54" s="223"/>
    </row>
    <row r="55" spans="1:22" ht="15.75" customHeight="1" x14ac:dyDescent="0.25">
      <c r="A55" s="4"/>
      <c r="B55" s="159">
        <v>0</v>
      </c>
      <c r="C55" s="4">
        <v>25000</v>
      </c>
      <c r="D55" s="4" t="s">
        <v>64</v>
      </c>
      <c r="E55" s="153">
        <f>Usage!E57</f>
        <v>0</v>
      </c>
      <c r="F55" s="214"/>
      <c r="G55" s="4">
        <f>Usage!F57</f>
        <v>0</v>
      </c>
      <c r="H55" s="4">
        <f>G55*E55</f>
        <v>0</v>
      </c>
      <c r="I55" s="65">
        <f>G55*F55</f>
        <v>0</v>
      </c>
      <c r="J55" s="132"/>
      <c r="N55" s="8"/>
      <c r="O55" s="315"/>
      <c r="P55" s="8"/>
      <c r="Q55" s="8"/>
      <c r="R55" s="316"/>
      <c r="S55" s="317"/>
      <c r="T55" s="8"/>
      <c r="U55" s="8"/>
      <c r="V55" s="96"/>
    </row>
    <row r="56" spans="1:22" ht="15.75" customHeight="1" x14ac:dyDescent="0.25">
      <c r="A56" s="4"/>
      <c r="B56" s="4">
        <v>25001</v>
      </c>
      <c r="C56" s="4">
        <v>100000</v>
      </c>
      <c r="D56" s="4" t="s">
        <v>64</v>
      </c>
      <c r="E56" s="153">
        <v>0</v>
      </c>
      <c r="F56" s="37"/>
      <c r="G56" s="4">
        <f>Usage!F58</f>
        <v>0</v>
      </c>
      <c r="H56" s="4">
        <f>G56*E56</f>
        <v>0</v>
      </c>
      <c r="I56" s="65">
        <f>G56*F56</f>
        <v>0</v>
      </c>
      <c r="J56" s="132"/>
      <c r="N56" s="8"/>
      <c r="O56" s="8"/>
      <c r="P56" s="8"/>
      <c r="Q56" s="8"/>
      <c r="R56" s="316"/>
      <c r="S56" s="34"/>
      <c r="T56" s="8"/>
      <c r="U56" s="8"/>
      <c r="V56" s="96"/>
    </row>
    <row r="57" spans="1:22" ht="15.75" customHeight="1" x14ac:dyDescent="0.25">
      <c r="A57" s="4"/>
      <c r="B57" s="4">
        <v>100001</v>
      </c>
      <c r="C57" s="4">
        <v>500000</v>
      </c>
      <c r="D57" s="4" t="s">
        <v>64</v>
      </c>
      <c r="E57" s="153">
        <v>0</v>
      </c>
      <c r="F57" s="214"/>
      <c r="G57" s="4"/>
      <c r="H57" s="4">
        <f>G57*E57</f>
        <v>0</v>
      </c>
      <c r="I57" s="65">
        <f>G57*F57</f>
        <v>0</v>
      </c>
      <c r="J57" s="132"/>
      <c r="N57" s="8"/>
      <c r="O57" s="8"/>
      <c r="P57" s="8"/>
      <c r="Q57" s="8"/>
      <c r="R57" s="316"/>
      <c r="S57" s="317"/>
      <c r="T57" s="8"/>
      <c r="U57" s="8"/>
      <c r="V57" s="96"/>
    </row>
    <row r="58" spans="1:22" ht="15.75" customHeight="1" x14ac:dyDescent="0.4">
      <c r="A58" s="4"/>
      <c r="B58" s="32" t="s">
        <v>201</v>
      </c>
      <c r="C58" s="4">
        <v>500000</v>
      </c>
      <c r="D58" s="4" t="s">
        <v>64</v>
      </c>
      <c r="E58" s="153">
        <f>Usage!E60</f>
        <v>2225533.3333333335</v>
      </c>
      <c r="F58" s="214">
        <f>179.81+(((C56-C55)/1000)*6.92)+(((C57-C56)/1000)*5.63)+(((E58-C58)/1000)*4.11)</f>
        <v>10042.752</v>
      </c>
      <c r="G58" s="24">
        <v>1</v>
      </c>
      <c r="H58" s="24">
        <f>G58*E58</f>
        <v>2225533.3333333335</v>
      </c>
      <c r="I58" s="84">
        <f t="shared" ref="I58" si="4">ROUND(+G58*F58,0)</f>
        <v>10043</v>
      </c>
      <c r="J58" s="132"/>
      <c r="N58" s="8"/>
      <c r="O58" s="318"/>
      <c r="P58" s="8"/>
      <c r="Q58" s="8"/>
      <c r="R58" s="316"/>
      <c r="S58" s="317"/>
      <c r="T58" s="35"/>
      <c r="U58" s="35"/>
      <c r="V58" s="319"/>
    </row>
    <row r="59" spans="1:22" ht="15.75" customHeight="1" x14ac:dyDescent="0.25">
      <c r="A59" s="4"/>
      <c r="B59" s="4" t="s">
        <v>55</v>
      </c>
      <c r="C59" s="4"/>
      <c r="D59" s="4"/>
      <c r="E59" s="132"/>
      <c r="F59" s="132"/>
      <c r="G59" s="4">
        <f>SUM(G55:G58)</f>
        <v>1</v>
      </c>
      <c r="H59" s="4">
        <f>SUM(H55:H58)</f>
        <v>2225533.3333333335</v>
      </c>
      <c r="I59" s="65">
        <f>SUM(I55:I58)</f>
        <v>10043</v>
      </c>
      <c r="J59" s="132"/>
      <c r="N59" s="8"/>
      <c r="O59" s="8"/>
      <c r="P59" s="8"/>
      <c r="Q59" s="8"/>
      <c r="R59" s="223"/>
      <c r="S59" s="223"/>
      <c r="T59" s="8"/>
      <c r="U59" s="8"/>
      <c r="V59" s="96"/>
    </row>
    <row r="60" spans="1:22" ht="15.75" customHeight="1" x14ac:dyDescent="0.25">
      <c r="A60" s="4"/>
      <c r="B60" s="120" t="s">
        <v>197</v>
      </c>
      <c r="C60" s="4"/>
      <c r="D60" s="4"/>
      <c r="E60" s="132"/>
      <c r="F60" s="132"/>
      <c r="G60" s="4"/>
      <c r="H60" s="98"/>
      <c r="I60" s="161">
        <f>+I59/G59</f>
        <v>10043</v>
      </c>
      <c r="J60" s="132"/>
      <c r="N60" s="8"/>
      <c r="O60" s="320"/>
      <c r="P60" s="8"/>
      <c r="Q60" s="8"/>
      <c r="R60" s="223"/>
      <c r="S60" s="223"/>
      <c r="T60" s="8"/>
      <c r="U60" s="265"/>
      <c r="V60" s="321"/>
    </row>
    <row r="61" spans="1:22" ht="15.75" customHeight="1" x14ac:dyDescent="0.25">
      <c r="A61" s="4"/>
      <c r="B61" s="4" t="s">
        <v>196</v>
      </c>
      <c r="C61" s="4"/>
      <c r="D61" s="4"/>
      <c r="E61" s="132"/>
      <c r="F61" s="132"/>
      <c r="G61" s="4"/>
      <c r="H61" s="4">
        <f>+H59*12</f>
        <v>26706400</v>
      </c>
      <c r="I61" s="65">
        <f>+I59*12</f>
        <v>120516</v>
      </c>
      <c r="J61" s="132"/>
      <c r="N61" s="8"/>
      <c r="O61" s="8"/>
      <c r="P61" s="8"/>
      <c r="Q61" s="8"/>
      <c r="R61" s="223"/>
      <c r="S61" s="223"/>
      <c r="T61" s="8"/>
      <c r="U61" s="8"/>
      <c r="V61" s="96"/>
    </row>
    <row r="62" spans="1:22" ht="15.75" customHeight="1" x14ac:dyDescent="0.25">
      <c r="A62" s="4"/>
      <c r="B62" s="203"/>
      <c r="C62" s="206"/>
      <c r="D62" s="206"/>
      <c r="E62" s="132"/>
      <c r="F62" s="165"/>
      <c r="G62" s="132"/>
      <c r="H62" s="132"/>
      <c r="I62" s="165"/>
      <c r="J62" s="132"/>
      <c r="N62" s="8"/>
      <c r="O62" s="325"/>
      <c r="P62" s="289"/>
      <c r="Q62" s="289"/>
      <c r="R62" s="223"/>
      <c r="S62" s="326"/>
      <c r="T62" s="223"/>
      <c r="U62" s="223"/>
      <c r="V62" s="326"/>
    </row>
    <row r="63" spans="1:22" ht="15.75" customHeight="1" x14ac:dyDescent="0.25">
      <c r="A63" s="4"/>
      <c r="B63" s="368" t="s">
        <v>301</v>
      </c>
      <c r="C63" s="368"/>
      <c r="D63" s="368"/>
      <c r="E63" s="368"/>
      <c r="F63" s="368"/>
      <c r="G63" s="368"/>
      <c r="H63" s="368"/>
      <c r="I63" s="368"/>
      <c r="J63" s="132"/>
      <c r="N63" s="8"/>
      <c r="O63" s="370"/>
      <c r="P63" s="370"/>
      <c r="Q63" s="370"/>
      <c r="R63" s="370"/>
      <c r="S63" s="370"/>
      <c r="T63" s="370"/>
      <c r="U63" s="370"/>
      <c r="V63" s="370"/>
    </row>
    <row r="64" spans="1:22" ht="15.75" customHeight="1" x14ac:dyDescent="0.25">
      <c r="A64" s="4"/>
      <c r="B64" s="4"/>
      <c r="C64" s="4"/>
      <c r="D64" s="4"/>
      <c r="E64" s="4"/>
      <c r="F64" s="219" t="s">
        <v>70</v>
      </c>
      <c r="G64" s="219" t="s">
        <v>71</v>
      </c>
      <c r="H64" s="342" t="s">
        <v>195</v>
      </c>
      <c r="I64" s="342"/>
      <c r="J64" s="132"/>
      <c r="N64" s="8"/>
      <c r="O64" s="8"/>
      <c r="P64" s="8"/>
      <c r="Q64" s="8"/>
      <c r="R64" s="8"/>
      <c r="S64" s="289"/>
      <c r="T64" s="289"/>
      <c r="U64" s="370"/>
      <c r="V64" s="370"/>
    </row>
    <row r="65" spans="1:22" ht="15.75" customHeight="1" x14ac:dyDescent="0.4">
      <c r="A65" s="4"/>
      <c r="B65" s="4"/>
      <c r="C65" s="4"/>
      <c r="D65" s="4"/>
      <c r="E65" s="218" t="s">
        <v>70</v>
      </c>
      <c r="F65" s="221" t="s">
        <v>87</v>
      </c>
      <c r="G65" s="221" t="s">
        <v>73</v>
      </c>
      <c r="H65" s="303" t="s">
        <v>72</v>
      </c>
      <c r="I65" s="221" t="s">
        <v>89</v>
      </c>
      <c r="J65" s="132"/>
      <c r="N65" s="8"/>
      <c r="O65" s="8"/>
      <c r="P65" s="8"/>
      <c r="Q65" s="8"/>
      <c r="R65" s="313"/>
      <c r="S65" s="130"/>
      <c r="T65" s="130"/>
      <c r="U65" s="8"/>
      <c r="V65" s="130"/>
    </row>
    <row r="66" spans="1:22" ht="15.75" customHeight="1" x14ac:dyDescent="0.25">
      <c r="A66" s="4"/>
      <c r="B66" s="4"/>
      <c r="C66" s="4"/>
      <c r="D66" s="4"/>
      <c r="E66" s="4"/>
      <c r="F66" s="132"/>
      <c r="G66" s="1"/>
      <c r="H66" s="4"/>
      <c r="I66" s="132"/>
      <c r="J66" s="132"/>
      <c r="N66" s="8"/>
      <c r="O66" s="8"/>
      <c r="P66" s="8"/>
      <c r="Q66" s="8"/>
      <c r="R66" s="8"/>
      <c r="S66" s="223"/>
      <c r="T66" s="314"/>
      <c r="U66" s="8"/>
      <c r="V66" s="223"/>
    </row>
    <row r="67" spans="1:22" ht="15.75" customHeight="1" x14ac:dyDescent="0.4">
      <c r="A67" s="4"/>
      <c r="B67" s="159" t="s">
        <v>68</v>
      </c>
      <c r="C67" s="4">
        <v>1000</v>
      </c>
      <c r="D67" s="4" t="s">
        <v>64</v>
      </c>
      <c r="E67" s="153">
        <f>Usage!E69</f>
        <v>1002745.8333333334</v>
      </c>
      <c r="F67" s="214">
        <f>(E67/1000)*2.23</f>
        <v>2236.1232083333334</v>
      </c>
      <c r="G67" s="35">
        <v>6</v>
      </c>
      <c r="H67" s="24">
        <f>G67*E67</f>
        <v>6016475</v>
      </c>
      <c r="I67" s="84">
        <f>G67*F67</f>
        <v>13416.739250000001</v>
      </c>
      <c r="J67" s="132"/>
      <c r="N67" s="8"/>
      <c r="O67" s="315"/>
      <c r="P67" s="8"/>
      <c r="Q67" s="8"/>
      <c r="R67" s="316"/>
      <c r="S67" s="317"/>
      <c r="T67" s="35"/>
      <c r="U67" s="35"/>
      <c r="V67" s="319"/>
    </row>
    <row r="68" spans="1:22" ht="15.75" customHeight="1" x14ac:dyDescent="0.4">
      <c r="A68" s="4"/>
      <c r="B68" s="159"/>
      <c r="C68" s="4"/>
      <c r="D68" s="4"/>
      <c r="E68" s="153"/>
      <c r="F68" s="214"/>
      <c r="G68" s="35"/>
      <c r="H68" s="24"/>
      <c r="I68" s="84"/>
      <c r="J68" s="132"/>
      <c r="N68" s="8"/>
      <c r="O68" s="315"/>
      <c r="P68" s="8"/>
      <c r="Q68" s="8"/>
      <c r="R68" s="316"/>
      <c r="S68" s="317"/>
      <c r="T68" s="35"/>
      <c r="U68" s="35"/>
      <c r="V68" s="319"/>
    </row>
    <row r="69" spans="1:22" ht="15.75" customHeight="1" x14ac:dyDescent="0.25">
      <c r="A69" s="4"/>
      <c r="B69" s="4" t="s">
        <v>55</v>
      </c>
      <c r="C69" s="4"/>
      <c r="D69" s="4"/>
      <c r="E69" s="132"/>
      <c r="F69" s="132"/>
      <c r="G69" s="4">
        <f>SUM(G67:G67)</f>
        <v>6</v>
      </c>
      <c r="H69" s="4">
        <f>SUM(H67:H67)</f>
        <v>6016475</v>
      </c>
      <c r="I69" s="65">
        <f>SUM(I67:I67)</f>
        <v>13416.739250000001</v>
      </c>
      <c r="J69" s="132"/>
      <c r="N69" s="8"/>
      <c r="O69" s="8"/>
      <c r="P69" s="8"/>
      <c r="Q69" s="8"/>
      <c r="R69" s="223"/>
      <c r="S69" s="223"/>
      <c r="T69" s="8"/>
      <c r="U69" s="8"/>
      <c r="V69" s="96"/>
    </row>
    <row r="70" spans="1:22" ht="15.75" customHeight="1" x14ac:dyDescent="0.25">
      <c r="A70" s="4"/>
      <c r="B70" s="120" t="s">
        <v>197</v>
      </c>
      <c r="C70" s="4"/>
      <c r="D70" s="4"/>
      <c r="E70" s="132"/>
      <c r="F70" s="132"/>
      <c r="G70" s="4"/>
      <c r="H70" s="98"/>
      <c r="I70" s="161">
        <f>+I69/G69</f>
        <v>2236.1232083333334</v>
      </c>
      <c r="J70" s="132"/>
      <c r="K70" s="81"/>
      <c r="N70" s="8"/>
      <c r="O70" s="320"/>
      <c r="P70" s="8"/>
      <c r="Q70" s="8"/>
      <c r="R70" s="223"/>
      <c r="S70" s="223"/>
      <c r="T70" s="8"/>
      <c r="U70" s="265"/>
      <c r="V70" s="321"/>
    </row>
    <row r="71" spans="1:22" ht="15.75" customHeight="1" x14ac:dyDescent="0.25">
      <c r="A71" s="4"/>
      <c r="B71" s="4" t="s">
        <v>196</v>
      </c>
      <c r="C71" s="4"/>
      <c r="D71" s="4"/>
      <c r="E71" s="132"/>
      <c r="F71" s="132"/>
      <c r="G71" s="4"/>
      <c r="H71" s="4">
        <f>+H69*12</f>
        <v>72197700</v>
      </c>
      <c r="I71" s="65">
        <f>+I69*12</f>
        <v>161000.87100000001</v>
      </c>
      <c r="J71" s="132"/>
      <c r="N71" s="8"/>
      <c r="O71" s="8"/>
      <c r="P71" s="8"/>
      <c r="Q71" s="8"/>
      <c r="R71" s="223"/>
      <c r="S71" s="223"/>
      <c r="T71" s="8"/>
      <c r="U71" s="8"/>
      <c r="V71" s="96"/>
    </row>
    <row r="72" spans="1:22" ht="15.75" customHeight="1" x14ac:dyDescent="0.25">
      <c r="A72" s="4"/>
      <c r="B72" s="217"/>
      <c r="C72" s="219"/>
      <c r="D72" s="219"/>
      <c r="E72" s="132"/>
      <c r="F72" s="165"/>
      <c r="G72" s="132"/>
      <c r="H72" s="132"/>
      <c r="I72" s="165"/>
      <c r="J72" s="132"/>
      <c r="K72" s="81"/>
      <c r="N72" s="8"/>
      <c r="O72" s="325"/>
      <c r="P72" s="289"/>
      <c r="Q72" s="289"/>
      <c r="R72" s="223"/>
      <c r="S72" s="326"/>
      <c r="T72" s="223"/>
      <c r="U72" s="223"/>
      <c r="V72" s="326"/>
    </row>
    <row r="73" spans="1:22" ht="15.75" customHeight="1" x14ac:dyDescent="0.25">
      <c r="A73" s="17"/>
      <c r="B73" s="17"/>
      <c r="F73" s="1"/>
      <c r="G73" s="4"/>
      <c r="H73" s="4"/>
      <c r="I73" s="55"/>
      <c r="J73" s="55"/>
      <c r="K73" s="46"/>
      <c r="N73" s="76"/>
      <c r="O73" s="76"/>
      <c r="P73" s="76"/>
      <c r="Q73" s="76"/>
      <c r="R73" s="76"/>
      <c r="S73" s="76"/>
      <c r="T73" s="76"/>
      <c r="U73" s="76"/>
      <c r="V73" s="76"/>
    </row>
    <row r="74" spans="1:22" ht="15.75" customHeight="1" x14ac:dyDescent="0.25">
      <c r="A74" s="22" t="s">
        <v>226</v>
      </c>
      <c r="B74" s="23" t="s">
        <v>330</v>
      </c>
      <c r="C74" s="4"/>
      <c r="D74" s="4"/>
      <c r="E74" s="4"/>
      <c r="F74" s="4"/>
      <c r="G74" s="4"/>
      <c r="H74" s="4"/>
      <c r="I74" s="4"/>
      <c r="J74" s="4"/>
    </row>
    <row r="75" spans="1:22" ht="15.75" customHeight="1" x14ac:dyDescent="0.25">
      <c r="A75" s="22"/>
      <c r="B75" s="23" t="s">
        <v>331</v>
      </c>
      <c r="C75" s="4"/>
      <c r="D75" s="4"/>
      <c r="E75" s="4"/>
      <c r="F75" s="4"/>
      <c r="G75" s="4"/>
      <c r="H75" s="4"/>
      <c r="I75" s="4"/>
      <c r="J75" s="4"/>
    </row>
    <row r="76" spans="1:22" ht="15.75" customHeight="1" x14ac:dyDescent="0.25">
      <c r="A76" s="22"/>
      <c r="B76" s="23"/>
      <c r="C76" s="4"/>
      <c r="D76" s="4"/>
      <c r="E76" s="4"/>
      <c r="F76" s="4"/>
      <c r="G76" s="4"/>
      <c r="H76" s="4"/>
      <c r="I76" s="4"/>
      <c r="J76" s="4"/>
    </row>
    <row r="77" spans="1:22" ht="15.75" customHeight="1" x14ac:dyDescent="0.25">
      <c r="A77" s="4"/>
      <c r="B77" s="368" t="s">
        <v>257</v>
      </c>
      <c r="C77" s="368"/>
      <c r="D77" s="368"/>
      <c r="E77" s="368"/>
      <c r="F77" s="368"/>
      <c r="G77" s="368"/>
      <c r="H77" s="368"/>
      <c r="I77" s="368"/>
      <c r="J77" s="4"/>
    </row>
    <row r="78" spans="1:22" ht="15.75" customHeight="1" x14ac:dyDescent="0.25">
      <c r="A78" s="1"/>
      <c r="B78" s="4"/>
      <c r="C78" s="4"/>
      <c r="D78" s="4"/>
      <c r="E78" s="4"/>
      <c r="F78" s="284" t="s">
        <v>70</v>
      </c>
      <c r="G78" s="284" t="s">
        <v>71</v>
      </c>
      <c r="H78" s="342" t="s">
        <v>195</v>
      </c>
      <c r="I78" s="342"/>
      <c r="J78" s="132"/>
    </row>
    <row r="79" spans="1:22" ht="15.75" customHeight="1" x14ac:dyDescent="0.4">
      <c r="A79" s="4"/>
      <c r="B79" s="4"/>
      <c r="C79" s="4"/>
      <c r="D79" s="4"/>
      <c r="E79" s="218" t="s">
        <v>70</v>
      </c>
      <c r="F79" s="290" t="s">
        <v>87</v>
      </c>
      <c r="G79" s="290" t="s">
        <v>73</v>
      </c>
      <c r="H79" s="303" t="s">
        <v>72</v>
      </c>
      <c r="I79" s="290" t="s">
        <v>89</v>
      </c>
      <c r="J79" s="132"/>
    </row>
    <row r="80" spans="1:22" ht="15.75" customHeight="1" x14ac:dyDescent="0.25">
      <c r="A80" s="4"/>
      <c r="B80" s="4"/>
      <c r="C80" s="4"/>
      <c r="D80" s="4"/>
      <c r="E80" s="4"/>
      <c r="F80" s="132"/>
      <c r="G80" s="1"/>
      <c r="H80" s="4"/>
      <c r="I80" s="132"/>
      <c r="J80" s="132"/>
    </row>
    <row r="81" spans="1:17" ht="15.75" customHeight="1" x14ac:dyDescent="0.25">
      <c r="A81" s="4"/>
      <c r="B81" s="159">
        <v>0</v>
      </c>
      <c r="C81" s="4">
        <v>2000</v>
      </c>
      <c r="D81" s="4" t="s">
        <v>64</v>
      </c>
      <c r="E81" s="153">
        <f>E7</f>
        <v>505</v>
      </c>
      <c r="F81" s="214">
        <f>Rates!F22</f>
        <v>20.55</v>
      </c>
      <c r="G81" s="4">
        <f>Usage!F84</f>
        <v>3862.32</v>
      </c>
      <c r="H81" s="4">
        <f>G81*E81</f>
        <v>1950471.6</v>
      </c>
      <c r="I81" s="65">
        <f>ROUND(G81*F81,0)</f>
        <v>79371</v>
      </c>
      <c r="J81" s="132"/>
    </row>
    <row r="82" spans="1:17" ht="15.75" customHeight="1" x14ac:dyDescent="0.25">
      <c r="A82" s="4"/>
      <c r="B82" s="4">
        <v>2001</v>
      </c>
      <c r="C82" s="4">
        <v>100000</v>
      </c>
      <c r="D82" s="4" t="s">
        <v>64</v>
      </c>
      <c r="E82" s="153">
        <f>E8</f>
        <v>5856</v>
      </c>
      <c r="F82" s="37">
        <f>F81+(((E82-C81)/1000)*6.92)</f>
        <v>47.233519999999999</v>
      </c>
      <c r="G82" s="4">
        <f>Usage!F85</f>
        <v>2249</v>
      </c>
      <c r="H82" s="4">
        <f>G82*E82</f>
        <v>13170144</v>
      </c>
      <c r="I82" s="65">
        <f>ROUND(G82*F82,0)</f>
        <v>106228</v>
      </c>
      <c r="J82" s="155"/>
    </row>
    <row r="83" spans="1:17" ht="15.75" customHeight="1" x14ac:dyDescent="0.25">
      <c r="A83" s="4"/>
      <c r="B83" s="4">
        <v>100001</v>
      </c>
      <c r="C83" s="4">
        <v>500000</v>
      </c>
      <c r="D83" s="4" t="s">
        <v>64</v>
      </c>
      <c r="E83" s="153">
        <v>0</v>
      </c>
      <c r="F83" s="37"/>
      <c r="G83" s="4">
        <v>0</v>
      </c>
      <c r="H83" s="4">
        <f>G83*E83</f>
        <v>0</v>
      </c>
      <c r="I83" s="65">
        <f t="shared" ref="I83:I84" si="5">ROUND(+G83*F83,0)</f>
        <v>0</v>
      </c>
      <c r="J83" s="156"/>
    </row>
    <row r="84" spans="1:17" ht="15.75" customHeight="1" x14ac:dyDescent="0.4">
      <c r="A84" s="4"/>
      <c r="B84" s="288" t="s">
        <v>201</v>
      </c>
      <c r="C84" s="4">
        <v>500000</v>
      </c>
      <c r="D84" s="4" t="s">
        <v>64</v>
      </c>
      <c r="E84" s="153">
        <v>0</v>
      </c>
      <c r="F84" s="37"/>
      <c r="G84" s="24">
        <v>0</v>
      </c>
      <c r="H84" s="24">
        <f>G84*E84</f>
        <v>0</v>
      </c>
      <c r="I84" s="84">
        <f t="shared" si="5"/>
        <v>0</v>
      </c>
      <c r="J84" s="132"/>
      <c r="O84" s="123"/>
    </row>
    <row r="85" spans="1:17" ht="15.75" customHeight="1" x14ac:dyDescent="0.25">
      <c r="A85" s="4"/>
      <c r="B85" s="4" t="s">
        <v>55</v>
      </c>
      <c r="C85" s="4"/>
      <c r="D85" s="4"/>
      <c r="E85" s="132"/>
      <c r="F85" s="132"/>
      <c r="G85" s="4">
        <f>SUM(G81:G84)</f>
        <v>6111.32</v>
      </c>
      <c r="H85" s="4">
        <f>SUM(H81:H84)</f>
        <v>15120615.6</v>
      </c>
      <c r="I85" s="65">
        <f>SUM(I81:I84)</f>
        <v>185599</v>
      </c>
      <c r="J85" s="132"/>
      <c r="P85" s="123"/>
      <c r="Q85" s="123"/>
    </row>
    <row r="86" spans="1:17" ht="15.75" customHeight="1" x14ac:dyDescent="0.25">
      <c r="A86" s="4"/>
      <c r="B86" s="120" t="s">
        <v>197</v>
      </c>
      <c r="C86" s="4"/>
      <c r="D86" s="4"/>
      <c r="E86" s="132"/>
      <c r="F86" s="132"/>
      <c r="G86" s="4"/>
      <c r="H86" s="98"/>
      <c r="I86" s="161">
        <f>+I85/G85</f>
        <v>30.369707362730146</v>
      </c>
      <c r="J86" s="132"/>
      <c r="O86" s="123"/>
      <c r="P86" s="48"/>
      <c r="Q86" s="118"/>
    </row>
    <row r="87" spans="1:17" ht="15.75" customHeight="1" x14ac:dyDescent="0.25">
      <c r="A87" s="4"/>
      <c r="B87" s="4" t="s">
        <v>196</v>
      </c>
      <c r="C87" s="4"/>
      <c r="D87" s="4"/>
      <c r="E87" s="132"/>
      <c r="F87" s="132"/>
      <c r="G87" s="4"/>
      <c r="H87" s="4">
        <f>+H85*12</f>
        <v>181447387.19999999</v>
      </c>
      <c r="I87" s="65">
        <f>+I85*12</f>
        <v>2227188</v>
      </c>
      <c r="J87" s="132"/>
      <c r="O87" s="123"/>
    </row>
    <row r="88" spans="1:17" ht="15.75" customHeight="1" x14ac:dyDescent="0.25">
      <c r="A88" s="4"/>
      <c r="B88" s="4"/>
      <c r="C88" s="4"/>
      <c r="D88" s="4"/>
      <c r="E88" s="132"/>
      <c r="F88" s="132"/>
      <c r="G88" s="4"/>
      <c r="H88" s="4"/>
      <c r="I88" s="65"/>
      <c r="J88" s="132"/>
      <c r="O88" s="123"/>
      <c r="P88" s="117"/>
      <c r="Q88" s="117"/>
    </row>
    <row r="89" spans="1:17" ht="15.75" customHeight="1" x14ac:dyDescent="0.25">
      <c r="A89" s="4"/>
      <c r="B89" s="368" t="s">
        <v>256</v>
      </c>
      <c r="C89" s="368"/>
      <c r="D89" s="368"/>
      <c r="E89" s="368"/>
      <c r="F89" s="368"/>
      <c r="G89" s="368"/>
      <c r="H89" s="368"/>
      <c r="I89" s="368"/>
      <c r="J89" s="98"/>
    </row>
    <row r="90" spans="1:17" ht="15.75" customHeight="1" x14ac:dyDescent="0.25">
      <c r="A90" s="4"/>
      <c r="B90" s="4"/>
      <c r="C90" s="4"/>
      <c r="D90" s="4"/>
      <c r="E90" s="4"/>
      <c r="F90" s="284" t="s">
        <v>70</v>
      </c>
      <c r="G90" s="284" t="s">
        <v>71</v>
      </c>
      <c r="H90" s="342" t="s">
        <v>195</v>
      </c>
      <c r="I90" s="342"/>
      <c r="J90" s="4"/>
      <c r="O90" s="123"/>
    </row>
    <row r="91" spans="1:17" ht="15.75" customHeight="1" x14ac:dyDescent="0.4">
      <c r="A91" s="4"/>
      <c r="B91" s="4"/>
      <c r="C91" s="4"/>
      <c r="D91" s="4"/>
      <c r="E91" s="218" t="s">
        <v>70</v>
      </c>
      <c r="F91" s="290" t="s">
        <v>87</v>
      </c>
      <c r="G91" s="290" t="s">
        <v>73</v>
      </c>
      <c r="H91" s="303" t="s">
        <v>72</v>
      </c>
      <c r="I91" s="290" t="s">
        <v>89</v>
      </c>
      <c r="J91" s="98"/>
      <c r="O91" s="123"/>
      <c r="P91" s="48"/>
      <c r="Q91" s="48"/>
    </row>
    <row r="92" spans="1:17" ht="15.75" customHeight="1" x14ac:dyDescent="0.25">
      <c r="A92" s="4"/>
      <c r="B92" s="4"/>
      <c r="C92" s="4"/>
      <c r="D92" s="4"/>
      <c r="E92" s="4"/>
      <c r="F92" s="132"/>
      <c r="G92" s="1"/>
      <c r="H92" s="4"/>
      <c r="I92" s="132"/>
      <c r="J92" s="98"/>
      <c r="O92" s="123"/>
      <c r="P92" s="48"/>
      <c r="Q92" s="48"/>
    </row>
    <row r="93" spans="1:17" ht="15.75" customHeight="1" x14ac:dyDescent="0.25">
      <c r="A93" s="4"/>
      <c r="B93" s="159">
        <v>0</v>
      </c>
      <c r="C93" s="4">
        <v>4000</v>
      </c>
      <c r="D93" s="4" t="s">
        <v>64</v>
      </c>
      <c r="E93" s="153">
        <f>E19</f>
        <v>1180.1020408163265</v>
      </c>
      <c r="F93" s="214">
        <f>Rates!F28</f>
        <v>34.39</v>
      </c>
      <c r="G93" s="4">
        <f>G19</f>
        <v>49</v>
      </c>
      <c r="H93" s="4">
        <f>H19</f>
        <v>57825</v>
      </c>
      <c r="I93" s="65">
        <f>ROUND(+G93*F93,0)</f>
        <v>1685</v>
      </c>
      <c r="J93" s="98"/>
      <c r="O93" s="123"/>
      <c r="P93" s="48"/>
      <c r="Q93" s="48"/>
    </row>
    <row r="94" spans="1:17" ht="15.75" customHeight="1" x14ac:dyDescent="0.25">
      <c r="A94" s="4"/>
      <c r="B94" s="4">
        <v>4001</v>
      </c>
      <c r="C94" s="4">
        <v>100000</v>
      </c>
      <c r="D94" s="4" t="s">
        <v>64</v>
      </c>
      <c r="E94" s="153">
        <f>E20</f>
        <v>13666.091954022988</v>
      </c>
      <c r="F94" s="37">
        <f>F93+((E94-C93)/1000)*6.92</f>
        <v>101.27935632183907</v>
      </c>
      <c r="G94" s="4">
        <f>G20</f>
        <v>29</v>
      </c>
      <c r="H94" s="4">
        <f>H20</f>
        <v>396316.66666666663</v>
      </c>
      <c r="I94" s="65">
        <f t="shared" ref="I94:I96" si="6">ROUND(+G94*F94,0)</f>
        <v>2937</v>
      </c>
      <c r="J94" s="98"/>
      <c r="O94" s="123"/>
      <c r="P94" s="48"/>
      <c r="Q94" s="48"/>
    </row>
    <row r="95" spans="1:17" ht="15.75" customHeight="1" x14ac:dyDescent="0.25">
      <c r="A95" s="4"/>
      <c r="B95" s="4">
        <v>100001</v>
      </c>
      <c r="C95" s="4">
        <v>500000</v>
      </c>
      <c r="D95" s="4" t="s">
        <v>64</v>
      </c>
      <c r="E95" s="153"/>
      <c r="F95" s="37"/>
      <c r="G95" s="4"/>
      <c r="H95" s="4">
        <f>G95*E95</f>
        <v>0</v>
      </c>
      <c r="I95" s="65">
        <f t="shared" si="6"/>
        <v>0</v>
      </c>
      <c r="J95" s="98"/>
      <c r="O95" s="123"/>
      <c r="P95" s="48"/>
      <c r="Q95" s="48"/>
    </row>
    <row r="96" spans="1:17" ht="15.75" customHeight="1" x14ac:dyDescent="0.4">
      <c r="A96" s="4"/>
      <c r="B96" s="288" t="s">
        <v>201</v>
      </c>
      <c r="C96" s="4">
        <v>500000</v>
      </c>
      <c r="D96" s="4" t="s">
        <v>64</v>
      </c>
      <c r="E96" s="153">
        <v>0</v>
      </c>
      <c r="F96" s="37"/>
      <c r="G96" s="24"/>
      <c r="H96" s="24">
        <f>G96*E96</f>
        <v>0</v>
      </c>
      <c r="I96" s="84">
        <f t="shared" si="6"/>
        <v>0</v>
      </c>
      <c r="J96" s="98"/>
      <c r="O96" s="123"/>
      <c r="P96" s="48"/>
      <c r="Q96" s="48"/>
    </row>
    <row r="97" spans="1:17" ht="15.75" customHeight="1" x14ac:dyDescent="0.25">
      <c r="A97" s="4"/>
      <c r="B97" s="4" t="s">
        <v>55</v>
      </c>
      <c r="C97" s="4"/>
      <c r="D97" s="4"/>
      <c r="E97" s="132"/>
      <c r="F97" s="132"/>
      <c r="G97" s="4">
        <f>SUM(G93:G96)</f>
        <v>78</v>
      </c>
      <c r="H97" s="4">
        <f>SUM(H93:H96)</f>
        <v>454141.66666666663</v>
      </c>
      <c r="I97" s="65">
        <f>SUM(I93:I96)</f>
        <v>4622</v>
      </c>
      <c r="J97" s="98"/>
      <c r="O97" s="123"/>
      <c r="P97" s="48"/>
      <c r="Q97" s="48"/>
    </row>
    <row r="98" spans="1:17" ht="15.75" customHeight="1" x14ac:dyDescent="0.25">
      <c r="A98" s="4"/>
      <c r="B98" s="120" t="s">
        <v>197</v>
      </c>
      <c r="C98" s="4"/>
      <c r="D98" s="4"/>
      <c r="E98" s="132"/>
      <c r="F98" s="132"/>
      <c r="G98" s="4"/>
      <c r="H98" s="98"/>
      <c r="I98" s="161">
        <f>+I97/G97</f>
        <v>59.256410256410255</v>
      </c>
      <c r="J98" s="98"/>
      <c r="O98" s="123"/>
      <c r="P98" s="48"/>
      <c r="Q98" s="48"/>
    </row>
    <row r="99" spans="1:17" ht="15.75" customHeight="1" x14ac:dyDescent="0.25">
      <c r="A99" s="4"/>
      <c r="B99" s="4" t="s">
        <v>196</v>
      </c>
      <c r="C99" s="4"/>
      <c r="D99" s="4"/>
      <c r="E99" s="132"/>
      <c r="F99" s="132"/>
      <c r="G99" s="4"/>
      <c r="H99" s="4">
        <f>+H97*12</f>
        <v>5449700</v>
      </c>
      <c r="I99" s="65">
        <f>+I97*12</f>
        <v>55464</v>
      </c>
      <c r="J99" s="98"/>
      <c r="O99" s="123"/>
      <c r="P99" s="48"/>
      <c r="Q99" s="48"/>
    </row>
    <row r="100" spans="1:17" ht="15.75" customHeight="1" x14ac:dyDescent="0.25">
      <c r="A100" s="4"/>
      <c r="B100" s="288"/>
      <c r="C100" s="4"/>
      <c r="D100" s="4"/>
      <c r="E100" s="155"/>
      <c r="F100" s="160"/>
      <c r="G100" s="4"/>
      <c r="H100" s="4"/>
      <c r="I100" s="163"/>
      <c r="J100" s="98"/>
      <c r="O100" s="123"/>
      <c r="P100" s="48"/>
      <c r="Q100" s="48"/>
    </row>
    <row r="101" spans="1:17" ht="15.75" customHeight="1" x14ac:dyDescent="0.25">
      <c r="A101" s="4"/>
      <c r="B101" s="368" t="s">
        <v>254</v>
      </c>
      <c r="C101" s="368"/>
      <c r="D101" s="368"/>
      <c r="E101" s="368"/>
      <c r="F101" s="368"/>
      <c r="G101" s="368"/>
      <c r="H101" s="368"/>
      <c r="I101" s="368"/>
      <c r="J101" s="98"/>
      <c r="O101" s="123"/>
      <c r="P101" s="48"/>
      <c r="Q101" s="48"/>
    </row>
    <row r="102" spans="1:17" ht="15.75" customHeight="1" x14ac:dyDescent="0.25">
      <c r="A102" s="4"/>
      <c r="B102" s="4"/>
      <c r="C102" s="4"/>
      <c r="D102" s="4"/>
      <c r="E102" s="4"/>
      <c r="F102" s="284" t="s">
        <v>70</v>
      </c>
      <c r="G102" s="284" t="s">
        <v>71</v>
      </c>
      <c r="H102" s="342" t="s">
        <v>195</v>
      </c>
      <c r="I102" s="342"/>
      <c r="J102" s="98"/>
      <c r="O102" s="123"/>
      <c r="P102" s="48"/>
      <c r="Q102" s="48"/>
    </row>
    <row r="103" spans="1:17" ht="15.75" customHeight="1" x14ac:dyDescent="0.4">
      <c r="A103" s="4"/>
      <c r="B103" s="4"/>
      <c r="C103" s="4"/>
      <c r="D103" s="4"/>
      <c r="E103" s="218" t="s">
        <v>70</v>
      </c>
      <c r="F103" s="290" t="s">
        <v>87</v>
      </c>
      <c r="G103" s="290" t="s">
        <v>73</v>
      </c>
      <c r="H103" s="303" t="s">
        <v>72</v>
      </c>
      <c r="I103" s="290" t="s">
        <v>89</v>
      </c>
      <c r="J103" s="98"/>
      <c r="O103" s="123"/>
      <c r="P103" s="48"/>
      <c r="Q103" s="48"/>
    </row>
    <row r="104" spans="1:17" ht="15.75" customHeight="1" x14ac:dyDescent="0.25">
      <c r="A104" s="4"/>
      <c r="B104" s="4"/>
      <c r="C104" s="4"/>
      <c r="D104" s="4"/>
      <c r="E104" s="4"/>
      <c r="F104" s="132"/>
      <c r="G104" s="1"/>
      <c r="H104" s="4"/>
      <c r="I104" s="132"/>
      <c r="J104" s="98"/>
      <c r="O104" s="123"/>
      <c r="P104" s="48"/>
      <c r="Q104" s="48"/>
    </row>
    <row r="105" spans="1:17" ht="15.75" customHeight="1" x14ac:dyDescent="0.25">
      <c r="A105" s="4"/>
      <c r="B105" s="159">
        <v>0</v>
      </c>
      <c r="C105" s="4">
        <v>8000</v>
      </c>
      <c r="D105" s="4" t="s">
        <v>64</v>
      </c>
      <c r="E105" s="153">
        <f>E31</f>
        <v>1331.25</v>
      </c>
      <c r="F105" s="214">
        <f>Rates!F34</f>
        <v>62.09</v>
      </c>
      <c r="G105" s="4">
        <f>G31</f>
        <v>4</v>
      </c>
      <c r="H105" s="4">
        <f>H31</f>
        <v>5325</v>
      </c>
      <c r="I105" s="65">
        <f>G105*F105</f>
        <v>248.36</v>
      </c>
      <c r="J105" s="98"/>
      <c r="O105" s="123"/>
      <c r="P105" s="48"/>
      <c r="Q105" s="48"/>
    </row>
    <row r="106" spans="1:17" ht="15.75" customHeight="1" x14ac:dyDescent="0.25">
      <c r="A106" s="4"/>
      <c r="B106" s="4">
        <v>8001</v>
      </c>
      <c r="C106" s="4">
        <v>100000</v>
      </c>
      <c r="D106" s="4" t="s">
        <v>64</v>
      </c>
      <c r="E106" s="153">
        <f>E32</f>
        <v>53662.5</v>
      </c>
      <c r="F106" s="37">
        <f>F105+((E106-C105)/1000)*6.92</f>
        <v>378.07450000000006</v>
      </c>
      <c r="G106" s="4">
        <f>G32</f>
        <v>2</v>
      </c>
      <c r="H106" s="4">
        <f>H32</f>
        <v>107325</v>
      </c>
      <c r="I106" s="65">
        <f>G106*F106</f>
        <v>756.14900000000011</v>
      </c>
      <c r="J106" s="98"/>
      <c r="O106" s="123"/>
      <c r="P106" s="48"/>
      <c r="Q106" s="48"/>
    </row>
    <row r="107" spans="1:17" ht="15.75" customHeight="1" x14ac:dyDescent="0.25">
      <c r="A107" s="4"/>
      <c r="B107" s="4">
        <v>100001</v>
      </c>
      <c r="C107" s="4">
        <v>500000</v>
      </c>
      <c r="D107" s="4" t="s">
        <v>64</v>
      </c>
      <c r="E107" s="153">
        <f>E45</f>
        <v>279116.66666666669</v>
      </c>
      <c r="F107" s="214">
        <f>F105+(((C106-C105)/1000)*6.92)+(((E107-C106)/1000)*5.63)</f>
        <v>1707.1568333333335</v>
      </c>
      <c r="G107" s="4">
        <v>1</v>
      </c>
      <c r="H107" s="4">
        <f>H33</f>
        <v>467791.66666666669</v>
      </c>
      <c r="I107" s="65">
        <f>G107*F107</f>
        <v>1707.1568333333335</v>
      </c>
      <c r="J107" s="98"/>
      <c r="O107" s="123"/>
      <c r="P107" s="117"/>
      <c r="Q107" s="117"/>
    </row>
    <row r="108" spans="1:17" ht="15.75" customHeight="1" x14ac:dyDescent="0.4">
      <c r="A108" s="4"/>
      <c r="B108" s="288" t="s">
        <v>201</v>
      </c>
      <c r="C108" s="4">
        <v>500000</v>
      </c>
      <c r="D108" s="4" t="s">
        <v>64</v>
      </c>
      <c r="E108" s="153"/>
      <c r="F108" s="37"/>
      <c r="G108" s="24"/>
      <c r="H108" s="24">
        <f>G108*E108</f>
        <v>0</v>
      </c>
      <c r="I108" s="84">
        <f t="shared" ref="I108" si="7">ROUND(+G108*F108,0)</f>
        <v>0</v>
      </c>
      <c r="J108" s="98"/>
    </row>
    <row r="109" spans="1:17" ht="15.75" customHeight="1" x14ac:dyDescent="0.25">
      <c r="A109" s="132"/>
      <c r="B109" s="4" t="s">
        <v>55</v>
      </c>
      <c r="C109" s="4"/>
      <c r="D109" s="4"/>
      <c r="E109" s="132"/>
      <c r="F109" s="132"/>
      <c r="G109" s="4">
        <f>SUM(G105:G108)</f>
        <v>7</v>
      </c>
      <c r="H109" s="4">
        <f>SUM(H105:H108)</f>
        <v>580441.66666666674</v>
      </c>
      <c r="I109" s="65">
        <f>SUM(I105:I108)</f>
        <v>2711.6658333333335</v>
      </c>
      <c r="J109" s="132"/>
    </row>
    <row r="110" spans="1:17" ht="15.75" customHeight="1" x14ac:dyDescent="0.25">
      <c r="A110" s="132"/>
      <c r="B110" s="120" t="s">
        <v>197</v>
      </c>
      <c r="C110" s="4"/>
      <c r="D110" s="4"/>
      <c r="E110" s="132"/>
      <c r="F110" s="132"/>
      <c r="G110" s="4"/>
      <c r="H110" s="98"/>
      <c r="I110" s="161">
        <f>+I109/G109</f>
        <v>387.38083333333333</v>
      </c>
      <c r="J110" s="132"/>
    </row>
    <row r="111" spans="1:17" ht="15.75" customHeight="1" x14ac:dyDescent="0.25">
      <c r="A111" s="132"/>
      <c r="B111" s="4" t="s">
        <v>196</v>
      </c>
      <c r="C111" s="4"/>
      <c r="D111" s="4"/>
      <c r="E111" s="132"/>
      <c r="F111" s="132"/>
      <c r="G111" s="4"/>
      <c r="H111" s="4">
        <f>+H109*12</f>
        <v>6965300.0000000009</v>
      </c>
      <c r="I111" s="65">
        <f>+I109*12</f>
        <v>32539.99</v>
      </c>
      <c r="J111" s="132"/>
    </row>
    <row r="112" spans="1:17" ht="15.75" customHeight="1" x14ac:dyDescent="0.25">
      <c r="A112" s="132"/>
      <c r="B112" s="286"/>
      <c r="C112" s="284"/>
      <c r="D112" s="284"/>
      <c r="E112" s="132"/>
      <c r="F112" s="165"/>
      <c r="G112" s="132"/>
      <c r="H112" s="132"/>
      <c r="I112" s="165"/>
      <c r="J112" s="132"/>
    </row>
    <row r="113" spans="1:11" ht="15.75" customHeight="1" x14ac:dyDescent="0.25">
      <c r="A113" s="132"/>
      <c r="B113" s="368" t="s">
        <v>255</v>
      </c>
      <c r="C113" s="368"/>
      <c r="D113" s="368"/>
      <c r="E113" s="368"/>
      <c r="F113" s="368"/>
      <c r="G113" s="368"/>
      <c r="H113" s="368"/>
      <c r="I113" s="368"/>
      <c r="J113" s="132"/>
    </row>
    <row r="114" spans="1:11" ht="15.75" customHeight="1" x14ac:dyDescent="0.25">
      <c r="A114" s="132"/>
      <c r="B114" s="4"/>
      <c r="C114" s="4"/>
      <c r="D114" s="4"/>
      <c r="E114" s="4"/>
      <c r="F114" s="284" t="s">
        <v>70</v>
      </c>
      <c r="G114" s="284" t="s">
        <v>71</v>
      </c>
      <c r="H114" s="342" t="s">
        <v>195</v>
      </c>
      <c r="I114" s="342"/>
      <c r="J114" s="132"/>
    </row>
    <row r="115" spans="1:11" ht="15.75" customHeight="1" x14ac:dyDescent="0.4">
      <c r="A115" s="132"/>
      <c r="B115" s="4"/>
      <c r="C115" s="4"/>
      <c r="D115" s="4"/>
      <c r="E115" s="218" t="s">
        <v>70</v>
      </c>
      <c r="F115" s="290" t="s">
        <v>87</v>
      </c>
      <c r="G115" s="290" t="s">
        <v>73</v>
      </c>
      <c r="H115" s="303" t="s">
        <v>72</v>
      </c>
      <c r="I115" s="290" t="s">
        <v>89</v>
      </c>
      <c r="J115" s="132"/>
    </row>
    <row r="116" spans="1:11" ht="15.75" customHeight="1" x14ac:dyDescent="0.25">
      <c r="A116" s="132"/>
      <c r="B116" s="4"/>
      <c r="C116" s="4"/>
      <c r="D116" s="4"/>
      <c r="E116" s="4"/>
      <c r="F116" s="132"/>
      <c r="G116" s="1"/>
      <c r="H116" s="4"/>
      <c r="I116" s="132"/>
      <c r="J116" s="132"/>
    </row>
    <row r="117" spans="1:11" ht="15.75" customHeight="1" x14ac:dyDescent="0.25">
      <c r="A117" s="132"/>
      <c r="B117" s="159">
        <v>0</v>
      </c>
      <c r="C117" s="4">
        <v>15000</v>
      </c>
      <c r="D117" s="4" t="s">
        <v>64</v>
      </c>
      <c r="E117" s="153">
        <f>E43</f>
        <v>2497.0588235294117</v>
      </c>
      <c r="F117" s="214">
        <f>Rates!F40</f>
        <v>110.56</v>
      </c>
      <c r="G117" s="4">
        <f t="shared" ref="G117:H119" si="8">G43</f>
        <v>17</v>
      </c>
      <c r="H117" s="4">
        <f t="shared" si="8"/>
        <v>42450</v>
      </c>
      <c r="I117" s="65">
        <f>G117*F117</f>
        <v>1879.52</v>
      </c>
      <c r="J117" s="132"/>
    </row>
    <row r="118" spans="1:11" ht="15.75" customHeight="1" x14ac:dyDescent="0.25">
      <c r="A118" s="132"/>
      <c r="B118" s="4">
        <v>15001</v>
      </c>
      <c r="C118" s="4">
        <v>100000</v>
      </c>
      <c r="D118" s="4" t="s">
        <v>64</v>
      </c>
      <c r="E118" s="153">
        <f>E44</f>
        <v>70064.583333333328</v>
      </c>
      <c r="F118" s="37">
        <f>F117+((E118-C117)/1000)*6.92</f>
        <v>491.60691666666668</v>
      </c>
      <c r="G118" s="4">
        <f t="shared" si="8"/>
        <v>4</v>
      </c>
      <c r="H118" s="4">
        <f t="shared" si="8"/>
        <v>280258.33333333331</v>
      </c>
      <c r="I118" s="65">
        <f>G118*F118</f>
        <v>1966.4276666666667</v>
      </c>
      <c r="J118" s="132"/>
    </row>
    <row r="119" spans="1:11" ht="15.75" customHeight="1" x14ac:dyDescent="0.25">
      <c r="A119" s="132"/>
      <c r="B119" s="4">
        <v>100001</v>
      </c>
      <c r="C119" s="4">
        <v>500000</v>
      </c>
      <c r="D119" s="4" t="s">
        <v>64</v>
      </c>
      <c r="E119" s="153">
        <f>E45</f>
        <v>279116.66666666669</v>
      </c>
      <c r="F119" s="214">
        <f>F117+(((C118-C117)/1000)*6.92)+(((E119-C118)/1000)*5.63)</f>
        <v>1707.1868333333332</v>
      </c>
      <c r="G119" s="4">
        <f t="shared" si="8"/>
        <v>1</v>
      </c>
      <c r="H119" s="4">
        <f t="shared" si="8"/>
        <v>279116.66666666669</v>
      </c>
      <c r="I119" s="65">
        <f>G119*F119</f>
        <v>1707.1868333333332</v>
      </c>
      <c r="J119" s="132"/>
    </row>
    <row r="120" spans="1:11" ht="15.75" customHeight="1" x14ac:dyDescent="0.4">
      <c r="A120" s="132"/>
      <c r="B120" s="288" t="s">
        <v>201</v>
      </c>
      <c r="C120" s="4">
        <v>500000</v>
      </c>
      <c r="D120" s="4" t="s">
        <v>64</v>
      </c>
      <c r="E120" s="153"/>
      <c r="F120" s="37"/>
      <c r="G120" s="24"/>
      <c r="H120" s="24">
        <f>G120*E120</f>
        <v>0</v>
      </c>
      <c r="I120" s="84">
        <f t="shared" ref="I120" si="9">ROUND(+G120*F120,0)</f>
        <v>0</v>
      </c>
      <c r="J120" s="132"/>
    </row>
    <row r="121" spans="1:11" ht="15.75" customHeight="1" x14ac:dyDescent="0.25">
      <c r="A121" s="4"/>
      <c r="B121" s="4" t="s">
        <v>55</v>
      </c>
      <c r="C121" s="4"/>
      <c r="D121" s="4"/>
      <c r="E121" s="132"/>
      <c r="F121" s="132"/>
      <c r="G121" s="4">
        <f>SUM(G117:G120)</f>
        <v>22</v>
      </c>
      <c r="H121" s="4">
        <f>SUM(H117:H120)</f>
        <v>601825</v>
      </c>
      <c r="I121" s="65">
        <f>SUM(I117:I120)</f>
        <v>5553.1345000000001</v>
      </c>
      <c r="J121" s="172"/>
    </row>
    <row r="122" spans="1:11" ht="15.75" customHeight="1" x14ac:dyDescent="0.25">
      <c r="A122" s="4"/>
      <c r="B122" s="120" t="s">
        <v>197</v>
      </c>
      <c r="C122" s="4"/>
      <c r="D122" s="4"/>
      <c r="E122" s="132"/>
      <c r="F122" s="132"/>
      <c r="G122" s="4"/>
      <c r="H122" s="98"/>
      <c r="I122" s="161">
        <f>+I121/G121</f>
        <v>252.41520454545454</v>
      </c>
      <c r="J122" s="172"/>
      <c r="K122" s="4"/>
    </row>
    <row r="123" spans="1:11" ht="15.75" customHeight="1" x14ac:dyDescent="0.25">
      <c r="A123" s="4"/>
      <c r="B123" s="4" t="s">
        <v>196</v>
      </c>
      <c r="C123" s="4"/>
      <c r="D123" s="4"/>
      <c r="E123" s="132"/>
      <c r="F123" s="132"/>
      <c r="G123" s="4"/>
      <c r="H123" s="4">
        <f>+H121*12</f>
        <v>7221900</v>
      </c>
      <c r="I123" s="65">
        <f>+I121*12</f>
        <v>66637.614000000001</v>
      </c>
      <c r="J123" s="172"/>
      <c r="K123" s="4"/>
    </row>
    <row r="124" spans="1:11" ht="15.75" customHeight="1" x14ac:dyDescent="0.25">
      <c r="A124" s="4"/>
      <c r="B124" s="286"/>
      <c r="C124" s="284"/>
      <c r="D124" s="284"/>
      <c r="E124" s="132"/>
      <c r="F124" s="165"/>
      <c r="G124" s="132"/>
      <c r="H124" s="132"/>
      <c r="I124" s="165"/>
      <c r="J124" s="172"/>
      <c r="K124" s="18"/>
    </row>
    <row r="125" spans="1:11" ht="15.75" customHeight="1" x14ac:dyDescent="0.25">
      <c r="A125" s="4"/>
      <c r="B125" s="368" t="s">
        <v>258</v>
      </c>
      <c r="C125" s="368"/>
      <c r="D125" s="368"/>
      <c r="E125" s="368"/>
      <c r="F125" s="368"/>
      <c r="G125" s="368"/>
      <c r="H125" s="368"/>
      <c r="I125" s="368"/>
      <c r="J125" s="172"/>
      <c r="K125" s="4"/>
    </row>
    <row r="126" spans="1:11" ht="15.75" customHeight="1" x14ac:dyDescent="0.25">
      <c r="A126" s="4"/>
      <c r="B126" s="4"/>
      <c r="C126" s="4"/>
      <c r="D126" s="4"/>
      <c r="E126" s="4"/>
      <c r="F126" s="284" t="s">
        <v>70</v>
      </c>
      <c r="G126" s="284" t="s">
        <v>71</v>
      </c>
      <c r="H126" s="342" t="s">
        <v>195</v>
      </c>
      <c r="I126" s="342"/>
      <c r="J126" s="172"/>
      <c r="K126" s="4"/>
    </row>
    <row r="127" spans="1:11" ht="15.75" customHeight="1" x14ac:dyDescent="0.4">
      <c r="A127" s="4"/>
      <c r="B127" s="4"/>
      <c r="C127" s="4"/>
      <c r="D127" s="4"/>
      <c r="E127" s="218" t="s">
        <v>70</v>
      </c>
      <c r="F127" s="290" t="s">
        <v>87</v>
      </c>
      <c r="G127" s="290" t="s">
        <v>73</v>
      </c>
      <c r="H127" s="303" t="s">
        <v>72</v>
      </c>
      <c r="I127" s="290" t="s">
        <v>89</v>
      </c>
      <c r="J127" s="172"/>
      <c r="K127" s="4"/>
    </row>
    <row r="128" spans="1:11" ht="15.75" customHeight="1" x14ac:dyDescent="0.25">
      <c r="A128" s="4"/>
      <c r="B128" s="4"/>
      <c r="C128" s="4"/>
      <c r="D128" s="4"/>
      <c r="E128" s="4"/>
      <c r="F128" s="132"/>
      <c r="G128" s="1"/>
      <c r="H128" s="4"/>
      <c r="I128" s="132"/>
      <c r="J128" s="172"/>
      <c r="K128" s="4"/>
    </row>
    <row r="129" spans="1:11" ht="15.75" customHeight="1" x14ac:dyDescent="0.25">
      <c r="A129" s="4"/>
      <c r="B129" s="159">
        <v>0</v>
      </c>
      <c r="C129" s="4">
        <v>25000</v>
      </c>
      <c r="D129" s="4" t="s">
        <v>64</v>
      </c>
      <c r="E129" s="153">
        <f>Usage!E214</f>
        <v>0</v>
      </c>
      <c r="F129" s="214"/>
      <c r="G129" s="4">
        <f>Usage!F214</f>
        <v>0</v>
      </c>
      <c r="H129" s="4">
        <f>G129*E129</f>
        <v>0</v>
      </c>
      <c r="I129" s="65">
        <f>G129*F129</f>
        <v>0</v>
      </c>
      <c r="J129" s="172"/>
      <c r="K129" s="4"/>
    </row>
    <row r="130" spans="1:11" ht="15.75" customHeight="1" x14ac:dyDescent="0.25">
      <c r="A130" s="4"/>
      <c r="B130" s="4">
        <v>25001</v>
      </c>
      <c r="C130" s="4">
        <v>100000</v>
      </c>
      <c r="D130" s="4" t="s">
        <v>64</v>
      </c>
      <c r="E130" s="153">
        <v>0</v>
      </c>
      <c r="F130" s="37"/>
      <c r="G130" s="4">
        <f>Usage!F215</f>
        <v>0</v>
      </c>
      <c r="H130" s="4">
        <f>G130*E130</f>
        <v>0</v>
      </c>
      <c r="I130" s="65">
        <f>G130*F130</f>
        <v>0</v>
      </c>
      <c r="J130" s="172"/>
      <c r="K130" s="4"/>
    </row>
    <row r="131" spans="1:11" ht="15.75" customHeight="1" x14ac:dyDescent="0.25">
      <c r="A131" s="4"/>
      <c r="B131" s="4">
        <v>100001</v>
      </c>
      <c r="C131" s="4">
        <v>500000</v>
      </c>
      <c r="D131" s="4" t="s">
        <v>64</v>
      </c>
      <c r="E131" s="153">
        <v>0</v>
      </c>
      <c r="F131" s="214"/>
      <c r="G131" s="4"/>
      <c r="H131" s="4">
        <f>G131*E131</f>
        <v>0</v>
      </c>
      <c r="I131" s="65">
        <f>G131*F131</f>
        <v>0</v>
      </c>
      <c r="J131" s="172"/>
      <c r="K131" s="4"/>
    </row>
    <row r="132" spans="1:11" ht="15.75" customHeight="1" x14ac:dyDescent="0.4">
      <c r="A132" s="4"/>
      <c r="B132" s="288" t="s">
        <v>201</v>
      </c>
      <c r="C132" s="4">
        <v>500000</v>
      </c>
      <c r="D132" s="4" t="s">
        <v>64</v>
      </c>
      <c r="E132" s="153">
        <f>E58</f>
        <v>2225533.3333333335</v>
      </c>
      <c r="F132" s="214">
        <f>187+(((C130-C129)/1000)*6.92)+(((C131-C130)/1000)*5.63)+(((E132-C132)/1000)*4.11)</f>
        <v>10049.942000000001</v>
      </c>
      <c r="G132" s="24">
        <v>1</v>
      </c>
      <c r="H132" s="24">
        <f>H58</f>
        <v>2225533.3333333335</v>
      </c>
      <c r="I132" s="84">
        <f t="shared" ref="I132" si="10">ROUND(+G132*F132,0)</f>
        <v>10050</v>
      </c>
      <c r="J132" s="172"/>
      <c r="K132" s="4"/>
    </row>
    <row r="133" spans="1:11" ht="15.75" customHeight="1" x14ac:dyDescent="0.25">
      <c r="A133" s="4"/>
      <c r="B133" s="4" t="s">
        <v>55</v>
      </c>
      <c r="C133" s="4"/>
      <c r="D133" s="4"/>
      <c r="E133" s="132"/>
      <c r="F133" s="132"/>
      <c r="G133" s="4">
        <f>SUM(G129:G132)</f>
        <v>1</v>
      </c>
      <c r="H133" s="4">
        <f>SUM(H129:H132)</f>
        <v>2225533.3333333335</v>
      </c>
      <c r="I133" s="65">
        <f>SUM(I129:I132)</f>
        <v>10050</v>
      </c>
      <c r="J133" s="172"/>
      <c r="K133" s="4"/>
    </row>
    <row r="134" spans="1:11" ht="15.75" customHeight="1" x14ac:dyDescent="0.25">
      <c r="A134" s="132"/>
      <c r="B134" s="120" t="s">
        <v>197</v>
      </c>
      <c r="C134" s="4"/>
      <c r="D134" s="4"/>
      <c r="E134" s="132"/>
      <c r="F134" s="132"/>
      <c r="G134" s="4"/>
      <c r="H134" s="98"/>
      <c r="I134" s="161">
        <f>+I133/G133</f>
        <v>10050</v>
      </c>
      <c r="J134" s="132"/>
      <c r="K134" s="4"/>
    </row>
    <row r="135" spans="1:11" ht="15.75" customHeight="1" x14ac:dyDescent="0.25">
      <c r="A135" s="132"/>
      <c r="B135" s="4" t="s">
        <v>196</v>
      </c>
      <c r="C135" s="4"/>
      <c r="D135" s="4"/>
      <c r="E135" s="132"/>
      <c r="F135" s="132"/>
      <c r="G135" s="4"/>
      <c r="H135" s="4">
        <f>+H133*12</f>
        <v>26706400</v>
      </c>
      <c r="I135" s="65">
        <f>+I133*12</f>
        <v>120600</v>
      </c>
      <c r="J135" s="132"/>
      <c r="K135" s="4"/>
    </row>
    <row r="136" spans="1:11" ht="15.75" customHeight="1" x14ac:dyDescent="0.25">
      <c r="A136" s="132"/>
      <c r="B136" s="286"/>
      <c r="C136" s="284"/>
      <c r="D136" s="284"/>
      <c r="E136" s="132"/>
      <c r="F136" s="165"/>
      <c r="G136" s="132"/>
      <c r="H136" s="132"/>
      <c r="I136" s="165"/>
      <c r="J136" s="132"/>
      <c r="K136" s="4"/>
    </row>
    <row r="137" spans="1:11" ht="15.75" customHeight="1" x14ac:dyDescent="0.25">
      <c r="A137" s="132"/>
      <c r="B137" s="286" t="s">
        <v>290</v>
      </c>
      <c r="C137" s="284"/>
      <c r="D137" s="284"/>
      <c r="E137" s="132"/>
      <c r="F137" s="165"/>
      <c r="G137" s="132"/>
      <c r="H137" s="132"/>
      <c r="I137" s="37">
        <f>I135+I123+I111+I99+I87</f>
        <v>2502429.6039999998</v>
      </c>
      <c r="J137" s="132"/>
      <c r="K137" s="4"/>
    </row>
    <row r="138" spans="1:11" ht="15.75" customHeight="1" x14ac:dyDescent="0.25">
      <c r="A138" s="132"/>
      <c r="B138" s="286"/>
      <c r="C138" s="284"/>
      <c r="D138" s="284"/>
      <c r="E138" s="132"/>
      <c r="F138" s="165"/>
      <c r="G138" s="132"/>
      <c r="H138" s="132"/>
      <c r="I138" s="165"/>
      <c r="J138" s="157"/>
      <c r="K138" s="4"/>
    </row>
    <row r="139" spans="1:11" ht="15.75" customHeight="1" x14ac:dyDescent="0.25">
      <c r="A139" s="4"/>
      <c r="B139" s="368" t="s">
        <v>301</v>
      </c>
      <c r="C139" s="368"/>
      <c r="D139" s="368"/>
      <c r="E139" s="368"/>
      <c r="F139" s="368"/>
      <c r="G139" s="368"/>
      <c r="H139" s="368"/>
      <c r="I139" s="368"/>
      <c r="J139" s="172"/>
      <c r="K139" s="4"/>
    </row>
    <row r="140" spans="1:11" ht="15.75" customHeight="1" x14ac:dyDescent="0.4">
      <c r="A140" s="4"/>
      <c r="B140" s="4"/>
      <c r="C140" s="4"/>
      <c r="D140" s="4"/>
      <c r="E140" s="4"/>
      <c r="F140" s="284" t="s">
        <v>70</v>
      </c>
      <c r="G140" s="284" t="s">
        <v>71</v>
      </c>
      <c r="H140" s="342" t="s">
        <v>195</v>
      </c>
      <c r="I140" s="342"/>
      <c r="J140" s="216"/>
      <c r="K140" s="4"/>
    </row>
    <row r="141" spans="1:11" ht="15.75" customHeight="1" x14ac:dyDescent="0.4">
      <c r="A141" s="4"/>
      <c r="B141" s="4"/>
      <c r="C141" s="4"/>
      <c r="D141" s="4"/>
      <c r="E141" s="218" t="s">
        <v>70</v>
      </c>
      <c r="F141" s="290" t="s">
        <v>87</v>
      </c>
      <c r="G141" s="290" t="s">
        <v>73</v>
      </c>
      <c r="H141" s="303" t="s">
        <v>72</v>
      </c>
      <c r="I141" s="290" t="s">
        <v>89</v>
      </c>
      <c r="J141" s="173"/>
      <c r="K141" s="4"/>
    </row>
    <row r="142" spans="1:11" ht="15.75" customHeight="1" x14ac:dyDescent="0.25">
      <c r="A142" s="4"/>
      <c r="B142" s="4"/>
      <c r="C142" s="4"/>
      <c r="D142" s="4"/>
      <c r="E142" s="4"/>
      <c r="F142" s="132"/>
      <c r="G142" s="1"/>
      <c r="H142" s="4"/>
      <c r="I142" s="132"/>
      <c r="J142" s="65"/>
      <c r="K142" s="4"/>
    </row>
    <row r="143" spans="1:11" ht="15.75" customHeight="1" x14ac:dyDescent="0.4">
      <c r="A143" s="4"/>
      <c r="B143" s="159">
        <v>0</v>
      </c>
      <c r="C143" s="4">
        <v>1000</v>
      </c>
      <c r="D143" s="4" t="s">
        <v>64</v>
      </c>
      <c r="E143" s="153">
        <f>H143/G143</f>
        <v>1016634.7222222221</v>
      </c>
      <c r="F143" s="214">
        <f>(E143/1000)*2.23</f>
        <v>2267.0954305555551</v>
      </c>
      <c r="G143" s="35">
        <v>6</v>
      </c>
      <c r="H143" s="329">
        <f>(Usage!G144)*1000</f>
        <v>6099808.333333333</v>
      </c>
      <c r="I143" s="84">
        <f>G143*F143</f>
        <v>13602.572583333331</v>
      </c>
      <c r="J143" s="172"/>
      <c r="K143" s="4"/>
    </row>
    <row r="144" spans="1:11" ht="15.75" customHeight="1" x14ac:dyDescent="0.4">
      <c r="A144" s="4"/>
      <c r="B144" s="159"/>
      <c r="C144" s="4"/>
      <c r="D144" s="4"/>
      <c r="E144" s="153"/>
      <c r="F144" s="214"/>
      <c r="G144" s="35"/>
      <c r="H144" s="24"/>
      <c r="I144" s="84"/>
      <c r="J144" s="34"/>
      <c r="K144" s="4"/>
    </row>
    <row r="145" spans="1:11" ht="15.75" customHeight="1" x14ac:dyDescent="0.25">
      <c r="A145" s="4"/>
      <c r="B145" s="4" t="s">
        <v>55</v>
      </c>
      <c r="C145" s="4"/>
      <c r="D145" s="4"/>
      <c r="E145" s="132"/>
      <c r="F145" s="132"/>
      <c r="G145" s="4">
        <f>SUM(G143:G143)</f>
        <v>6</v>
      </c>
      <c r="H145" s="4">
        <f>H143</f>
        <v>6099808.333333333</v>
      </c>
      <c r="I145" s="65">
        <f>SUM(I143:I143)</f>
        <v>13602.572583333331</v>
      </c>
      <c r="J145" s="132"/>
      <c r="K145" s="4"/>
    </row>
    <row r="146" spans="1:11" ht="15.75" customHeight="1" x14ac:dyDescent="0.25">
      <c r="A146" s="4"/>
      <c r="B146" s="120" t="s">
        <v>197</v>
      </c>
      <c r="C146" s="4"/>
      <c r="D146" s="4"/>
      <c r="E146" s="132"/>
      <c r="F146" s="132"/>
      <c r="G146" s="4"/>
      <c r="H146" s="98"/>
      <c r="I146" s="161">
        <f>+I145/G145</f>
        <v>2267.0954305555551</v>
      </c>
      <c r="J146" s="172"/>
      <c r="K146" s="4"/>
    </row>
    <row r="147" spans="1:11" ht="15.75" customHeight="1" x14ac:dyDescent="0.25">
      <c r="A147" s="4"/>
      <c r="B147" s="4" t="s">
        <v>196</v>
      </c>
      <c r="C147" s="4"/>
      <c r="D147" s="4"/>
      <c r="E147" s="132"/>
      <c r="F147" s="132"/>
      <c r="G147" s="4"/>
      <c r="H147" s="4">
        <f>+H145*12</f>
        <v>73197700</v>
      </c>
      <c r="I147" s="65">
        <f>+I145*12</f>
        <v>163230.87099999998</v>
      </c>
      <c r="J147" s="4"/>
      <c r="K147" s="4"/>
    </row>
    <row r="148" spans="1:11" ht="15.75" customHeight="1" x14ac:dyDescent="0.25">
      <c r="A148" s="4"/>
      <c r="B148" s="4"/>
      <c r="C148" s="4"/>
      <c r="D148" s="4"/>
      <c r="E148" s="4"/>
      <c r="F148" s="4"/>
      <c r="G148" s="4"/>
      <c r="H148" s="4"/>
      <c r="I148" s="4"/>
      <c r="J148" s="4"/>
      <c r="K148" s="4"/>
    </row>
    <row r="149" spans="1:11" ht="15.75" customHeight="1" x14ac:dyDescent="0.25">
      <c r="A149" s="22" t="s">
        <v>333</v>
      </c>
      <c r="B149" s="23" t="s">
        <v>355</v>
      </c>
      <c r="C149" s="4"/>
      <c r="D149" s="4"/>
      <c r="E149" s="4"/>
      <c r="F149" s="4"/>
      <c r="G149" s="4"/>
      <c r="H149" s="4"/>
      <c r="I149" s="4"/>
      <c r="J149" s="4"/>
      <c r="K149" s="4"/>
    </row>
    <row r="150" spans="1:11" ht="15.75" customHeight="1" x14ac:dyDescent="0.25">
      <c r="A150" s="22"/>
      <c r="B150" s="23" t="s">
        <v>334</v>
      </c>
      <c r="C150" s="4"/>
      <c r="D150" s="4"/>
      <c r="E150" s="4"/>
      <c r="F150" s="4"/>
      <c r="G150" s="4"/>
      <c r="H150" s="4"/>
      <c r="I150" s="4"/>
      <c r="J150" s="4"/>
      <c r="K150" s="4"/>
    </row>
    <row r="151" spans="1:11" ht="15.75" customHeight="1" x14ac:dyDescent="0.25">
      <c r="A151" s="22"/>
      <c r="B151" s="23"/>
      <c r="C151" s="4"/>
      <c r="D151" s="4"/>
      <c r="E151" s="4"/>
      <c r="F151" s="4"/>
      <c r="G151" s="4"/>
      <c r="H151" s="4"/>
      <c r="I151" s="4"/>
      <c r="J151" s="4"/>
      <c r="K151" s="4"/>
    </row>
    <row r="152" spans="1:11" ht="15.75" customHeight="1" x14ac:dyDescent="0.25">
      <c r="A152" s="4"/>
      <c r="B152" s="368" t="s">
        <v>257</v>
      </c>
      <c r="C152" s="368"/>
      <c r="D152" s="368"/>
      <c r="E152" s="368"/>
      <c r="F152" s="368"/>
      <c r="G152" s="368"/>
      <c r="H152" s="368"/>
      <c r="I152" s="368"/>
      <c r="J152" s="4"/>
      <c r="K152" s="4"/>
    </row>
    <row r="153" spans="1:11" ht="15.75" customHeight="1" x14ac:dyDescent="0.25">
      <c r="A153" s="1"/>
      <c r="B153" s="4"/>
      <c r="C153" s="4"/>
      <c r="D153" s="4"/>
      <c r="E153" s="4"/>
      <c r="F153" s="297" t="s">
        <v>70</v>
      </c>
      <c r="G153" s="297" t="s">
        <v>71</v>
      </c>
      <c r="H153" s="342" t="s">
        <v>195</v>
      </c>
      <c r="I153" s="342"/>
      <c r="J153" s="4"/>
      <c r="K153" s="4"/>
    </row>
    <row r="154" spans="1:11" ht="15.75" customHeight="1" x14ac:dyDescent="0.4">
      <c r="A154" s="4"/>
      <c r="B154" s="4"/>
      <c r="C154" s="4"/>
      <c r="D154" s="4"/>
      <c r="E154" s="218" t="s">
        <v>70</v>
      </c>
      <c r="F154" s="303" t="s">
        <v>87</v>
      </c>
      <c r="G154" s="303" t="s">
        <v>73</v>
      </c>
      <c r="H154" s="303" t="s">
        <v>72</v>
      </c>
      <c r="I154" s="303" t="s">
        <v>89</v>
      </c>
      <c r="J154" s="4"/>
      <c r="K154" s="4"/>
    </row>
    <row r="155" spans="1:11" ht="15.75" customHeight="1" x14ac:dyDescent="0.25">
      <c r="A155" s="4"/>
      <c r="B155" s="4"/>
      <c r="C155" s="4"/>
      <c r="D155" s="4"/>
      <c r="E155" s="4"/>
      <c r="F155" s="132"/>
      <c r="G155" s="1"/>
      <c r="H155" s="4"/>
      <c r="I155" s="132"/>
      <c r="J155" s="4"/>
      <c r="K155" s="4"/>
    </row>
    <row r="156" spans="1:11" ht="15.75" customHeight="1" x14ac:dyDescent="0.25">
      <c r="A156" s="4"/>
      <c r="B156" s="159">
        <v>0</v>
      </c>
      <c r="C156" s="4">
        <v>2000</v>
      </c>
      <c r="D156" s="4" t="s">
        <v>64</v>
      </c>
      <c r="E156" s="153">
        <f>E81</f>
        <v>505</v>
      </c>
      <c r="F156" s="214">
        <f>Improvements!F80</f>
        <v>21.783000000000001</v>
      </c>
      <c r="G156" s="4">
        <f>G81</f>
        <v>3862.32</v>
      </c>
      <c r="H156" s="4">
        <f>H81</f>
        <v>1950471.6</v>
      </c>
      <c r="I156" s="65">
        <f>ROUND(G156*F156,0)</f>
        <v>84133</v>
      </c>
      <c r="J156" s="4"/>
      <c r="K156" s="4"/>
    </row>
    <row r="157" spans="1:11" ht="15.75" customHeight="1" x14ac:dyDescent="0.25">
      <c r="A157" s="4"/>
      <c r="B157" s="4">
        <v>2001</v>
      </c>
      <c r="C157" s="4">
        <v>100000</v>
      </c>
      <c r="D157" s="4" t="s">
        <v>64</v>
      </c>
      <c r="E157" s="153">
        <f>E82</f>
        <v>5856</v>
      </c>
      <c r="F157" s="37">
        <f>F156+(((E157-C156)/1000)*7.27)</f>
        <v>49.816119999999998</v>
      </c>
      <c r="G157" s="4">
        <f>G82</f>
        <v>2249</v>
      </c>
      <c r="H157" s="4">
        <f>H82</f>
        <v>13170144</v>
      </c>
      <c r="I157" s="65">
        <f>ROUND(G157*F157,0)</f>
        <v>112036</v>
      </c>
      <c r="J157" s="4"/>
      <c r="K157" s="4"/>
    </row>
    <row r="158" spans="1:11" ht="15.75" customHeight="1" x14ac:dyDescent="0.25">
      <c r="A158" s="4"/>
      <c r="B158" s="4">
        <v>100001</v>
      </c>
      <c r="C158" s="4">
        <v>500000</v>
      </c>
      <c r="D158" s="4" t="s">
        <v>64</v>
      </c>
      <c r="E158" s="153">
        <v>0</v>
      </c>
      <c r="F158" s="37"/>
      <c r="G158" s="4">
        <v>0</v>
      </c>
      <c r="H158" s="4">
        <f>G158*E158</f>
        <v>0</v>
      </c>
      <c r="I158" s="65">
        <f t="shared" ref="I158:I159" si="11">ROUND(+G158*F158,0)</f>
        <v>0</v>
      </c>
      <c r="J158" s="4"/>
      <c r="K158" s="4"/>
    </row>
    <row r="159" spans="1:11" ht="15.75" customHeight="1" x14ac:dyDescent="0.4">
      <c r="A159" s="4"/>
      <c r="B159" s="299" t="s">
        <v>201</v>
      </c>
      <c r="C159" s="4">
        <v>500000</v>
      </c>
      <c r="D159" s="4" t="s">
        <v>64</v>
      </c>
      <c r="E159" s="153">
        <v>0</v>
      </c>
      <c r="F159" s="37"/>
      <c r="G159" s="24">
        <v>0</v>
      </c>
      <c r="H159" s="24">
        <f>G159*E159</f>
        <v>0</v>
      </c>
      <c r="I159" s="84">
        <f t="shared" si="11"/>
        <v>0</v>
      </c>
      <c r="J159" s="4"/>
      <c r="K159" s="4"/>
    </row>
    <row r="160" spans="1:11" ht="15.75" customHeight="1" x14ac:dyDescent="0.25">
      <c r="A160" s="4"/>
      <c r="B160" s="4" t="s">
        <v>55</v>
      </c>
      <c r="C160" s="4"/>
      <c r="D160" s="4"/>
      <c r="E160" s="132"/>
      <c r="F160" s="132"/>
      <c r="G160" s="4">
        <f>SUM(G156:G159)</f>
        <v>6111.32</v>
      </c>
      <c r="H160" s="4">
        <f>SUM(H156:H159)</f>
        <v>15120615.6</v>
      </c>
      <c r="I160" s="65">
        <f>SUM(I156:I159)</f>
        <v>196169</v>
      </c>
      <c r="J160" s="4"/>
      <c r="K160" s="4"/>
    </row>
    <row r="161" spans="1:11" ht="15.75" customHeight="1" x14ac:dyDescent="0.25">
      <c r="A161" s="4"/>
      <c r="B161" s="120" t="s">
        <v>197</v>
      </c>
      <c r="C161" s="4"/>
      <c r="D161" s="4"/>
      <c r="E161" s="132"/>
      <c r="F161" s="132"/>
      <c r="G161" s="4"/>
      <c r="H161" s="98"/>
      <c r="I161" s="161">
        <f>+I160/G160</f>
        <v>32.099284606271638</v>
      </c>
      <c r="J161" s="4"/>
      <c r="K161" s="4"/>
    </row>
    <row r="162" spans="1:11" ht="15.75" customHeight="1" x14ac:dyDescent="0.25">
      <c r="A162" s="4"/>
      <c r="B162" s="4" t="s">
        <v>196</v>
      </c>
      <c r="C162" s="4"/>
      <c r="D162" s="4"/>
      <c r="E162" s="132"/>
      <c r="F162" s="132"/>
      <c r="G162" s="4"/>
      <c r="H162" s="4">
        <f>+H160*12</f>
        <v>181447387.19999999</v>
      </c>
      <c r="I162" s="65">
        <f>+I160*12</f>
        <v>2354028</v>
      </c>
      <c r="J162" s="4"/>
      <c r="K162" s="4"/>
    </row>
    <row r="163" spans="1:11" ht="15.75" customHeight="1" x14ac:dyDescent="0.25">
      <c r="A163" s="4"/>
      <c r="B163" s="4"/>
      <c r="C163" s="4"/>
      <c r="D163" s="4"/>
      <c r="E163" s="132"/>
      <c r="F163" s="132"/>
      <c r="G163" s="4"/>
      <c r="H163" s="4"/>
      <c r="I163" s="65"/>
      <c r="J163" s="4"/>
      <c r="K163" s="4"/>
    </row>
    <row r="164" spans="1:11" ht="15.75" customHeight="1" x14ac:dyDescent="0.25">
      <c r="A164" s="4"/>
      <c r="B164" s="368" t="s">
        <v>256</v>
      </c>
      <c r="C164" s="368"/>
      <c r="D164" s="368"/>
      <c r="E164" s="368"/>
      <c r="F164" s="368"/>
      <c r="G164" s="368"/>
      <c r="H164" s="368"/>
      <c r="I164" s="368"/>
      <c r="J164" s="4"/>
      <c r="K164" s="4"/>
    </row>
    <row r="165" spans="1:11" ht="15.75" customHeight="1" x14ac:dyDescent="0.25">
      <c r="A165" s="4"/>
      <c r="B165" s="4"/>
      <c r="C165" s="4"/>
      <c r="D165" s="4"/>
      <c r="E165" s="4"/>
      <c r="F165" s="297" t="s">
        <v>70</v>
      </c>
      <c r="G165" s="297" t="s">
        <v>71</v>
      </c>
      <c r="H165" s="342" t="s">
        <v>195</v>
      </c>
      <c r="I165" s="342"/>
      <c r="J165" s="4"/>
      <c r="K165" s="4"/>
    </row>
    <row r="166" spans="1:11" ht="15.75" customHeight="1" x14ac:dyDescent="0.4">
      <c r="A166" s="4"/>
      <c r="B166" s="4"/>
      <c r="C166" s="4"/>
      <c r="D166" s="4"/>
      <c r="E166" s="218" t="s">
        <v>70</v>
      </c>
      <c r="F166" s="303" t="s">
        <v>87</v>
      </c>
      <c r="G166" s="303" t="s">
        <v>73</v>
      </c>
      <c r="H166" s="303" t="s">
        <v>72</v>
      </c>
      <c r="I166" s="303" t="s">
        <v>89</v>
      </c>
      <c r="J166" s="4"/>
      <c r="K166" s="4"/>
    </row>
    <row r="167" spans="1:11" ht="15.75" customHeight="1" x14ac:dyDescent="0.25">
      <c r="A167" s="4"/>
      <c r="B167" s="4"/>
      <c r="C167" s="4"/>
      <c r="D167" s="4"/>
      <c r="E167" s="4"/>
      <c r="F167" s="132"/>
      <c r="G167" s="1"/>
      <c r="H167" s="4"/>
      <c r="I167" s="132"/>
      <c r="J167" s="4"/>
      <c r="K167" s="4"/>
    </row>
    <row r="168" spans="1:11" ht="15.75" customHeight="1" x14ac:dyDescent="0.25">
      <c r="A168" s="4"/>
      <c r="B168" s="159">
        <v>0</v>
      </c>
      <c r="C168" s="4">
        <v>4000</v>
      </c>
      <c r="D168" s="4" t="s">
        <v>64</v>
      </c>
      <c r="E168" s="153">
        <f>E93</f>
        <v>1180.1020408163265</v>
      </c>
      <c r="F168" s="214">
        <f>Improvements!F86</f>
        <v>36.453400000000002</v>
      </c>
      <c r="G168" s="4">
        <f>G93</f>
        <v>49</v>
      </c>
      <c r="H168" s="4">
        <f>H93</f>
        <v>57825</v>
      </c>
      <c r="I168" s="65">
        <f>ROUND(+G168*F168,0)</f>
        <v>1786</v>
      </c>
      <c r="J168" s="4"/>
      <c r="K168" s="4"/>
    </row>
    <row r="169" spans="1:11" ht="15.75" customHeight="1" x14ac:dyDescent="0.25">
      <c r="A169" s="4"/>
      <c r="B169" s="4">
        <v>4001</v>
      </c>
      <c r="C169" s="4">
        <v>100000</v>
      </c>
      <c r="D169" s="4" t="s">
        <v>64</v>
      </c>
      <c r="E169" s="153">
        <f>E94</f>
        <v>13666.091954022988</v>
      </c>
      <c r="F169" s="37">
        <f>F168+((E169-C168)/1000)*7.27</f>
        <v>106.72588850574712</v>
      </c>
      <c r="G169" s="4">
        <f>G94</f>
        <v>29</v>
      </c>
      <c r="H169" s="4">
        <f>H94</f>
        <v>396316.66666666663</v>
      </c>
      <c r="I169" s="65">
        <f t="shared" ref="I169:I171" si="12">ROUND(+G169*F169,0)</f>
        <v>3095</v>
      </c>
      <c r="J169" s="4"/>
      <c r="K169" s="4"/>
    </row>
    <row r="170" spans="1:11" ht="15.75" customHeight="1" x14ac:dyDescent="0.25">
      <c r="A170" s="4"/>
      <c r="B170" s="4">
        <v>100001</v>
      </c>
      <c r="C170" s="4">
        <v>500000</v>
      </c>
      <c r="D170" s="4" t="s">
        <v>64</v>
      </c>
      <c r="E170" s="153"/>
      <c r="F170" s="37"/>
      <c r="G170" s="4"/>
      <c r="H170" s="4">
        <f>G170*E170</f>
        <v>0</v>
      </c>
      <c r="I170" s="65">
        <f t="shared" si="12"/>
        <v>0</v>
      </c>
      <c r="J170" s="4"/>
      <c r="K170" s="4"/>
    </row>
    <row r="171" spans="1:11" ht="15.75" customHeight="1" x14ac:dyDescent="0.4">
      <c r="A171" s="4"/>
      <c r="B171" s="299" t="s">
        <v>201</v>
      </c>
      <c r="C171" s="4">
        <v>500000</v>
      </c>
      <c r="D171" s="4" t="s">
        <v>64</v>
      </c>
      <c r="E171" s="153">
        <v>0</v>
      </c>
      <c r="F171" s="37"/>
      <c r="G171" s="24"/>
      <c r="H171" s="24">
        <f>G171*E171</f>
        <v>0</v>
      </c>
      <c r="I171" s="84">
        <f t="shared" si="12"/>
        <v>0</v>
      </c>
      <c r="J171" s="4"/>
      <c r="K171" s="4"/>
    </row>
    <row r="172" spans="1:11" ht="15.75" customHeight="1" x14ac:dyDescent="0.25">
      <c r="A172" s="4"/>
      <c r="B172" s="4" t="s">
        <v>55</v>
      </c>
      <c r="C172" s="4"/>
      <c r="D172" s="4"/>
      <c r="E172" s="132"/>
      <c r="F172" s="132"/>
      <c r="G172" s="4">
        <f>SUM(G168:G171)</f>
        <v>78</v>
      </c>
      <c r="H172" s="4">
        <f>SUM(H168:H171)</f>
        <v>454141.66666666663</v>
      </c>
      <c r="I172" s="65">
        <f>SUM(I168:I171)</f>
        <v>4881</v>
      </c>
      <c r="J172" s="4"/>
      <c r="K172" s="4"/>
    </row>
    <row r="173" spans="1:11" ht="15.75" customHeight="1" x14ac:dyDescent="0.25">
      <c r="A173" s="4"/>
      <c r="B173" s="120" t="s">
        <v>197</v>
      </c>
      <c r="C173" s="4"/>
      <c r="D173" s="4"/>
      <c r="E173" s="132"/>
      <c r="F173" s="132"/>
      <c r="G173" s="4"/>
      <c r="H173" s="98"/>
      <c r="I173" s="161">
        <f>+I172/G172</f>
        <v>62.57692307692308</v>
      </c>
      <c r="J173" s="4"/>
      <c r="K173" s="4"/>
    </row>
    <row r="174" spans="1:11" ht="15.75" customHeight="1" x14ac:dyDescent="0.25">
      <c r="A174" s="4"/>
      <c r="B174" s="4" t="s">
        <v>196</v>
      </c>
      <c r="C174" s="4"/>
      <c r="D174" s="4"/>
      <c r="E174" s="132"/>
      <c r="F174" s="132"/>
      <c r="G174" s="4"/>
      <c r="H174" s="4">
        <f>+H172*12</f>
        <v>5449700</v>
      </c>
      <c r="I174" s="65">
        <f>+I172*12</f>
        <v>58572</v>
      </c>
      <c r="J174" s="4"/>
      <c r="K174" s="4"/>
    </row>
    <row r="175" spans="1:11" ht="15.75" customHeight="1" x14ac:dyDescent="0.25">
      <c r="A175" s="4"/>
      <c r="B175" s="299"/>
      <c r="C175" s="4"/>
      <c r="D175" s="4"/>
      <c r="E175" s="155"/>
      <c r="F175" s="160"/>
      <c r="G175" s="4"/>
      <c r="H175" s="4"/>
      <c r="I175" s="163"/>
      <c r="J175" s="4"/>
      <c r="K175" s="4"/>
    </row>
    <row r="176" spans="1:11" ht="15.75" customHeight="1" x14ac:dyDescent="0.25">
      <c r="A176" s="4"/>
      <c r="B176" s="368" t="s">
        <v>254</v>
      </c>
      <c r="C176" s="368"/>
      <c r="D176" s="368"/>
      <c r="E176" s="368"/>
      <c r="F176" s="368"/>
      <c r="G176" s="368"/>
      <c r="H176" s="368"/>
      <c r="I176" s="368"/>
      <c r="J176" s="4"/>
      <c r="K176" s="4"/>
    </row>
    <row r="177" spans="1:11" ht="15.75" customHeight="1" x14ac:dyDescent="0.25">
      <c r="A177" s="4"/>
      <c r="B177" s="4"/>
      <c r="C177" s="4"/>
      <c r="D177" s="4"/>
      <c r="E177" s="4"/>
      <c r="F177" s="297" t="s">
        <v>70</v>
      </c>
      <c r="G177" s="297" t="s">
        <v>71</v>
      </c>
      <c r="H177" s="342" t="s">
        <v>195</v>
      </c>
      <c r="I177" s="342"/>
      <c r="J177" s="4"/>
      <c r="K177" s="4"/>
    </row>
    <row r="178" spans="1:11" ht="15.75" customHeight="1" x14ac:dyDescent="0.4">
      <c r="A178" s="4"/>
      <c r="B178" s="4"/>
      <c r="C178" s="4"/>
      <c r="D178" s="4"/>
      <c r="E178" s="218" t="s">
        <v>70</v>
      </c>
      <c r="F178" s="303" t="s">
        <v>87</v>
      </c>
      <c r="G178" s="303" t="s">
        <v>73</v>
      </c>
      <c r="H178" s="303" t="s">
        <v>72</v>
      </c>
      <c r="I178" s="303" t="s">
        <v>89</v>
      </c>
      <c r="J178" s="4"/>
      <c r="K178" s="4"/>
    </row>
    <row r="179" spans="1:11" ht="15.75" customHeight="1" x14ac:dyDescent="0.25">
      <c r="A179" s="4"/>
      <c r="B179" s="4"/>
      <c r="C179" s="4"/>
      <c r="D179" s="4"/>
      <c r="E179" s="4"/>
      <c r="F179" s="132"/>
      <c r="G179" s="1"/>
      <c r="H179" s="4"/>
      <c r="I179" s="132"/>
      <c r="J179" s="4"/>
      <c r="K179" s="4"/>
    </row>
    <row r="180" spans="1:11" ht="15.75" customHeight="1" x14ac:dyDescent="0.25">
      <c r="A180" s="4"/>
      <c r="B180" s="159">
        <v>0</v>
      </c>
      <c r="C180" s="4">
        <v>8000</v>
      </c>
      <c r="D180" s="4" t="s">
        <v>64</v>
      </c>
      <c r="E180" s="153">
        <f>E105</f>
        <v>1331.25</v>
      </c>
      <c r="F180" s="214">
        <f>Improvements!F92</f>
        <v>65.815400000000011</v>
      </c>
      <c r="G180" s="4">
        <v>4</v>
      </c>
      <c r="H180" s="4">
        <v>5325</v>
      </c>
      <c r="I180" s="65">
        <f>G180*F180</f>
        <v>263.26160000000004</v>
      </c>
      <c r="J180" s="4"/>
      <c r="K180" s="4"/>
    </row>
    <row r="181" spans="1:11" ht="15.75" customHeight="1" x14ac:dyDescent="0.25">
      <c r="A181" s="4"/>
      <c r="B181" s="4">
        <v>8001</v>
      </c>
      <c r="C181" s="4">
        <v>100000</v>
      </c>
      <c r="D181" s="4" t="s">
        <v>64</v>
      </c>
      <c r="E181" s="153">
        <f>E106</f>
        <v>53662.5</v>
      </c>
      <c r="F181" s="37">
        <f>F180+((E181-C180)/1000)*7.27</f>
        <v>397.78177499999998</v>
      </c>
      <c r="G181" s="4">
        <v>2</v>
      </c>
      <c r="H181" s="4">
        <v>107325</v>
      </c>
      <c r="I181" s="65">
        <f>G181*F181</f>
        <v>795.56354999999996</v>
      </c>
      <c r="J181" s="4"/>
      <c r="K181" s="4"/>
    </row>
    <row r="182" spans="1:11" ht="15.75" customHeight="1" x14ac:dyDescent="0.25">
      <c r="A182" s="4"/>
      <c r="B182" s="4">
        <v>100001</v>
      </c>
      <c r="C182" s="4">
        <v>500000</v>
      </c>
      <c r="D182" s="4" t="s">
        <v>64</v>
      </c>
      <c r="E182" s="153">
        <f>E107</f>
        <v>279116.66666666669</v>
      </c>
      <c r="F182" s="214">
        <f>F180+(((C181-C180)/1000)*7.27)+(((E182-C181)/1000)*5.91)</f>
        <v>1793.2348999999999</v>
      </c>
      <c r="G182" s="4">
        <v>1</v>
      </c>
      <c r="H182" s="4">
        <v>46792</v>
      </c>
      <c r="I182" s="65">
        <f>G182*F182</f>
        <v>1793.2348999999999</v>
      </c>
      <c r="J182" s="4"/>
      <c r="K182" s="4"/>
    </row>
    <row r="183" spans="1:11" ht="15.75" customHeight="1" x14ac:dyDescent="0.4">
      <c r="A183" s="4"/>
      <c r="B183" s="299" t="s">
        <v>201</v>
      </c>
      <c r="C183" s="4">
        <v>500000</v>
      </c>
      <c r="D183" s="4" t="s">
        <v>64</v>
      </c>
      <c r="E183" s="153"/>
      <c r="F183" s="37"/>
      <c r="G183" s="24"/>
      <c r="H183" s="24"/>
      <c r="I183" s="84">
        <f t="shared" ref="I183" si="13">ROUND(+G183*F183,0)</f>
        <v>0</v>
      </c>
      <c r="J183" s="4"/>
      <c r="K183" s="4"/>
    </row>
    <row r="184" spans="1:11" ht="15.75" customHeight="1" x14ac:dyDescent="0.25">
      <c r="A184" s="132"/>
      <c r="B184" s="4" t="s">
        <v>55</v>
      </c>
      <c r="C184" s="4"/>
      <c r="D184" s="4"/>
      <c r="E184" s="132"/>
      <c r="F184" s="132"/>
      <c r="G184" s="4">
        <f>SUM(G180:G183)</f>
        <v>7</v>
      </c>
      <c r="H184" s="4">
        <f>SUM(H180:H183)</f>
        <v>159442</v>
      </c>
      <c r="I184" s="65">
        <f>SUM(I180:I183)</f>
        <v>2852.06005</v>
      </c>
      <c r="J184" s="4"/>
      <c r="K184" s="4"/>
    </row>
    <row r="185" spans="1:11" ht="15.75" customHeight="1" x14ac:dyDescent="0.25">
      <c r="A185" s="132"/>
      <c r="B185" s="120" t="s">
        <v>197</v>
      </c>
      <c r="C185" s="4"/>
      <c r="D185" s="4"/>
      <c r="E185" s="132"/>
      <c r="F185" s="132"/>
      <c r="G185" s="4"/>
      <c r="H185" s="98"/>
      <c r="I185" s="161">
        <f>+I184/G184</f>
        <v>407.43715000000003</v>
      </c>
      <c r="J185" s="4"/>
      <c r="K185" s="4"/>
    </row>
    <row r="186" spans="1:11" ht="15.75" customHeight="1" x14ac:dyDescent="0.25">
      <c r="A186" s="132"/>
      <c r="B186" s="4" t="s">
        <v>196</v>
      </c>
      <c r="C186" s="4"/>
      <c r="D186" s="4"/>
      <c r="E186" s="132"/>
      <c r="F186" s="132"/>
      <c r="G186" s="4"/>
      <c r="H186" s="4">
        <f>+H184*12</f>
        <v>1913304</v>
      </c>
      <c r="I186" s="65">
        <f>+I184*12</f>
        <v>34224.720600000001</v>
      </c>
      <c r="J186" s="4"/>
      <c r="K186" s="4"/>
    </row>
    <row r="187" spans="1:11" ht="15.75" customHeight="1" x14ac:dyDescent="0.25">
      <c r="A187" s="132"/>
      <c r="B187" s="298"/>
      <c r="C187" s="297"/>
      <c r="D187" s="297"/>
      <c r="E187" s="132"/>
      <c r="F187" s="165"/>
      <c r="G187" s="132"/>
      <c r="H187" s="132"/>
      <c r="I187" s="165"/>
      <c r="J187" s="4"/>
      <c r="K187" s="4"/>
    </row>
    <row r="188" spans="1:11" ht="15.75" customHeight="1" x14ac:dyDescent="0.25">
      <c r="A188" s="132"/>
      <c r="B188" s="368" t="s">
        <v>255</v>
      </c>
      <c r="C188" s="368"/>
      <c r="D188" s="368"/>
      <c r="E188" s="368"/>
      <c r="F188" s="368"/>
      <c r="G188" s="368"/>
      <c r="H188" s="368"/>
      <c r="I188" s="368"/>
      <c r="J188" s="4"/>
      <c r="K188" s="4"/>
    </row>
    <row r="189" spans="1:11" ht="15.75" customHeight="1" x14ac:dyDescent="0.25">
      <c r="A189" s="132"/>
      <c r="B189" s="4"/>
      <c r="C189" s="4"/>
      <c r="D189" s="4"/>
      <c r="E189" s="4"/>
      <c r="F189" s="297" t="s">
        <v>70</v>
      </c>
      <c r="G189" s="297" t="s">
        <v>71</v>
      </c>
      <c r="H189" s="342" t="s">
        <v>195</v>
      </c>
      <c r="I189" s="342"/>
      <c r="J189" s="4"/>
      <c r="K189" s="4"/>
    </row>
    <row r="190" spans="1:11" ht="15.75" customHeight="1" x14ac:dyDescent="0.4">
      <c r="A190" s="132"/>
      <c r="B190" s="4"/>
      <c r="C190" s="4"/>
      <c r="D190" s="4"/>
      <c r="E190" s="218" t="s">
        <v>70</v>
      </c>
      <c r="F190" s="303" t="s">
        <v>87</v>
      </c>
      <c r="G190" s="303" t="s">
        <v>73</v>
      </c>
      <c r="H190" s="303" t="s">
        <v>72</v>
      </c>
      <c r="I190" s="303" t="s">
        <v>89</v>
      </c>
      <c r="J190" s="4"/>
      <c r="K190" s="4"/>
    </row>
    <row r="191" spans="1:11" ht="15.75" customHeight="1" x14ac:dyDescent="0.25">
      <c r="A191" s="132"/>
      <c r="B191" s="4"/>
      <c r="C191" s="4"/>
      <c r="D191" s="4"/>
      <c r="E191" s="4"/>
      <c r="F191" s="132"/>
      <c r="G191" s="1"/>
      <c r="H191" s="4"/>
      <c r="I191" s="132"/>
      <c r="J191" s="4"/>
      <c r="K191" s="4"/>
    </row>
    <row r="192" spans="1:11" ht="15.75" customHeight="1" x14ac:dyDescent="0.25">
      <c r="A192" s="132"/>
      <c r="B192" s="159">
        <v>0</v>
      </c>
      <c r="C192" s="4">
        <v>15000</v>
      </c>
      <c r="D192" s="4" t="s">
        <v>64</v>
      </c>
      <c r="E192" s="153">
        <f>E117</f>
        <v>2497.0588235294117</v>
      </c>
      <c r="F192" s="214">
        <f>Improvements!F98</f>
        <v>117.1936</v>
      </c>
      <c r="G192" s="4">
        <f t="shared" ref="G192:H194" si="14">G117</f>
        <v>17</v>
      </c>
      <c r="H192" s="4">
        <f t="shared" si="14"/>
        <v>42450</v>
      </c>
      <c r="I192" s="65">
        <f>G192*F192</f>
        <v>1992.2912000000001</v>
      </c>
      <c r="J192" s="4"/>
      <c r="K192" s="4"/>
    </row>
    <row r="193" spans="1:11" ht="15.75" customHeight="1" x14ac:dyDescent="0.25">
      <c r="A193" s="132"/>
      <c r="B193" s="4">
        <v>15001</v>
      </c>
      <c r="C193" s="4">
        <v>100000</v>
      </c>
      <c r="D193" s="4" t="s">
        <v>64</v>
      </c>
      <c r="E193" s="153">
        <f>E118</f>
        <v>70064.583333333328</v>
      </c>
      <c r="F193" s="37">
        <f>F192+((E193-C192)/1000)*7.27</f>
        <v>517.51312083333323</v>
      </c>
      <c r="G193" s="4">
        <f t="shared" si="14"/>
        <v>4</v>
      </c>
      <c r="H193" s="4">
        <f t="shared" si="14"/>
        <v>280258.33333333331</v>
      </c>
      <c r="I193" s="65">
        <f>G193*F193</f>
        <v>2070.0524833333329</v>
      </c>
      <c r="J193" s="4"/>
      <c r="K193" s="4"/>
    </row>
    <row r="194" spans="1:11" ht="15.75" customHeight="1" x14ac:dyDescent="0.25">
      <c r="A194" s="132"/>
      <c r="B194" s="4">
        <v>100001</v>
      </c>
      <c r="C194" s="4">
        <v>500000</v>
      </c>
      <c r="D194" s="4" t="s">
        <v>64</v>
      </c>
      <c r="E194" s="153">
        <f>E119</f>
        <v>279116.66666666669</v>
      </c>
      <c r="F194" s="214">
        <f>F192+(((C193-C192)/1000)*7.27)+(((E194-C193)/1000)*5.91)</f>
        <v>1793.7230999999999</v>
      </c>
      <c r="G194" s="4">
        <f t="shared" si="14"/>
        <v>1</v>
      </c>
      <c r="H194" s="4">
        <f t="shared" si="14"/>
        <v>279116.66666666669</v>
      </c>
      <c r="I194" s="65">
        <f>G194*F194</f>
        <v>1793.7230999999999</v>
      </c>
      <c r="J194" s="4"/>
      <c r="K194" s="4"/>
    </row>
    <row r="195" spans="1:11" ht="15.75" customHeight="1" x14ac:dyDescent="0.4">
      <c r="A195" s="132"/>
      <c r="B195" s="299" t="s">
        <v>201</v>
      </c>
      <c r="C195" s="4">
        <v>500000</v>
      </c>
      <c r="D195" s="4" t="s">
        <v>64</v>
      </c>
      <c r="E195" s="153"/>
      <c r="F195" s="37"/>
      <c r="G195" s="24"/>
      <c r="H195" s="24">
        <f>G195*E195</f>
        <v>0</v>
      </c>
      <c r="I195" s="84">
        <f t="shared" ref="I195" si="15">ROUND(+G195*F195,0)</f>
        <v>0</v>
      </c>
      <c r="J195" s="4"/>
      <c r="K195" s="4"/>
    </row>
    <row r="196" spans="1:11" ht="15.75" customHeight="1" x14ac:dyDescent="0.25">
      <c r="A196" s="4"/>
      <c r="B196" s="4" t="s">
        <v>55</v>
      </c>
      <c r="C196" s="4"/>
      <c r="D196" s="4"/>
      <c r="E196" s="132"/>
      <c r="F196" s="132"/>
      <c r="G196" s="4">
        <f>SUM(G192:G195)</f>
        <v>22</v>
      </c>
      <c r="H196" s="4">
        <f>SUM(H192:H195)</f>
        <v>601825</v>
      </c>
      <c r="I196" s="65">
        <f>SUM(I192:I195)</f>
        <v>5856.0667833333328</v>
      </c>
      <c r="J196" s="4"/>
      <c r="K196" s="4"/>
    </row>
    <row r="197" spans="1:11" ht="15.75" customHeight="1" x14ac:dyDescent="0.25">
      <c r="A197" s="4"/>
      <c r="B197" s="120" t="s">
        <v>197</v>
      </c>
      <c r="C197" s="4"/>
      <c r="D197" s="4"/>
      <c r="E197" s="132"/>
      <c r="F197" s="132"/>
      <c r="G197" s="4"/>
      <c r="H197" s="98"/>
      <c r="I197" s="161">
        <f>+I196/G196</f>
        <v>266.18485378787875</v>
      </c>
      <c r="J197" s="4"/>
      <c r="K197" s="4"/>
    </row>
    <row r="198" spans="1:11" ht="15.75" customHeight="1" x14ac:dyDescent="0.25">
      <c r="A198" s="4"/>
      <c r="B198" s="4" t="s">
        <v>196</v>
      </c>
      <c r="C198" s="4"/>
      <c r="D198" s="4"/>
      <c r="E198" s="132"/>
      <c r="F198" s="132"/>
      <c r="G198" s="4"/>
      <c r="H198" s="4">
        <f>+H196*12</f>
        <v>7221900</v>
      </c>
      <c r="I198" s="65">
        <f>+I196*12</f>
        <v>70272.801399999997</v>
      </c>
      <c r="J198" s="4"/>
      <c r="K198" s="4"/>
    </row>
    <row r="199" spans="1:11" ht="15.75" customHeight="1" x14ac:dyDescent="0.25">
      <c r="A199" s="4"/>
      <c r="B199" s="298"/>
      <c r="C199" s="297"/>
      <c r="D199" s="297"/>
      <c r="E199" s="132"/>
      <c r="F199" s="165"/>
      <c r="G199" s="132"/>
      <c r="H199" s="132"/>
      <c r="I199" s="165"/>
      <c r="J199" s="4"/>
      <c r="K199" s="4"/>
    </row>
    <row r="200" spans="1:11" ht="15.75" customHeight="1" x14ac:dyDescent="0.25">
      <c r="A200" s="4"/>
      <c r="B200" s="368" t="s">
        <v>258</v>
      </c>
      <c r="C200" s="368"/>
      <c r="D200" s="368"/>
      <c r="E200" s="368"/>
      <c r="F200" s="368"/>
      <c r="G200" s="368"/>
      <c r="H200" s="368"/>
      <c r="I200" s="368"/>
      <c r="J200" s="4"/>
      <c r="K200" s="4"/>
    </row>
    <row r="201" spans="1:11" ht="15.75" customHeight="1" x14ac:dyDescent="0.25">
      <c r="A201" s="4"/>
      <c r="B201" s="4"/>
      <c r="C201" s="4"/>
      <c r="D201" s="4"/>
      <c r="E201" s="4"/>
      <c r="F201" s="297" t="s">
        <v>70</v>
      </c>
      <c r="G201" s="297" t="s">
        <v>71</v>
      </c>
      <c r="H201" s="342" t="s">
        <v>195</v>
      </c>
      <c r="I201" s="342"/>
      <c r="J201" s="4"/>
      <c r="K201" s="4"/>
    </row>
    <row r="202" spans="1:11" ht="15.75" customHeight="1" x14ac:dyDescent="0.4">
      <c r="A202" s="4"/>
      <c r="B202" s="4"/>
      <c r="C202" s="4"/>
      <c r="D202" s="4"/>
      <c r="E202" s="218" t="s">
        <v>70</v>
      </c>
      <c r="F202" s="303" t="s">
        <v>87</v>
      </c>
      <c r="G202" s="303" t="s">
        <v>73</v>
      </c>
      <c r="H202" s="303" t="s">
        <v>72</v>
      </c>
      <c r="I202" s="303" t="s">
        <v>89</v>
      </c>
      <c r="J202" s="4"/>
      <c r="K202" s="4"/>
    </row>
    <row r="203" spans="1:11" ht="15.75" customHeight="1" x14ac:dyDescent="0.25">
      <c r="A203" s="4"/>
      <c r="B203" s="4"/>
      <c r="C203" s="4"/>
      <c r="D203" s="4"/>
      <c r="E203" s="4"/>
      <c r="F203" s="132"/>
      <c r="G203" s="1"/>
      <c r="H203" s="4"/>
      <c r="I203" s="132"/>
      <c r="J203" s="4"/>
      <c r="K203" s="4"/>
    </row>
    <row r="204" spans="1:11" ht="15.75" customHeight="1" x14ac:dyDescent="0.25">
      <c r="A204" s="4"/>
      <c r="B204" s="159">
        <v>0</v>
      </c>
      <c r="C204" s="4">
        <v>25000</v>
      </c>
      <c r="D204" s="4" t="s">
        <v>64</v>
      </c>
      <c r="E204" s="153">
        <f>Usage!E291</f>
        <v>0</v>
      </c>
      <c r="F204" s="214"/>
      <c r="G204" s="4">
        <f>Usage!F291</f>
        <v>0</v>
      </c>
      <c r="H204" s="4">
        <f>G204*E204</f>
        <v>0</v>
      </c>
      <c r="I204" s="65">
        <f>G204*F204</f>
        <v>0</v>
      </c>
      <c r="J204" s="4"/>
      <c r="K204" s="4"/>
    </row>
    <row r="205" spans="1:11" ht="15.75" customHeight="1" x14ac:dyDescent="0.25">
      <c r="A205" s="4"/>
      <c r="B205" s="4">
        <v>25001</v>
      </c>
      <c r="C205" s="4">
        <v>100000</v>
      </c>
      <c r="D205" s="4" t="s">
        <v>64</v>
      </c>
      <c r="E205" s="153">
        <v>0</v>
      </c>
      <c r="F205" s="37"/>
      <c r="G205" s="4">
        <f>Usage!F292</f>
        <v>0</v>
      </c>
      <c r="H205" s="4">
        <f>G205*E205</f>
        <v>0</v>
      </c>
      <c r="I205" s="65">
        <f>G205*F205</f>
        <v>0</v>
      </c>
      <c r="J205" s="4"/>
      <c r="K205" s="4"/>
    </row>
    <row r="206" spans="1:11" ht="15.75" customHeight="1" x14ac:dyDescent="0.25">
      <c r="A206" s="4"/>
      <c r="B206" s="4">
        <v>100001</v>
      </c>
      <c r="C206" s="4">
        <v>500000</v>
      </c>
      <c r="D206" s="4" t="s">
        <v>64</v>
      </c>
      <c r="E206" s="153">
        <v>0</v>
      </c>
      <c r="F206" s="214"/>
      <c r="G206" s="4"/>
      <c r="H206" s="4">
        <f>G206*E206</f>
        <v>0</v>
      </c>
      <c r="I206" s="65">
        <f>G206*F206</f>
        <v>0</v>
      </c>
      <c r="J206" s="4"/>
      <c r="K206" s="4"/>
    </row>
    <row r="207" spans="1:11" ht="15.75" customHeight="1" x14ac:dyDescent="0.4">
      <c r="A207" s="4"/>
      <c r="B207" s="299" t="s">
        <v>201</v>
      </c>
      <c r="C207" s="4">
        <v>500000</v>
      </c>
      <c r="D207" s="4" t="s">
        <v>64</v>
      </c>
      <c r="E207" s="153">
        <f>E132</f>
        <v>2225533.3333333335</v>
      </c>
      <c r="F207" s="214">
        <f>188.8+(((C205-C204)/1000)*7.27)+(((C206-C205)/1000)*5.91)+(((E207-C207)/1000)*4.32)</f>
        <v>10552.354000000001</v>
      </c>
      <c r="G207" s="24">
        <v>1</v>
      </c>
      <c r="H207" s="24">
        <f>H132</f>
        <v>2225533.3333333335</v>
      </c>
      <c r="I207" s="84">
        <f t="shared" ref="I207" si="16">ROUND(+G207*F207,0)</f>
        <v>10552</v>
      </c>
      <c r="J207" s="4"/>
      <c r="K207" s="4"/>
    </row>
    <row r="208" spans="1:11" ht="15.75" customHeight="1" x14ac:dyDescent="0.25">
      <c r="A208" s="4"/>
      <c r="B208" s="4" t="s">
        <v>55</v>
      </c>
      <c r="C208" s="4"/>
      <c r="D208" s="4"/>
      <c r="E208" s="132"/>
      <c r="F208" s="132"/>
      <c r="G208" s="4">
        <f>SUM(G204:G207)</f>
        <v>1</v>
      </c>
      <c r="H208" s="4">
        <f>SUM(H204:H207)</f>
        <v>2225533.3333333335</v>
      </c>
      <c r="I208" s="65">
        <f>SUM(I204:I207)</f>
        <v>10552</v>
      </c>
      <c r="J208" s="4"/>
      <c r="K208" s="4"/>
    </row>
    <row r="209" spans="1:11" ht="15.75" customHeight="1" x14ac:dyDescent="0.25">
      <c r="A209" s="132"/>
      <c r="B209" s="120" t="s">
        <v>197</v>
      </c>
      <c r="C209" s="4"/>
      <c r="D209" s="4"/>
      <c r="E209" s="132"/>
      <c r="F209" s="132"/>
      <c r="G209" s="4"/>
      <c r="H209" s="98"/>
      <c r="I209" s="161">
        <f>+I208/G208</f>
        <v>10552</v>
      </c>
      <c r="J209" s="4"/>
      <c r="K209" s="4"/>
    </row>
    <row r="210" spans="1:11" ht="15.75" customHeight="1" x14ac:dyDescent="0.25">
      <c r="A210" s="132"/>
      <c r="B210" s="4" t="s">
        <v>196</v>
      </c>
      <c r="C210" s="4"/>
      <c r="D210" s="4"/>
      <c r="E210" s="132"/>
      <c r="F210" s="132"/>
      <c r="G210" s="4"/>
      <c r="H210" s="4">
        <f>+H208*12</f>
        <v>26706400</v>
      </c>
      <c r="I210" s="65">
        <f>+I208*12</f>
        <v>126624</v>
      </c>
      <c r="J210" s="4"/>
      <c r="K210" s="4"/>
    </row>
    <row r="211" spans="1:11" ht="15.75" customHeight="1" x14ac:dyDescent="0.25">
      <c r="A211" s="132"/>
      <c r="B211" s="298"/>
      <c r="C211" s="297"/>
      <c r="D211" s="297"/>
      <c r="E211" s="132"/>
      <c r="F211" s="165"/>
      <c r="G211" s="132"/>
      <c r="H211" s="132"/>
      <c r="I211" s="165"/>
      <c r="J211" s="4"/>
      <c r="K211" s="4"/>
    </row>
    <row r="212" spans="1:11" ht="15.75" customHeight="1" x14ac:dyDescent="0.25">
      <c r="A212" s="132"/>
      <c r="B212" s="298" t="s">
        <v>290</v>
      </c>
      <c r="C212" s="297"/>
      <c r="D212" s="297"/>
      <c r="E212" s="132"/>
      <c r="F212" s="165"/>
      <c r="G212" s="132"/>
      <c r="H212" s="132"/>
      <c r="I212" s="37">
        <f>I210+I198+I186+I174+I162</f>
        <v>2643721.5219999999</v>
      </c>
      <c r="J212" s="4"/>
      <c r="K212" s="4"/>
    </row>
    <row r="213" spans="1:11" ht="15.75" customHeight="1" x14ac:dyDescent="0.25">
      <c r="A213" s="132"/>
      <c r="B213" s="298"/>
      <c r="C213" s="297"/>
      <c r="D213" s="297"/>
      <c r="E213" s="132"/>
      <c r="F213" s="165"/>
      <c r="G213" s="132"/>
      <c r="H213" s="132"/>
      <c r="I213" s="165"/>
      <c r="J213" s="4"/>
      <c r="K213" s="4"/>
    </row>
    <row r="214" spans="1:11" ht="15.75" customHeight="1" x14ac:dyDescent="0.25">
      <c r="A214" s="4"/>
      <c r="B214" s="368" t="s">
        <v>301</v>
      </c>
      <c r="C214" s="368"/>
      <c r="D214" s="368"/>
      <c r="E214" s="368"/>
      <c r="F214" s="368"/>
      <c r="G214" s="368"/>
      <c r="H214" s="368"/>
      <c r="I214" s="368"/>
      <c r="J214" s="4"/>
      <c r="K214" s="4"/>
    </row>
    <row r="215" spans="1:11" ht="15.75" customHeight="1" x14ac:dyDescent="0.25">
      <c r="A215" s="4"/>
      <c r="B215" s="4"/>
      <c r="C215" s="4"/>
      <c r="D215" s="4"/>
      <c r="E215" s="4"/>
      <c r="F215" s="297" t="s">
        <v>70</v>
      </c>
      <c r="G215" s="297" t="s">
        <v>71</v>
      </c>
      <c r="H215" s="342" t="s">
        <v>195</v>
      </c>
      <c r="I215" s="342"/>
      <c r="J215" s="4"/>
      <c r="K215" s="4"/>
    </row>
    <row r="216" spans="1:11" ht="15.75" customHeight="1" x14ac:dyDescent="0.4">
      <c r="A216" s="4"/>
      <c r="B216" s="4"/>
      <c r="C216" s="4"/>
      <c r="D216" s="4"/>
      <c r="E216" s="218" t="s">
        <v>70</v>
      </c>
      <c r="F216" s="303" t="s">
        <v>87</v>
      </c>
      <c r="G216" s="303" t="s">
        <v>73</v>
      </c>
      <c r="H216" s="303" t="s">
        <v>72</v>
      </c>
      <c r="I216" s="303" t="s">
        <v>89</v>
      </c>
      <c r="J216" s="4"/>
      <c r="K216" s="4"/>
    </row>
    <row r="217" spans="1:11" ht="15.75" customHeight="1" x14ac:dyDescent="0.25">
      <c r="A217" s="4"/>
      <c r="B217" s="4"/>
      <c r="C217" s="4"/>
      <c r="D217" s="4"/>
      <c r="E217" s="4"/>
      <c r="F217" s="132"/>
      <c r="G217" s="1"/>
      <c r="H217" s="4"/>
      <c r="I217" s="132"/>
      <c r="J217" s="4"/>
      <c r="K217" s="4"/>
    </row>
    <row r="218" spans="1:11" ht="15.75" customHeight="1" x14ac:dyDescent="0.4">
      <c r="A218" s="4"/>
      <c r="B218" s="159">
        <v>0</v>
      </c>
      <c r="C218" s="4">
        <v>1000</v>
      </c>
      <c r="D218" s="4" t="s">
        <v>64</v>
      </c>
      <c r="E218" s="153">
        <f>E143</f>
        <v>1016634.7222222221</v>
      </c>
      <c r="F218" s="214">
        <f>(E218/1000)*2.45</f>
        <v>2490.7550694444444</v>
      </c>
      <c r="G218" s="35">
        <v>6</v>
      </c>
      <c r="H218" s="329">
        <f>H143</f>
        <v>6099808.333333333</v>
      </c>
      <c r="I218" s="84">
        <f>G218*F218</f>
        <v>14944.530416666666</v>
      </c>
      <c r="J218" s="4"/>
      <c r="K218" s="4"/>
    </row>
    <row r="219" spans="1:11" ht="15.75" customHeight="1" x14ac:dyDescent="0.4">
      <c r="A219" s="4"/>
      <c r="B219" s="159"/>
      <c r="C219" s="4"/>
      <c r="D219" s="4"/>
      <c r="E219" s="153"/>
      <c r="F219" s="214"/>
      <c r="G219" s="35"/>
      <c r="H219" s="24"/>
      <c r="I219" s="84"/>
      <c r="J219" s="4"/>
      <c r="K219" s="4"/>
    </row>
    <row r="220" spans="1:11" ht="15.75" customHeight="1" x14ac:dyDescent="0.25">
      <c r="A220" s="4"/>
      <c r="B220" s="4" t="s">
        <v>55</v>
      </c>
      <c r="C220" s="4"/>
      <c r="D220" s="4"/>
      <c r="E220" s="132"/>
      <c r="F220" s="132"/>
      <c r="G220" s="4">
        <f>SUM(G218:G218)</f>
        <v>6</v>
      </c>
      <c r="H220" s="4">
        <f>H218</f>
        <v>6099808.333333333</v>
      </c>
      <c r="I220" s="65">
        <f>SUM(I218:I218)</f>
        <v>14944.530416666666</v>
      </c>
      <c r="J220" s="4"/>
      <c r="K220" s="4"/>
    </row>
    <row r="221" spans="1:11" ht="15.75" customHeight="1" x14ac:dyDescent="0.25">
      <c r="A221" s="4"/>
      <c r="B221" s="120" t="s">
        <v>197</v>
      </c>
      <c r="C221" s="4"/>
      <c r="D221" s="4"/>
      <c r="E221" s="132"/>
      <c r="F221" s="132"/>
      <c r="G221" s="4"/>
      <c r="H221" s="98"/>
      <c r="I221" s="161">
        <f>+I220/G220</f>
        <v>2490.7550694444444</v>
      </c>
      <c r="J221" s="4"/>
      <c r="K221" s="4"/>
    </row>
    <row r="222" spans="1:11" ht="15.75" customHeight="1" x14ac:dyDescent="0.25">
      <c r="A222" s="4"/>
      <c r="B222" s="4" t="s">
        <v>196</v>
      </c>
      <c r="C222" s="4"/>
      <c r="D222" s="4"/>
      <c r="E222" s="132"/>
      <c r="F222" s="132"/>
      <c r="G222" s="4"/>
      <c r="H222" s="4">
        <f>+H220*12</f>
        <v>73197700</v>
      </c>
      <c r="I222" s="65">
        <f>+I220*12</f>
        <v>179334.36499999999</v>
      </c>
      <c r="J222" s="4"/>
      <c r="K222" s="4"/>
    </row>
    <row r="223" spans="1:11" ht="15.75" customHeight="1" x14ac:dyDescent="0.25">
      <c r="A223" s="4"/>
      <c r="B223" s="4"/>
      <c r="C223" s="4"/>
      <c r="D223" s="4"/>
      <c r="E223" s="4"/>
      <c r="F223" s="4"/>
      <c r="G223" s="4"/>
      <c r="H223" s="4"/>
      <c r="I223" s="4"/>
      <c r="J223" s="4"/>
      <c r="K223" s="4"/>
    </row>
    <row r="224" spans="1:11" ht="15.75" customHeight="1" x14ac:dyDescent="0.25">
      <c r="A224" s="4"/>
      <c r="B224" s="4"/>
      <c r="C224" s="4"/>
      <c r="D224" s="4"/>
      <c r="E224" s="4"/>
      <c r="F224" s="132"/>
      <c r="G224" s="132"/>
      <c r="H224" s="52"/>
      <c r="I224" s="4">
        <f>I222+I212</f>
        <v>2823055.8870000001</v>
      </c>
      <c r="J224" s="4"/>
      <c r="K224" s="4"/>
    </row>
    <row r="225" spans="1:11" ht="15.75" customHeight="1" x14ac:dyDescent="0.25">
      <c r="A225" s="4"/>
      <c r="B225" s="4"/>
      <c r="C225" s="4"/>
      <c r="D225" s="4"/>
      <c r="E225" s="4"/>
      <c r="F225" s="132"/>
      <c r="G225" s="132"/>
      <c r="H225" s="52"/>
      <c r="I225" s="4"/>
      <c r="J225" s="4"/>
      <c r="K225" s="4"/>
    </row>
    <row r="226" spans="1:11" ht="15.75" customHeight="1" x14ac:dyDescent="0.25">
      <c r="A226" s="4"/>
      <c r="B226" s="4"/>
      <c r="C226" s="4"/>
      <c r="D226" s="4"/>
      <c r="E226" s="4"/>
      <c r="F226" s="132"/>
      <c r="G226" s="132"/>
      <c r="H226" s="52"/>
      <c r="I226" s="4"/>
      <c r="J226" s="4"/>
      <c r="K226" s="4"/>
    </row>
    <row r="227" spans="1:11" ht="15.75" customHeight="1" x14ac:dyDescent="0.25">
      <c r="A227" s="4"/>
      <c r="B227" s="4"/>
      <c r="C227" s="4"/>
      <c r="D227" s="4"/>
      <c r="E227" s="4"/>
      <c r="F227" s="132"/>
      <c r="G227" s="132"/>
      <c r="H227" s="52"/>
      <c r="I227" s="4"/>
      <c r="J227" s="4"/>
      <c r="K227" s="4"/>
    </row>
    <row r="228" spans="1:11" ht="15.75" customHeight="1" x14ac:dyDescent="0.25">
      <c r="A228" s="1" t="s">
        <v>224</v>
      </c>
      <c r="B228" s="4"/>
      <c r="C228" s="4"/>
      <c r="D228" s="4"/>
      <c r="E228" s="4"/>
      <c r="F228" s="4"/>
      <c r="G228" s="45"/>
      <c r="H228" s="4"/>
      <c r="I228" s="4"/>
      <c r="J228" s="4"/>
      <c r="K228" s="4"/>
    </row>
    <row r="229" spans="1:11" ht="15.75" customHeight="1" x14ac:dyDescent="0.25">
      <c r="A229" s="4"/>
      <c r="B229" s="4"/>
      <c r="C229" s="4"/>
      <c r="D229" s="4"/>
      <c r="E229" s="4"/>
      <c r="F229" s="4"/>
      <c r="G229" s="4"/>
      <c r="H229" s="4"/>
      <c r="I229" s="4"/>
      <c r="J229" s="4"/>
      <c r="K229" s="4"/>
    </row>
    <row r="230" spans="1:11" ht="15.75" customHeight="1" x14ac:dyDescent="0.25">
      <c r="A230" s="369" t="s">
        <v>104</v>
      </c>
      <c r="B230" s="369"/>
      <c r="C230" s="369"/>
      <c r="D230" s="369"/>
      <c r="E230" s="369"/>
      <c r="F230" s="369"/>
      <c r="G230" s="369"/>
      <c r="H230" s="369"/>
      <c r="I230" s="369"/>
      <c r="J230" s="369"/>
      <c r="K230" s="4"/>
    </row>
    <row r="231" spans="1:11" ht="15.75" customHeight="1" x14ac:dyDescent="0.25">
      <c r="A231" s="369"/>
      <c r="B231" s="369"/>
      <c r="C231" s="369"/>
      <c r="D231" s="369"/>
      <c r="E231" s="369"/>
      <c r="F231" s="369"/>
      <c r="G231" s="369"/>
      <c r="H231" s="369"/>
      <c r="I231" s="369"/>
      <c r="J231" s="369"/>
      <c r="K231" s="4"/>
    </row>
    <row r="232" spans="1:11" ht="15.75" customHeight="1" x14ac:dyDescent="0.25">
      <c r="A232" s="4"/>
      <c r="B232" s="4"/>
      <c r="C232" s="4"/>
      <c r="D232" s="4"/>
      <c r="E232" s="4"/>
      <c r="F232" s="4"/>
      <c r="G232" s="4"/>
      <c r="H232" s="4"/>
      <c r="I232" s="4"/>
      <c r="J232" s="4"/>
      <c r="K232" s="4"/>
    </row>
    <row r="233" spans="1:11" ht="15.75" customHeight="1" x14ac:dyDescent="0.25">
      <c r="A233" s="4"/>
      <c r="B233" s="4" t="s">
        <v>105</v>
      </c>
      <c r="C233" s="4" t="s">
        <v>106</v>
      </c>
      <c r="D233" s="4" t="s">
        <v>106</v>
      </c>
      <c r="E233" s="4" t="s">
        <v>107</v>
      </c>
      <c r="F233" s="4"/>
      <c r="G233" s="4"/>
      <c r="H233" s="4"/>
      <c r="I233" s="4"/>
      <c r="J233" s="4"/>
      <c r="K233" s="4"/>
    </row>
    <row r="234" spans="1:11" ht="15.75" customHeight="1" x14ac:dyDescent="0.25">
      <c r="A234" s="4"/>
      <c r="B234" s="1" t="s">
        <v>108</v>
      </c>
      <c r="C234" s="1" t="s">
        <v>109</v>
      </c>
      <c r="D234" s="1" t="s">
        <v>110</v>
      </c>
      <c r="E234" s="1" t="s">
        <v>111</v>
      </c>
      <c r="F234" s="4"/>
      <c r="G234" s="4"/>
      <c r="H234" s="4"/>
      <c r="I234" s="4"/>
      <c r="J234" s="4"/>
      <c r="K234" s="4"/>
    </row>
    <row r="235" spans="1:11" ht="15.75" customHeight="1" x14ac:dyDescent="0.25">
      <c r="A235" s="4"/>
      <c r="B235" s="4"/>
      <c r="C235" s="4"/>
      <c r="D235" s="4"/>
      <c r="E235" s="4"/>
      <c r="F235" s="4"/>
      <c r="G235" s="4"/>
      <c r="H235" s="4"/>
      <c r="I235" s="4"/>
      <c r="J235" s="4"/>
      <c r="K235" s="4"/>
    </row>
    <row r="236" spans="1:11" ht="15.75" customHeight="1" x14ac:dyDescent="0.25">
      <c r="A236" s="4"/>
      <c r="B236" s="4"/>
      <c r="C236" s="4"/>
      <c r="D236" s="4"/>
      <c r="E236" s="4"/>
      <c r="F236" s="4"/>
      <c r="G236" s="4"/>
      <c r="H236" s="4"/>
      <c r="I236" s="4"/>
      <c r="J236" s="4"/>
      <c r="K236" s="4"/>
    </row>
    <row r="237" spans="1:11" ht="15.75" customHeight="1" x14ac:dyDescent="0.25">
      <c r="A237" s="4" t="s">
        <v>101</v>
      </c>
      <c r="B237" s="4" t="s">
        <v>209</v>
      </c>
      <c r="C237" s="4"/>
      <c r="D237" s="4"/>
      <c r="E237" s="4"/>
      <c r="F237" s="4"/>
      <c r="G237" s="4"/>
      <c r="H237" s="4"/>
      <c r="I237" s="4"/>
      <c r="J237" s="4"/>
      <c r="K237" s="4"/>
    </row>
    <row r="238" spans="1:11" ht="15.75" customHeight="1" x14ac:dyDescent="0.25">
      <c r="A238" s="132"/>
      <c r="B238" s="4" t="s">
        <v>210</v>
      </c>
      <c r="C238" s="4"/>
      <c r="D238" s="4"/>
      <c r="E238" s="4"/>
      <c r="F238" s="4"/>
      <c r="G238" s="4"/>
      <c r="H238" s="4"/>
      <c r="I238" s="4"/>
      <c r="J238" s="4"/>
      <c r="K238" s="4"/>
    </row>
    <row r="239" spans="1:11" ht="15.75" customHeight="1" x14ac:dyDescent="0.25">
      <c r="A239" s="4"/>
      <c r="B239" s="4"/>
      <c r="C239" s="4"/>
      <c r="D239" s="4"/>
      <c r="E239" s="4"/>
      <c r="F239" s="4"/>
      <c r="G239" s="4"/>
      <c r="H239" s="4"/>
      <c r="I239" s="4"/>
      <c r="J239" s="4"/>
      <c r="K239" s="4"/>
    </row>
    <row r="240" spans="1:11" ht="15.75" customHeight="1" x14ac:dyDescent="0.25">
      <c r="A240" s="4" t="s">
        <v>102</v>
      </c>
      <c r="B240" s="4" t="s">
        <v>103</v>
      </c>
      <c r="C240" s="4"/>
      <c r="D240" s="4"/>
      <c r="E240" s="4"/>
      <c r="F240" s="4"/>
      <c r="G240" s="4"/>
      <c r="H240" s="4"/>
      <c r="I240" s="4"/>
      <c r="J240" s="4"/>
      <c r="K240" s="4"/>
    </row>
    <row r="241" spans="1:11" ht="15.75" customHeight="1" x14ac:dyDescent="0.25">
      <c r="A241" s="4"/>
      <c r="B241" s="4"/>
      <c r="C241" s="4"/>
      <c r="D241" s="4"/>
      <c r="E241" s="4"/>
      <c r="F241" s="4"/>
      <c r="G241" s="4"/>
      <c r="H241" s="4"/>
      <c r="I241" s="4"/>
      <c r="J241" s="4"/>
      <c r="K241" s="4"/>
    </row>
    <row r="242" spans="1:11" ht="15.75" customHeight="1" x14ac:dyDescent="0.25">
      <c r="A242" s="21"/>
      <c r="B242" s="4"/>
      <c r="C242" s="4"/>
      <c r="D242" s="4"/>
      <c r="E242" s="4"/>
      <c r="F242" s="4"/>
      <c r="G242" s="4"/>
      <c r="H242" s="4"/>
      <c r="I242" s="4"/>
      <c r="J242" s="4"/>
      <c r="K242" s="4"/>
    </row>
    <row r="243" spans="1:11" ht="15.75" customHeight="1" x14ac:dyDescent="0.25">
      <c r="A243" s="175" t="s">
        <v>227</v>
      </c>
      <c r="B243" s="4"/>
      <c r="C243" s="4"/>
      <c r="D243" s="4"/>
      <c r="E243" s="4"/>
      <c r="F243" s="4"/>
      <c r="G243" s="4"/>
      <c r="H243" s="4"/>
      <c r="I243" s="4"/>
      <c r="J243" s="4"/>
      <c r="K243" s="4"/>
    </row>
    <row r="244" spans="1:11" ht="15.75" customHeight="1" x14ac:dyDescent="0.25">
      <c r="A244" s="4"/>
      <c r="B244" s="4"/>
      <c r="C244" s="4" t="s">
        <v>115</v>
      </c>
      <c r="D244" s="4"/>
      <c r="E244" s="4"/>
      <c r="F244" s="4"/>
      <c r="G244" s="4"/>
      <c r="H244" s="4"/>
      <c r="I244" s="4"/>
      <c r="J244" s="4"/>
      <c r="K244" s="4"/>
    </row>
    <row r="245" spans="1:11" ht="15.75" customHeight="1" x14ac:dyDescent="0.25">
      <c r="A245" s="4" t="s">
        <v>85</v>
      </c>
      <c r="B245" s="4"/>
      <c r="C245" s="4"/>
      <c r="D245" s="132"/>
      <c r="E245" s="4" t="s">
        <v>70</v>
      </c>
      <c r="F245" s="4"/>
      <c r="G245" s="4"/>
      <c r="H245" s="4"/>
      <c r="I245" s="4"/>
      <c r="J245" s="4"/>
      <c r="K245" s="4"/>
    </row>
    <row r="246" spans="1:11" ht="15.75" customHeight="1" x14ac:dyDescent="0.25">
      <c r="A246" s="1" t="s">
        <v>86</v>
      </c>
      <c r="B246" s="1" t="s">
        <v>69</v>
      </c>
      <c r="C246" s="1" t="s">
        <v>70</v>
      </c>
      <c r="D246" s="132"/>
      <c r="E246" s="1" t="s">
        <v>87</v>
      </c>
      <c r="F246" s="1" t="s">
        <v>116</v>
      </c>
      <c r="G246" s="4"/>
      <c r="H246" s="4"/>
      <c r="I246" s="1" t="s">
        <v>88</v>
      </c>
      <c r="J246" s="4"/>
      <c r="K246" s="4"/>
    </row>
    <row r="247" spans="1:11" ht="15.75" customHeight="1" x14ac:dyDescent="0.25">
      <c r="A247" s="4"/>
      <c r="B247" s="4"/>
      <c r="C247" s="4"/>
      <c r="D247" s="4"/>
      <c r="E247" s="132"/>
      <c r="F247" s="172" t="s">
        <v>71</v>
      </c>
      <c r="G247" s="172" t="s">
        <v>72</v>
      </c>
      <c r="H247" s="172" t="s">
        <v>89</v>
      </c>
      <c r="I247" s="172" t="s">
        <v>71</v>
      </c>
      <c r="J247" s="172" t="s">
        <v>72</v>
      </c>
      <c r="K247" s="172" t="s">
        <v>89</v>
      </c>
    </row>
    <row r="248" spans="1:11" ht="15.75" customHeight="1" x14ac:dyDescent="0.25">
      <c r="A248" s="4"/>
      <c r="B248" s="4"/>
      <c r="C248" s="4"/>
      <c r="D248" s="4"/>
      <c r="E248" s="132"/>
      <c r="F248" s="172" t="s">
        <v>90</v>
      </c>
      <c r="G248" s="66" t="s">
        <v>145</v>
      </c>
      <c r="H248" s="172"/>
      <c r="I248" s="172" t="s">
        <v>73</v>
      </c>
      <c r="J248" s="66" t="s">
        <v>145</v>
      </c>
      <c r="K248" s="4"/>
    </row>
    <row r="249" spans="1:11" ht="15.75" customHeight="1" x14ac:dyDescent="0.25">
      <c r="A249" s="4"/>
      <c r="B249" s="4"/>
      <c r="C249" s="4"/>
      <c r="D249" s="4"/>
      <c r="E249" s="4"/>
      <c r="F249" s="4"/>
      <c r="G249" s="4"/>
      <c r="H249" s="4"/>
      <c r="I249" s="4"/>
      <c r="J249" s="4"/>
      <c r="K249" s="4"/>
    </row>
    <row r="250" spans="1:11" ht="15.75" customHeight="1" x14ac:dyDescent="0.25">
      <c r="A250" s="4"/>
      <c r="B250" s="4">
        <v>0</v>
      </c>
      <c r="C250" s="4">
        <v>2000</v>
      </c>
      <c r="D250" s="4" t="s">
        <v>64</v>
      </c>
      <c r="E250" s="4">
        <v>1000</v>
      </c>
      <c r="F250" s="139"/>
      <c r="G250" s="139"/>
      <c r="H250" s="139"/>
      <c r="I250" s="139"/>
      <c r="J250" s="139"/>
      <c r="K250" s="9"/>
    </row>
    <row r="251" spans="1:11" ht="15.75" customHeight="1" x14ac:dyDescent="0.25">
      <c r="A251" s="4"/>
      <c r="B251" s="4">
        <v>2000</v>
      </c>
      <c r="C251" s="4">
        <v>3000</v>
      </c>
      <c r="D251" s="4" t="s">
        <v>64</v>
      </c>
      <c r="E251" s="4">
        <v>2500</v>
      </c>
      <c r="F251" s="139"/>
      <c r="G251" s="139"/>
      <c r="H251" s="139"/>
      <c r="I251" s="139"/>
      <c r="J251" s="139"/>
      <c r="K251" s="9"/>
    </row>
    <row r="252" spans="1:11" ht="15.75" customHeight="1" x14ac:dyDescent="0.25">
      <c r="A252" s="4"/>
      <c r="B252" s="4">
        <v>3000</v>
      </c>
      <c r="C252" s="4">
        <v>4000</v>
      </c>
      <c r="D252" s="4" t="s">
        <v>64</v>
      </c>
      <c r="E252" s="4">
        <v>3500</v>
      </c>
      <c r="F252" s="139"/>
      <c r="G252" s="139"/>
      <c r="H252" s="139"/>
      <c r="I252" s="139"/>
      <c r="J252" s="139"/>
      <c r="K252" s="9"/>
    </row>
    <row r="253" spans="1:11" ht="15.75" customHeight="1" x14ac:dyDescent="0.25">
      <c r="A253" s="4"/>
      <c r="B253" s="4">
        <v>4000</v>
      </c>
      <c r="C253" s="4">
        <v>5000</v>
      </c>
      <c r="D253" s="4" t="s">
        <v>64</v>
      </c>
      <c r="E253" s="4">
        <v>4500</v>
      </c>
      <c r="F253" s="139"/>
      <c r="G253" s="139"/>
      <c r="H253" s="139"/>
      <c r="I253" s="139"/>
      <c r="J253" s="139"/>
      <c r="K253" s="9"/>
    </row>
    <row r="254" spans="1:11" ht="15.75" customHeight="1" x14ac:dyDescent="0.25">
      <c r="A254" s="4"/>
      <c r="B254" s="4">
        <v>5000</v>
      </c>
      <c r="C254" s="4">
        <v>6000</v>
      </c>
      <c r="D254" s="4" t="s">
        <v>64</v>
      </c>
      <c r="E254" s="4">
        <v>5500</v>
      </c>
      <c r="F254" s="139"/>
      <c r="G254" s="139"/>
      <c r="H254" s="139"/>
      <c r="I254" s="139"/>
      <c r="J254" s="139"/>
      <c r="K254" s="9"/>
    </row>
    <row r="255" spans="1:11" ht="15.75" customHeight="1" x14ac:dyDescent="0.25">
      <c r="A255" s="4"/>
      <c r="B255" s="4">
        <v>6000</v>
      </c>
      <c r="C255" s="4">
        <v>7000</v>
      </c>
      <c r="D255" s="4" t="s">
        <v>64</v>
      </c>
      <c r="E255" s="4">
        <v>6500</v>
      </c>
      <c r="F255" s="139"/>
      <c r="G255" s="139"/>
      <c r="H255" s="139"/>
      <c r="I255" s="139"/>
      <c r="J255" s="139"/>
      <c r="K255" s="9"/>
    </row>
    <row r="256" spans="1:11" ht="15.75" customHeight="1" x14ac:dyDescent="0.25">
      <c r="A256" s="4"/>
      <c r="B256" s="4">
        <v>8000</v>
      </c>
      <c r="C256" s="4">
        <v>9000</v>
      </c>
      <c r="D256" s="4" t="s">
        <v>64</v>
      </c>
      <c r="E256" s="4">
        <v>8500</v>
      </c>
      <c r="F256" s="139"/>
      <c r="G256" s="139"/>
      <c r="H256" s="139"/>
      <c r="I256" s="139"/>
      <c r="J256" s="139"/>
      <c r="K256" s="9"/>
    </row>
    <row r="257" spans="1:11" ht="15.75" customHeight="1" x14ac:dyDescent="0.25">
      <c r="A257" s="4"/>
      <c r="B257" s="4">
        <v>9000</v>
      </c>
      <c r="C257" s="4">
        <v>10000</v>
      </c>
      <c r="D257" s="4" t="s">
        <v>64</v>
      </c>
      <c r="E257" s="4">
        <v>9500</v>
      </c>
      <c r="F257" s="139"/>
      <c r="G257" s="139"/>
      <c r="H257" s="139"/>
      <c r="I257" s="139"/>
      <c r="J257" s="139"/>
      <c r="K257" s="9"/>
    </row>
    <row r="258" spans="1:11" ht="15.75" customHeight="1" x14ac:dyDescent="0.25">
      <c r="A258" s="4"/>
      <c r="B258" s="4">
        <v>10000</v>
      </c>
      <c r="C258" s="4">
        <v>11000</v>
      </c>
      <c r="D258" s="4" t="s">
        <v>64</v>
      </c>
      <c r="E258" s="4">
        <v>10500</v>
      </c>
      <c r="F258" s="139"/>
      <c r="G258" s="139"/>
      <c r="H258" s="139"/>
      <c r="I258" s="139"/>
      <c r="J258" s="139"/>
      <c r="K258" s="9"/>
    </row>
    <row r="259" spans="1:11" ht="15.75" customHeight="1" x14ac:dyDescent="0.25">
      <c r="A259" s="4"/>
      <c r="B259" s="4">
        <v>11000</v>
      </c>
      <c r="C259" s="4">
        <v>12000</v>
      </c>
      <c r="D259" s="4" t="s">
        <v>64</v>
      </c>
      <c r="E259" s="4">
        <v>11500</v>
      </c>
      <c r="F259" s="139"/>
      <c r="G259" s="139"/>
      <c r="H259" s="139"/>
      <c r="I259" s="139"/>
      <c r="J259" s="139"/>
      <c r="K259" s="9"/>
    </row>
    <row r="260" spans="1:11" ht="15.75" customHeight="1" x14ac:dyDescent="0.25">
      <c r="A260" s="4"/>
      <c r="B260" s="4">
        <v>12000</v>
      </c>
      <c r="C260" s="4">
        <v>13000</v>
      </c>
      <c r="D260" s="4" t="s">
        <v>64</v>
      </c>
      <c r="E260" s="4">
        <v>12500</v>
      </c>
      <c r="F260" s="139"/>
      <c r="G260" s="139"/>
      <c r="H260" s="139"/>
      <c r="I260" s="139"/>
      <c r="J260" s="139"/>
      <c r="K260" s="9"/>
    </row>
    <row r="261" spans="1:11" ht="15.75" customHeight="1" x14ac:dyDescent="0.25">
      <c r="A261" s="4"/>
      <c r="B261" s="4">
        <v>13000</v>
      </c>
      <c r="C261" s="4">
        <v>14000</v>
      </c>
      <c r="D261" s="4" t="s">
        <v>64</v>
      </c>
      <c r="E261" s="4">
        <v>13500</v>
      </c>
      <c r="F261" s="139"/>
      <c r="G261" s="139"/>
      <c r="H261" s="139"/>
      <c r="I261" s="139"/>
      <c r="J261" s="139"/>
      <c r="K261" s="9"/>
    </row>
    <row r="262" spans="1:11" ht="15.75" customHeight="1" x14ac:dyDescent="0.25">
      <c r="A262" s="4"/>
      <c r="B262" s="4">
        <v>14000</v>
      </c>
      <c r="C262" s="4">
        <v>15000</v>
      </c>
      <c r="D262" s="4" t="s">
        <v>64</v>
      </c>
      <c r="E262" s="4">
        <v>14500</v>
      </c>
      <c r="F262" s="139"/>
      <c r="G262" s="139"/>
      <c r="H262" s="139"/>
      <c r="I262" s="139"/>
      <c r="J262" s="139"/>
      <c r="K262" s="9"/>
    </row>
    <row r="263" spans="1:11" ht="15.75" customHeight="1" x14ac:dyDescent="0.25">
      <c r="A263" s="4"/>
      <c r="B263" s="4">
        <v>15000</v>
      </c>
      <c r="C263" s="4">
        <v>16000</v>
      </c>
      <c r="D263" s="4" t="s">
        <v>64</v>
      </c>
      <c r="E263" s="4">
        <v>15500</v>
      </c>
      <c r="F263" s="139"/>
      <c r="G263" s="139"/>
      <c r="H263" s="139"/>
      <c r="I263" s="139"/>
      <c r="J263" s="139"/>
      <c r="K263" s="9"/>
    </row>
    <row r="264" spans="1:11" ht="15.75" customHeight="1" x14ac:dyDescent="0.25">
      <c r="A264" s="4"/>
      <c r="B264" s="4">
        <v>16000</v>
      </c>
      <c r="C264" s="4">
        <v>17000</v>
      </c>
      <c r="D264" s="4" t="s">
        <v>64</v>
      </c>
      <c r="E264" s="4">
        <v>16500</v>
      </c>
      <c r="F264" s="139"/>
      <c r="G264" s="139"/>
      <c r="H264" s="139"/>
      <c r="I264" s="139"/>
      <c r="J264" s="139"/>
      <c r="K264" s="9"/>
    </row>
    <row r="265" spans="1:11" ht="15.75" customHeight="1" x14ac:dyDescent="0.25">
      <c r="A265" s="4"/>
      <c r="B265" s="4">
        <v>17000</v>
      </c>
      <c r="C265" s="4">
        <v>18000</v>
      </c>
      <c r="D265" s="4" t="s">
        <v>64</v>
      </c>
      <c r="E265" s="4">
        <v>17500</v>
      </c>
      <c r="F265" s="139"/>
      <c r="G265" s="139"/>
      <c r="H265" s="139"/>
      <c r="I265" s="139"/>
      <c r="J265" s="139"/>
      <c r="K265" s="9"/>
    </row>
    <row r="266" spans="1:11" ht="15.75" customHeight="1" x14ac:dyDescent="0.25">
      <c r="A266" s="4"/>
      <c r="B266" s="4">
        <v>18000</v>
      </c>
      <c r="C266" s="4">
        <v>19000</v>
      </c>
      <c r="D266" s="4" t="s">
        <v>64</v>
      </c>
      <c r="E266" s="4">
        <v>18500</v>
      </c>
      <c r="F266" s="139"/>
      <c r="G266" s="139"/>
      <c r="H266" s="139"/>
      <c r="I266" s="139"/>
      <c r="J266" s="139"/>
      <c r="K266" s="9"/>
    </row>
    <row r="267" spans="1:11" ht="15.75" customHeight="1" x14ac:dyDescent="0.25">
      <c r="A267" s="4"/>
      <c r="B267" s="4">
        <v>19000</v>
      </c>
      <c r="C267" s="4">
        <v>20000</v>
      </c>
      <c r="D267" s="4" t="s">
        <v>64</v>
      </c>
      <c r="E267" s="4">
        <v>19500</v>
      </c>
      <c r="F267" s="139"/>
      <c r="G267" s="139"/>
      <c r="H267" s="139"/>
      <c r="I267" s="139"/>
      <c r="J267" s="139"/>
      <c r="K267" s="9"/>
    </row>
    <row r="268" spans="1:11" ht="15.75" customHeight="1" x14ac:dyDescent="0.25">
      <c r="A268" s="4"/>
      <c r="B268" s="4" t="s">
        <v>93</v>
      </c>
      <c r="C268" s="4"/>
      <c r="D268" s="132"/>
      <c r="E268" s="132"/>
      <c r="F268" s="4" t="s">
        <v>74</v>
      </c>
      <c r="G268" s="4" t="s">
        <v>74</v>
      </c>
      <c r="H268" s="4" t="s">
        <v>74</v>
      </c>
      <c r="I268" s="4" t="s">
        <v>74</v>
      </c>
      <c r="J268" s="4" t="s">
        <v>74</v>
      </c>
      <c r="K268" s="4" t="s">
        <v>74</v>
      </c>
    </row>
    <row r="269" spans="1:11" ht="15.75" customHeight="1" x14ac:dyDescent="0.25">
      <c r="A269" s="4"/>
      <c r="B269" s="4" t="s">
        <v>94</v>
      </c>
      <c r="C269" s="132"/>
      <c r="D269" s="4"/>
      <c r="E269" s="132"/>
      <c r="F269" s="4" t="s">
        <v>74</v>
      </c>
      <c r="G269" s="4"/>
      <c r="H269" s="4">
        <v>0.3</v>
      </c>
      <c r="I269" s="4"/>
      <c r="J269" s="4"/>
      <c r="K269" s="4"/>
    </row>
    <row r="270" spans="1:11" ht="15.75" customHeight="1" x14ac:dyDescent="0.25">
      <c r="A270" s="4"/>
      <c r="B270" s="4" t="s">
        <v>95</v>
      </c>
      <c r="C270" s="4"/>
      <c r="D270" s="4"/>
      <c r="E270" s="4"/>
      <c r="F270" s="132"/>
      <c r="G270" s="4" t="s">
        <v>74</v>
      </c>
      <c r="H270" s="4"/>
      <c r="I270" s="4"/>
      <c r="J270" s="4" t="s">
        <v>74</v>
      </c>
      <c r="K270" s="4"/>
    </row>
    <row r="271" spans="1:11" ht="15.75" customHeight="1" x14ac:dyDescent="0.25">
      <c r="A271" s="4"/>
      <c r="B271" s="4"/>
      <c r="C271" s="4"/>
      <c r="D271" s="4"/>
      <c r="E271" s="4"/>
      <c r="F271" s="4"/>
      <c r="G271" s="4"/>
      <c r="H271" s="4"/>
      <c r="I271" s="4"/>
      <c r="J271" s="4"/>
      <c r="K271" s="4"/>
    </row>
    <row r="272" spans="1:11" ht="15.75" customHeight="1" x14ac:dyDescent="0.25">
      <c r="A272" s="4" t="s">
        <v>101</v>
      </c>
      <c r="B272" s="4" t="s">
        <v>209</v>
      </c>
      <c r="C272" s="4"/>
      <c r="D272" s="4"/>
      <c r="E272" s="4"/>
      <c r="F272" s="4"/>
      <c r="G272" s="4"/>
      <c r="H272" s="4"/>
      <c r="I272" s="4"/>
      <c r="J272" s="4"/>
      <c r="K272" s="4"/>
    </row>
    <row r="273" spans="1:11" ht="15.75" customHeight="1" x14ac:dyDescent="0.25">
      <c r="A273" s="132"/>
      <c r="B273" s="4" t="s">
        <v>210</v>
      </c>
      <c r="C273" s="4"/>
      <c r="D273" s="4"/>
      <c r="E273" s="4"/>
      <c r="F273" s="4"/>
      <c r="G273" s="4"/>
      <c r="H273" s="4"/>
      <c r="I273" s="4"/>
      <c r="J273" s="4"/>
      <c r="K273" s="4"/>
    </row>
    <row r="274" spans="1:11" ht="15.75" customHeight="1" x14ac:dyDescent="0.25">
      <c r="A274" s="132"/>
      <c r="B274" s="4"/>
      <c r="C274" s="4"/>
      <c r="D274" s="4"/>
      <c r="E274" s="4"/>
      <c r="F274" s="4"/>
      <c r="G274" s="4"/>
      <c r="H274" s="4"/>
      <c r="I274" s="4"/>
      <c r="J274" s="4"/>
      <c r="K274" s="4"/>
    </row>
    <row r="275" spans="1:11" ht="15.75" customHeight="1" x14ac:dyDescent="0.25">
      <c r="A275" s="4" t="s">
        <v>102</v>
      </c>
      <c r="B275" s="4" t="s">
        <v>103</v>
      </c>
      <c r="C275" s="4"/>
      <c r="D275" s="4"/>
      <c r="E275" s="4"/>
      <c r="F275" s="4"/>
      <c r="G275" s="4"/>
      <c r="H275" s="4"/>
      <c r="I275" s="4"/>
      <c r="J275" s="4"/>
      <c r="K275" s="4"/>
    </row>
    <row r="276" spans="1:11" ht="15.75" customHeight="1" x14ac:dyDescent="0.25">
      <c r="A276" s="4"/>
      <c r="B276" s="4"/>
      <c r="C276" s="4"/>
      <c r="D276" s="4"/>
      <c r="E276" s="4"/>
      <c r="F276" s="4"/>
      <c r="G276" s="4"/>
      <c r="H276" s="4"/>
      <c r="I276" s="4"/>
      <c r="J276" s="4"/>
      <c r="K276" s="4"/>
    </row>
    <row r="277" spans="1:11" ht="15.75" customHeight="1" x14ac:dyDescent="0.25">
      <c r="A277" s="4"/>
      <c r="B277" s="4"/>
      <c r="C277" s="4"/>
      <c r="D277" s="4"/>
      <c r="E277" s="4"/>
      <c r="F277" s="4"/>
      <c r="G277" s="4"/>
      <c r="H277" s="4"/>
      <c r="I277" s="4"/>
      <c r="J277" s="4"/>
      <c r="K277" s="4"/>
    </row>
    <row r="278" spans="1:11" ht="15.75" customHeight="1" x14ac:dyDescent="0.25">
      <c r="A278" s="4"/>
      <c r="B278" s="172" t="s">
        <v>92</v>
      </c>
      <c r="C278" s="172" t="s">
        <v>92</v>
      </c>
      <c r="D278" s="172" t="s">
        <v>92</v>
      </c>
      <c r="E278" s="172" t="s">
        <v>92</v>
      </c>
      <c r="F278" s="172" t="s">
        <v>92</v>
      </c>
      <c r="G278" s="172" t="s">
        <v>92</v>
      </c>
      <c r="H278" s="172" t="s">
        <v>92</v>
      </c>
      <c r="I278" s="172" t="s">
        <v>92</v>
      </c>
      <c r="J278" s="172" t="s">
        <v>92</v>
      </c>
      <c r="K278" s="172" t="s">
        <v>92</v>
      </c>
    </row>
    <row r="279" spans="1:11" ht="15.75" customHeight="1" x14ac:dyDescent="0.25">
      <c r="A279" s="4"/>
      <c r="B279" s="172" t="s">
        <v>92</v>
      </c>
      <c r="C279" s="172" t="s">
        <v>92</v>
      </c>
      <c r="D279" s="172" t="s">
        <v>92</v>
      </c>
      <c r="E279" s="172" t="s">
        <v>92</v>
      </c>
      <c r="F279" s="172" t="s">
        <v>92</v>
      </c>
      <c r="G279" s="172" t="s">
        <v>92</v>
      </c>
      <c r="H279" s="172" t="s">
        <v>92</v>
      </c>
      <c r="I279" s="172" t="s">
        <v>92</v>
      </c>
      <c r="J279" s="172" t="s">
        <v>92</v>
      </c>
      <c r="K279" s="172" t="s">
        <v>92</v>
      </c>
    </row>
    <row r="280" spans="1:11" ht="15.75" customHeight="1" x14ac:dyDescent="0.25">
      <c r="A280" s="4" t="s">
        <v>96</v>
      </c>
      <c r="B280" s="172" t="s">
        <v>92</v>
      </c>
      <c r="C280" s="172" t="s">
        <v>92</v>
      </c>
      <c r="D280" s="172" t="s">
        <v>92</v>
      </c>
      <c r="E280" s="172" t="s">
        <v>92</v>
      </c>
      <c r="F280" s="172" t="s">
        <v>92</v>
      </c>
      <c r="G280" s="172" t="s">
        <v>92</v>
      </c>
      <c r="H280" s="172" t="s">
        <v>92</v>
      </c>
      <c r="I280" s="172" t="s">
        <v>92</v>
      </c>
      <c r="J280" s="172" t="s">
        <v>92</v>
      </c>
      <c r="K280" s="172" t="s">
        <v>92</v>
      </c>
    </row>
    <row r="281" spans="1:11" ht="15.75" customHeight="1" x14ac:dyDescent="0.25">
      <c r="A281" s="4" t="s">
        <v>91</v>
      </c>
      <c r="B281" s="172" t="s">
        <v>92</v>
      </c>
      <c r="C281" s="172" t="s">
        <v>92</v>
      </c>
      <c r="D281" s="172" t="s">
        <v>92</v>
      </c>
      <c r="E281" s="172" t="s">
        <v>92</v>
      </c>
      <c r="F281" s="172" t="s">
        <v>92</v>
      </c>
      <c r="G281" s="172" t="s">
        <v>92</v>
      </c>
      <c r="H281" s="172" t="s">
        <v>92</v>
      </c>
      <c r="I281" s="172" t="s">
        <v>92</v>
      </c>
      <c r="J281" s="172" t="s">
        <v>92</v>
      </c>
      <c r="K281" s="172" t="s">
        <v>92</v>
      </c>
    </row>
    <row r="282" spans="1:11" ht="15.75" customHeight="1" x14ac:dyDescent="0.25">
      <c r="A282" s="4"/>
      <c r="B282" s="172" t="s">
        <v>92</v>
      </c>
      <c r="C282" s="172" t="s">
        <v>92</v>
      </c>
      <c r="D282" s="172" t="s">
        <v>92</v>
      </c>
      <c r="E282" s="172" t="s">
        <v>92</v>
      </c>
      <c r="F282" s="172" t="s">
        <v>92</v>
      </c>
      <c r="G282" s="172" t="s">
        <v>92</v>
      </c>
      <c r="H282" s="172" t="s">
        <v>92</v>
      </c>
      <c r="I282" s="172" t="s">
        <v>92</v>
      </c>
      <c r="J282" s="172" t="s">
        <v>92</v>
      </c>
      <c r="K282" s="172" t="s">
        <v>92</v>
      </c>
    </row>
    <row r="283" spans="1:11" ht="15.75" customHeight="1" x14ac:dyDescent="0.25">
      <c r="A283" s="4"/>
      <c r="B283" s="172" t="s">
        <v>92</v>
      </c>
      <c r="C283" s="172" t="s">
        <v>92</v>
      </c>
      <c r="D283" s="172" t="s">
        <v>92</v>
      </c>
      <c r="E283" s="172" t="s">
        <v>92</v>
      </c>
      <c r="F283" s="172" t="s">
        <v>92</v>
      </c>
      <c r="G283" s="172" t="s">
        <v>92</v>
      </c>
      <c r="H283" s="172" t="s">
        <v>92</v>
      </c>
      <c r="I283" s="172" t="s">
        <v>92</v>
      </c>
      <c r="J283" s="172" t="s">
        <v>92</v>
      </c>
      <c r="K283" s="172" t="s">
        <v>92</v>
      </c>
    </row>
    <row r="284" spans="1:11" ht="15.75" customHeight="1" x14ac:dyDescent="0.25">
      <c r="A284" s="4"/>
      <c r="B284" s="172"/>
      <c r="C284" s="172" t="s">
        <v>93</v>
      </c>
      <c r="D284" s="95"/>
      <c r="E284" s="172"/>
      <c r="F284" s="172" t="s">
        <v>97</v>
      </c>
      <c r="G284" s="172" t="s">
        <v>97</v>
      </c>
      <c r="H284" s="172" t="s">
        <v>97</v>
      </c>
      <c r="I284" s="172" t="s">
        <v>97</v>
      </c>
      <c r="J284" s="172" t="s">
        <v>97</v>
      </c>
      <c r="K284" s="172" t="s">
        <v>97</v>
      </c>
    </row>
    <row r="285" spans="1:11" ht="15.75" customHeight="1" x14ac:dyDescent="0.25">
      <c r="A285" s="4"/>
      <c r="B285" s="172"/>
      <c r="C285" s="172"/>
      <c r="D285" s="172"/>
      <c r="E285" s="172"/>
      <c r="F285" s="172"/>
      <c r="G285" s="172"/>
      <c r="H285" s="172"/>
      <c r="I285" s="172"/>
      <c r="J285" s="172"/>
      <c r="K285" s="172"/>
    </row>
    <row r="286" spans="1:11" ht="15.75" customHeight="1" x14ac:dyDescent="0.25">
      <c r="A286" s="4"/>
      <c r="B286" s="172" t="s">
        <v>92</v>
      </c>
      <c r="C286" s="172" t="s">
        <v>92</v>
      </c>
      <c r="D286" s="172" t="s">
        <v>92</v>
      </c>
      <c r="E286" s="172" t="s">
        <v>92</v>
      </c>
      <c r="F286" s="172" t="s">
        <v>92</v>
      </c>
      <c r="G286" s="172" t="s">
        <v>92</v>
      </c>
      <c r="H286" s="172" t="s">
        <v>92</v>
      </c>
      <c r="I286" s="172" t="s">
        <v>92</v>
      </c>
      <c r="J286" s="172" t="s">
        <v>92</v>
      </c>
      <c r="K286" s="172" t="s">
        <v>92</v>
      </c>
    </row>
    <row r="287" spans="1:11" ht="15.75" customHeight="1" x14ac:dyDescent="0.25">
      <c r="A287" s="132"/>
      <c r="B287" s="172" t="s">
        <v>92</v>
      </c>
      <c r="C287" s="172" t="s">
        <v>92</v>
      </c>
      <c r="D287" s="172" t="s">
        <v>92</v>
      </c>
      <c r="E287" s="172" t="s">
        <v>92</v>
      </c>
      <c r="F287" s="172" t="s">
        <v>92</v>
      </c>
      <c r="G287" s="172" t="s">
        <v>92</v>
      </c>
      <c r="H287" s="172" t="s">
        <v>92</v>
      </c>
      <c r="I287" s="172" t="s">
        <v>92</v>
      </c>
      <c r="J287" s="172" t="s">
        <v>92</v>
      </c>
      <c r="K287" s="172" t="s">
        <v>92</v>
      </c>
    </row>
    <row r="288" spans="1:11" ht="15.75" customHeight="1" x14ac:dyDescent="0.25">
      <c r="A288" s="49" t="s">
        <v>171</v>
      </c>
      <c r="B288" s="172" t="s">
        <v>92</v>
      </c>
      <c r="C288" s="172" t="s">
        <v>92</v>
      </c>
      <c r="D288" s="172" t="s">
        <v>92</v>
      </c>
      <c r="E288" s="172" t="s">
        <v>92</v>
      </c>
      <c r="F288" s="172" t="s">
        <v>92</v>
      </c>
      <c r="G288" s="172" t="s">
        <v>92</v>
      </c>
      <c r="H288" s="172" t="s">
        <v>92</v>
      </c>
      <c r="I288" s="172" t="s">
        <v>92</v>
      </c>
      <c r="J288" s="172" t="s">
        <v>92</v>
      </c>
      <c r="K288" s="172" t="s">
        <v>92</v>
      </c>
    </row>
    <row r="289" spans="1:11" ht="15.75" customHeight="1" x14ac:dyDescent="0.25">
      <c r="A289" s="4" t="s">
        <v>91</v>
      </c>
      <c r="B289" s="172" t="s">
        <v>92</v>
      </c>
      <c r="C289" s="172" t="s">
        <v>92</v>
      </c>
      <c r="D289" s="172" t="s">
        <v>92</v>
      </c>
      <c r="E289" s="172" t="s">
        <v>92</v>
      </c>
      <c r="F289" s="172" t="s">
        <v>92</v>
      </c>
      <c r="G289" s="172" t="s">
        <v>92</v>
      </c>
      <c r="H289" s="172" t="s">
        <v>92</v>
      </c>
      <c r="I289" s="172" t="s">
        <v>92</v>
      </c>
      <c r="J289" s="172" t="s">
        <v>92</v>
      </c>
      <c r="K289" s="172" t="s">
        <v>92</v>
      </c>
    </row>
    <row r="290" spans="1:11" ht="15.75" customHeight="1" x14ac:dyDescent="0.25">
      <c r="A290" s="4"/>
      <c r="B290" s="172" t="s">
        <v>92</v>
      </c>
      <c r="C290" s="172" t="s">
        <v>92</v>
      </c>
      <c r="D290" s="172" t="s">
        <v>92</v>
      </c>
      <c r="E290" s="172" t="s">
        <v>92</v>
      </c>
      <c r="F290" s="172" t="s">
        <v>92</v>
      </c>
      <c r="G290" s="172" t="s">
        <v>92</v>
      </c>
      <c r="H290" s="172" t="s">
        <v>92</v>
      </c>
      <c r="I290" s="172" t="s">
        <v>92</v>
      </c>
      <c r="J290" s="172" t="s">
        <v>92</v>
      </c>
      <c r="K290" s="172" t="s">
        <v>92</v>
      </c>
    </row>
    <row r="291" spans="1:11" ht="15.75" customHeight="1" x14ac:dyDescent="0.25">
      <c r="A291" s="4"/>
      <c r="B291" s="172" t="s">
        <v>92</v>
      </c>
      <c r="C291" s="172" t="s">
        <v>92</v>
      </c>
      <c r="D291" s="172" t="s">
        <v>92</v>
      </c>
      <c r="E291" s="172" t="s">
        <v>92</v>
      </c>
      <c r="F291" s="172" t="s">
        <v>92</v>
      </c>
      <c r="G291" s="172" t="s">
        <v>92</v>
      </c>
      <c r="H291" s="172" t="s">
        <v>92</v>
      </c>
      <c r="I291" s="172" t="s">
        <v>92</v>
      </c>
      <c r="J291" s="172" t="s">
        <v>92</v>
      </c>
      <c r="K291" s="172" t="s">
        <v>92</v>
      </c>
    </row>
    <row r="292" spans="1:11" ht="15.75" customHeight="1" x14ac:dyDescent="0.25">
      <c r="A292" s="4"/>
      <c r="B292" s="172"/>
      <c r="C292" s="172" t="s">
        <v>93</v>
      </c>
      <c r="D292" s="95"/>
      <c r="E292" s="172"/>
      <c r="F292" s="172" t="s">
        <v>97</v>
      </c>
      <c r="G292" s="172" t="s">
        <v>97</v>
      </c>
      <c r="H292" s="172" t="s">
        <v>97</v>
      </c>
      <c r="I292" s="172" t="s">
        <v>97</v>
      </c>
      <c r="J292" s="172" t="s">
        <v>97</v>
      </c>
      <c r="K292" s="172" t="s">
        <v>97</v>
      </c>
    </row>
    <row r="293" spans="1:11" ht="15.75" customHeight="1" x14ac:dyDescent="0.25">
      <c r="A293" s="4"/>
      <c r="B293" s="172"/>
      <c r="C293" s="172"/>
      <c r="D293" s="172"/>
      <c r="E293" s="172"/>
      <c r="F293" s="172"/>
      <c r="G293" s="172"/>
      <c r="H293" s="172"/>
      <c r="I293" s="172"/>
      <c r="J293" s="172"/>
      <c r="K293" s="172"/>
    </row>
    <row r="294" spans="1:11" ht="15.75" customHeight="1" x14ac:dyDescent="0.25">
      <c r="A294" s="4"/>
      <c r="B294" s="172" t="s">
        <v>92</v>
      </c>
      <c r="C294" s="172" t="s">
        <v>92</v>
      </c>
      <c r="D294" s="172" t="s">
        <v>92</v>
      </c>
      <c r="E294" s="172" t="s">
        <v>92</v>
      </c>
      <c r="F294" s="172" t="s">
        <v>92</v>
      </c>
      <c r="G294" s="172" t="s">
        <v>92</v>
      </c>
      <c r="H294" s="172" t="s">
        <v>92</v>
      </c>
      <c r="I294" s="172" t="s">
        <v>92</v>
      </c>
      <c r="J294" s="172" t="s">
        <v>92</v>
      </c>
      <c r="K294" s="172" t="s">
        <v>92</v>
      </c>
    </row>
    <row r="295" spans="1:11" ht="15.75" customHeight="1" x14ac:dyDescent="0.25">
      <c r="A295" s="4"/>
      <c r="B295" s="172" t="s">
        <v>92</v>
      </c>
      <c r="C295" s="172" t="s">
        <v>92</v>
      </c>
      <c r="D295" s="172" t="s">
        <v>92</v>
      </c>
      <c r="E295" s="172" t="s">
        <v>92</v>
      </c>
      <c r="F295" s="172" t="s">
        <v>92</v>
      </c>
      <c r="G295" s="172" t="s">
        <v>92</v>
      </c>
      <c r="H295" s="172" t="s">
        <v>92</v>
      </c>
      <c r="I295" s="172" t="s">
        <v>92</v>
      </c>
      <c r="J295" s="172" t="s">
        <v>92</v>
      </c>
      <c r="K295" s="172" t="s">
        <v>92</v>
      </c>
    </row>
    <row r="296" spans="1:11" ht="15.75" customHeight="1" x14ac:dyDescent="0.25">
      <c r="A296" s="4" t="s">
        <v>98</v>
      </c>
      <c r="B296" s="172" t="s">
        <v>92</v>
      </c>
      <c r="C296" s="172" t="s">
        <v>92</v>
      </c>
      <c r="D296" s="172" t="s">
        <v>92</v>
      </c>
      <c r="E296" s="172" t="s">
        <v>92</v>
      </c>
      <c r="F296" s="172" t="s">
        <v>92</v>
      </c>
      <c r="G296" s="172" t="s">
        <v>92</v>
      </c>
      <c r="H296" s="172" t="s">
        <v>92</v>
      </c>
      <c r="I296" s="172" t="s">
        <v>92</v>
      </c>
      <c r="J296" s="172" t="s">
        <v>92</v>
      </c>
      <c r="K296" s="172" t="s">
        <v>92</v>
      </c>
    </row>
    <row r="297" spans="1:11" ht="15.75" customHeight="1" x14ac:dyDescent="0.25">
      <c r="A297" s="4" t="s">
        <v>91</v>
      </c>
      <c r="B297" s="172" t="s">
        <v>92</v>
      </c>
      <c r="C297" s="172" t="s">
        <v>92</v>
      </c>
      <c r="D297" s="172" t="s">
        <v>92</v>
      </c>
      <c r="E297" s="172" t="s">
        <v>92</v>
      </c>
      <c r="F297" s="172" t="s">
        <v>92</v>
      </c>
      <c r="G297" s="172" t="s">
        <v>92</v>
      </c>
      <c r="H297" s="172" t="s">
        <v>92</v>
      </c>
      <c r="I297" s="172" t="s">
        <v>92</v>
      </c>
      <c r="J297" s="172" t="s">
        <v>92</v>
      </c>
      <c r="K297" s="172" t="s">
        <v>92</v>
      </c>
    </row>
    <row r="298" spans="1:11" ht="15.75" customHeight="1" x14ac:dyDescent="0.25">
      <c r="A298" s="4"/>
      <c r="B298" s="172" t="s">
        <v>92</v>
      </c>
      <c r="C298" s="172" t="s">
        <v>92</v>
      </c>
      <c r="D298" s="172" t="s">
        <v>92</v>
      </c>
      <c r="E298" s="172" t="s">
        <v>92</v>
      </c>
      <c r="F298" s="172" t="s">
        <v>92</v>
      </c>
      <c r="G298" s="172" t="s">
        <v>92</v>
      </c>
      <c r="H298" s="172" t="s">
        <v>92</v>
      </c>
      <c r="I298" s="172" t="s">
        <v>92</v>
      </c>
      <c r="J298" s="172" t="s">
        <v>92</v>
      </c>
      <c r="K298" s="172" t="s">
        <v>92</v>
      </c>
    </row>
    <row r="299" spans="1:11" ht="15.75" customHeight="1" x14ac:dyDescent="0.25">
      <c r="A299" s="4"/>
      <c r="B299" s="172" t="s">
        <v>92</v>
      </c>
      <c r="C299" s="172" t="s">
        <v>92</v>
      </c>
      <c r="D299" s="172" t="s">
        <v>92</v>
      </c>
      <c r="E299" s="172" t="s">
        <v>92</v>
      </c>
      <c r="F299" s="172" t="s">
        <v>92</v>
      </c>
      <c r="G299" s="172" t="s">
        <v>92</v>
      </c>
      <c r="H299" s="172" t="s">
        <v>92</v>
      </c>
      <c r="I299" s="172" t="s">
        <v>92</v>
      </c>
      <c r="J299" s="172" t="s">
        <v>92</v>
      </c>
      <c r="K299" s="172" t="s">
        <v>92</v>
      </c>
    </row>
    <row r="300" spans="1:11" ht="15.75" customHeight="1" x14ac:dyDescent="0.25">
      <c r="A300" s="4"/>
      <c r="B300" s="172"/>
      <c r="C300" s="172" t="s">
        <v>93</v>
      </c>
      <c r="D300" s="95"/>
      <c r="E300" s="172"/>
      <c r="F300" s="172" t="s">
        <v>97</v>
      </c>
      <c r="G300" s="172" t="s">
        <v>97</v>
      </c>
      <c r="H300" s="172" t="s">
        <v>97</v>
      </c>
      <c r="I300" s="172" t="s">
        <v>97</v>
      </c>
      <c r="J300" s="172" t="s">
        <v>97</v>
      </c>
      <c r="K300" s="172" t="s">
        <v>97</v>
      </c>
    </row>
    <row r="301" spans="1:11" ht="15.75" customHeight="1" x14ac:dyDescent="0.25">
      <c r="A301" s="4"/>
      <c r="B301" s="172"/>
      <c r="C301" s="172"/>
      <c r="D301" s="172"/>
      <c r="E301" s="172"/>
      <c r="F301" s="172"/>
      <c r="G301" s="172"/>
      <c r="H301" s="172"/>
      <c r="I301" s="172"/>
      <c r="J301" s="172"/>
      <c r="K301" s="172"/>
    </row>
    <row r="302" spans="1:11" ht="15.75" customHeight="1" x14ac:dyDescent="0.25">
      <c r="A302" s="4"/>
      <c r="B302" s="172" t="s">
        <v>92</v>
      </c>
      <c r="C302" s="172" t="s">
        <v>92</v>
      </c>
      <c r="D302" s="172" t="s">
        <v>92</v>
      </c>
      <c r="E302" s="172" t="s">
        <v>92</v>
      </c>
      <c r="F302" s="172" t="s">
        <v>92</v>
      </c>
      <c r="G302" s="172" t="s">
        <v>92</v>
      </c>
      <c r="H302" s="172" t="s">
        <v>92</v>
      </c>
      <c r="I302" s="172" t="s">
        <v>92</v>
      </c>
      <c r="J302" s="172" t="s">
        <v>92</v>
      </c>
      <c r="K302" s="172" t="s">
        <v>92</v>
      </c>
    </row>
    <row r="303" spans="1:11" ht="15.75" customHeight="1" x14ac:dyDescent="0.25">
      <c r="A303" s="4"/>
      <c r="B303" s="172" t="s">
        <v>92</v>
      </c>
      <c r="C303" s="172" t="s">
        <v>92</v>
      </c>
      <c r="D303" s="172" t="s">
        <v>92</v>
      </c>
      <c r="E303" s="172" t="s">
        <v>92</v>
      </c>
      <c r="F303" s="172" t="s">
        <v>92</v>
      </c>
      <c r="G303" s="172" t="s">
        <v>92</v>
      </c>
      <c r="H303" s="172" t="s">
        <v>92</v>
      </c>
      <c r="I303" s="172" t="s">
        <v>92</v>
      </c>
      <c r="J303" s="172" t="s">
        <v>92</v>
      </c>
      <c r="K303" s="172" t="s">
        <v>92</v>
      </c>
    </row>
    <row r="304" spans="1:11" ht="15.75" customHeight="1" x14ac:dyDescent="0.25">
      <c r="A304" s="4" t="s">
        <v>99</v>
      </c>
      <c r="B304" s="172" t="s">
        <v>92</v>
      </c>
      <c r="C304" s="172" t="s">
        <v>92</v>
      </c>
      <c r="D304" s="172" t="s">
        <v>92</v>
      </c>
      <c r="E304" s="172" t="s">
        <v>92</v>
      </c>
      <c r="F304" s="172" t="s">
        <v>92</v>
      </c>
      <c r="G304" s="172" t="s">
        <v>92</v>
      </c>
      <c r="H304" s="172" t="s">
        <v>92</v>
      </c>
      <c r="I304" s="172" t="s">
        <v>92</v>
      </c>
      <c r="J304" s="172" t="s">
        <v>92</v>
      </c>
      <c r="K304" s="172" t="s">
        <v>92</v>
      </c>
    </row>
    <row r="305" spans="1:11" ht="15.75" customHeight="1" x14ac:dyDescent="0.25">
      <c r="A305" s="4" t="s">
        <v>91</v>
      </c>
      <c r="B305" s="172" t="s">
        <v>92</v>
      </c>
      <c r="C305" s="172" t="s">
        <v>92</v>
      </c>
      <c r="D305" s="172" t="s">
        <v>92</v>
      </c>
      <c r="E305" s="172" t="s">
        <v>92</v>
      </c>
      <c r="F305" s="172" t="s">
        <v>92</v>
      </c>
      <c r="G305" s="172" t="s">
        <v>92</v>
      </c>
      <c r="H305" s="172" t="s">
        <v>92</v>
      </c>
      <c r="I305" s="172" t="s">
        <v>92</v>
      </c>
      <c r="J305" s="172" t="s">
        <v>92</v>
      </c>
      <c r="K305" s="172" t="s">
        <v>92</v>
      </c>
    </row>
    <row r="306" spans="1:11" ht="15.75" customHeight="1" x14ac:dyDescent="0.25">
      <c r="A306" s="4"/>
      <c r="B306" s="172" t="s">
        <v>92</v>
      </c>
      <c r="C306" s="172" t="s">
        <v>92</v>
      </c>
      <c r="D306" s="172" t="s">
        <v>92</v>
      </c>
      <c r="E306" s="172" t="s">
        <v>92</v>
      </c>
      <c r="F306" s="172" t="s">
        <v>92</v>
      </c>
      <c r="G306" s="172" t="s">
        <v>92</v>
      </c>
      <c r="H306" s="172" t="s">
        <v>92</v>
      </c>
      <c r="I306" s="172" t="s">
        <v>92</v>
      </c>
      <c r="J306" s="172" t="s">
        <v>92</v>
      </c>
      <c r="K306" s="172" t="s">
        <v>92</v>
      </c>
    </row>
    <row r="307" spans="1:11" ht="15.75" customHeight="1" x14ac:dyDescent="0.25">
      <c r="A307" s="4"/>
      <c r="B307" s="172" t="s">
        <v>92</v>
      </c>
      <c r="C307" s="172" t="s">
        <v>92</v>
      </c>
      <c r="D307" s="172" t="s">
        <v>92</v>
      </c>
      <c r="E307" s="172" t="s">
        <v>92</v>
      </c>
      <c r="F307" s="172" t="s">
        <v>92</v>
      </c>
      <c r="G307" s="172" t="s">
        <v>92</v>
      </c>
      <c r="H307" s="172" t="s">
        <v>92</v>
      </c>
      <c r="I307" s="172" t="s">
        <v>92</v>
      </c>
      <c r="J307" s="172" t="s">
        <v>92</v>
      </c>
      <c r="K307" s="172" t="s">
        <v>92</v>
      </c>
    </row>
    <row r="308" spans="1:11" ht="15.75" customHeight="1" x14ac:dyDescent="0.25">
      <c r="A308" s="4"/>
      <c r="B308" s="172"/>
      <c r="C308" s="172" t="s">
        <v>93</v>
      </c>
      <c r="D308" s="95"/>
      <c r="E308" s="172"/>
      <c r="F308" s="172" t="s">
        <v>97</v>
      </c>
      <c r="G308" s="172" t="s">
        <v>97</v>
      </c>
      <c r="H308" s="172" t="s">
        <v>97</v>
      </c>
      <c r="I308" s="172" t="s">
        <v>97</v>
      </c>
      <c r="J308" s="172" t="s">
        <v>97</v>
      </c>
      <c r="K308" s="172" t="s">
        <v>97</v>
      </c>
    </row>
    <row r="309" spans="1:11" ht="15.75" customHeight="1" x14ac:dyDescent="0.25">
      <c r="A309" s="4"/>
      <c r="B309" s="172"/>
      <c r="C309" s="172"/>
      <c r="D309" s="172"/>
      <c r="E309" s="172"/>
      <c r="F309" s="172"/>
      <c r="G309" s="172"/>
      <c r="H309" s="172"/>
      <c r="I309" s="172"/>
      <c r="J309" s="172"/>
      <c r="K309" s="172"/>
    </row>
    <row r="310" spans="1:11" ht="15.75" customHeight="1" x14ac:dyDescent="0.25">
      <c r="A310" s="4"/>
      <c r="B310" s="172" t="s">
        <v>92</v>
      </c>
      <c r="C310" s="172" t="s">
        <v>92</v>
      </c>
      <c r="D310" s="172" t="s">
        <v>92</v>
      </c>
      <c r="E310" s="172" t="s">
        <v>92</v>
      </c>
      <c r="F310" s="172" t="s">
        <v>92</v>
      </c>
      <c r="G310" s="172" t="s">
        <v>92</v>
      </c>
      <c r="H310" s="172" t="s">
        <v>92</v>
      </c>
      <c r="I310" s="172" t="s">
        <v>92</v>
      </c>
      <c r="J310" s="172" t="s">
        <v>92</v>
      </c>
      <c r="K310" s="172" t="s">
        <v>92</v>
      </c>
    </row>
    <row r="311" spans="1:11" ht="15.75" customHeight="1" x14ac:dyDescent="0.25">
      <c r="A311" s="4"/>
      <c r="B311" s="172" t="s">
        <v>92</v>
      </c>
      <c r="C311" s="172" t="s">
        <v>92</v>
      </c>
      <c r="D311" s="172" t="s">
        <v>92</v>
      </c>
      <c r="E311" s="172" t="s">
        <v>92</v>
      </c>
      <c r="F311" s="172" t="s">
        <v>92</v>
      </c>
      <c r="G311" s="172" t="s">
        <v>92</v>
      </c>
      <c r="H311" s="172" t="s">
        <v>92</v>
      </c>
      <c r="I311" s="172" t="s">
        <v>92</v>
      </c>
      <c r="J311" s="172" t="s">
        <v>92</v>
      </c>
      <c r="K311" s="172" t="s">
        <v>92</v>
      </c>
    </row>
    <row r="312" spans="1:11" ht="15.75" customHeight="1" x14ac:dyDescent="0.25">
      <c r="A312" s="4" t="s">
        <v>100</v>
      </c>
      <c r="B312" s="172" t="s">
        <v>92</v>
      </c>
      <c r="C312" s="172" t="s">
        <v>92</v>
      </c>
      <c r="D312" s="172" t="s">
        <v>92</v>
      </c>
      <c r="E312" s="172" t="s">
        <v>92</v>
      </c>
      <c r="F312" s="172" t="s">
        <v>92</v>
      </c>
      <c r="G312" s="172" t="s">
        <v>92</v>
      </c>
      <c r="H312" s="172" t="s">
        <v>92</v>
      </c>
      <c r="I312" s="172" t="s">
        <v>92</v>
      </c>
      <c r="J312" s="172" t="s">
        <v>92</v>
      </c>
      <c r="K312" s="172" t="s">
        <v>92</v>
      </c>
    </row>
    <row r="313" spans="1:11" ht="15.75" customHeight="1" x14ac:dyDescent="0.25">
      <c r="A313" s="4" t="s">
        <v>91</v>
      </c>
      <c r="B313" s="172" t="s">
        <v>92</v>
      </c>
      <c r="C313" s="172" t="s">
        <v>92</v>
      </c>
      <c r="D313" s="172" t="s">
        <v>92</v>
      </c>
      <c r="E313" s="172" t="s">
        <v>92</v>
      </c>
      <c r="F313" s="172" t="s">
        <v>92</v>
      </c>
      <c r="G313" s="172" t="s">
        <v>92</v>
      </c>
      <c r="H313" s="172" t="s">
        <v>92</v>
      </c>
      <c r="I313" s="172" t="s">
        <v>92</v>
      </c>
      <c r="J313" s="172" t="s">
        <v>92</v>
      </c>
      <c r="K313" s="172" t="s">
        <v>92</v>
      </c>
    </row>
    <row r="314" spans="1:11" ht="15.75" customHeight="1" x14ac:dyDescent="0.25">
      <c r="A314" s="4"/>
      <c r="B314" s="172" t="s">
        <v>92</v>
      </c>
      <c r="C314" s="172" t="s">
        <v>92</v>
      </c>
      <c r="D314" s="172" t="s">
        <v>92</v>
      </c>
      <c r="E314" s="172" t="s">
        <v>92</v>
      </c>
      <c r="F314" s="172" t="s">
        <v>92</v>
      </c>
      <c r="G314" s="172" t="s">
        <v>92</v>
      </c>
      <c r="H314" s="172" t="s">
        <v>92</v>
      </c>
      <c r="I314" s="172" t="s">
        <v>92</v>
      </c>
      <c r="J314" s="172" t="s">
        <v>92</v>
      </c>
      <c r="K314" s="172" t="s">
        <v>92</v>
      </c>
    </row>
    <row r="315" spans="1:11" ht="15.75" customHeight="1" x14ac:dyDescent="0.25">
      <c r="A315" s="4"/>
      <c r="B315" s="172" t="s">
        <v>92</v>
      </c>
      <c r="C315" s="172" t="s">
        <v>92</v>
      </c>
      <c r="D315" s="172" t="s">
        <v>92</v>
      </c>
      <c r="E315" s="172" t="s">
        <v>92</v>
      </c>
      <c r="F315" s="172" t="s">
        <v>92</v>
      </c>
      <c r="G315" s="172" t="s">
        <v>92</v>
      </c>
      <c r="H315" s="172" t="s">
        <v>92</v>
      </c>
      <c r="I315" s="172" t="s">
        <v>92</v>
      </c>
      <c r="J315" s="172" t="s">
        <v>92</v>
      </c>
      <c r="K315" s="172" t="s">
        <v>92</v>
      </c>
    </row>
    <row r="316" spans="1:11" ht="15.75" customHeight="1" x14ac:dyDescent="0.25">
      <c r="A316" s="4"/>
      <c r="B316" s="172"/>
      <c r="C316" s="172" t="s">
        <v>93</v>
      </c>
      <c r="D316" s="95"/>
      <c r="E316" s="172"/>
      <c r="F316" s="172" t="s">
        <v>97</v>
      </c>
      <c r="G316" s="172" t="s">
        <v>97</v>
      </c>
      <c r="H316" s="172" t="s">
        <v>97</v>
      </c>
      <c r="I316" s="172" t="s">
        <v>97</v>
      </c>
      <c r="J316" s="172" t="s">
        <v>97</v>
      </c>
      <c r="K316" s="172" t="s">
        <v>97</v>
      </c>
    </row>
    <row r="317" spans="1:11" ht="15.75" customHeight="1" x14ac:dyDescent="0.25">
      <c r="A317" s="4"/>
      <c r="B317" s="172"/>
      <c r="C317" s="172"/>
      <c r="D317" s="172"/>
      <c r="E317" s="172"/>
      <c r="F317" s="172"/>
      <c r="G317" s="172"/>
      <c r="H317" s="172"/>
      <c r="I317" s="172"/>
      <c r="J317" s="172"/>
      <c r="K317" s="172"/>
    </row>
    <row r="318" spans="1:11" ht="15.75" customHeight="1" x14ac:dyDescent="0.25">
      <c r="A318" s="4"/>
      <c r="B318" s="172" t="s">
        <v>92</v>
      </c>
      <c r="C318" s="172" t="s">
        <v>92</v>
      </c>
      <c r="D318" s="172" t="s">
        <v>92</v>
      </c>
      <c r="E318" s="172" t="s">
        <v>92</v>
      </c>
      <c r="F318" s="172" t="s">
        <v>92</v>
      </c>
      <c r="G318" s="172" t="s">
        <v>92</v>
      </c>
      <c r="H318" s="172" t="s">
        <v>92</v>
      </c>
      <c r="I318" s="172" t="s">
        <v>92</v>
      </c>
      <c r="J318" s="172" t="s">
        <v>92</v>
      </c>
      <c r="K318" s="172" t="s">
        <v>92</v>
      </c>
    </row>
    <row r="319" spans="1:11" ht="15.75" customHeight="1" x14ac:dyDescent="0.25">
      <c r="A319" s="4"/>
      <c r="B319" s="172" t="s">
        <v>92</v>
      </c>
      <c r="C319" s="172" t="s">
        <v>92</v>
      </c>
      <c r="D319" s="172" t="s">
        <v>92</v>
      </c>
      <c r="E319" s="172" t="s">
        <v>92</v>
      </c>
      <c r="F319" s="172" t="s">
        <v>92</v>
      </c>
      <c r="G319" s="172" t="s">
        <v>92</v>
      </c>
      <c r="H319" s="172" t="s">
        <v>92</v>
      </c>
      <c r="I319" s="172" t="s">
        <v>92</v>
      </c>
      <c r="J319" s="172" t="s">
        <v>92</v>
      </c>
      <c r="K319" s="172" t="s">
        <v>92</v>
      </c>
    </row>
    <row r="320" spans="1:11" ht="15.75" customHeight="1" x14ac:dyDescent="0.25">
      <c r="A320" s="4" t="s">
        <v>117</v>
      </c>
      <c r="B320" s="172" t="s">
        <v>92</v>
      </c>
      <c r="C320" s="172" t="s">
        <v>92</v>
      </c>
      <c r="D320" s="172" t="s">
        <v>92</v>
      </c>
      <c r="E320" s="172" t="s">
        <v>92</v>
      </c>
      <c r="F320" s="172" t="s">
        <v>92</v>
      </c>
      <c r="G320" s="172" t="s">
        <v>92</v>
      </c>
      <c r="H320" s="172" t="s">
        <v>92</v>
      </c>
      <c r="I320" s="172" t="s">
        <v>92</v>
      </c>
      <c r="J320" s="172" t="s">
        <v>92</v>
      </c>
      <c r="K320" s="172" t="s">
        <v>92</v>
      </c>
    </row>
    <row r="321" spans="1:11" ht="15.75" customHeight="1" x14ac:dyDescent="0.25">
      <c r="A321" s="4" t="s">
        <v>91</v>
      </c>
      <c r="B321" s="172" t="s">
        <v>92</v>
      </c>
      <c r="C321" s="172" t="s">
        <v>92</v>
      </c>
      <c r="D321" s="172" t="s">
        <v>92</v>
      </c>
      <c r="E321" s="172" t="s">
        <v>92</v>
      </c>
      <c r="F321" s="172" t="s">
        <v>92</v>
      </c>
      <c r="G321" s="172" t="s">
        <v>92</v>
      </c>
      <c r="H321" s="172" t="s">
        <v>92</v>
      </c>
      <c r="I321" s="172" t="s">
        <v>92</v>
      </c>
      <c r="J321" s="172" t="s">
        <v>92</v>
      </c>
      <c r="K321" s="172" t="s">
        <v>92</v>
      </c>
    </row>
    <row r="322" spans="1:11" ht="15.75" customHeight="1" x14ac:dyDescent="0.25">
      <c r="A322" s="4"/>
      <c r="B322" s="172" t="s">
        <v>92</v>
      </c>
      <c r="C322" s="172" t="s">
        <v>92</v>
      </c>
      <c r="D322" s="172" t="s">
        <v>92</v>
      </c>
      <c r="E322" s="172" t="s">
        <v>92</v>
      </c>
      <c r="F322" s="172" t="s">
        <v>92</v>
      </c>
      <c r="G322" s="172" t="s">
        <v>92</v>
      </c>
      <c r="H322" s="172" t="s">
        <v>92</v>
      </c>
      <c r="I322" s="172" t="s">
        <v>92</v>
      </c>
      <c r="J322" s="172" t="s">
        <v>92</v>
      </c>
      <c r="K322" s="172" t="s">
        <v>92</v>
      </c>
    </row>
    <row r="323" spans="1:11" ht="15.75" customHeight="1" x14ac:dyDescent="0.25">
      <c r="A323" s="4"/>
      <c r="B323" s="172" t="s">
        <v>92</v>
      </c>
      <c r="C323" s="172" t="s">
        <v>92</v>
      </c>
      <c r="D323" s="172" t="s">
        <v>92</v>
      </c>
      <c r="E323" s="172" t="s">
        <v>92</v>
      </c>
      <c r="F323" s="172" t="s">
        <v>92</v>
      </c>
      <c r="G323" s="172" t="s">
        <v>92</v>
      </c>
      <c r="H323" s="172" t="s">
        <v>92</v>
      </c>
      <c r="I323" s="172" t="s">
        <v>92</v>
      </c>
      <c r="J323" s="172" t="s">
        <v>92</v>
      </c>
      <c r="K323" s="172" t="s">
        <v>92</v>
      </c>
    </row>
    <row r="324" spans="1:11" ht="15.75" customHeight="1" x14ac:dyDescent="0.25">
      <c r="A324" s="4"/>
      <c r="B324" s="172"/>
      <c r="C324" s="172" t="s">
        <v>93</v>
      </c>
      <c r="D324" s="95"/>
      <c r="E324" s="172"/>
      <c r="F324" s="172" t="s">
        <v>97</v>
      </c>
      <c r="G324" s="172" t="s">
        <v>97</v>
      </c>
      <c r="H324" s="172" t="s">
        <v>97</v>
      </c>
      <c r="I324" s="172" t="s">
        <v>97</v>
      </c>
      <c r="J324" s="172" t="s">
        <v>97</v>
      </c>
      <c r="K324" s="172" t="s">
        <v>97</v>
      </c>
    </row>
    <row r="325" spans="1:11" ht="15.75" customHeight="1" x14ac:dyDescent="0.25">
      <c r="A325" s="4"/>
      <c r="B325" s="172"/>
      <c r="C325" s="172"/>
      <c r="D325" s="172"/>
      <c r="E325" s="172"/>
      <c r="F325" s="172"/>
      <c r="G325" s="172"/>
      <c r="H325" s="172"/>
      <c r="I325" s="172"/>
      <c r="J325" s="172"/>
      <c r="K325" s="172"/>
    </row>
    <row r="326" spans="1:11" ht="15.75" customHeight="1" x14ac:dyDescent="0.25">
      <c r="A326" s="4"/>
      <c r="B326" s="172" t="s">
        <v>92</v>
      </c>
      <c r="C326" s="172" t="s">
        <v>92</v>
      </c>
      <c r="D326" s="172" t="s">
        <v>92</v>
      </c>
      <c r="E326" s="172" t="s">
        <v>92</v>
      </c>
      <c r="F326" s="172" t="s">
        <v>92</v>
      </c>
      <c r="G326" s="172" t="s">
        <v>92</v>
      </c>
      <c r="H326" s="172" t="s">
        <v>92</v>
      </c>
      <c r="I326" s="172" t="s">
        <v>92</v>
      </c>
      <c r="J326" s="172" t="s">
        <v>92</v>
      </c>
      <c r="K326" s="172" t="s">
        <v>92</v>
      </c>
    </row>
    <row r="327" spans="1:11" ht="15.75" customHeight="1" x14ac:dyDescent="0.25">
      <c r="A327" s="4"/>
      <c r="B327" s="172" t="s">
        <v>92</v>
      </c>
      <c r="C327" s="172" t="s">
        <v>92</v>
      </c>
      <c r="D327" s="172" t="s">
        <v>92</v>
      </c>
      <c r="E327" s="172" t="s">
        <v>92</v>
      </c>
      <c r="F327" s="172" t="s">
        <v>92</v>
      </c>
      <c r="G327" s="172" t="s">
        <v>92</v>
      </c>
      <c r="H327" s="172" t="s">
        <v>92</v>
      </c>
      <c r="I327" s="172" t="s">
        <v>92</v>
      </c>
      <c r="J327" s="172" t="s">
        <v>92</v>
      </c>
      <c r="K327" s="172" t="s">
        <v>92</v>
      </c>
    </row>
    <row r="328" spans="1:11" ht="15.75" customHeight="1" x14ac:dyDescent="0.25">
      <c r="A328" s="4" t="s">
        <v>118</v>
      </c>
      <c r="B328" s="172" t="s">
        <v>92</v>
      </c>
      <c r="C328" s="172" t="s">
        <v>92</v>
      </c>
      <c r="D328" s="172" t="s">
        <v>92</v>
      </c>
      <c r="E328" s="172" t="s">
        <v>92</v>
      </c>
      <c r="F328" s="172" t="s">
        <v>92</v>
      </c>
      <c r="G328" s="172" t="s">
        <v>92</v>
      </c>
      <c r="H328" s="172" t="s">
        <v>92</v>
      </c>
      <c r="I328" s="172" t="s">
        <v>92</v>
      </c>
      <c r="J328" s="172" t="s">
        <v>92</v>
      </c>
      <c r="K328" s="172" t="s">
        <v>92</v>
      </c>
    </row>
    <row r="329" spans="1:11" ht="15.75" customHeight="1" x14ac:dyDescent="0.25">
      <c r="A329" s="4" t="s">
        <v>91</v>
      </c>
      <c r="B329" s="172" t="s">
        <v>92</v>
      </c>
      <c r="C329" s="172" t="s">
        <v>92</v>
      </c>
      <c r="D329" s="172" t="s">
        <v>92</v>
      </c>
      <c r="E329" s="172" t="s">
        <v>92</v>
      </c>
      <c r="F329" s="172" t="s">
        <v>92</v>
      </c>
      <c r="G329" s="172" t="s">
        <v>92</v>
      </c>
      <c r="H329" s="172" t="s">
        <v>92</v>
      </c>
      <c r="I329" s="172" t="s">
        <v>92</v>
      </c>
      <c r="J329" s="172" t="s">
        <v>92</v>
      </c>
      <c r="K329" s="172" t="s">
        <v>92</v>
      </c>
    </row>
    <row r="330" spans="1:11" ht="15.75" customHeight="1" x14ac:dyDescent="0.25">
      <c r="A330" s="4"/>
      <c r="B330" s="172" t="s">
        <v>92</v>
      </c>
      <c r="C330" s="172" t="s">
        <v>92</v>
      </c>
      <c r="D330" s="172" t="s">
        <v>92</v>
      </c>
      <c r="E330" s="172" t="s">
        <v>92</v>
      </c>
      <c r="F330" s="172" t="s">
        <v>92</v>
      </c>
      <c r="G330" s="172" t="s">
        <v>92</v>
      </c>
      <c r="H330" s="172" t="s">
        <v>92</v>
      </c>
      <c r="I330" s="172" t="s">
        <v>92</v>
      </c>
      <c r="J330" s="172" t="s">
        <v>92</v>
      </c>
      <c r="K330" s="172" t="s">
        <v>92</v>
      </c>
    </row>
    <row r="331" spans="1:11" ht="15.75" customHeight="1" x14ac:dyDescent="0.25">
      <c r="A331" s="4"/>
      <c r="B331" s="172" t="s">
        <v>92</v>
      </c>
      <c r="C331" s="172" t="s">
        <v>92</v>
      </c>
      <c r="D331" s="172" t="s">
        <v>92</v>
      </c>
      <c r="E331" s="172" t="s">
        <v>92</v>
      </c>
      <c r="F331" s="172" t="s">
        <v>92</v>
      </c>
      <c r="G331" s="172" t="s">
        <v>92</v>
      </c>
      <c r="H331" s="172" t="s">
        <v>92</v>
      </c>
      <c r="I331" s="172" t="s">
        <v>92</v>
      </c>
      <c r="J331" s="172" t="s">
        <v>92</v>
      </c>
      <c r="K331" s="172" t="s">
        <v>92</v>
      </c>
    </row>
    <row r="332" spans="1:11" ht="15.75" customHeight="1" x14ac:dyDescent="0.25">
      <c r="A332" s="4"/>
      <c r="B332" s="172"/>
      <c r="C332" s="172" t="s">
        <v>93</v>
      </c>
      <c r="D332" s="95"/>
      <c r="E332" s="172"/>
      <c r="F332" s="172" t="s">
        <v>97</v>
      </c>
      <c r="G332" s="172" t="s">
        <v>97</v>
      </c>
      <c r="H332" s="172" t="s">
        <v>97</v>
      </c>
      <c r="I332" s="172" t="s">
        <v>97</v>
      </c>
      <c r="J332" s="172" t="s">
        <v>97</v>
      </c>
      <c r="K332" s="172" t="s">
        <v>97</v>
      </c>
    </row>
    <row r="333" spans="1:11" ht="15.75" customHeight="1" x14ac:dyDescent="0.25">
      <c r="A333" s="4"/>
      <c r="B333" s="172"/>
      <c r="C333" s="172" t="s">
        <v>119</v>
      </c>
      <c r="D333" s="172"/>
      <c r="E333" s="172"/>
      <c r="F333" s="172" t="s">
        <v>97</v>
      </c>
      <c r="G333" s="172" t="s">
        <v>97</v>
      </c>
      <c r="H333" s="172" t="s">
        <v>97</v>
      </c>
      <c r="I333" s="172" t="s">
        <v>97</v>
      </c>
      <c r="J333" s="172" t="s">
        <v>97</v>
      </c>
      <c r="K333" s="172" t="s">
        <v>97</v>
      </c>
    </row>
    <row r="334" spans="1:11" ht="15.75" customHeight="1" x14ac:dyDescent="0.25">
      <c r="A334" s="4"/>
      <c r="B334" s="4"/>
      <c r="C334" s="4"/>
      <c r="D334" s="4"/>
      <c r="E334" s="4"/>
      <c r="F334" s="4"/>
      <c r="G334" s="4"/>
      <c r="H334" s="4"/>
      <c r="I334" s="4"/>
      <c r="J334" s="4"/>
      <c r="K334" s="4"/>
    </row>
    <row r="335" spans="1:11" ht="15.75" customHeight="1" x14ac:dyDescent="0.25">
      <c r="A335" s="4"/>
      <c r="B335" s="4"/>
      <c r="C335" s="4"/>
      <c r="D335" s="4"/>
      <c r="E335" s="4"/>
      <c r="F335" s="4"/>
      <c r="G335" s="4"/>
      <c r="H335" s="4"/>
      <c r="I335" s="4"/>
      <c r="J335" s="4"/>
      <c r="K335" s="4"/>
    </row>
    <row r="336" spans="1:11" ht="15.75" customHeight="1" x14ac:dyDescent="0.25">
      <c r="A336" s="1" t="s">
        <v>225</v>
      </c>
      <c r="B336" s="4"/>
      <c r="C336" s="4"/>
      <c r="D336" s="4"/>
      <c r="E336" s="4"/>
      <c r="F336" s="4"/>
      <c r="G336" s="4"/>
      <c r="H336" s="4"/>
      <c r="I336" s="4"/>
      <c r="J336" s="4"/>
      <c r="K336" s="4"/>
    </row>
    <row r="337" spans="1:11" ht="15.75" customHeight="1" x14ac:dyDescent="0.25">
      <c r="A337" s="4"/>
      <c r="B337" s="4"/>
      <c r="C337" s="4"/>
      <c r="D337" s="4"/>
      <c r="E337" s="4"/>
      <c r="F337" s="4"/>
      <c r="G337" s="4"/>
      <c r="H337" s="4"/>
      <c r="I337" s="4"/>
      <c r="J337" s="4"/>
      <c r="K337" s="4"/>
    </row>
    <row r="338" spans="1:11" ht="15.75" customHeight="1" x14ac:dyDescent="0.2">
      <c r="A338" s="369" t="s">
        <v>104</v>
      </c>
      <c r="B338" s="369"/>
      <c r="C338" s="369"/>
      <c r="D338" s="369"/>
      <c r="E338" s="369"/>
      <c r="F338" s="369"/>
      <c r="G338" s="369"/>
      <c r="H338" s="369"/>
      <c r="I338" s="369"/>
      <c r="J338" s="369"/>
      <c r="K338" s="369"/>
    </row>
    <row r="339" spans="1:11" ht="15.75" customHeight="1" x14ac:dyDescent="0.2">
      <c r="A339" s="369"/>
      <c r="B339" s="369"/>
      <c r="C339" s="369"/>
      <c r="D339" s="369"/>
      <c r="E339" s="369"/>
      <c r="F339" s="369"/>
      <c r="G339" s="369"/>
      <c r="H339" s="369"/>
      <c r="I339" s="369"/>
      <c r="J339" s="369"/>
      <c r="K339" s="369"/>
    </row>
    <row r="340" spans="1:11" ht="15.75" customHeight="1" x14ac:dyDescent="0.25">
      <c r="A340" s="4"/>
      <c r="B340" s="4"/>
      <c r="C340" s="4"/>
      <c r="D340" s="4"/>
      <c r="E340" s="4"/>
      <c r="F340" s="4"/>
      <c r="G340" s="4"/>
      <c r="H340" s="4"/>
      <c r="I340" s="4"/>
      <c r="J340" s="4"/>
      <c r="K340" s="4"/>
    </row>
    <row r="341" spans="1:11" ht="15.75" customHeight="1" x14ac:dyDescent="0.25">
      <c r="A341" s="4"/>
      <c r="B341" s="4" t="s">
        <v>105</v>
      </c>
      <c r="C341" s="4" t="s">
        <v>106</v>
      </c>
      <c r="D341" s="4" t="s">
        <v>106</v>
      </c>
      <c r="E341" s="4" t="s">
        <v>107</v>
      </c>
      <c r="F341" s="4"/>
      <c r="G341" s="4"/>
      <c r="H341" s="4"/>
      <c r="I341" s="4"/>
      <c r="J341" s="4"/>
      <c r="K341" s="4"/>
    </row>
    <row r="342" spans="1:11" ht="15.75" customHeight="1" x14ac:dyDescent="0.25">
      <c r="A342" s="4"/>
      <c r="B342" s="1" t="s">
        <v>108</v>
      </c>
      <c r="C342" s="1" t="s">
        <v>109</v>
      </c>
      <c r="D342" s="1" t="s">
        <v>110</v>
      </c>
      <c r="E342" s="1" t="s">
        <v>111</v>
      </c>
      <c r="F342" s="4"/>
      <c r="G342" s="4"/>
      <c r="H342" s="4"/>
      <c r="I342" s="4"/>
      <c r="J342" s="4"/>
      <c r="K342" s="4"/>
    </row>
    <row r="343" spans="1:11" ht="15.75" customHeight="1" x14ac:dyDescent="0.25">
      <c r="A343" s="4"/>
      <c r="B343" s="4"/>
      <c r="C343" s="4"/>
      <c r="D343" s="4"/>
      <c r="E343" s="4"/>
      <c r="F343" s="4"/>
      <c r="G343" s="4"/>
      <c r="H343" s="4"/>
      <c r="I343" s="4"/>
      <c r="J343" s="4"/>
      <c r="K343" s="4"/>
    </row>
    <row r="344" spans="1:11" ht="15.75" customHeight="1" x14ac:dyDescent="0.25">
      <c r="A344" s="4" t="s">
        <v>112</v>
      </c>
      <c r="B344" s="4" t="s">
        <v>113</v>
      </c>
      <c r="C344" s="4" t="s">
        <v>113</v>
      </c>
      <c r="D344" s="4" t="s">
        <v>114</v>
      </c>
      <c r="E344" s="4"/>
      <c r="F344" s="4"/>
      <c r="G344" s="4"/>
      <c r="H344" s="4"/>
      <c r="I344" s="4"/>
      <c r="J344" s="4"/>
      <c r="K344" s="4"/>
    </row>
    <row r="345" spans="1:11" ht="15.75" customHeight="1" x14ac:dyDescent="0.25">
      <c r="A345" s="4" t="s">
        <v>112</v>
      </c>
      <c r="B345" s="4" t="s">
        <v>113</v>
      </c>
      <c r="C345" s="4" t="s">
        <v>113</v>
      </c>
      <c r="D345" s="4" t="s">
        <v>114</v>
      </c>
      <c r="E345" s="4"/>
      <c r="F345" s="4"/>
      <c r="G345" s="4"/>
      <c r="H345" s="4"/>
      <c r="I345" s="4"/>
      <c r="J345" s="4"/>
      <c r="K345" s="4"/>
    </row>
    <row r="346" spans="1:11" ht="15.75" customHeight="1" x14ac:dyDescent="0.25">
      <c r="A346" s="4" t="s">
        <v>112</v>
      </c>
      <c r="B346" s="4" t="s">
        <v>113</v>
      </c>
      <c r="C346" s="4" t="s">
        <v>113</v>
      </c>
      <c r="D346" s="4" t="s">
        <v>114</v>
      </c>
      <c r="E346" s="4"/>
      <c r="F346" s="4"/>
      <c r="G346" s="4"/>
      <c r="H346" s="4"/>
      <c r="I346" s="4"/>
      <c r="J346" s="4"/>
      <c r="K346" s="4"/>
    </row>
    <row r="347" spans="1:11" ht="15.75" customHeight="1" x14ac:dyDescent="0.25">
      <c r="A347" s="4" t="s">
        <v>112</v>
      </c>
      <c r="B347" s="4" t="s">
        <v>113</v>
      </c>
      <c r="C347" s="4" t="s">
        <v>113</v>
      </c>
      <c r="D347" s="4" t="s">
        <v>114</v>
      </c>
      <c r="E347" s="4"/>
      <c r="F347" s="4"/>
      <c r="G347" s="4"/>
      <c r="H347" s="4"/>
      <c r="I347" s="4"/>
      <c r="J347" s="4"/>
      <c r="K347" s="4"/>
    </row>
    <row r="348" spans="1:11" ht="15.75" customHeight="1" x14ac:dyDescent="0.25">
      <c r="A348" s="4" t="s">
        <v>112</v>
      </c>
      <c r="B348" s="4" t="s">
        <v>113</v>
      </c>
      <c r="C348" s="4" t="s">
        <v>113</v>
      </c>
      <c r="D348" s="4" t="s">
        <v>114</v>
      </c>
      <c r="E348" s="4"/>
      <c r="F348" s="4"/>
      <c r="G348" s="4"/>
      <c r="H348" s="4"/>
      <c r="I348" s="4"/>
      <c r="J348" s="4"/>
      <c r="K348" s="4"/>
    </row>
    <row r="349" spans="1:11" ht="15.75" customHeight="1" x14ac:dyDescent="0.25">
      <c r="A349" s="4" t="s">
        <v>112</v>
      </c>
      <c r="B349" s="4" t="s">
        <v>113</v>
      </c>
      <c r="C349" s="4" t="s">
        <v>113</v>
      </c>
      <c r="D349" s="4" t="s">
        <v>114</v>
      </c>
      <c r="E349" s="4"/>
      <c r="F349" s="4"/>
      <c r="G349" s="4"/>
      <c r="H349" s="4"/>
      <c r="I349" s="4"/>
      <c r="J349" s="4"/>
      <c r="K349" s="4"/>
    </row>
    <row r="350" spans="1:11" ht="15.75" customHeight="1" x14ac:dyDescent="0.25">
      <c r="A350" s="4" t="s">
        <v>112</v>
      </c>
      <c r="B350" s="4" t="s">
        <v>113</v>
      </c>
      <c r="C350" s="4" t="s">
        <v>113</v>
      </c>
      <c r="D350" s="4" t="s">
        <v>114</v>
      </c>
      <c r="E350" s="4"/>
      <c r="F350" s="4"/>
      <c r="G350" s="4"/>
      <c r="H350" s="4"/>
      <c r="I350" s="4"/>
      <c r="J350" s="4"/>
      <c r="K350" s="4"/>
    </row>
    <row r="351" spans="1:11" ht="15.75" customHeight="1" x14ac:dyDescent="0.25">
      <c r="A351" s="4"/>
      <c r="B351" s="4"/>
      <c r="C351" s="4"/>
      <c r="D351" s="4"/>
      <c r="E351" s="4"/>
      <c r="F351" s="4"/>
      <c r="G351" s="4"/>
      <c r="H351" s="4"/>
      <c r="I351" s="4"/>
      <c r="J351" s="4"/>
      <c r="K351" s="4">
        <f ca="1">+A2:A301:K351</f>
        <v>0</v>
      </c>
    </row>
    <row r="352" spans="1:11" ht="15.75" customHeight="1" x14ac:dyDescent="0.25">
      <c r="A352" s="4"/>
      <c r="B352" s="4"/>
      <c r="C352" s="4"/>
      <c r="D352" s="4"/>
      <c r="E352" s="4"/>
      <c r="F352" s="4"/>
      <c r="G352" s="4"/>
      <c r="H352" s="4"/>
      <c r="I352" s="4"/>
      <c r="J352" s="4"/>
      <c r="K352" s="4"/>
    </row>
    <row r="353" spans="1:11" ht="15.75" customHeight="1" x14ac:dyDescent="0.25">
      <c r="A353" s="21"/>
      <c r="B353" s="4"/>
      <c r="C353" s="4"/>
      <c r="D353" s="4"/>
      <c r="E353" s="4"/>
      <c r="F353" s="4"/>
      <c r="G353" s="4"/>
      <c r="H353" s="4"/>
      <c r="I353" s="4"/>
      <c r="J353" s="4"/>
      <c r="K353" s="4"/>
    </row>
  </sheetData>
  <mergeCells count="50">
    <mergeCell ref="H126:I126"/>
    <mergeCell ref="B139:I139"/>
    <mergeCell ref="H140:I140"/>
    <mergeCell ref="O63:V63"/>
    <mergeCell ref="U64:V64"/>
    <mergeCell ref="B63:I63"/>
    <mergeCell ref="H64:I64"/>
    <mergeCell ref="U28:V28"/>
    <mergeCell ref="O39:V39"/>
    <mergeCell ref="U40:V40"/>
    <mergeCell ref="O51:V51"/>
    <mergeCell ref="U52:V52"/>
    <mergeCell ref="O3:V3"/>
    <mergeCell ref="U4:V4"/>
    <mergeCell ref="O15:V15"/>
    <mergeCell ref="U16:V16"/>
    <mergeCell ref="O27:V27"/>
    <mergeCell ref="B3:I3"/>
    <mergeCell ref="B15:I15"/>
    <mergeCell ref="B27:I27"/>
    <mergeCell ref="B39:I39"/>
    <mergeCell ref="B51:I51"/>
    <mergeCell ref="H52:I52"/>
    <mergeCell ref="H28:I28"/>
    <mergeCell ref="H4:I4"/>
    <mergeCell ref="H16:I16"/>
    <mergeCell ref="H40:I40"/>
    <mergeCell ref="A338:K339"/>
    <mergeCell ref="A230:J231"/>
    <mergeCell ref="B77:I77"/>
    <mergeCell ref="H78:I78"/>
    <mergeCell ref="B89:I89"/>
    <mergeCell ref="H90:I90"/>
    <mergeCell ref="B101:I101"/>
    <mergeCell ref="H102:I102"/>
    <mergeCell ref="B113:I113"/>
    <mergeCell ref="H114:I114"/>
    <mergeCell ref="B125:I125"/>
    <mergeCell ref="B152:I152"/>
    <mergeCell ref="H153:I153"/>
    <mergeCell ref="B164:I164"/>
    <mergeCell ref="H165:I165"/>
    <mergeCell ref="B176:I176"/>
    <mergeCell ref="B214:I214"/>
    <mergeCell ref="H215:I215"/>
    <mergeCell ref="H177:I177"/>
    <mergeCell ref="B188:I188"/>
    <mergeCell ref="H189:I189"/>
    <mergeCell ref="B200:I200"/>
    <mergeCell ref="H201:I201"/>
  </mergeCells>
  <phoneticPr fontId="14" type="noConversion"/>
  <pageMargins left="0.75" right="0.75" top="1" bottom="1" header="0.5" footer="0.5"/>
  <pageSetup scale="55" firstPageNumber="23" orientation="portrait" useFirstPageNumber="1" r:id="rId1"/>
  <headerFooter alignWithMargins="0">
    <oddFooter>Page &amp;P</oddFooter>
  </headerFooter>
  <rowBreaks count="4" manualBreakCount="4">
    <brk id="72" max="10" man="1"/>
    <brk id="147" max="10" man="1"/>
    <brk id="226" max="10" man="1"/>
    <brk id="27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7"/>
  </sheetPr>
  <dimension ref="A1:AI163"/>
  <sheetViews>
    <sheetView tabSelected="1" topLeftCell="A100" zoomScale="75" zoomScaleNormal="75" workbookViewId="0">
      <selection activeCell="H80" sqref="H80"/>
    </sheetView>
  </sheetViews>
  <sheetFormatPr defaultRowHeight="12.75" x14ac:dyDescent="0.2"/>
  <cols>
    <col min="1" max="1" width="5.5703125" customWidth="1"/>
    <col min="2" max="5" width="10.7109375" customWidth="1"/>
    <col min="6" max="6" width="12.42578125" customWidth="1"/>
    <col min="7" max="7" width="15" customWidth="1"/>
    <col min="8" max="8" width="21" bestFit="1" customWidth="1"/>
    <col min="9" max="9" width="12.140625" customWidth="1"/>
    <col min="10" max="11" width="11.85546875" customWidth="1"/>
    <col min="12" max="12" width="19.28515625" customWidth="1"/>
    <col min="13" max="13" width="17" bestFit="1" customWidth="1"/>
    <col min="14" max="14" width="19" customWidth="1"/>
    <col min="15" max="15" width="12.7109375" customWidth="1"/>
    <col min="16" max="16" width="13.28515625" customWidth="1"/>
    <col min="17" max="17" width="12.7109375" bestFit="1" customWidth="1"/>
    <col min="18" max="18" width="10.28515625" bestFit="1" customWidth="1"/>
    <col min="19" max="19" width="15.140625" bestFit="1" customWidth="1"/>
    <col min="20" max="20" width="12" bestFit="1" customWidth="1"/>
    <col min="21" max="21" width="10.28515625" customWidth="1"/>
    <col min="22" max="23" width="9.28515625" bestFit="1" customWidth="1"/>
    <col min="24" max="24" width="10.28515625" bestFit="1" customWidth="1"/>
    <col min="25" max="25" width="9.28515625" bestFit="1" customWidth="1"/>
    <col min="26" max="27" width="10.28515625" bestFit="1" customWidth="1"/>
    <col min="28" max="30" width="10.28515625" customWidth="1"/>
    <col min="31" max="31" width="9.28515625" bestFit="1" customWidth="1"/>
    <col min="32" max="32" width="9.28515625" customWidth="1"/>
    <col min="34" max="34" width="11.28515625" bestFit="1" customWidth="1"/>
    <col min="35" max="35" width="9.28515625" bestFit="1" customWidth="1"/>
  </cols>
  <sheetData>
    <row r="1" spans="1:35" x14ac:dyDescent="0.2">
      <c r="A1" s="132"/>
      <c r="B1" s="132"/>
      <c r="C1" s="132"/>
      <c r="D1" s="132"/>
      <c r="E1" s="132"/>
      <c r="F1" s="132"/>
      <c r="G1" s="132"/>
      <c r="H1" s="132"/>
    </row>
    <row r="2" spans="1:35" ht="15.75" x14ac:dyDescent="0.25">
      <c r="A2" s="119" t="s">
        <v>345</v>
      </c>
      <c r="B2" s="119"/>
      <c r="C2" s="119"/>
      <c r="D2" s="119"/>
      <c r="E2" s="119"/>
      <c r="F2" s="119"/>
      <c r="G2" s="119"/>
      <c r="H2" s="119"/>
      <c r="I2" s="135"/>
    </row>
    <row r="3" spans="1:35" ht="15.75" x14ac:dyDescent="0.25">
      <c r="A3" s="119"/>
      <c r="B3" s="119"/>
      <c r="C3" s="119"/>
      <c r="D3" s="119"/>
      <c r="E3" s="119"/>
      <c r="F3" s="119"/>
      <c r="G3" s="119"/>
      <c r="H3" s="119"/>
      <c r="I3" s="135"/>
    </row>
    <row r="4" spans="1:35" ht="15.75" x14ac:dyDescent="0.25">
      <c r="A4" s="119" t="s">
        <v>228</v>
      </c>
      <c r="B4" s="119"/>
      <c r="C4" s="119"/>
      <c r="D4" s="119"/>
      <c r="E4" s="119"/>
      <c r="F4" s="119"/>
      <c r="G4" s="119"/>
      <c r="H4" s="119"/>
      <c r="I4" s="135"/>
      <c r="J4" s="8"/>
      <c r="K4" s="4"/>
      <c r="L4" s="4"/>
      <c r="M4" s="4"/>
      <c r="N4" s="4"/>
      <c r="O4" s="4"/>
      <c r="P4" s="4"/>
      <c r="S4" s="140"/>
    </row>
    <row r="5" spans="1:35" ht="15.75" x14ac:dyDescent="0.25">
      <c r="A5" s="119"/>
      <c r="B5" s="119" t="s">
        <v>346</v>
      </c>
      <c r="C5" s="119"/>
      <c r="D5" s="119"/>
      <c r="E5" s="119"/>
      <c r="F5" s="119"/>
      <c r="G5" s="119"/>
      <c r="H5" s="119"/>
      <c r="I5" s="135"/>
      <c r="J5" s="8"/>
      <c r="K5" s="4"/>
      <c r="L5" s="8"/>
      <c r="M5" s="371"/>
      <c r="N5" s="372"/>
      <c r="O5" s="372"/>
      <c r="P5" s="4"/>
      <c r="S5" s="140"/>
    </row>
    <row r="6" spans="1:35" ht="15.75" x14ac:dyDescent="0.25">
      <c r="A6" s="168"/>
      <c r="B6" s="2"/>
      <c r="C6" s="2"/>
      <c r="D6" s="168"/>
      <c r="E6" s="4"/>
      <c r="F6" s="4"/>
      <c r="G6" s="4"/>
      <c r="H6" s="4"/>
      <c r="I6" s="8"/>
      <c r="J6" s="8"/>
      <c r="K6" s="4"/>
      <c r="L6" s="4"/>
      <c r="M6" s="4"/>
      <c r="N6" s="4"/>
      <c r="O6" s="4"/>
      <c r="P6" s="4"/>
    </row>
    <row r="7" spans="1:35" ht="15.75" x14ac:dyDescent="0.25">
      <c r="A7" s="1" t="s">
        <v>300</v>
      </c>
      <c r="B7" s="4"/>
      <c r="C7" s="4"/>
      <c r="D7" s="4"/>
      <c r="E7" s="4"/>
      <c r="F7" s="4"/>
      <c r="G7" s="4"/>
      <c r="H7" s="4"/>
      <c r="I7" s="8"/>
      <c r="J7" s="8"/>
      <c r="K7" s="4"/>
      <c r="L7" s="4"/>
      <c r="M7" s="4"/>
      <c r="N7" s="4"/>
      <c r="O7" s="4"/>
      <c r="P7" s="4"/>
    </row>
    <row r="8" spans="1:35" ht="15.75" x14ac:dyDescent="0.25">
      <c r="A8" s="95"/>
      <c r="B8" s="186"/>
      <c r="C8" s="4"/>
      <c r="D8" s="4"/>
      <c r="E8" s="4"/>
      <c r="F8" s="4"/>
      <c r="G8" s="4"/>
      <c r="H8" s="220"/>
      <c r="I8" s="8"/>
      <c r="J8" s="8"/>
      <c r="K8" s="4"/>
      <c r="L8" s="4"/>
      <c r="M8" s="4"/>
      <c r="N8" s="4"/>
      <c r="O8" s="4"/>
      <c r="P8" s="4"/>
    </row>
    <row r="9" spans="1:35" ht="18" x14ac:dyDescent="0.4">
      <c r="A9" s="169" t="s">
        <v>0</v>
      </c>
      <c r="B9" s="4" t="s">
        <v>121</v>
      </c>
      <c r="C9" s="4"/>
      <c r="D9" s="4"/>
      <c r="E9" s="4"/>
      <c r="F9" s="4"/>
      <c r="G9" s="4"/>
      <c r="H9" s="167"/>
      <c r="I9" s="8"/>
      <c r="J9" s="8"/>
      <c r="K9" s="4"/>
      <c r="L9" s="4"/>
      <c r="M9" s="4"/>
      <c r="N9" s="4"/>
      <c r="O9" s="4"/>
      <c r="P9" s="4"/>
    </row>
    <row r="10" spans="1:35" ht="15.75" x14ac:dyDescent="0.25">
      <c r="A10" s="95"/>
      <c r="B10" s="4" t="s">
        <v>130</v>
      </c>
      <c r="C10" s="4"/>
      <c r="D10" s="132"/>
      <c r="E10" s="4"/>
      <c r="F10" s="4"/>
      <c r="G10" s="4"/>
      <c r="H10" s="65">
        <v>2535742</v>
      </c>
      <c r="I10" s="8"/>
      <c r="J10" s="8"/>
      <c r="K10" s="8"/>
      <c r="L10" s="8"/>
      <c r="M10" s="8"/>
      <c r="N10" s="8"/>
      <c r="O10" s="8"/>
      <c r="P10" s="8"/>
      <c r="Q10" s="76"/>
      <c r="R10" s="76"/>
      <c r="S10" s="76"/>
      <c r="T10" s="76"/>
    </row>
    <row r="11" spans="1:35" ht="15.75" x14ac:dyDescent="0.25">
      <c r="A11" s="95"/>
      <c r="B11" s="4" t="s">
        <v>247</v>
      </c>
      <c r="C11" s="4"/>
      <c r="D11" s="132"/>
      <c r="E11" s="4"/>
      <c r="F11" s="4"/>
      <c r="G11" s="4"/>
      <c r="H11" s="9">
        <v>33550</v>
      </c>
      <c r="I11" s="8"/>
      <c r="J11" s="8"/>
      <c r="K11" s="8"/>
      <c r="L11" s="8"/>
      <c r="M11" s="8"/>
      <c r="N11" s="8"/>
      <c r="O11" s="8"/>
      <c r="P11" s="8"/>
      <c r="Q11" s="76"/>
      <c r="R11" s="76"/>
      <c r="S11" s="76"/>
      <c r="T11" s="76"/>
      <c r="U11" s="76"/>
      <c r="V11" s="76"/>
      <c r="W11" s="76"/>
      <c r="X11" s="76"/>
      <c r="Y11" s="76"/>
      <c r="Z11" s="76"/>
      <c r="AA11" s="76"/>
      <c r="AB11" s="76"/>
      <c r="AC11" s="76"/>
      <c r="AD11" s="76"/>
      <c r="AE11" s="76"/>
      <c r="AF11" s="76"/>
      <c r="AG11" s="76"/>
    </row>
    <row r="12" spans="1:35" ht="15.75" x14ac:dyDescent="0.25">
      <c r="A12" s="132"/>
      <c r="B12" s="4" t="s">
        <v>122</v>
      </c>
      <c r="C12" s="4"/>
      <c r="D12" s="132"/>
      <c r="E12" s="4"/>
      <c r="F12" s="4"/>
      <c r="G12" s="4"/>
      <c r="H12" s="65">
        <f>SUM(H10:H11)</f>
        <v>2569292</v>
      </c>
      <c r="I12" s="8"/>
      <c r="J12" s="8"/>
      <c r="K12" s="8"/>
      <c r="L12" s="8"/>
      <c r="M12" s="8"/>
      <c r="N12" s="8"/>
      <c r="O12" s="8"/>
      <c r="P12" s="8"/>
      <c r="Q12" s="76"/>
      <c r="R12" s="76"/>
      <c r="S12" s="76"/>
      <c r="T12" s="76"/>
      <c r="U12" s="76"/>
      <c r="V12" s="76"/>
      <c r="W12" s="76"/>
      <c r="X12" s="76"/>
      <c r="Y12" s="76"/>
      <c r="Z12" s="76"/>
      <c r="AA12" s="76"/>
      <c r="AB12" s="76"/>
      <c r="AC12" s="76"/>
      <c r="AD12" s="76"/>
      <c r="AE12" s="76"/>
      <c r="AF12" s="76"/>
      <c r="AG12" s="76"/>
    </row>
    <row r="13" spans="1:35" ht="15.75" x14ac:dyDescent="0.25">
      <c r="A13" s="95"/>
      <c r="B13" s="4"/>
      <c r="C13" s="4"/>
      <c r="D13" s="132"/>
      <c r="E13" s="4"/>
      <c r="F13" s="4"/>
      <c r="G13" s="4"/>
      <c r="H13" s="4"/>
      <c r="I13" s="8"/>
      <c r="J13" s="8"/>
      <c r="K13" s="8"/>
      <c r="L13" s="8"/>
      <c r="M13" s="8"/>
      <c r="N13" s="8"/>
      <c r="O13" s="8"/>
      <c r="P13" s="8"/>
      <c r="Q13" s="76"/>
      <c r="R13" s="76"/>
      <c r="S13" s="76"/>
      <c r="T13" s="76"/>
      <c r="U13" s="76"/>
      <c r="V13" s="76"/>
      <c r="W13" s="76"/>
      <c r="X13" s="76"/>
      <c r="Y13" s="76"/>
      <c r="Z13" s="76"/>
      <c r="AA13" s="76"/>
      <c r="AB13" s="76"/>
      <c r="AC13" s="76"/>
      <c r="AD13" s="76"/>
      <c r="AE13" s="76"/>
      <c r="AF13" s="76"/>
      <c r="AG13" s="76"/>
    </row>
    <row r="14" spans="1:35" ht="15.75" x14ac:dyDescent="0.25">
      <c r="A14" s="169" t="s">
        <v>3</v>
      </c>
      <c r="B14" s="4" t="s">
        <v>129</v>
      </c>
      <c r="C14" s="4"/>
      <c r="D14" s="132"/>
      <c r="E14" s="4"/>
      <c r="F14" s="4"/>
      <c r="G14" s="4"/>
      <c r="H14" s="4"/>
      <c r="I14" s="8"/>
      <c r="J14" s="8"/>
      <c r="K14" s="336"/>
      <c r="L14" s="336"/>
      <c r="M14" s="8"/>
      <c r="N14" s="8"/>
      <c r="O14" s="8"/>
      <c r="P14" s="8"/>
      <c r="Q14" s="76"/>
      <c r="R14" s="76"/>
      <c r="S14" s="76"/>
      <c r="T14" s="76"/>
      <c r="U14" s="76"/>
      <c r="V14" s="76"/>
      <c r="W14" s="76"/>
      <c r="X14" s="76"/>
      <c r="Y14" s="76"/>
      <c r="Z14" s="76"/>
      <c r="AA14" s="76"/>
      <c r="AB14" s="76"/>
      <c r="AC14" s="76"/>
      <c r="AD14" s="76"/>
      <c r="AE14" s="76"/>
      <c r="AF14" s="76"/>
      <c r="AG14" s="76"/>
    </row>
    <row r="15" spans="1:35" ht="15.75" x14ac:dyDescent="0.25">
      <c r="A15" s="95"/>
      <c r="B15" s="4" t="s">
        <v>179</v>
      </c>
      <c r="C15" s="4"/>
      <c r="D15" s="132"/>
      <c r="E15" s="4"/>
      <c r="F15" s="4"/>
      <c r="G15" s="4"/>
      <c r="H15" s="65">
        <v>1276474</v>
      </c>
      <c r="I15" s="65"/>
      <c r="J15" s="133"/>
      <c r="K15" s="76"/>
      <c r="L15" s="76"/>
      <c r="M15" s="76"/>
      <c r="N15" s="76"/>
      <c r="O15" s="76"/>
      <c r="P15" s="76"/>
      <c r="Q15" s="76"/>
      <c r="R15" s="76"/>
      <c r="S15" s="76"/>
      <c r="T15" s="76"/>
      <c r="U15" s="76"/>
      <c r="V15" s="258"/>
      <c r="W15" s="76"/>
      <c r="X15" s="258"/>
      <c r="Y15" s="258"/>
      <c r="Z15" s="76"/>
      <c r="AA15" s="76"/>
      <c r="AB15" s="258"/>
      <c r="AC15" s="76"/>
      <c r="AD15" s="76"/>
      <c r="AE15" s="76"/>
      <c r="AF15" s="76"/>
      <c r="AG15" s="76"/>
      <c r="AH15" s="47"/>
      <c r="AI15" s="47"/>
    </row>
    <row r="16" spans="1:35" ht="15.75" x14ac:dyDescent="0.25">
      <c r="A16" s="95"/>
      <c r="B16" s="4" t="s">
        <v>291</v>
      </c>
      <c r="C16" s="4"/>
      <c r="D16" s="132"/>
      <c r="E16" s="4"/>
      <c r="F16" s="4"/>
      <c r="G16" s="4"/>
      <c r="H16" s="65">
        <v>178721</v>
      </c>
      <c r="I16" s="65"/>
      <c r="J16" s="133"/>
      <c r="K16" s="76"/>
      <c r="L16" s="76"/>
      <c r="M16" s="76"/>
      <c r="N16" s="76"/>
      <c r="O16" s="76"/>
      <c r="P16" s="76"/>
      <c r="Q16" s="76"/>
      <c r="R16" s="76"/>
      <c r="S16" s="76"/>
      <c r="T16" s="76"/>
      <c r="U16" s="76"/>
      <c r="V16" s="258"/>
      <c r="W16" s="76"/>
      <c r="X16" s="258"/>
      <c r="Y16" s="258"/>
      <c r="Z16" s="76"/>
      <c r="AA16" s="76"/>
      <c r="AB16" s="258"/>
      <c r="AC16" s="76"/>
      <c r="AD16" s="76"/>
      <c r="AE16" s="76"/>
      <c r="AF16" s="76"/>
      <c r="AG16" s="76"/>
      <c r="AH16" s="47"/>
      <c r="AI16" s="47"/>
    </row>
    <row r="17" spans="1:35" ht="15.75" x14ac:dyDescent="0.25">
      <c r="A17" s="95"/>
      <c r="B17" s="4" t="s">
        <v>292</v>
      </c>
      <c r="C17" s="132"/>
      <c r="D17" s="132"/>
      <c r="E17" s="4"/>
      <c r="F17" s="4"/>
      <c r="G17" s="4"/>
      <c r="H17" s="197">
        <v>110333</v>
      </c>
      <c r="I17" s="4"/>
      <c r="J17" s="134"/>
      <c r="K17" s="76"/>
      <c r="L17" s="76"/>
      <c r="M17" s="257"/>
      <c r="N17" s="76"/>
      <c r="O17" s="76"/>
      <c r="P17" s="76"/>
      <c r="Q17" s="76"/>
      <c r="R17" s="76"/>
      <c r="S17" s="259"/>
      <c r="T17" s="76"/>
      <c r="U17" s="76"/>
      <c r="V17" s="76"/>
      <c r="W17" s="76"/>
      <c r="X17" s="76"/>
      <c r="Y17" s="76"/>
      <c r="Z17" s="259"/>
      <c r="AA17" s="258"/>
      <c r="AB17" s="76"/>
      <c r="AC17" s="76"/>
      <c r="AD17" s="76"/>
      <c r="AE17" s="258"/>
      <c r="AF17" s="76"/>
      <c r="AG17" s="76"/>
      <c r="AH17" s="47"/>
      <c r="AI17" s="47"/>
    </row>
    <row r="18" spans="1:35" ht="15.75" x14ac:dyDescent="0.25">
      <c r="A18" s="95"/>
      <c r="B18" s="4" t="s">
        <v>293</v>
      </c>
      <c r="C18" s="132"/>
      <c r="D18" s="132"/>
      <c r="E18" s="4"/>
      <c r="F18" s="4"/>
      <c r="G18" s="4"/>
      <c r="H18" s="197">
        <v>204173</v>
      </c>
      <c r="I18" s="4"/>
      <c r="J18" s="134"/>
      <c r="K18" s="76"/>
      <c r="L18" s="76"/>
      <c r="M18" s="257"/>
      <c r="N18" s="76"/>
      <c r="O18" s="76"/>
      <c r="P18" s="76"/>
      <c r="Q18" s="76"/>
      <c r="R18" s="76"/>
      <c r="S18" s="259"/>
      <c r="T18" s="76"/>
      <c r="U18" s="76"/>
      <c r="V18" s="76"/>
      <c r="W18" s="76"/>
      <c r="X18" s="76"/>
      <c r="Y18" s="76"/>
      <c r="Z18" s="259"/>
      <c r="AA18" s="258"/>
      <c r="AB18" s="76"/>
      <c r="AC18" s="76"/>
      <c r="AD18" s="76"/>
      <c r="AE18" s="258"/>
      <c r="AF18" s="76"/>
      <c r="AG18" s="76"/>
      <c r="AH18" s="47"/>
      <c r="AI18" s="47"/>
    </row>
    <row r="19" spans="1:35" ht="15.75" x14ac:dyDescent="0.25">
      <c r="A19" s="95"/>
      <c r="B19" s="4" t="s">
        <v>294</v>
      </c>
      <c r="C19" s="4"/>
      <c r="D19" s="132"/>
      <c r="E19" s="4"/>
      <c r="F19" s="4"/>
      <c r="G19" s="4"/>
      <c r="H19" s="197">
        <v>44207</v>
      </c>
      <c r="I19" s="4"/>
      <c r="J19" s="134"/>
      <c r="K19" s="76"/>
      <c r="L19" s="76"/>
      <c r="M19" s="76"/>
      <c r="N19" s="258"/>
      <c r="O19" s="257"/>
      <c r="P19" s="76"/>
      <c r="Q19" s="258"/>
      <c r="R19" s="76"/>
      <c r="S19" s="259"/>
      <c r="T19" s="258"/>
      <c r="U19" s="76"/>
      <c r="V19" s="76"/>
      <c r="W19" s="259"/>
      <c r="X19" s="76"/>
      <c r="Y19" s="76"/>
      <c r="Z19" s="76"/>
      <c r="AA19" s="259"/>
      <c r="AB19" s="76"/>
      <c r="AC19" s="76"/>
      <c r="AD19" s="76"/>
      <c r="AE19" s="76"/>
      <c r="AF19" s="339"/>
      <c r="AG19" s="76"/>
      <c r="AH19" s="47"/>
      <c r="AI19" s="47"/>
    </row>
    <row r="20" spans="1:35" ht="15.75" x14ac:dyDescent="0.25">
      <c r="A20" s="95"/>
      <c r="B20" s="4" t="s">
        <v>295</v>
      </c>
      <c r="C20" s="4"/>
      <c r="D20" s="132"/>
      <c r="E20" s="4"/>
      <c r="F20" s="4"/>
      <c r="G20" s="4"/>
      <c r="H20" s="197">
        <v>51137</v>
      </c>
      <c r="I20" s="4"/>
      <c r="J20" s="134"/>
      <c r="K20" s="76"/>
      <c r="L20" s="76"/>
      <c r="M20" s="76"/>
      <c r="N20" s="258"/>
      <c r="O20" s="257"/>
      <c r="P20" s="76"/>
      <c r="Q20" s="258"/>
      <c r="R20" s="76"/>
      <c r="S20" s="259"/>
      <c r="T20" s="258"/>
      <c r="U20" s="76"/>
      <c r="V20" s="76"/>
      <c r="W20" s="259"/>
      <c r="X20" s="76"/>
      <c r="Y20" s="76"/>
      <c r="Z20" s="76"/>
      <c r="AA20" s="259"/>
      <c r="AB20" s="76"/>
      <c r="AC20" s="76"/>
      <c r="AD20" s="76"/>
      <c r="AE20" s="76"/>
      <c r="AF20" s="339"/>
      <c r="AG20" s="76"/>
      <c r="AH20" s="47"/>
      <c r="AI20" s="47"/>
    </row>
    <row r="21" spans="1:35" ht="18" x14ac:dyDescent="0.4">
      <c r="A21" s="95"/>
      <c r="B21" s="4" t="s">
        <v>296</v>
      </c>
      <c r="C21" s="4"/>
      <c r="D21" s="132"/>
      <c r="E21" s="4"/>
      <c r="F21" s="4"/>
      <c r="G21" s="4"/>
      <c r="H21" s="197">
        <v>36564</v>
      </c>
      <c r="I21" s="24"/>
      <c r="J21" s="134"/>
      <c r="K21" s="128"/>
      <c r="L21" s="128"/>
      <c r="M21" s="76"/>
      <c r="N21" s="255"/>
      <c r="O21" s="256"/>
      <c r="P21" s="257"/>
      <c r="Q21" s="258"/>
      <c r="R21" s="258"/>
      <c r="S21" s="76"/>
      <c r="T21" s="76"/>
      <c r="U21" s="258"/>
      <c r="V21" s="76"/>
      <c r="W21" s="258"/>
      <c r="X21" s="76"/>
      <c r="Y21" s="76"/>
      <c r="Z21" s="76"/>
      <c r="AA21" s="258"/>
      <c r="AB21" s="76"/>
      <c r="AC21" s="259"/>
      <c r="AD21" s="259"/>
      <c r="AE21" s="259"/>
      <c r="AF21" s="258"/>
      <c r="AG21" s="340"/>
      <c r="AH21" s="24"/>
      <c r="AI21" s="24"/>
    </row>
    <row r="22" spans="1:35" ht="18" x14ac:dyDescent="0.4">
      <c r="A22" s="95"/>
      <c r="B22" s="4" t="s">
        <v>231</v>
      </c>
      <c r="C22" s="4"/>
      <c r="D22" s="132"/>
      <c r="E22" s="4"/>
      <c r="F22" s="4"/>
      <c r="G22" s="4"/>
      <c r="H22" s="197">
        <v>16959</v>
      </c>
      <c r="I22" s="24"/>
      <c r="J22" s="134"/>
      <c r="K22" s="128"/>
      <c r="L22" s="128"/>
      <c r="M22" s="76"/>
      <c r="N22" s="255"/>
      <c r="O22" s="256"/>
      <c r="P22" s="257"/>
      <c r="Q22" s="258"/>
      <c r="R22" s="258"/>
      <c r="S22" s="76"/>
      <c r="T22" s="76"/>
      <c r="U22" s="258"/>
      <c r="V22" s="76"/>
      <c r="W22" s="258"/>
      <c r="X22" s="76"/>
      <c r="Y22" s="76"/>
      <c r="Z22" s="76"/>
      <c r="AA22" s="258"/>
      <c r="AB22" s="76"/>
      <c r="AC22" s="259"/>
      <c r="AD22" s="259"/>
      <c r="AE22" s="259"/>
      <c r="AF22" s="258"/>
      <c r="AG22" s="340"/>
      <c r="AH22" s="24"/>
      <c r="AI22" s="24"/>
    </row>
    <row r="23" spans="1:35" ht="18" x14ac:dyDescent="0.4">
      <c r="A23" s="95"/>
      <c r="B23" s="4" t="s">
        <v>297</v>
      </c>
      <c r="C23" s="4"/>
      <c r="D23" s="132"/>
      <c r="E23" s="4"/>
      <c r="F23" s="4"/>
      <c r="G23" s="4"/>
      <c r="H23" s="260">
        <v>60048</v>
      </c>
      <c r="I23" s="24"/>
      <c r="J23" s="134"/>
      <c r="K23" s="128"/>
      <c r="L23" s="128"/>
      <c r="M23" s="76"/>
      <c r="N23" s="255"/>
      <c r="O23" s="256"/>
      <c r="P23" s="257"/>
      <c r="Q23" s="258"/>
      <c r="R23" s="258"/>
      <c r="S23" s="76"/>
      <c r="T23" s="76"/>
      <c r="U23" s="258"/>
      <c r="V23" s="76"/>
      <c r="W23" s="258"/>
      <c r="X23" s="76"/>
      <c r="Y23" s="76"/>
      <c r="Z23" s="76"/>
      <c r="AA23" s="258"/>
      <c r="AB23" s="76"/>
      <c r="AC23" s="259"/>
      <c r="AD23" s="259"/>
      <c r="AE23" s="259"/>
      <c r="AF23" s="258"/>
      <c r="AG23" s="340"/>
      <c r="AH23" s="24"/>
      <c r="AI23" s="24"/>
    </row>
    <row r="24" spans="1:35" ht="18" x14ac:dyDescent="0.4">
      <c r="A24" s="95"/>
      <c r="B24" s="4" t="s">
        <v>131</v>
      </c>
      <c r="C24" s="4"/>
      <c r="D24" s="132"/>
      <c r="E24" s="4"/>
      <c r="F24" s="4"/>
      <c r="G24" s="4"/>
      <c r="H24" s="261">
        <f>SUM(H15:H23)</f>
        <v>1978616</v>
      </c>
      <c r="I24" s="8"/>
      <c r="J24" s="8"/>
      <c r="K24" s="35"/>
      <c r="L24" s="35"/>
      <c r="M24" s="35"/>
      <c r="N24" s="35"/>
      <c r="O24" s="35"/>
      <c r="P24" s="35"/>
      <c r="Q24" s="35"/>
      <c r="R24" s="35"/>
      <c r="S24" s="35"/>
      <c r="T24" s="35"/>
      <c r="U24" s="35"/>
      <c r="V24" s="341"/>
      <c r="W24" s="35"/>
      <c r="X24" s="35"/>
      <c r="Y24" s="341"/>
      <c r="Z24" s="35"/>
      <c r="AA24" s="341"/>
      <c r="AB24" s="341"/>
      <c r="AC24" s="341"/>
      <c r="AD24" s="341"/>
      <c r="AE24" s="35"/>
      <c r="AF24" s="35"/>
      <c r="AG24" s="35"/>
      <c r="AH24" s="4"/>
      <c r="AI24" s="4"/>
    </row>
    <row r="25" spans="1:35" ht="15.75" x14ac:dyDescent="0.25">
      <c r="A25" s="169"/>
      <c r="B25" s="4" t="s">
        <v>123</v>
      </c>
      <c r="C25" s="4"/>
      <c r="D25" s="132"/>
      <c r="E25" s="4"/>
      <c r="F25" s="4"/>
      <c r="G25" s="4"/>
      <c r="H25" s="65">
        <f>H12-H24</f>
        <v>590676</v>
      </c>
      <c r="I25" s="8"/>
      <c r="J25" s="8"/>
      <c r="K25" s="8"/>
      <c r="L25" s="8"/>
      <c r="M25" s="8"/>
      <c r="N25" s="8"/>
      <c r="O25" s="8"/>
      <c r="P25" s="8"/>
      <c r="Q25" s="8"/>
      <c r="R25" s="8"/>
      <c r="S25" s="8"/>
      <c r="T25" s="8"/>
      <c r="U25" s="8"/>
      <c r="V25" s="8"/>
      <c r="W25" s="8"/>
      <c r="X25" s="8"/>
      <c r="Y25" s="8"/>
      <c r="Z25" s="8"/>
      <c r="AA25" s="8"/>
      <c r="AB25" s="8"/>
      <c r="AC25" s="8"/>
      <c r="AD25" s="8"/>
      <c r="AE25" s="8"/>
      <c r="AF25" s="8"/>
      <c r="AG25" s="8"/>
    </row>
    <row r="26" spans="1:35" ht="15.75" x14ac:dyDescent="0.25">
      <c r="A26" s="132"/>
      <c r="B26" s="132"/>
      <c r="C26" s="132"/>
      <c r="D26" s="132"/>
      <c r="E26" s="132"/>
      <c r="F26" s="132"/>
      <c r="G26" s="132"/>
      <c r="H26" s="198"/>
      <c r="I26" s="8"/>
      <c r="J26" s="8"/>
      <c r="K26" s="8"/>
      <c r="L26" s="8"/>
      <c r="M26" s="8"/>
      <c r="N26" s="8"/>
      <c r="O26" s="279"/>
      <c r="P26" s="8"/>
      <c r="Q26" s="76"/>
      <c r="R26" s="76"/>
      <c r="S26" s="76"/>
      <c r="T26" s="76"/>
    </row>
    <row r="27" spans="1:35" ht="15.75" x14ac:dyDescent="0.25">
      <c r="A27" s="95"/>
      <c r="B27" s="4"/>
      <c r="C27" s="4"/>
      <c r="D27" s="132"/>
      <c r="E27" s="4"/>
      <c r="F27" s="4"/>
      <c r="G27" s="4"/>
      <c r="H27" s="4"/>
      <c r="I27" s="8"/>
      <c r="J27" s="8"/>
      <c r="K27" s="8"/>
      <c r="L27" s="8"/>
      <c r="M27" s="8"/>
      <c r="N27" s="8"/>
      <c r="O27" s="8"/>
      <c r="P27" s="8"/>
      <c r="Q27" s="76"/>
      <c r="R27" s="76"/>
      <c r="S27" s="76"/>
      <c r="T27" s="76"/>
    </row>
    <row r="28" spans="1:35" ht="15.75" x14ac:dyDescent="0.25">
      <c r="A28" s="169" t="s">
        <v>4</v>
      </c>
      <c r="B28" s="4" t="s">
        <v>124</v>
      </c>
      <c r="C28" s="4"/>
      <c r="D28" s="132"/>
      <c r="E28" s="4"/>
      <c r="F28" s="4"/>
      <c r="G28" s="4"/>
      <c r="H28" s="4"/>
      <c r="I28" s="8"/>
      <c r="J28" s="8"/>
      <c r="K28" s="8"/>
      <c r="L28" s="8"/>
      <c r="M28" s="8"/>
      <c r="N28" s="8"/>
      <c r="O28" s="8"/>
      <c r="P28" s="8"/>
      <c r="Q28" s="76"/>
      <c r="R28" s="76"/>
      <c r="S28" s="76"/>
      <c r="T28" s="76"/>
    </row>
    <row r="29" spans="1:35" ht="15.75" x14ac:dyDescent="0.25">
      <c r="A29" s="95"/>
      <c r="B29" s="4" t="s">
        <v>125</v>
      </c>
      <c r="C29" s="4"/>
      <c r="D29" s="132"/>
      <c r="E29" s="4"/>
      <c r="F29" s="4"/>
      <c r="G29" s="4"/>
      <c r="H29" s="65">
        <v>11144</v>
      </c>
      <c r="I29" s="8"/>
      <c r="J29" s="8"/>
      <c r="K29" s="8"/>
      <c r="L29" s="8"/>
      <c r="M29" s="8"/>
      <c r="N29" s="8"/>
      <c r="O29" s="8"/>
      <c r="P29" s="8"/>
      <c r="Q29" s="76"/>
      <c r="R29" s="76"/>
      <c r="S29" s="76"/>
      <c r="T29" s="76"/>
    </row>
    <row r="30" spans="1:35" ht="15.75" x14ac:dyDescent="0.25">
      <c r="A30" s="95"/>
      <c r="B30" s="4" t="s">
        <v>298</v>
      </c>
      <c r="C30" s="4"/>
      <c r="D30" s="132"/>
      <c r="E30" s="4"/>
      <c r="F30" s="4"/>
      <c r="G30" s="4"/>
      <c r="H30" s="278">
        <v>16772</v>
      </c>
      <c r="I30" s="8"/>
      <c r="J30" s="8"/>
      <c r="K30" s="8"/>
      <c r="L30" s="8"/>
      <c r="M30" s="8"/>
      <c r="N30" s="8"/>
      <c r="O30" s="8"/>
      <c r="P30" s="8"/>
      <c r="Q30" s="76"/>
      <c r="R30" s="76"/>
      <c r="S30" s="76"/>
      <c r="T30" s="76"/>
    </row>
    <row r="31" spans="1:35" ht="15.75" x14ac:dyDescent="0.25">
      <c r="A31" s="132"/>
      <c r="B31" s="4" t="s">
        <v>126</v>
      </c>
      <c r="C31" s="4"/>
      <c r="D31" s="132"/>
      <c r="E31" s="4"/>
      <c r="F31" s="4"/>
      <c r="G31" s="4"/>
      <c r="H31" s="65">
        <f>SUM(H29:H30)</f>
        <v>27916</v>
      </c>
      <c r="I31" s="8"/>
      <c r="J31" s="8"/>
      <c r="K31" s="8"/>
      <c r="L31" s="8"/>
      <c r="M31" s="8"/>
      <c r="N31" s="8"/>
      <c r="O31" s="8"/>
      <c r="P31" s="8"/>
      <c r="Q31" s="76"/>
      <c r="R31" s="76"/>
      <c r="S31" s="76"/>
      <c r="T31" s="76"/>
    </row>
    <row r="32" spans="1:35" ht="20.25" x14ac:dyDescent="0.55000000000000004">
      <c r="A32" s="169"/>
      <c r="B32" s="4"/>
      <c r="C32" s="4"/>
      <c r="D32" s="4"/>
      <c r="E32" s="4"/>
      <c r="F32" s="4"/>
      <c r="G32" s="4"/>
      <c r="H32" s="4"/>
      <c r="I32" s="8"/>
      <c r="J32" s="8"/>
      <c r="K32" s="8"/>
      <c r="L32" s="8"/>
      <c r="M32" s="8"/>
      <c r="N32" s="377"/>
      <c r="O32" s="377"/>
      <c r="P32" s="377"/>
      <c r="Q32" s="76"/>
      <c r="R32" s="76"/>
      <c r="S32" s="76"/>
      <c r="T32" s="76"/>
    </row>
    <row r="33" spans="1:20" ht="15.75" x14ac:dyDescent="0.25">
      <c r="A33" s="169" t="s">
        <v>5</v>
      </c>
      <c r="B33" s="4" t="s">
        <v>127</v>
      </c>
      <c r="C33" s="132"/>
      <c r="D33" s="132"/>
      <c r="E33" s="4"/>
      <c r="F33" s="4"/>
      <c r="G33" s="132"/>
      <c r="H33" s="65">
        <f>H25+H31</f>
        <v>618592</v>
      </c>
      <c r="I33" s="8"/>
      <c r="J33" s="8"/>
      <c r="K33" s="8"/>
      <c r="L33" s="8"/>
      <c r="M33" s="8"/>
      <c r="N33" s="8"/>
      <c r="O33" s="8"/>
      <c r="P33" s="327"/>
      <c r="Q33" s="76"/>
      <c r="R33" s="76"/>
      <c r="S33" s="76"/>
      <c r="T33" s="76"/>
    </row>
    <row r="34" spans="1:20" ht="15.75" x14ac:dyDescent="0.25">
      <c r="A34" s="95"/>
      <c r="B34" s="4"/>
      <c r="C34" s="132"/>
      <c r="D34" s="132"/>
      <c r="E34" s="4"/>
      <c r="F34" s="4"/>
      <c r="G34" s="4"/>
      <c r="H34" s="4"/>
      <c r="I34" s="8"/>
      <c r="J34" s="8"/>
      <c r="K34" s="8"/>
      <c r="L34" s="8"/>
      <c r="M34" s="8"/>
      <c r="N34" s="76"/>
      <c r="O34" s="76"/>
      <c r="P34" s="327"/>
      <c r="Q34" s="76"/>
      <c r="R34" s="76"/>
      <c r="S34" s="76"/>
      <c r="T34" s="76"/>
    </row>
    <row r="35" spans="1:20" ht="15.75" x14ac:dyDescent="0.25">
      <c r="A35" s="169" t="s">
        <v>6</v>
      </c>
      <c r="B35" s="344" t="s">
        <v>299</v>
      </c>
      <c r="C35" s="344"/>
      <c r="D35" s="344"/>
      <c r="E35" s="344"/>
      <c r="F35" s="344"/>
      <c r="G35" s="4"/>
      <c r="H35" s="4"/>
      <c r="I35" s="8"/>
      <c r="J35" s="76"/>
      <c r="K35" s="76"/>
      <c r="L35" s="76"/>
      <c r="M35" s="8"/>
      <c r="N35" s="106"/>
      <c r="O35" s="44"/>
      <c r="P35" s="327"/>
      <c r="Q35" s="76"/>
      <c r="R35" s="76"/>
      <c r="S35" s="76"/>
      <c r="T35" s="76"/>
    </row>
    <row r="36" spans="1:20" ht="15.75" x14ac:dyDescent="0.25">
      <c r="A36" s="95"/>
      <c r="B36" s="4" t="s">
        <v>33</v>
      </c>
      <c r="C36" s="4"/>
      <c r="D36" s="132"/>
      <c r="E36" s="4"/>
      <c r="F36" s="4"/>
      <c r="G36" s="4"/>
      <c r="H36" s="197">
        <v>281218</v>
      </c>
      <c r="I36" s="8"/>
      <c r="J36" s="76"/>
      <c r="K36" s="76"/>
      <c r="L36" s="76"/>
      <c r="M36" s="8"/>
      <c r="N36" s="106"/>
      <c r="O36" s="106"/>
      <c r="P36" s="327"/>
      <c r="Q36" s="76"/>
      <c r="R36" s="76"/>
      <c r="S36" s="76"/>
      <c r="T36" s="76"/>
    </row>
    <row r="37" spans="1:20" ht="15.75" x14ac:dyDescent="0.25">
      <c r="A37" s="95"/>
      <c r="B37" s="4" t="s">
        <v>39</v>
      </c>
      <c r="C37" s="4"/>
      <c r="D37" s="132"/>
      <c r="E37" s="4"/>
      <c r="F37" s="4"/>
      <c r="G37" s="4"/>
      <c r="H37" s="261">
        <v>388643</v>
      </c>
      <c r="I37" s="8"/>
      <c r="J37" s="76"/>
      <c r="K37" s="76"/>
      <c r="L37" s="76"/>
      <c r="M37" s="8"/>
      <c r="N37" s="106"/>
      <c r="O37" s="106"/>
      <c r="P37" s="327"/>
      <c r="Q37" s="76"/>
      <c r="R37" s="76"/>
      <c r="S37" s="76"/>
      <c r="T37" s="76"/>
    </row>
    <row r="38" spans="1:20" ht="15.75" x14ac:dyDescent="0.25">
      <c r="A38" s="95"/>
      <c r="B38" s="4" t="s">
        <v>55</v>
      </c>
      <c r="C38" s="4"/>
      <c r="D38" s="132"/>
      <c r="E38" s="4"/>
      <c r="F38" s="4"/>
      <c r="G38" s="4"/>
      <c r="H38" s="261">
        <f>SUM(H36:H37)</f>
        <v>669861</v>
      </c>
      <c r="I38" s="8"/>
      <c r="J38" s="76"/>
      <c r="K38" s="76"/>
      <c r="L38" s="76"/>
      <c r="M38" s="8"/>
      <c r="N38" s="106"/>
      <c r="O38" s="106"/>
      <c r="P38" s="327"/>
      <c r="Q38" s="76"/>
      <c r="R38" s="76"/>
      <c r="S38" s="76"/>
      <c r="T38" s="76"/>
    </row>
    <row r="39" spans="1:20" ht="18" x14ac:dyDescent="0.4">
      <c r="A39" s="169"/>
      <c r="B39" s="120"/>
      <c r="C39" s="4"/>
      <c r="D39" s="132"/>
      <c r="E39" s="4"/>
      <c r="F39" s="4"/>
      <c r="G39" s="4"/>
      <c r="H39" s="24"/>
      <c r="I39" s="8"/>
      <c r="J39" s="76"/>
      <c r="K39" s="76"/>
      <c r="L39" s="76"/>
      <c r="M39" s="8"/>
      <c r="N39" s="106"/>
      <c r="O39" s="109"/>
      <c r="P39" s="327"/>
      <c r="Q39" s="76"/>
      <c r="R39" s="76"/>
      <c r="S39" s="76"/>
      <c r="T39" s="76"/>
    </row>
    <row r="40" spans="1:20" ht="15.75" x14ac:dyDescent="0.25">
      <c r="A40" s="169" t="s">
        <v>10</v>
      </c>
      <c r="B40" s="4" t="s">
        <v>128</v>
      </c>
      <c r="C40" s="4"/>
      <c r="D40" s="4"/>
      <c r="E40" s="132"/>
      <c r="F40" s="4"/>
      <c r="G40" s="4"/>
      <c r="H40" s="96">
        <f>H33-H38</f>
        <v>-51269</v>
      </c>
      <c r="I40" s="97"/>
      <c r="J40" s="76"/>
      <c r="K40" s="76"/>
      <c r="L40" s="76"/>
      <c r="M40" s="8"/>
      <c r="N40" s="76"/>
      <c r="O40" s="76"/>
      <c r="P40" s="328"/>
      <c r="Q40" s="76"/>
      <c r="R40" s="76"/>
      <c r="S40" s="76"/>
      <c r="T40" s="76"/>
    </row>
    <row r="41" spans="1:20" ht="15.75" x14ac:dyDescent="0.25">
      <c r="A41" s="18"/>
      <c r="B41" s="4"/>
      <c r="C41" s="4"/>
      <c r="D41" s="4"/>
      <c r="F41" s="4"/>
      <c r="G41" s="4"/>
      <c r="H41" s="68"/>
      <c r="I41" s="8"/>
      <c r="J41" s="76"/>
      <c r="K41" s="76"/>
      <c r="L41" s="76"/>
      <c r="M41" s="8"/>
      <c r="N41" s="7"/>
      <c r="O41" s="7"/>
      <c r="P41" s="327"/>
      <c r="Q41" s="76"/>
      <c r="R41" s="76"/>
      <c r="S41" s="76"/>
      <c r="T41" s="76"/>
    </row>
    <row r="42" spans="1:20" ht="15.75" x14ac:dyDescent="0.25">
      <c r="A42" s="18"/>
      <c r="B42" s="378"/>
      <c r="C42" s="342"/>
      <c r="D42" s="342"/>
      <c r="E42" s="342"/>
      <c r="F42" s="342"/>
      <c r="G42" s="342"/>
      <c r="H42" s="370"/>
      <c r="I42" s="8"/>
      <c r="J42" s="76"/>
      <c r="K42" s="76"/>
      <c r="L42" s="76"/>
      <c r="M42" s="8"/>
      <c r="N42" s="7"/>
      <c r="O42" s="7"/>
      <c r="P42" s="327"/>
      <c r="Q42" s="76"/>
      <c r="R42" s="76"/>
      <c r="S42" s="76"/>
      <c r="T42" s="76"/>
    </row>
    <row r="43" spans="1:20" ht="15.75" x14ac:dyDescent="0.25">
      <c r="A43" s="31" t="s">
        <v>168</v>
      </c>
      <c r="B43" s="4"/>
      <c r="C43" s="4"/>
      <c r="D43" s="4"/>
      <c r="E43" s="4"/>
      <c r="F43" s="4"/>
      <c r="G43" s="4"/>
      <c r="H43" s="4"/>
      <c r="I43" s="8"/>
      <c r="J43" s="76"/>
      <c r="K43" s="76"/>
      <c r="L43" s="76"/>
      <c r="M43" s="8"/>
      <c r="N43" s="7"/>
      <c r="O43" s="7"/>
      <c r="P43" s="327"/>
      <c r="Q43" s="76"/>
      <c r="R43" s="76"/>
      <c r="S43" s="76"/>
      <c r="T43" s="76"/>
    </row>
    <row r="44" spans="1:20" ht="15.75" x14ac:dyDescent="0.25">
      <c r="A44" s="18"/>
      <c r="B44" s="1" t="s">
        <v>326</v>
      </c>
      <c r="C44" s="4"/>
      <c r="D44" s="4"/>
      <c r="E44" s="1"/>
      <c r="G44" s="69"/>
      <c r="H44" s="53"/>
      <c r="I44" s="8"/>
      <c r="J44" s="8"/>
      <c r="K44" s="8"/>
      <c r="L44" s="8"/>
      <c r="M44" s="8"/>
      <c r="N44" s="8"/>
      <c r="O44" s="8"/>
      <c r="P44" s="327"/>
      <c r="Q44" s="76"/>
      <c r="R44" s="76"/>
      <c r="S44" s="76"/>
      <c r="T44" s="76"/>
    </row>
    <row r="45" spans="1:20" ht="15.75" x14ac:dyDescent="0.25">
      <c r="A45" s="297"/>
      <c r="B45" s="1" t="s">
        <v>327</v>
      </c>
      <c r="C45" s="4"/>
      <c r="D45" s="4"/>
      <c r="E45" s="1"/>
      <c r="G45" s="69"/>
      <c r="H45" s="53"/>
      <c r="I45" s="8"/>
      <c r="J45" s="8"/>
      <c r="K45" s="8"/>
      <c r="L45" s="8"/>
      <c r="M45" s="8"/>
      <c r="N45" s="8"/>
      <c r="O45" s="8"/>
      <c r="P45" s="327"/>
      <c r="Q45" s="76"/>
      <c r="R45" s="76"/>
      <c r="S45" s="76"/>
      <c r="T45" s="76"/>
    </row>
    <row r="46" spans="1:20" ht="15.75" x14ac:dyDescent="0.25">
      <c r="A46" s="18"/>
      <c r="B46" s="4"/>
      <c r="C46" s="4"/>
      <c r="D46" s="4"/>
      <c r="E46" s="4"/>
      <c r="F46" s="121"/>
      <c r="G46" s="122"/>
      <c r="H46" s="122"/>
      <c r="I46" s="8"/>
      <c r="J46" s="8"/>
      <c r="K46" s="8"/>
      <c r="L46" s="8"/>
      <c r="M46" s="76"/>
      <c r="N46" s="320"/>
      <c r="O46" s="8"/>
      <c r="P46" s="327"/>
      <c r="Q46" s="76"/>
      <c r="R46" s="76"/>
      <c r="S46" s="76"/>
      <c r="T46" s="76"/>
    </row>
    <row r="47" spans="1:20" ht="18" x14ac:dyDescent="0.4">
      <c r="A47" s="219" t="s">
        <v>0</v>
      </c>
      <c r="B47" s="4" t="s">
        <v>121</v>
      </c>
      <c r="C47" s="4"/>
      <c r="D47" s="4"/>
      <c r="E47" s="4"/>
      <c r="F47" s="4"/>
      <c r="G47" s="4"/>
      <c r="H47" s="221"/>
      <c r="I47" s="8"/>
      <c r="J47" s="8"/>
      <c r="K47" s="265"/>
      <c r="L47" s="8"/>
      <c r="M47" s="76"/>
      <c r="N47" s="8"/>
      <c r="O47" s="337"/>
      <c r="P47" s="327"/>
      <c r="Q47" s="76"/>
      <c r="R47" s="76"/>
      <c r="S47" s="76"/>
      <c r="T47" s="76"/>
    </row>
    <row r="48" spans="1:20" ht="15.75" x14ac:dyDescent="0.25">
      <c r="A48" s="95"/>
      <c r="B48" s="4" t="s">
        <v>322</v>
      </c>
      <c r="C48" s="4"/>
      <c r="D48" s="132"/>
      <c r="E48" s="4"/>
      <c r="F48" s="4"/>
      <c r="G48" s="4"/>
      <c r="H48" s="65">
        <f>'Wtr Rev'!I137+'Wtr Rev'!I147</f>
        <v>2665660.4749999996</v>
      </c>
      <c r="I48" s="8"/>
      <c r="J48" s="8"/>
      <c r="K48" s="8"/>
      <c r="L48" s="8"/>
      <c r="M48" s="76"/>
      <c r="N48" s="8"/>
      <c r="O48" s="8"/>
      <c r="P48" s="327"/>
      <c r="Q48" s="76"/>
      <c r="R48" s="76"/>
      <c r="S48" s="76"/>
      <c r="T48" s="76"/>
    </row>
    <row r="49" spans="1:20" ht="15.75" x14ac:dyDescent="0.25">
      <c r="A49" s="294"/>
      <c r="B49" s="4" t="s">
        <v>323</v>
      </c>
      <c r="C49" s="4"/>
      <c r="D49" s="132"/>
      <c r="E49" s="4"/>
      <c r="F49" s="4"/>
      <c r="G49" s="4"/>
      <c r="H49" s="65"/>
      <c r="I49" s="8"/>
      <c r="J49" s="8"/>
      <c r="K49" s="8"/>
      <c r="L49" s="8"/>
      <c r="M49" s="76"/>
      <c r="N49" s="8"/>
      <c r="O49" s="8"/>
      <c r="P49" s="327"/>
      <c r="Q49" s="76"/>
      <c r="R49" s="76"/>
      <c r="S49" s="76"/>
      <c r="T49" s="76"/>
    </row>
    <row r="50" spans="1:20" ht="15.75" x14ac:dyDescent="0.25">
      <c r="A50" s="95"/>
      <c r="B50" s="4" t="s">
        <v>247</v>
      </c>
      <c r="C50" s="4"/>
      <c r="D50" s="132"/>
      <c r="E50" s="4"/>
      <c r="F50" s="4"/>
      <c r="G50" s="4"/>
      <c r="H50" s="9">
        <v>33000</v>
      </c>
      <c r="I50" s="8"/>
      <c r="J50" s="8"/>
      <c r="K50" s="8"/>
      <c r="L50" s="97"/>
      <c r="M50" s="76"/>
      <c r="N50" s="8"/>
      <c r="O50" s="8"/>
      <c r="P50" s="327"/>
      <c r="Q50" s="76"/>
      <c r="R50" s="76"/>
      <c r="S50" s="76"/>
      <c r="T50" s="76"/>
    </row>
    <row r="51" spans="1:20" ht="15.75" x14ac:dyDescent="0.25">
      <c r="A51" s="132"/>
      <c r="B51" s="4" t="s">
        <v>122</v>
      </c>
      <c r="C51" s="4"/>
      <c r="D51" s="132"/>
      <c r="E51" s="4"/>
      <c r="F51" s="4"/>
      <c r="G51" s="4"/>
      <c r="H51" s="65">
        <f>SUM(H48:H50)</f>
        <v>2698660.4749999996</v>
      </c>
      <c r="I51" s="8"/>
      <c r="J51" s="8"/>
      <c r="K51" s="8"/>
      <c r="L51" s="8"/>
      <c r="M51" s="76"/>
      <c r="N51" s="8"/>
      <c r="O51" s="76"/>
      <c r="P51" s="327"/>
      <c r="Q51" s="76"/>
      <c r="R51" s="76"/>
      <c r="S51" s="76"/>
      <c r="T51" s="76"/>
    </row>
    <row r="52" spans="1:20" ht="15.75" x14ac:dyDescent="0.25">
      <c r="A52" s="95"/>
      <c r="B52" s="4"/>
      <c r="C52" s="4"/>
      <c r="D52" s="132"/>
      <c r="E52" s="4"/>
      <c r="F52" s="4"/>
      <c r="G52" s="4"/>
      <c r="H52" s="4"/>
      <c r="I52" s="8"/>
      <c r="J52" s="8"/>
      <c r="K52" s="8"/>
      <c r="L52" s="8"/>
      <c r="M52" s="76"/>
      <c r="N52" s="8"/>
      <c r="O52" s="8"/>
      <c r="P52" s="327"/>
      <c r="Q52" s="76"/>
      <c r="R52" s="76"/>
      <c r="S52" s="76"/>
      <c r="T52" s="76"/>
    </row>
    <row r="53" spans="1:20" ht="15.75" x14ac:dyDescent="0.25">
      <c r="A53" s="219" t="s">
        <v>3</v>
      </c>
      <c r="B53" s="4" t="s">
        <v>129</v>
      </c>
      <c r="C53" s="4"/>
      <c r="D53" s="132"/>
      <c r="E53" s="4"/>
      <c r="F53" s="4"/>
      <c r="G53" s="4"/>
      <c r="H53" s="4"/>
      <c r="I53" s="8"/>
      <c r="J53" s="8"/>
      <c r="K53" s="8"/>
      <c r="L53" s="8"/>
      <c r="M53" s="76"/>
      <c r="N53" s="320"/>
      <c r="O53" s="8"/>
      <c r="P53" s="327"/>
      <c r="Q53" s="76"/>
      <c r="R53" s="76"/>
      <c r="S53" s="76"/>
      <c r="T53" s="76"/>
    </row>
    <row r="54" spans="1:20" ht="15.75" x14ac:dyDescent="0.25">
      <c r="A54" s="95"/>
      <c r="B54" s="4" t="s">
        <v>179</v>
      </c>
      <c r="C54" s="4"/>
      <c r="D54" s="132"/>
      <c r="E54" s="4"/>
      <c r="F54" s="4"/>
      <c r="G54" s="4"/>
      <c r="H54" s="65">
        <f t="shared" ref="H54:H61" si="0">H15*1.06</f>
        <v>1353062.4400000002</v>
      </c>
      <c r="I54" s="97"/>
      <c r="J54" s="8"/>
      <c r="K54" s="8"/>
      <c r="L54" s="8"/>
      <c r="M54" s="76"/>
      <c r="N54" s="8"/>
      <c r="O54" s="8"/>
      <c r="P54" s="327"/>
      <c r="Q54" s="76"/>
      <c r="R54" s="76"/>
      <c r="S54" s="76"/>
      <c r="T54" s="76"/>
    </row>
    <row r="55" spans="1:20" ht="15.75" x14ac:dyDescent="0.25">
      <c r="A55" s="95"/>
      <c r="B55" s="4" t="s">
        <v>291</v>
      </c>
      <c r="C55" s="4"/>
      <c r="D55" s="132"/>
      <c r="E55" s="4"/>
      <c r="F55" s="4"/>
      <c r="G55" s="4"/>
      <c r="H55" s="65">
        <f t="shared" si="0"/>
        <v>189444.26</v>
      </c>
      <c r="I55" s="97"/>
      <c r="J55" s="8"/>
      <c r="K55" s="8"/>
      <c r="L55" s="8"/>
      <c r="M55" s="8"/>
      <c r="N55" s="8"/>
      <c r="O55" s="8"/>
      <c r="P55" s="327"/>
      <c r="Q55" s="76"/>
      <c r="R55" s="76"/>
      <c r="S55" s="76"/>
      <c r="T55" s="76"/>
    </row>
    <row r="56" spans="1:20" ht="15.75" x14ac:dyDescent="0.25">
      <c r="A56" s="95"/>
      <c r="B56" s="4" t="s">
        <v>292</v>
      </c>
      <c r="C56" s="132"/>
      <c r="D56" s="132"/>
      <c r="E56" s="4"/>
      <c r="F56" s="4"/>
      <c r="G56" s="4"/>
      <c r="H56" s="65">
        <f t="shared" si="0"/>
        <v>116952.98000000001</v>
      </c>
      <c r="I56" s="97"/>
      <c r="J56" s="8"/>
      <c r="K56" s="8"/>
      <c r="L56" s="129"/>
      <c r="M56" s="8"/>
      <c r="N56" s="8"/>
      <c r="O56" s="8"/>
      <c r="P56" s="338"/>
      <c r="Q56" s="76"/>
      <c r="R56" s="76"/>
      <c r="S56" s="128"/>
      <c r="T56" s="76"/>
    </row>
    <row r="57" spans="1:20" ht="15.75" customHeight="1" x14ac:dyDescent="0.25">
      <c r="A57" s="95"/>
      <c r="B57" s="4" t="s">
        <v>293</v>
      </c>
      <c r="C57" s="132"/>
      <c r="D57" s="132"/>
      <c r="E57" s="4"/>
      <c r="F57" s="4"/>
      <c r="G57" s="4"/>
      <c r="H57" s="65">
        <f t="shared" si="0"/>
        <v>216423.38</v>
      </c>
      <c r="I57" s="97"/>
      <c r="J57" s="8"/>
      <c r="K57" s="8"/>
      <c r="L57" s="8"/>
      <c r="M57" s="8"/>
      <c r="N57" s="8"/>
      <c r="O57" s="8"/>
      <c r="P57" s="8"/>
      <c r="Q57" s="76"/>
      <c r="R57" s="76"/>
      <c r="S57" s="76"/>
      <c r="T57" s="76"/>
    </row>
    <row r="58" spans="1:20" ht="15.75" x14ac:dyDescent="0.25">
      <c r="A58" s="95"/>
      <c r="B58" s="4" t="s">
        <v>294</v>
      </c>
      <c r="C58" s="4"/>
      <c r="D58" s="132"/>
      <c r="E58" s="4"/>
      <c r="F58" s="4"/>
      <c r="G58" s="4"/>
      <c r="H58" s="65">
        <f t="shared" si="0"/>
        <v>46859.420000000006</v>
      </c>
      <c r="I58" s="8"/>
      <c r="J58" s="8"/>
      <c r="K58" s="131"/>
      <c r="L58" s="131"/>
      <c r="M58" s="131"/>
      <c r="N58" s="8"/>
      <c r="O58" s="8"/>
      <c r="P58" s="265"/>
      <c r="Q58" s="224"/>
      <c r="R58" s="224"/>
      <c r="S58" s="76"/>
      <c r="T58" s="76"/>
    </row>
    <row r="59" spans="1:20" ht="16.5" thickBot="1" x14ac:dyDescent="0.3">
      <c r="A59" s="95"/>
      <c r="B59" s="4" t="s">
        <v>295</v>
      </c>
      <c r="C59" s="4"/>
      <c r="D59" s="132"/>
      <c r="E59" s="4"/>
      <c r="F59" s="4"/>
      <c r="G59" s="4"/>
      <c r="H59" s="65">
        <f t="shared" si="0"/>
        <v>54205.22</v>
      </c>
      <c r="I59" s="8"/>
      <c r="J59" s="8"/>
      <c r="K59" s="131"/>
      <c r="L59" s="131"/>
      <c r="M59" s="131"/>
      <c r="N59" s="4"/>
      <c r="O59" s="4"/>
      <c r="P59" s="4"/>
    </row>
    <row r="60" spans="1:20" ht="21" thickBot="1" x14ac:dyDescent="0.6">
      <c r="A60" s="95"/>
      <c r="B60" s="4" t="s">
        <v>296</v>
      </c>
      <c r="C60" s="4"/>
      <c r="D60" s="132"/>
      <c r="E60" s="4"/>
      <c r="F60" s="4"/>
      <c r="G60" s="4"/>
      <c r="H60" s="65">
        <f t="shared" si="0"/>
        <v>38757.840000000004</v>
      </c>
      <c r="I60" s="8"/>
      <c r="J60" s="8"/>
      <c r="K60" s="131"/>
      <c r="L60" s="131"/>
      <c r="M60" s="131"/>
      <c r="N60" s="374" t="s">
        <v>202</v>
      </c>
      <c r="O60" s="375"/>
      <c r="P60" s="376"/>
    </row>
    <row r="61" spans="1:20" ht="15.75" x14ac:dyDescent="0.25">
      <c r="A61" s="95"/>
      <c r="B61" s="4" t="s">
        <v>231</v>
      </c>
      <c r="C61" s="4"/>
      <c r="D61" s="132"/>
      <c r="E61" s="4"/>
      <c r="F61" s="4"/>
      <c r="G61" s="4"/>
      <c r="H61" s="65">
        <f t="shared" si="0"/>
        <v>17976.54</v>
      </c>
      <c r="I61" s="8"/>
      <c r="J61" s="8"/>
      <c r="K61" s="131"/>
      <c r="L61" s="131"/>
      <c r="M61" s="131"/>
      <c r="N61" s="101"/>
      <c r="O61" s="8">
        <v>2015</v>
      </c>
      <c r="P61" s="174"/>
    </row>
    <row r="62" spans="1:20" ht="20.25" x14ac:dyDescent="0.55000000000000004">
      <c r="A62" s="95"/>
      <c r="B62" s="4" t="s">
        <v>297</v>
      </c>
      <c r="C62" s="4"/>
      <c r="D62" s="132"/>
      <c r="E62" s="4"/>
      <c r="F62" s="4"/>
      <c r="G62" s="4"/>
      <c r="H62" s="65">
        <f>H23*1.03</f>
        <v>61849.440000000002</v>
      </c>
      <c r="I62" s="8"/>
      <c r="J62" s="8"/>
      <c r="K62" s="131"/>
      <c r="L62" s="131"/>
      <c r="M62" s="131"/>
      <c r="N62" s="100"/>
      <c r="O62" s="76"/>
      <c r="P62" s="136"/>
    </row>
    <row r="63" spans="1:20" ht="15.75" x14ac:dyDescent="0.25">
      <c r="A63" s="95"/>
      <c r="B63" s="4" t="s">
        <v>131</v>
      </c>
      <c r="C63" s="4"/>
      <c r="D63" s="132"/>
      <c r="E63" s="4"/>
      <c r="F63" s="4"/>
      <c r="G63" s="4"/>
      <c r="H63" s="261">
        <f>SUM(H54:H62)</f>
        <v>2095531.52</v>
      </c>
      <c r="I63" s="8"/>
      <c r="J63" s="8"/>
      <c r="K63" s="131"/>
      <c r="L63" s="131"/>
      <c r="M63" s="131"/>
      <c r="N63" s="104" t="s">
        <v>184</v>
      </c>
      <c r="O63" s="44"/>
      <c r="P63" s="105">
        <v>855000</v>
      </c>
    </row>
    <row r="64" spans="1:20" ht="15.75" x14ac:dyDescent="0.25">
      <c r="A64" s="219"/>
      <c r="B64" s="4" t="s">
        <v>123</v>
      </c>
      <c r="C64" s="4"/>
      <c r="D64" s="132"/>
      <c r="E64" s="4"/>
      <c r="F64" s="4"/>
      <c r="G64" s="4"/>
      <c r="H64" s="65">
        <f>H51-H63</f>
        <v>603128.95499999961</v>
      </c>
      <c r="I64" s="8"/>
      <c r="J64" s="8"/>
      <c r="N64" s="104" t="s">
        <v>187</v>
      </c>
      <c r="O64" s="106"/>
      <c r="P64" s="107"/>
    </row>
    <row r="65" spans="1:16" ht="15.75" x14ac:dyDescent="0.25">
      <c r="A65" s="132"/>
      <c r="B65" s="132"/>
      <c r="C65" s="132"/>
      <c r="D65" s="132"/>
      <c r="E65" s="132"/>
      <c r="F65" s="132"/>
      <c r="G65" s="132"/>
      <c r="H65" s="198"/>
      <c r="I65" s="8"/>
      <c r="J65" s="8"/>
      <c r="N65" s="104" t="s">
        <v>186</v>
      </c>
      <c r="O65" s="106"/>
      <c r="P65" s="105">
        <v>0</v>
      </c>
    </row>
    <row r="66" spans="1:16" ht="15.75" x14ac:dyDescent="0.25">
      <c r="A66" s="95"/>
      <c r="B66" s="4"/>
      <c r="C66" s="4"/>
      <c r="D66" s="132"/>
      <c r="E66" s="4"/>
      <c r="F66" s="4"/>
      <c r="G66" s="4"/>
      <c r="H66" s="4"/>
      <c r="I66" s="8"/>
      <c r="J66" s="8"/>
      <c r="N66" s="104" t="s">
        <v>188</v>
      </c>
      <c r="O66" s="108">
        <v>0.25</v>
      </c>
      <c r="P66" s="105">
        <f>+(P63-P65)*O66</f>
        <v>213750</v>
      </c>
    </row>
    <row r="67" spans="1:16" ht="15.75" x14ac:dyDescent="0.25">
      <c r="A67" s="219" t="s">
        <v>4</v>
      </c>
      <c r="B67" s="4" t="s">
        <v>124</v>
      </c>
      <c r="C67" s="4"/>
      <c r="D67" s="132"/>
      <c r="E67" s="4"/>
      <c r="F67" s="4"/>
      <c r="G67" s="4"/>
      <c r="H67" s="4"/>
      <c r="I67" s="8"/>
      <c r="J67" s="8"/>
      <c r="K67" s="4"/>
      <c r="L67" s="4"/>
      <c r="M67" s="4"/>
      <c r="N67" s="104" t="s">
        <v>185</v>
      </c>
      <c r="O67" s="109">
        <v>0.75</v>
      </c>
      <c r="P67" s="105">
        <f>+P63-P65-P66</f>
        <v>641250</v>
      </c>
    </row>
    <row r="68" spans="1:16" ht="15.75" x14ac:dyDescent="0.25">
      <c r="A68" s="95"/>
      <c r="B68" s="4" t="s">
        <v>125</v>
      </c>
      <c r="C68" s="4"/>
      <c r="D68" s="132"/>
      <c r="E68" s="4"/>
      <c r="F68" s="4"/>
      <c r="G68" s="4"/>
      <c r="H68" s="65">
        <v>10000</v>
      </c>
      <c r="I68" s="8"/>
      <c r="J68" s="8"/>
      <c r="K68" s="4"/>
      <c r="L68" s="4"/>
      <c r="N68" s="127" t="s">
        <v>191</v>
      </c>
      <c r="O68" s="110"/>
      <c r="P68" s="105"/>
    </row>
    <row r="69" spans="1:16" ht="18" x14ac:dyDescent="0.4">
      <c r="A69" s="95"/>
      <c r="B69" s="4" t="s">
        <v>298</v>
      </c>
      <c r="C69" s="4"/>
      <c r="D69" s="132"/>
      <c r="E69" s="4"/>
      <c r="F69" s="4"/>
      <c r="G69" s="4"/>
      <c r="H69" s="278"/>
      <c r="I69" s="8"/>
      <c r="J69" s="8"/>
      <c r="K69" s="373"/>
      <c r="L69" s="373"/>
      <c r="M69" s="373"/>
      <c r="N69" s="137" t="s">
        <v>194</v>
      </c>
      <c r="O69" s="76"/>
      <c r="P69" s="138">
        <v>4.2500000000000003E-2</v>
      </c>
    </row>
    <row r="70" spans="1:16" ht="15.75" x14ac:dyDescent="0.25">
      <c r="A70" s="132"/>
      <c r="B70" s="4" t="s">
        <v>126</v>
      </c>
      <c r="C70" s="4"/>
      <c r="D70" s="132"/>
      <c r="E70" s="4"/>
      <c r="F70" s="4"/>
      <c r="G70" s="4"/>
      <c r="H70" s="65">
        <f>SUM(H68:H69)</f>
        <v>10000</v>
      </c>
      <c r="I70" s="8"/>
      <c r="J70" s="8"/>
      <c r="K70" s="93"/>
      <c r="L70" s="93"/>
      <c r="M70" s="93"/>
      <c r="N70" s="111" t="s">
        <v>39</v>
      </c>
      <c r="O70" s="7"/>
      <c r="P70" s="112">
        <f>+P67*P69</f>
        <v>27253.125000000004</v>
      </c>
    </row>
    <row r="71" spans="1:16" ht="20.25" x14ac:dyDescent="0.55000000000000004">
      <c r="A71" s="219"/>
      <c r="B71" s="4"/>
      <c r="C71" s="4"/>
      <c r="D71" s="4"/>
      <c r="E71" s="4"/>
      <c r="F71" s="4"/>
      <c r="G71" s="4"/>
      <c r="H71" s="4"/>
      <c r="I71" s="8"/>
      <c r="J71" s="8"/>
      <c r="K71" s="93"/>
      <c r="L71" s="93"/>
      <c r="M71" s="172"/>
      <c r="N71" s="111"/>
      <c r="O71" s="7"/>
      <c r="P71" s="113"/>
    </row>
    <row r="72" spans="1:16" ht="15.75" x14ac:dyDescent="0.25">
      <c r="A72" s="219" t="s">
        <v>5</v>
      </c>
      <c r="B72" s="4" t="s">
        <v>127</v>
      </c>
      <c r="C72" s="132"/>
      <c r="D72" s="132"/>
      <c r="E72" s="4"/>
      <c r="F72" s="4"/>
      <c r="G72" s="132"/>
      <c r="H72" s="65">
        <f>H64+H70</f>
        <v>613128.95499999961</v>
      </c>
      <c r="I72" s="8"/>
      <c r="J72" s="8"/>
      <c r="K72" s="93"/>
      <c r="L72" s="102"/>
      <c r="M72" s="172"/>
      <c r="N72" s="114"/>
      <c r="O72" s="26"/>
      <c r="P72" s="115"/>
    </row>
    <row r="73" spans="1:16" ht="15.75" x14ac:dyDescent="0.25">
      <c r="A73" s="95"/>
      <c r="B73" s="4"/>
      <c r="C73" s="132"/>
      <c r="D73" s="132"/>
      <c r="E73" s="4"/>
      <c r="F73" s="4"/>
      <c r="G73" s="4"/>
      <c r="H73" s="4"/>
      <c r="I73" s="8"/>
      <c r="J73" s="8"/>
      <c r="K73" s="93"/>
      <c r="L73" s="103"/>
      <c r="M73" s="172"/>
      <c r="N73" s="96"/>
      <c r="O73" s="170"/>
      <c r="P73" s="4"/>
    </row>
    <row r="74" spans="1:16" ht="15.75" x14ac:dyDescent="0.25">
      <c r="A74" s="219" t="s">
        <v>6</v>
      </c>
      <c r="B74" s="344" t="s">
        <v>299</v>
      </c>
      <c r="C74" s="344"/>
      <c r="D74" s="344"/>
      <c r="E74" s="344"/>
      <c r="F74" s="344"/>
      <c r="G74" s="4"/>
      <c r="H74" s="4"/>
      <c r="I74" s="8"/>
      <c r="J74" s="8"/>
      <c r="K74" s="171"/>
      <c r="L74" s="64"/>
      <c r="M74" s="172"/>
      <c r="N74" s="4"/>
      <c r="O74" s="4"/>
      <c r="P74" s="4"/>
    </row>
    <row r="75" spans="1:16" ht="15.75" x14ac:dyDescent="0.25">
      <c r="A75" s="95"/>
      <c r="B75" s="4" t="s">
        <v>33</v>
      </c>
      <c r="C75" s="4"/>
      <c r="D75" s="132"/>
      <c r="E75" s="4"/>
      <c r="F75" s="4"/>
      <c r="G75" s="4"/>
      <c r="H75" s="197">
        <v>305000</v>
      </c>
      <c r="J75" s="8"/>
      <c r="K75" s="4"/>
      <c r="L75" s="4"/>
      <c r="M75" s="65"/>
      <c r="N75" s="4"/>
      <c r="O75" s="4"/>
      <c r="P75" s="4"/>
    </row>
    <row r="76" spans="1:16" ht="15.75" x14ac:dyDescent="0.25">
      <c r="A76" s="95"/>
      <c r="B76" s="4" t="s">
        <v>39</v>
      </c>
      <c r="C76" s="4"/>
      <c r="D76" s="132"/>
      <c r="E76" s="4"/>
      <c r="F76" s="4"/>
      <c r="G76" s="4"/>
      <c r="H76" s="261">
        <v>365271</v>
      </c>
      <c r="J76" s="8"/>
      <c r="K76" s="4"/>
      <c r="L76" s="4"/>
      <c r="M76" s="65"/>
      <c r="N76" s="4"/>
      <c r="O76" s="4"/>
      <c r="P76" s="4"/>
    </row>
    <row r="77" spans="1:16" ht="15.75" x14ac:dyDescent="0.25">
      <c r="A77" s="95"/>
      <c r="B77" s="4"/>
      <c r="C77" s="4"/>
      <c r="D77" s="132"/>
      <c r="E77" s="4"/>
      <c r="F77" s="4"/>
      <c r="G77" s="4"/>
      <c r="H77" s="197">
        <f>SUM(H75:H76)</f>
        <v>670271</v>
      </c>
      <c r="J77" s="8"/>
      <c r="K77" s="4"/>
      <c r="L77" s="4"/>
      <c r="M77" s="65"/>
      <c r="N77" s="4"/>
      <c r="O77" s="4"/>
      <c r="P77" s="4"/>
    </row>
    <row r="78" spans="1:16" ht="15.75" x14ac:dyDescent="0.25">
      <c r="A78" s="95"/>
      <c r="B78" s="4"/>
      <c r="C78" s="4"/>
      <c r="D78" s="132"/>
      <c r="E78" s="4"/>
      <c r="F78" s="4"/>
      <c r="G78" s="4"/>
      <c r="H78" s="197"/>
      <c r="J78" s="8"/>
      <c r="K78" s="4"/>
      <c r="L78" s="4"/>
      <c r="M78" s="65"/>
      <c r="N78" s="4"/>
      <c r="O78" s="4"/>
      <c r="P78" s="4"/>
    </row>
    <row r="79" spans="1:16" ht="15.75" x14ac:dyDescent="0.25">
      <c r="A79" s="276" t="s">
        <v>10</v>
      </c>
      <c r="B79" s="4" t="s">
        <v>360</v>
      </c>
      <c r="C79" s="4"/>
      <c r="D79" s="132"/>
      <c r="E79" s="4"/>
      <c r="F79" s="4"/>
      <c r="G79" s="4"/>
      <c r="H79" s="197">
        <v>35770</v>
      </c>
      <c r="J79" s="8"/>
      <c r="K79" s="4"/>
      <c r="L79" s="4"/>
      <c r="M79" s="65"/>
      <c r="N79" s="4"/>
      <c r="O79" s="4"/>
      <c r="P79" s="4"/>
    </row>
    <row r="80" spans="1:16" ht="15.75" x14ac:dyDescent="0.25">
      <c r="A80" s="276"/>
      <c r="B80" s="4"/>
      <c r="C80" s="4"/>
      <c r="D80" s="132"/>
      <c r="E80" s="4"/>
      <c r="F80" s="4"/>
      <c r="G80" s="4"/>
      <c r="H80" s="197"/>
      <c r="J80" s="8"/>
      <c r="K80" s="4"/>
      <c r="L80" s="4"/>
      <c r="M80" s="65"/>
      <c r="N80" s="4"/>
      <c r="O80" s="4"/>
      <c r="P80" s="4"/>
    </row>
    <row r="81" spans="1:16" ht="15.75" x14ac:dyDescent="0.25">
      <c r="A81" s="276" t="s">
        <v>175</v>
      </c>
      <c r="B81" s="4" t="s">
        <v>183</v>
      </c>
      <c r="C81" s="4"/>
      <c r="D81" s="132"/>
      <c r="E81" s="4"/>
      <c r="F81" s="4"/>
      <c r="G81" s="4"/>
      <c r="H81" s="197">
        <v>35000</v>
      </c>
      <c r="J81" s="8"/>
      <c r="K81" s="4"/>
      <c r="L81" s="4"/>
      <c r="M81" s="65"/>
      <c r="N81" s="4"/>
      <c r="O81" s="4"/>
      <c r="P81" s="4"/>
    </row>
    <row r="82" spans="1:16" ht="18" x14ac:dyDescent="0.4">
      <c r="A82" s="219"/>
      <c r="B82" s="120"/>
      <c r="C82" s="4"/>
      <c r="D82" s="132"/>
      <c r="E82" s="4"/>
      <c r="F82" s="4"/>
      <c r="G82" s="4"/>
      <c r="H82" s="24"/>
      <c r="J82" s="8"/>
      <c r="K82" s="4"/>
      <c r="L82" s="4"/>
      <c r="M82" s="24"/>
      <c r="N82" s="4"/>
      <c r="O82" s="4"/>
      <c r="P82" s="4"/>
    </row>
    <row r="83" spans="1:16" ht="15.75" x14ac:dyDescent="0.25">
      <c r="A83" s="219" t="s">
        <v>304</v>
      </c>
      <c r="B83" s="4" t="s">
        <v>128</v>
      </c>
      <c r="C83" s="4"/>
      <c r="D83" s="4"/>
      <c r="E83" s="132"/>
      <c r="F83" s="4"/>
      <c r="G83" s="4"/>
      <c r="H83" s="96">
        <f>H72-H77-H79-H81</f>
        <v>-127912.04500000039</v>
      </c>
      <c r="I83" s="8"/>
      <c r="J83" s="97"/>
      <c r="K83" s="275">
        <f>H83/H48</f>
        <v>-4.7985122711473753E-2</v>
      </c>
      <c r="L83" s="4"/>
      <c r="M83" s="65"/>
      <c r="N83" s="4"/>
      <c r="O83" s="4"/>
      <c r="P83" s="4"/>
    </row>
    <row r="84" spans="1:16" ht="15.75" x14ac:dyDescent="0.25">
      <c r="J84" s="8"/>
      <c r="K84" s="4"/>
      <c r="L84" s="4"/>
      <c r="M84" s="4"/>
      <c r="N84" s="4"/>
      <c r="O84" s="4"/>
      <c r="P84" s="4"/>
    </row>
    <row r="85" spans="1:16" ht="15.75" x14ac:dyDescent="0.25">
      <c r="I85" s="129"/>
      <c r="J85" s="8"/>
      <c r="K85" s="4"/>
      <c r="L85" s="4"/>
      <c r="M85" s="4"/>
      <c r="N85" s="4"/>
      <c r="O85" s="4"/>
      <c r="P85" s="4"/>
    </row>
    <row r="86" spans="1:16" ht="15.75" x14ac:dyDescent="0.25">
      <c r="A86" s="1" t="s">
        <v>213</v>
      </c>
      <c r="B86" s="4"/>
      <c r="C86" s="4"/>
      <c r="D86" s="4"/>
      <c r="E86" s="4"/>
      <c r="F86" s="4"/>
      <c r="G86" s="4"/>
      <c r="H86" s="4"/>
      <c r="I86" s="8"/>
      <c r="J86" s="8"/>
      <c r="K86" s="4"/>
      <c r="L86" s="4"/>
      <c r="M86" s="4"/>
      <c r="N86" s="4"/>
      <c r="O86" s="4"/>
      <c r="P86" s="4"/>
    </row>
    <row r="87" spans="1:16" ht="15.75" x14ac:dyDescent="0.25">
      <c r="B87" s="1" t="s">
        <v>325</v>
      </c>
      <c r="E87" s="4"/>
      <c r="G87" s="70"/>
      <c r="H87" s="1"/>
      <c r="I87" s="8"/>
      <c r="J87" s="8"/>
      <c r="K87" s="4"/>
      <c r="L87" s="4"/>
      <c r="M87" s="4"/>
      <c r="N87" s="4"/>
      <c r="O87" s="4"/>
      <c r="P87" s="4"/>
    </row>
    <row r="88" spans="1:16" ht="15.75" x14ac:dyDescent="0.25">
      <c r="B88" s="4" t="s">
        <v>222</v>
      </c>
      <c r="C88" s="17"/>
      <c r="D88" s="4"/>
      <c r="E88" s="4"/>
      <c r="F88" s="4"/>
      <c r="G88" s="4"/>
      <c r="H88" s="4"/>
      <c r="I88" s="8"/>
      <c r="J88" s="8"/>
      <c r="N88" s="4"/>
      <c r="O88" s="4"/>
      <c r="P88" s="4"/>
    </row>
    <row r="89" spans="1:16" ht="15.75" x14ac:dyDescent="0.25">
      <c r="B89" s="4"/>
      <c r="C89" s="17"/>
      <c r="D89" s="4"/>
      <c r="E89" s="4"/>
      <c r="F89" s="4"/>
      <c r="G89" s="4"/>
      <c r="H89" s="4"/>
      <c r="I89" s="8"/>
      <c r="J89" s="8"/>
      <c r="N89" s="4"/>
      <c r="O89" s="4"/>
      <c r="P89" s="4"/>
    </row>
    <row r="90" spans="1:16" ht="18" x14ac:dyDescent="0.4">
      <c r="A90" s="284" t="s">
        <v>0</v>
      </c>
      <c r="B90" s="4" t="s">
        <v>121</v>
      </c>
      <c r="C90" s="4"/>
      <c r="D90" s="4"/>
      <c r="E90" s="4"/>
      <c r="F90" s="4"/>
      <c r="G90" s="4"/>
      <c r="H90" s="290"/>
      <c r="I90" s="8"/>
      <c r="J90" s="8"/>
      <c r="N90" s="4"/>
      <c r="O90" s="4"/>
      <c r="P90" s="4"/>
    </row>
    <row r="91" spans="1:16" ht="15.75" x14ac:dyDescent="0.25">
      <c r="A91" s="294"/>
      <c r="B91" s="4" t="s">
        <v>322</v>
      </c>
      <c r="C91" s="4"/>
      <c r="D91" s="132"/>
      <c r="E91" s="4"/>
      <c r="F91" s="4"/>
      <c r="G91" s="4"/>
      <c r="H91" s="65">
        <f>'Wtr Rev'!I222+'Wtr Rev'!I210+'Wtr Rev'!I198+'Wtr Rev'!I186+'Wtr Rev'!I174+'Wtr Rev'!I162</f>
        <v>2823055.8870000001</v>
      </c>
      <c r="I91" s="8"/>
      <c r="J91" s="8"/>
      <c r="N91" s="4"/>
      <c r="O91" s="4"/>
      <c r="P91" s="4"/>
    </row>
    <row r="92" spans="1:16" ht="15.75" x14ac:dyDescent="0.25">
      <c r="A92" s="294"/>
      <c r="B92" s="4" t="s">
        <v>323</v>
      </c>
      <c r="C92" s="4"/>
      <c r="D92" s="132"/>
      <c r="E92" s="4"/>
      <c r="F92" s="4"/>
      <c r="G92" s="4"/>
      <c r="H92" s="65"/>
      <c r="I92" s="8"/>
      <c r="J92" s="8"/>
      <c r="N92" s="4"/>
      <c r="O92" s="4"/>
      <c r="P92" s="4"/>
    </row>
    <row r="93" spans="1:16" ht="15.75" x14ac:dyDescent="0.25">
      <c r="A93" s="294"/>
      <c r="B93" s="4" t="s">
        <v>247</v>
      </c>
      <c r="C93" s="4"/>
      <c r="D93" s="132"/>
      <c r="E93" s="4"/>
      <c r="F93" s="4"/>
      <c r="G93" s="4"/>
      <c r="H93" s="9">
        <v>33000</v>
      </c>
      <c r="I93" s="8"/>
      <c r="J93" s="8"/>
      <c r="N93" s="4"/>
      <c r="O93" s="4"/>
      <c r="P93" s="4"/>
    </row>
    <row r="94" spans="1:16" ht="15.75" x14ac:dyDescent="0.25">
      <c r="A94" s="132"/>
      <c r="B94" s="4" t="s">
        <v>122</v>
      </c>
      <c r="C94" s="4"/>
      <c r="D94" s="132"/>
      <c r="E94" s="4"/>
      <c r="F94" s="4"/>
      <c r="G94" s="4"/>
      <c r="H94" s="65">
        <f>SUM(H91:H93)</f>
        <v>2856055.8870000001</v>
      </c>
      <c r="I94" s="8"/>
      <c r="J94" s="8"/>
      <c r="N94" s="4"/>
      <c r="O94" s="4"/>
      <c r="P94" s="4"/>
    </row>
    <row r="95" spans="1:16" ht="15.75" x14ac:dyDescent="0.25">
      <c r="A95" s="294"/>
      <c r="B95" s="4"/>
      <c r="C95" s="4"/>
      <c r="D95" s="132"/>
      <c r="E95" s="4"/>
      <c r="F95" s="4"/>
      <c r="G95" s="4"/>
      <c r="H95" s="4"/>
      <c r="I95" s="8"/>
      <c r="J95" s="8"/>
      <c r="N95" s="4"/>
      <c r="O95" s="4"/>
      <c r="P95" s="4"/>
    </row>
    <row r="96" spans="1:16" ht="15.75" x14ac:dyDescent="0.25">
      <c r="A96" s="284" t="s">
        <v>3</v>
      </c>
      <c r="B96" s="4" t="s">
        <v>129</v>
      </c>
      <c r="C96" s="4"/>
      <c r="D96" s="132"/>
      <c r="E96" s="4"/>
      <c r="F96" s="4"/>
      <c r="G96" s="4"/>
      <c r="H96" s="4"/>
      <c r="I96" s="8"/>
      <c r="J96" s="8"/>
      <c r="N96" s="4"/>
      <c r="O96" s="4"/>
      <c r="P96" s="4"/>
    </row>
    <row r="97" spans="1:16" ht="15.75" x14ac:dyDescent="0.25">
      <c r="A97" s="294"/>
      <c r="B97" s="4" t="s">
        <v>179</v>
      </c>
      <c r="C97" s="4"/>
      <c r="D97" s="132"/>
      <c r="E97" s="4"/>
      <c r="F97" s="4"/>
      <c r="G97" s="4"/>
      <c r="H97" s="65">
        <f t="shared" ref="H97:H105" si="1">H54</f>
        <v>1353062.4400000002</v>
      </c>
      <c r="I97" s="8"/>
      <c r="J97" s="8"/>
      <c r="N97" s="4"/>
      <c r="O97" s="4"/>
      <c r="P97" s="4"/>
    </row>
    <row r="98" spans="1:16" ht="15.75" x14ac:dyDescent="0.25">
      <c r="A98" s="294"/>
      <c r="B98" s="4" t="s">
        <v>291</v>
      </c>
      <c r="C98" s="4"/>
      <c r="D98" s="132"/>
      <c r="E98" s="4"/>
      <c r="F98" s="4"/>
      <c r="G98" s="4"/>
      <c r="H98" s="65">
        <f t="shared" si="1"/>
        <v>189444.26</v>
      </c>
      <c r="I98" s="8"/>
      <c r="J98" s="8"/>
      <c r="N98" s="4"/>
      <c r="O98" s="4"/>
      <c r="P98" s="4"/>
    </row>
    <row r="99" spans="1:16" ht="15.75" x14ac:dyDescent="0.25">
      <c r="A99" s="294"/>
      <c r="B99" s="4" t="s">
        <v>292</v>
      </c>
      <c r="C99" s="132"/>
      <c r="D99" s="132"/>
      <c r="E99" s="4"/>
      <c r="F99" s="4"/>
      <c r="G99" s="4"/>
      <c r="H99" s="65">
        <f t="shared" si="1"/>
        <v>116952.98000000001</v>
      </c>
      <c r="I99" s="8"/>
      <c r="J99" s="8"/>
      <c r="N99" s="4"/>
      <c r="O99" s="4"/>
      <c r="P99" s="4"/>
    </row>
    <row r="100" spans="1:16" ht="15.75" x14ac:dyDescent="0.25">
      <c r="A100" s="294"/>
      <c r="B100" s="4" t="s">
        <v>293</v>
      </c>
      <c r="C100" s="132"/>
      <c r="D100" s="132"/>
      <c r="E100" s="4"/>
      <c r="F100" s="4"/>
      <c r="G100" s="4"/>
      <c r="H100" s="65">
        <f t="shared" si="1"/>
        <v>216423.38</v>
      </c>
      <c r="I100" s="8"/>
      <c r="J100" s="8"/>
      <c r="N100" s="4"/>
      <c r="O100" s="4"/>
      <c r="P100" s="4"/>
    </row>
    <row r="101" spans="1:16" ht="15.75" x14ac:dyDescent="0.25">
      <c r="A101" s="294"/>
      <c r="B101" s="4" t="s">
        <v>294</v>
      </c>
      <c r="C101" s="4"/>
      <c r="D101" s="132"/>
      <c r="E101" s="4"/>
      <c r="F101" s="4"/>
      <c r="G101" s="4"/>
      <c r="H101" s="65">
        <f t="shared" si="1"/>
        <v>46859.420000000006</v>
      </c>
      <c r="I101" s="8"/>
      <c r="J101" s="8"/>
      <c r="N101" s="4"/>
      <c r="O101" s="4"/>
      <c r="P101" s="4"/>
    </row>
    <row r="102" spans="1:16" ht="15.75" x14ac:dyDescent="0.25">
      <c r="A102" s="294"/>
      <c r="B102" s="4" t="s">
        <v>295</v>
      </c>
      <c r="C102" s="4"/>
      <c r="D102" s="132"/>
      <c r="E102" s="4"/>
      <c r="F102" s="4"/>
      <c r="G102" s="4"/>
      <c r="H102" s="65">
        <f t="shared" si="1"/>
        <v>54205.22</v>
      </c>
      <c r="I102" s="8"/>
      <c r="J102" s="8"/>
      <c r="N102" s="4"/>
      <c r="O102" s="4"/>
      <c r="P102" s="4"/>
    </row>
    <row r="103" spans="1:16" ht="15.75" x14ac:dyDescent="0.25">
      <c r="A103" s="294"/>
      <c r="B103" s="4" t="s">
        <v>296</v>
      </c>
      <c r="C103" s="4"/>
      <c r="D103" s="132"/>
      <c r="E103" s="4"/>
      <c r="F103" s="4"/>
      <c r="G103" s="4"/>
      <c r="H103" s="65">
        <f t="shared" si="1"/>
        <v>38757.840000000004</v>
      </c>
      <c r="I103" s="8"/>
      <c r="J103" s="8"/>
      <c r="N103" s="4"/>
      <c r="O103" s="4"/>
      <c r="P103" s="4"/>
    </row>
    <row r="104" spans="1:16" ht="15.75" x14ac:dyDescent="0.25">
      <c r="A104" s="294"/>
      <c r="B104" s="4" t="s">
        <v>231</v>
      </c>
      <c r="C104" s="4"/>
      <c r="D104" s="132"/>
      <c r="E104" s="4"/>
      <c r="F104" s="4"/>
      <c r="G104" s="4"/>
      <c r="H104" s="65">
        <f t="shared" si="1"/>
        <v>17976.54</v>
      </c>
      <c r="I104" s="8"/>
      <c r="J104" s="8"/>
      <c r="N104" s="4"/>
      <c r="O104" s="4"/>
      <c r="P104" s="4"/>
    </row>
    <row r="105" spans="1:16" ht="15.75" x14ac:dyDescent="0.25">
      <c r="A105" s="294"/>
      <c r="B105" s="4" t="s">
        <v>297</v>
      </c>
      <c r="C105" s="4"/>
      <c r="D105" s="132"/>
      <c r="E105" s="4"/>
      <c r="F105" s="4"/>
      <c r="G105" s="4"/>
      <c r="H105" s="65">
        <f t="shared" si="1"/>
        <v>61849.440000000002</v>
      </c>
      <c r="I105" s="8"/>
      <c r="J105" s="8"/>
      <c r="N105" s="4"/>
      <c r="O105" s="4"/>
      <c r="P105" s="4"/>
    </row>
    <row r="106" spans="1:16" ht="15.75" x14ac:dyDescent="0.25">
      <c r="A106" s="294"/>
      <c r="B106" s="4" t="s">
        <v>131</v>
      </c>
      <c r="C106" s="4"/>
      <c r="D106" s="132"/>
      <c r="E106" s="4"/>
      <c r="F106" s="4"/>
      <c r="G106" s="4"/>
      <c r="H106" s="261">
        <f>SUM(H97:H105)</f>
        <v>2095531.52</v>
      </c>
      <c r="I106" s="8"/>
      <c r="J106" s="8"/>
      <c r="N106" s="4"/>
      <c r="O106" s="4"/>
      <c r="P106" s="4"/>
    </row>
    <row r="107" spans="1:16" ht="15.75" x14ac:dyDescent="0.25">
      <c r="A107" s="284"/>
      <c r="B107" s="4" t="s">
        <v>123</v>
      </c>
      <c r="C107" s="4"/>
      <c r="D107" s="132"/>
      <c r="E107" s="4"/>
      <c r="F107" s="4"/>
      <c r="G107" s="4"/>
      <c r="H107" s="65">
        <f>H94-H106</f>
        <v>760524.36700000009</v>
      </c>
      <c r="I107" s="8"/>
      <c r="J107" s="8"/>
      <c r="N107" s="4"/>
      <c r="O107" s="4"/>
      <c r="P107" s="4"/>
    </row>
    <row r="108" spans="1:16" ht="15.75" x14ac:dyDescent="0.25">
      <c r="A108" s="132"/>
      <c r="B108" s="132"/>
      <c r="C108" s="132"/>
      <c r="D108" s="132"/>
      <c r="E108" s="132"/>
      <c r="F108" s="132"/>
      <c r="G108" s="132"/>
      <c r="H108" s="198"/>
      <c r="I108" s="8"/>
      <c r="J108" s="8"/>
      <c r="N108" s="4"/>
      <c r="O108" s="4"/>
      <c r="P108" s="4"/>
    </row>
    <row r="109" spans="1:16" ht="15.75" x14ac:dyDescent="0.25">
      <c r="A109" s="294"/>
      <c r="B109" s="4"/>
      <c r="C109" s="4"/>
      <c r="D109" s="132"/>
      <c r="E109" s="4"/>
      <c r="F109" s="4"/>
      <c r="G109" s="4"/>
      <c r="H109" s="4"/>
      <c r="I109" s="8"/>
      <c r="J109" s="8"/>
      <c r="N109" s="4"/>
      <c r="O109" s="4"/>
      <c r="P109" s="4"/>
    </row>
    <row r="110" spans="1:16" ht="15.75" x14ac:dyDescent="0.25">
      <c r="A110" s="284" t="s">
        <v>4</v>
      </c>
      <c r="B110" s="4" t="s">
        <v>124</v>
      </c>
      <c r="C110" s="4"/>
      <c r="D110" s="132"/>
      <c r="E110" s="4"/>
      <c r="F110" s="4"/>
      <c r="G110" s="4"/>
      <c r="H110" s="4"/>
      <c r="I110" s="8"/>
      <c r="J110" s="8"/>
      <c r="N110" s="4"/>
      <c r="O110" s="4"/>
      <c r="P110" s="4"/>
    </row>
    <row r="111" spans="1:16" ht="15.75" x14ac:dyDescent="0.25">
      <c r="A111" s="294"/>
      <c r="B111" s="4" t="s">
        <v>125</v>
      </c>
      <c r="C111" s="4"/>
      <c r="D111" s="132"/>
      <c r="E111" s="4"/>
      <c r="F111" s="4"/>
      <c r="G111" s="4"/>
      <c r="H111" s="65">
        <v>10000</v>
      </c>
      <c r="I111" s="8"/>
      <c r="J111" s="8"/>
      <c r="N111" s="4"/>
      <c r="O111" s="4"/>
      <c r="P111" s="4"/>
    </row>
    <row r="112" spans="1:16" ht="15.75" x14ac:dyDescent="0.25">
      <c r="A112" s="294"/>
      <c r="B112" s="4" t="s">
        <v>298</v>
      </c>
      <c r="C112" s="4"/>
      <c r="D112" s="132"/>
      <c r="E112" s="4"/>
      <c r="F112" s="4"/>
      <c r="G112" s="4"/>
      <c r="H112" s="278"/>
      <c r="I112" s="8"/>
      <c r="J112" s="8"/>
      <c r="N112" s="4"/>
      <c r="O112" s="4"/>
      <c r="P112" s="4"/>
    </row>
    <row r="113" spans="1:16" ht="15.75" x14ac:dyDescent="0.25">
      <c r="A113" s="132"/>
      <c r="B113" s="4" t="s">
        <v>126</v>
      </c>
      <c r="C113" s="4"/>
      <c r="D113" s="132"/>
      <c r="E113" s="4"/>
      <c r="F113" s="4"/>
      <c r="G113" s="4"/>
      <c r="H113" s="65">
        <f>SUM(H111:H112)</f>
        <v>10000</v>
      </c>
      <c r="I113" s="8"/>
      <c r="J113" s="8"/>
      <c r="N113" s="4"/>
      <c r="O113" s="4"/>
      <c r="P113" s="4"/>
    </row>
    <row r="114" spans="1:16" ht="15.75" x14ac:dyDescent="0.25">
      <c r="A114" s="284"/>
      <c r="B114" s="4"/>
      <c r="C114" s="4"/>
      <c r="D114" s="4"/>
      <c r="E114" s="4"/>
      <c r="F114" s="4"/>
      <c r="G114" s="4"/>
      <c r="H114" s="4"/>
      <c r="I114" s="8"/>
      <c r="J114" s="8"/>
      <c r="N114" s="4"/>
      <c r="O114" s="4"/>
      <c r="P114" s="4"/>
    </row>
    <row r="115" spans="1:16" ht="15.75" x14ac:dyDescent="0.25">
      <c r="A115" s="284" t="s">
        <v>5</v>
      </c>
      <c r="B115" s="4" t="s">
        <v>127</v>
      </c>
      <c r="C115" s="132"/>
      <c r="D115" s="132"/>
      <c r="E115" s="4"/>
      <c r="F115" s="4"/>
      <c r="G115" s="132"/>
      <c r="H115" s="65">
        <f>H107+H113</f>
        <v>770524.36700000009</v>
      </c>
      <c r="I115" s="8"/>
      <c r="J115" s="8"/>
      <c r="N115" s="4"/>
      <c r="O115" s="4"/>
      <c r="P115" s="4"/>
    </row>
    <row r="116" spans="1:16" ht="15.75" x14ac:dyDescent="0.25">
      <c r="A116" s="294"/>
      <c r="B116" s="4"/>
      <c r="C116" s="132"/>
      <c r="D116" s="132"/>
      <c r="E116" s="4"/>
      <c r="F116" s="4"/>
      <c r="G116" s="4"/>
      <c r="H116" s="4"/>
      <c r="I116" s="8"/>
      <c r="J116" s="8"/>
      <c r="N116" s="4"/>
      <c r="O116" s="4"/>
      <c r="P116" s="4"/>
    </row>
    <row r="117" spans="1:16" ht="15.75" x14ac:dyDescent="0.25">
      <c r="A117" s="284" t="s">
        <v>6</v>
      </c>
      <c r="B117" s="344" t="s">
        <v>299</v>
      </c>
      <c r="C117" s="344"/>
      <c r="D117" s="344"/>
      <c r="E117" s="344"/>
      <c r="F117" s="344"/>
      <c r="G117" s="4"/>
      <c r="H117" s="4"/>
      <c r="I117" s="8"/>
      <c r="J117" s="8"/>
      <c r="N117" s="4"/>
      <c r="O117" s="4"/>
      <c r="P117" s="4"/>
    </row>
    <row r="118" spans="1:16" ht="15.75" x14ac:dyDescent="0.25">
      <c r="A118" s="294"/>
      <c r="B118" s="4" t="s">
        <v>33</v>
      </c>
      <c r="C118" s="4"/>
      <c r="D118" s="132"/>
      <c r="E118" s="4"/>
      <c r="F118" s="4"/>
      <c r="G118" s="4"/>
      <c r="H118" s="197">
        <v>305000</v>
      </c>
      <c r="I118" s="8"/>
      <c r="J118" s="8"/>
      <c r="N118" s="4"/>
      <c r="O118" s="4"/>
      <c r="P118" s="4"/>
    </row>
    <row r="119" spans="1:16" ht="15.75" x14ac:dyDescent="0.25">
      <c r="A119" s="294"/>
      <c r="B119" s="4" t="s">
        <v>39</v>
      </c>
      <c r="C119" s="4"/>
      <c r="D119" s="132"/>
      <c r="E119" s="4"/>
      <c r="F119" s="4"/>
      <c r="G119" s="4"/>
      <c r="H119" s="261">
        <v>365271</v>
      </c>
      <c r="I119" s="8"/>
      <c r="J119" s="8"/>
      <c r="N119" s="4"/>
      <c r="O119" s="4"/>
      <c r="P119" s="4"/>
    </row>
    <row r="120" spans="1:16" ht="15.75" x14ac:dyDescent="0.25">
      <c r="A120" s="294"/>
      <c r="B120" s="4"/>
      <c r="C120" s="4"/>
      <c r="D120" s="132"/>
      <c r="E120" s="4"/>
      <c r="F120" s="4"/>
      <c r="G120" s="4"/>
      <c r="H120" s="197">
        <f>SUM(H118:H119)</f>
        <v>670271</v>
      </c>
      <c r="I120" s="8"/>
      <c r="J120" s="8"/>
      <c r="N120" s="4"/>
      <c r="O120" s="4"/>
      <c r="P120" s="4"/>
    </row>
    <row r="121" spans="1:16" ht="15.75" x14ac:dyDescent="0.25">
      <c r="A121" s="294"/>
      <c r="B121" s="4"/>
      <c r="C121" s="4"/>
      <c r="D121" s="132"/>
      <c r="E121" s="4"/>
      <c r="F121" s="4"/>
      <c r="G121" s="4"/>
      <c r="H121" s="197"/>
      <c r="I121" s="8"/>
      <c r="J121" s="8"/>
      <c r="N121" s="4"/>
      <c r="O121" s="4"/>
      <c r="P121" s="4"/>
    </row>
    <row r="122" spans="1:16" ht="15.75" x14ac:dyDescent="0.25">
      <c r="A122" s="276" t="s">
        <v>10</v>
      </c>
      <c r="B122" s="4" t="s">
        <v>358</v>
      </c>
      <c r="C122" s="4"/>
      <c r="D122" s="132"/>
      <c r="E122" s="4"/>
      <c r="F122" s="4"/>
      <c r="G122" s="4"/>
      <c r="H122" s="197">
        <v>35770</v>
      </c>
      <c r="I122" s="8"/>
      <c r="J122" s="8"/>
      <c r="N122" s="4"/>
      <c r="O122" s="4"/>
      <c r="P122" s="4"/>
    </row>
    <row r="123" spans="1:16" ht="15.75" x14ac:dyDescent="0.25">
      <c r="A123" s="276"/>
      <c r="B123" s="4" t="s">
        <v>357</v>
      </c>
      <c r="C123" s="4"/>
      <c r="D123" s="132"/>
      <c r="E123" s="4"/>
      <c r="F123" s="4"/>
      <c r="G123" s="4"/>
      <c r="H123" s="197"/>
      <c r="I123" s="8"/>
      <c r="J123" s="8"/>
      <c r="N123" s="4"/>
      <c r="O123" s="4"/>
      <c r="P123" s="4"/>
    </row>
    <row r="124" spans="1:16" ht="15.75" x14ac:dyDescent="0.25">
      <c r="A124" s="276" t="s">
        <v>175</v>
      </c>
      <c r="B124" s="4" t="s">
        <v>183</v>
      </c>
      <c r="C124" s="4"/>
      <c r="D124" s="132"/>
      <c r="E124" s="4"/>
      <c r="F124" s="4"/>
      <c r="G124" s="4"/>
      <c r="H124" s="197">
        <v>35000</v>
      </c>
      <c r="I124" s="8"/>
      <c r="J124" s="8"/>
      <c r="N124" s="4"/>
      <c r="O124" s="4"/>
      <c r="P124" s="4"/>
    </row>
    <row r="125" spans="1:16" ht="18" x14ac:dyDescent="0.4">
      <c r="A125" s="284"/>
      <c r="B125" s="120"/>
      <c r="C125" s="4"/>
      <c r="D125" s="132"/>
      <c r="E125" s="4"/>
      <c r="F125" s="4"/>
      <c r="G125" s="4"/>
      <c r="H125" s="24"/>
      <c r="I125" s="8"/>
      <c r="J125" s="8"/>
      <c r="N125" s="4"/>
      <c r="O125" s="4"/>
      <c r="P125" s="4"/>
    </row>
    <row r="126" spans="1:16" ht="15.75" x14ac:dyDescent="0.25">
      <c r="A126" s="284" t="s">
        <v>304</v>
      </c>
      <c r="B126" s="4" t="s">
        <v>128</v>
      </c>
      <c r="C126" s="4"/>
      <c r="D126" s="4"/>
      <c r="E126" s="132"/>
      <c r="F126" s="4"/>
      <c r="G126" s="4"/>
      <c r="H126" s="96">
        <f>H107+H113-H120-H122-H124</f>
        <v>29483.367000000086</v>
      </c>
      <c r="I126" s="8"/>
      <c r="J126" s="8"/>
      <c r="N126" s="4"/>
      <c r="O126" s="4"/>
      <c r="P126" s="4"/>
    </row>
    <row r="127" spans="1:16" ht="15.75" x14ac:dyDescent="0.25">
      <c r="B127" s="4"/>
      <c r="C127" s="17"/>
      <c r="D127" s="4"/>
      <c r="E127" s="4"/>
      <c r="F127" s="4"/>
      <c r="G127" s="4"/>
      <c r="H127" s="4"/>
      <c r="I127" s="8"/>
      <c r="J127" s="8"/>
      <c r="N127" s="4"/>
      <c r="O127" s="4"/>
      <c r="P127" s="4"/>
    </row>
    <row r="128" spans="1:16" ht="15.75" x14ac:dyDescent="0.25">
      <c r="A128" s="3" t="s">
        <v>347</v>
      </c>
      <c r="B128" s="4"/>
      <c r="C128" s="4"/>
      <c r="D128" s="4"/>
      <c r="E128" s="4"/>
      <c r="F128" s="4"/>
      <c r="G128" s="4"/>
      <c r="H128" s="4"/>
      <c r="I128" s="8"/>
      <c r="J128" s="8"/>
      <c r="K128" s="4"/>
      <c r="L128" s="4"/>
      <c r="M128" s="4"/>
      <c r="N128" s="4"/>
      <c r="O128" s="4"/>
      <c r="P128" s="4"/>
    </row>
    <row r="129" spans="1:18" ht="15.75" x14ac:dyDescent="0.25">
      <c r="A129" s="3"/>
      <c r="B129" s="4"/>
      <c r="C129" s="4"/>
      <c r="D129" s="4"/>
      <c r="E129" s="4"/>
      <c r="F129" s="4"/>
      <c r="G129" s="4"/>
      <c r="H129" s="4"/>
      <c r="I129" s="8"/>
      <c r="J129" s="8"/>
      <c r="K129" s="4"/>
      <c r="L129" s="4"/>
      <c r="M129" s="4"/>
      <c r="N129" s="4"/>
      <c r="O129" s="8"/>
      <c r="P129" s="8"/>
      <c r="Q129" s="76"/>
      <c r="R129" s="76"/>
    </row>
    <row r="130" spans="1:18" ht="20.25" x14ac:dyDescent="0.55000000000000004">
      <c r="A130" s="3" t="s">
        <v>214</v>
      </c>
      <c r="C130" s="4"/>
      <c r="D130" s="4"/>
      <c r="E130" s="4"/>
      <c r="F130" s="4"/>
      <c r="G130" s="4"/>
      <c r="H130" s="4"/>
      <c r="I130" s="8"/>
      <c r="J130" s="8"/>
      <c r="K130" s="4"/>
      <c r="L130" s="4"/>
      <c r="M130" s="4"/>
      <c r="N130" s="4"/>
      <c r="O130" s="7"/>
      <c r="P130" s="7"/>
      <c r="Q130" s="36"/>
      <c r="R130" s="76"/>
    </row>
    <row r="131" spans="1:18" ht="15.75" x14ac:dyDescent="0.25">
      <c r="B131" s="4"/>
      <c r="C131" s="4"/>
      <c r="D131" s="4"/>
      <c r="E131" s="4"/>
      <c r="F131" s="4"/>
      <c r="G131" s="4"/>
      <c r="H131" s="4"/>
      <c r="I131" s="8"/>
      <c r="J131" s="8"/>
      <c r="K131" s="4"/>
      <c r="L131" s="4"/>
      <c r="M131" s="4"/>
      <c r="N131" s="4"/>
      <c r="O131" s="7"/>
      <c r="P131" s="7"/>
      <c r="Q131" s="335"/>
      <c r="R131" s="76"/>
    </row>
    <row r="132" spans="1:18" ht="15.75" x14ac:dyDescent="0.25">
      <c r="A132" s="1" t="s">
        <v>348</v>
      </c>
      <c r="C132" s="4"/>
      <c r="D132" s="4"/>
      <c r="E132" s="4"/>
      <c r="F132" s="4"/>
      <c r="G132" s="4"/>
      <c r="H132" s="4"/>
      <c r="I132" s="8"/>
      <c r="J132" s="8"/>
      <c r="K132" s="4"/>
      <c r="L132" s="4"/>
      <c r="M132" s="4"/>
      <c r="N132" s="4"/>
      <c r="O132" s="8"/>
      <c r="P132" s="8"/>
      <c r="Q132" s="76"/>
      <c r="R132" s="76"/>
    </row>
    <row r="133" spans="1:18" ht="20.25" x14ac:dyDescent="0.55000000000000004">
      <c r="C133" s="4"/>
      <c r="D133" s="4"/>
      <c r="E133" s="4"/>
      <c r="F133" s="24"/>
      <c r="G133" s="154"/>
      <c r="H133" s="84" t="s">
        <v>203</v>
      </c>
      <c r="I133" s="8"/>
      <c r="J133" s="8"/>
      <c r="K133" s="4"/>
      <c r="L133" s="4"/>
      <c r="M133" s="4"/>
      <c r="N133" s="4"/>
      <c r="O133" s="8"/>
      <c r="P133" s="8"/>
      <c r="Q133" s="76"/>
      <c r="R133" s="76"/>
    </row>
    <row r="134" spans="1:18" ht="15.75" x14ac:dyDescent="0.25">
      <c r="B134" s="4" t="s">
        <v>182</v>
      </c>
      <c r="C134" s="4"/>
      <c r="E134" s="4"/>
      <c r="F134" s="4"/>
      <c r="H134" s="4">
        <v>10000</v>
      </c>
      <c r="I134" s="8"/>
      <c r="J134" s="8"/>
      <c r="K134" s="4"/>
      <c r="L134" s="4"/>
      <c r="M134" s="4"/>
      <c r="N134" s="4"/>
      <c r="O134" s="4"/>
      <c r="P134" s="4"/>
    </row>
    <row r="135" spans="1:18" ht="15.75" x14ac:dyDescent="0.25">
      <c r="B135" s="4" t="s">
        <v>132</v>
      </c>
      <c r="C135" s="4"/>
      <c r="E135" s="4"/>
      <c r="F135" s="4"/>
      <c r="G135" s="2"/>
      <c r="H135" s="4">
        <v>25000</v>
      </c>
      <c r="I135" s="8"/>
      <c r="J135" s="8"/>
      <c r="K135" s="4"/>
      <c r="L135" s="4"/>
      <c r="M135" s="4"/>
      <c r="N135" s="4"/>
      <c r="O135" s="4"/>
      <c r="P135" s="4"/>
    </row>
    <row r="136" spans="1:18" ht="15.75" x14ac:dyDescent="0.25">
      <c r="B136" s="4" t="s">
        <v>133</v>
      </c>
      <c r="C136" s="4"/>
      <c r="E136" s="4"/>
      <c r="F136" s="4"/>
      <c r="G136" s="2"/>
      <c r="H136" s="4">
        <v>15000</v>
      </c>
      <c r="I136" s="8"/>
      <c r="J136" s="8"/>
      <c r="K136" s="4"/>
      <c r="L136" s="4"/>
      <c r="M136" s="4"/>
      <c r="N136" s="4"/>
      <c r="O136" s="4"/>
      <c r="P136" s="4"/>
    </row>
    <row r="137" spans="1:18" ht="15.75" x14ac:dyDescent="0.25">
      <c r="B137" s="4" t="s">
        <v>134</v>
      </c>
      <c r="C137" s="4"/>
      <c r="E137" s="4"/>
      <c r="F137" s="4"/>
      <c r="G137" s="2"/>
      <c r="H137" s="4">
        <f>57965+40623+20000</f>
        <v>118588</v>
      </c>
      <c r="I137" s="8"/>
      <c r="J137" s="8"/>
      <c r="K137" s="4"/>
      <c r="L137" s="4"/>
      <c r="M137" s="4"/>
      <c r="N137" s="4"/>
      <c r="O137" s="4"/>
      <c r="P137" s="4"/>
    </row>
    <row r="138" spans="1:18" ht="15.75" x14ac:dyDescent="0.25">
      <c r="B138" s="4" t="s">
        <v>135</v>
      </c>
      <c r="C138" s="4"/>
      <c r="F138" s="4"/>
      <c r="G138" s="2"/>
      <c r="H138" s="4">
        <v>635000</v>
      </c>
      <c r="I138" s="8"/>
      <c r="J138" s="8"/>
      <c r="K138" s="4"/>
      <c r="L138" s="4"/>
      <c r="M138" s="4"/>
      <c r="N138" s="4"/>
      <c r="O138" s="4"/>
      <c r="P138" s="4"/>
    </row>
    <row r="139" spans="1:18" ht="15.75" x14ac:dyDescent="0.25">
      <c r="B139" s="4" t="s">
        <v>39</v>
      </c>
      <c r="C139" s="4"/>
      <c r="E139" s="4"/>
      <c r="F139" s="4"/>
      <c r="G139" s="2"/>
      <c r="H139" s="4"/>
      <c r="I139" s="8"/>
      <c r="J139" s="8"/>
      <c r="K139" s="4"/>
      <c r="L139" s="4"/>
      <c r="M139" s="4"/>
      <c r="N139" s="4"/>
      <c r="O139" s="4"/>
      <c r="P139" s="4"/>
    </row>
    <row r="140" spans="1:18" ht="15.75" x14ac:dyDescent="0.25">
      <c r="B140" s="4" t="s">
        <v>136</v>
      </c>
      <c r="C140" s="4"/>
      <c r="E140" s="4"/>
      <c r="F140" s="4"/>
      <c r="G140" s="2"/>
      <c r="H140" s="4">
        <v>59394</v>
      </c>
      <c r="I140" s="8"/>
      <c r="J140" s="8"/>
      <c r="K140" s="4"/>
      <c r="L140" s="4"/>
      <c r="M140" s="4"/>
      <c r="N140" s="4"/>
      <c r="O140" s="4"/>
      <c r="P140" s="4"/>
    </row>
    <row r="141" spans="1:18" ht="15.75" x14ac:dyDescent="0.25">
      <c r="B141" s="4" t="s">
        <v>21</v>
      </c>
      <c r="C141" s="4"/>
      <c r="E141" s="4"/>
      <c r="F141" s="4"/>
      <c r="G141" s="2"/>
      <c r="H141" s="4">
        <v>30000</v>
      </c>
      <c r="I141" s="8"/>
      <c r="J141" s="8"/>
      <c r="K141" s="4"/>
      <c r="L141" s="4"/>
      <c r="M141" s="4"/>
      <c r="N141" s="4"/>
      <c r="O141" s="4"/>
      <c r="P141" s="4"/>
    </row>
    <row r="142" spans="1:18" ht="20.25" x14ac:dyDescent="0.55000000000000004">
      <c r="C142" s="4"/>
      <c r="E142" s="4"/>
      <c r="F142" s="24"/>
      <c r="G142" s="25"/>
      <c r="H142" s="24">
        <v>0</v>
      </c>
      <c r="I142" s="8"/>
      <c r="J142" s="8"/>
      <c r="K142" s="4"/>
      <c r="L142" s="4"/>
      <c r="M142" s="4"/>
      <c r="N142" s="4"/>
      <c r="O142" s="4"/>
      <c r="P142" s="4"/>
    </row>
    <row r="143" spans="1:18" ht="15.75" x14ac:dyDescent="0.25">
      <c r="B143" s="4" t="s">
        <v>137</v>
      </c>
      <c r="C143" s="4"/>
      <c r="E143" s="4"/>
      <c r="F143" s="4"/>
      <c r="G143" s="2"/>
      <c r="H143" s="4">
        <f>SUM(H134:H142)</f>
        <v>892982</v>
      </c>
      <c r="I143" s="8"/>
      <c r="J143" s="8"/>
      <c r="K143" s="4"/>
      <c r="L143" s="4"/>
      <c r="M143" s="4"/>
      <c r="N143" s="4"/>
      <c r="O143" s="4"/>
      <c r="P143" s="4"/>
    </row>
    <row r="144" spans="1:18" ht="15.75" x14ac:dyDescent="0.25">
      <c r="A144" s="4"/>
      <c r="B144" s="4"/>
      <c r="C144" s="4"/>
      <c r="D144" s="4"/>
      <c r="E144" s="4"/>
      <c r="F144" s="4"/>
      <c r="I144" s="8"/>
      <c r="J144" s="8"/>
      <c r="K144" s="4"/>
      <c r="L144" s="4"/>
      <c r="M144" s="4"/>
      <c r="N144" s="4"/>
      <c r="O144" s="4"/>
      <c r="P144" s="4"/>
    </row>
    <row r="145" spans="1:16" ht="15.75" x14ac:dyDescent="0.25">
      <c r="A145" s="1" t="s">
        <v>349</v>
      </c>
      <c r="C145" s="4"/>
      <c r="D145" s="4"/>
      <c r="E145" s="4"/>
      <c r="F145" s="4"/>
      <c r="G145" s="4"/>
      <c r="H145" s="4"/>
      <c r="I145" s="8"/>
      <c r="J145" s="8"/>
      <c r="K145" s="4"/>
      <c r="L145" s="4"/>
      <c r="M145" s="4"/>
      <c r="N145" s="4"/>
      <c r="O145" s="4"/>
      <c r="P145" s="4"/>
    </row>
    <row r="146" spans="1:16" ht="15.75" x14ac:dyDescent="0.25">
      <c r="A146" s="4"/>
      <c r="B146" s="4"/>
      <c r="C146" s="4"/>
      <c r="D146" s="4"/>
      <c r="E146" s="4"/>
      <c r="F146" s="4"/>
      <c r="G146" s="4"/>
      <c r="H146" s="4"/>
      <c r="I146" s="8"/>
      <c r="J146" s="8"/>
      <c r="K146" s="4"/>
      <c r="L146" s="4"/>
      <c r="M146" s="4"/>
      <c r="N146" s="4"/>
      <c r="O146" s="4"/>
      <c r="P146" s="4"/>
    </row>
    <row r="147" spans="1:16" ht="15.75" x14ac:dyDescent="0.25">
      <c r="B147" s="4" t="s">
        <v>143</v>
      </c>
      <c r="C147" s="4"/>
      <c r="E147" s="4"/>
      <c r="F147" s="4"/>
      <c r="G147" s="2"/>
      <c r="H147" s="4">
        <v>0</v>
      </c>
      <c r="I147" s="8"/>
      <c r="J147" s="8"/>
      <c r="K147" s="4"/>
      <c r="L147" s="4"/>
      <c r="M147" s="4"/>
      <c r="N147" s="4"/>
      <c r="O147" s="4"/>
      <c r="P147" s="4"/>
    </row>
    <row r="148" spans="1:16" ht="15.75" x14ac:dyDescent="0.25">
      <c r="B148" s="4" t="s">
        <v>144</v>
      </c>
      <c r="C148" s="4"/>
      <c r="E148" s="4"/>
      <c r="F148" s="4"/>
      <c r="G148" s="2"/>
      <c r="H148" s="4">
        <v>0</v>
      </c>
      <c r="I148" s="8"/>
      <c r="J148" s="8"/>
      <c r="K148" s="4"/>
      <c r="L148" s="4"/>
      <c r="M148" s="4"/>
      <c r="N148" s="4"/>
      <c r="O148" s="4"/>
      <c r="P148" s="4"/>
    </row>
    <row r="149" spans="1:16" ht="15.75" x14ac:dyDescent="0.25">
      <c r="B149" s="4" t="s">
        <v>138</v>
      </c>
      <c r="C149" s="4"/>
      <c r="E149" s="4"/>
      <c r="F149" s="4"/>
      <c r="G149" s="2"/>
      <c r="H149" s="65">
        <v>892982</v>
      </c>
      <c r="I149" s="8"/>
      <c r="J149" s="8"/>
      <c r="K149" s="4"/>
      <c r="L149" s="4"/>
      <c r="M149" s="4"/>
      <c r="N149" s="4"/>
      <c r="O149" s="4"/>
      <c r="P149" s="4"/>
    </row>
    <row r="150" spans="1:16" ht="15.75" x14ac:dyDescent="0.25">
      <c r="B150" s="4" t="s">
        <v>139</v>
      </c>
      <c r="C150" s="4"/>
      <c r="E150" s="4"/>
      <c r="F150" s="4"/>
      <c r="G150" s="2"/>
      <c r="H150" s="65" t="s">
        <v>357</v>
      </c>
      <c r="I150" s="8"/>
      <c r="J150" s="8"/>
      <c r="K150" s="4"/>
      <c r="L150" s="4"/>
      <c r="M150" s="4"/>
      <c r="N150" s="4"/>
      <c r="O150" s="4"/>
      <c r="P150" s="4"/>
    </row>
    <row r="151" spans="1:16" ht="15.75" x14ac:dyDescent="0.25">
      <c r="B151" s="4" t="s">
        <v>140</v>
      </c>
      <c r="C151" s="4"/>
      <c r="E151" s="4"/>
      <c r="F151" s="4"/>
      <c r="G151" s="2"/>
      <c r="H151" s="4"/>
      <c r="I151" s="8"/>
      <c r="J151" s="8"/>
      <c r="K151" s="4"/>
      <c r="L151" s="4"/>
      <c r="M151" s="4"/>
      <c r="N151" s="4"/>
      <c r="O151" s="4"/>
      <c r="P151" s="4"/>
    </row>
    <row r="152" spans="1:16" ht="15.75" x14ac:dyDescent="0.25">
      <c r="B152" s="4" t="s">
        <v>141</v>
      </c>
      <c r="C152" s="4"/>
      <c r="E152" s="4"/>
      <c r="F152" s="4"/>
      <c r="G152" s="2"/>
      <c r="H152" s="4">
        <v>0</v>
      </c>
      <c r="I152" s="8"/>
      <c r="J152" s="8"/>
      <c r="K152" s="4"/>
      <c r="L152" s="4"/>
      <c r="M152" s="4"/>
      <c r="N152" s="4"/>
      <c r="O152" s="4"/>
      <c r="P152" s="4"/>
    </row>
    <row r="153" spans="1:16" ht="15.75" x14ac:dyDescent="0.25">
      <c r="B153" s="120" t="s">
        <v>142</v>
      </c>
      <c r="C153" s="4"/>
      <c r="E153" s="4"/>
      <c r="F153" s="4"/>
      <c r="G153" s="2"/>
      <c r="H153" s="4">
        <v>0</v>
      </c>
      <c r="I153" s="76"/>
      <c r="J153" s="8"/>
      <c r="K153" s="4"/>
      <c r="L153" s="4"/>
      <c r="M153" s="4"/>
      <c r="N153" s="4"/>
      <c r="O153" s="4"/>
      <c r="P153" s="4"/>
    </row>
    <row r="154" spans="1:16" ht="20.25" x14ac:dyDescent="0.55000000000000004">
      <c r="B154" s="4" t="s">
        <v>142</v>
      </c>
      <c r="C154" s="4"/>
      <c r="E154" s="4"/>
      <c r="F154" s="4"/>
      <c r="G154" s="25"/>
      <c r="H154" s="24">
        <v>0</v>
      </c>
      <c r="I154" s="76"/>
      <c r="J154" s="76"/>
    </row>
    <row r="155" spans="1:16" ht="15.75" x14ac:dyDescent="0.25">
      <c r="B155" s="4" t="s">
        <v>137</v>
      </c>
      <c r="C155" s="4"/>
      <c r="E155" s="4"/>
      <c r="F155" s="4"/>
      <c r="G155" s="2"/>
      <c r="H155" s="65">
        <f>SUM(H147:H154)</f>
        <v>892982</v>
      </c>
      <c r="I155" s="76"/>
      <c r="J155" s="76"/>
    </row>
    <row r="156" spans="1:16" x14ac:dyDescent="0.2">
      <c r="H156" s="48"/>
      <c r="I156" s="76"/>
      <c r="J156" s="76"/>
    </row>
    <row r="157" spans="1:16" x14ac:dyDescent="0.2">
      <c r="I157" s="76"/>
      <c r="J157" s="76"/>
    </row>
    <row r="158" spans="1:16" x14ac:dyDescent="0.2">
      <c r="I158" s="76"/>
      <c r="J158" s="76"/>
    </row>
    <row r="159" spans="1:16" x14ac:dyDescent="0.2">
      <c r="I159" s="76"/>
      <c r="J159" s="76"/>
    </row>
    <row r="160" spans="1:16" x14ac:dyDescent="0.2">
      <c r="I160" s="76"/>
      <c r="J160" s="76"/>
    </row>
    <row r="161" spans="9:10" x14ac:dyDescent="0.2">
      <c r="I161" s="76"/>
      <c r="J161" s="76"/>
    </row>
    <row r="162" spans="9:10" x14ac:dyDescent="0.2">
      <c r="I162" s="76"/>
      <c r="J162" s="76"/>
    </row>
    <row r="163" spans="9:10" x14ac:dyDescent="0.2">
      <c r="J163" s="76"/>
    </row>
  </sheetData>
  <mergeCells count="8">
    <mergeCell ref="M5:O5"/>
    <mergeCell ref="K69:M69"/>
    <mergeCell ref="B35:F35"/>
    <mergeCell ref="B74:F74"/>
    <mergeCell ref="B117:F117"/>
    <mergeCell ref="N60:P60"/>
    <mergeCell ref="N32:P32"/>
    <mergeCell ref="B42:H42"/>
  </mergeCells>
  <phoneticPr fontId="0" type="noConversion"/>
  <printOptions horizontalCentered="1"/>
  <pageMargins left="0.75" right="0.75" top="1" bottom="1" header="0.5" footer="0.5"/>
  <pageSetup scale="83" firstPageNumber="27" orientation="portrait" r:id="rId1"/>
  <headerFooter alignWithMargins="0">
    <oddFooter>&amp;CPage &amp;P</oddFooter>
  </headerFooter>
  <rowBreaks count="4" manualBreakCount="4">
    <brk id="5" max="8" man="1"/>
    <brk id="41" max="8" man="1"/>
    <brk id="85" max="8" man="1"/>
    <brk id="1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65</vt:i4>
      </vt:variant>
    </vt:vector>
  </HeadingPairs>
  <TitlesOfParts>
    <vt:vector size="73" baseType="lpstr">
      <vt:lpstr>Description</vt:lpstr>
      <vt:lpstr>Debt</vt:lpstr>
      <vt:lpstr>Rates</vt:lpstr>
      <vt:lpstr>Usage</vt:lpstr>
      <vt:lpstr>Improvements</vt:lpstr>
      <vt:lpstr>Swr Rev</vt:lpstr>
      <vt:lpstr>Wtr Rev</vt:lpstr>
      <vt:lpstr>Budget</vt:lpstr>
      <vt:lpstr>Budget!Print_Area</vt:lpstr>
      <vt:lpstr>Debt!Print_Area</vt:lpstr>
      <vt:lpstr>Description!Print_Area</vt:lpstr>
      <vt:lpstr>Improvements!Print_Area</vt:lpstr>
      <vt:lpstr>Rates!Print_Area</vt:lpstr>
      <vt:lpstr>'Swr Rev'!Print_Area</vt:lpstr>
      <vt:lpstr>Usage!Print_Area</vt:lpstr>
      <vt:lpstr>'Wtr Rev'!Print_Area</vt:lpstr>
      <vt:lpstr>Description!Text277</vt:lpstr>
      <vt:lpstr>Description!Text278</vt:lpstr>
      <vt:lpstr>Description!Text279</vt:lpstr>
      <vt:lpstr>Description!Text280</vt:lpstr>
      <vt:lpstr>Description!Text281</vt:lpstr>
      <vt:lpstr>Description!Text282</vt:lpstr>
      <vt:lpstr>Description!Text283</vt:lpstr>
      <vt:lpstr>Description!Text284</vt:lpstr>
      <vt:lpstr>Description!Text286</vt:lpstr>
      <vt:lpstr>Description!Text288</vt:lpstr>
      <vt:lpstr>Description!Text308</vt:lpstr>
      <vt:lpstr>Description!Text318</vt:lpstr>
      <vt:lpstr>Description!Text319</vt:lpstr>
      <vt:lpstr>Description!Text320</vt:lpstr>
      <vt:lpstr>Description!Text321</vt:lpstr>
      <vt:lpstr>Description!Text322</vt:lpstr>
      <vt:lpstr>Description!Text336</vt:lpstr>
      <vt:lpstr>Description!Text337</vt:lpstr>
      <vt:lpstr>Description!Text338</vt:lpstr>
      <vt:lpstr>Description!Text339</vt:lpstr>
      <vt:lpstr>Description!Text345</vt:lpstr>
      <vt:lpstr>Description!Text346</vt:lpstr>
      <vt:lpstr>Description!Text347</vt:lpstr>
      <vt:lpstr>Description!Text348</vt:lpstr>
      <vt:lpstr>Description!Text349</vt:lpstr>
      <vt:lpstr>Description!Text351</vt:lpstr>
      <vt:lpstr>Description!Text352</vt:lpstr>
      <vt:lpstr>Description!Text353</vt:lpstr>
      <vt:lpstr>Description!Text354</vt:lpstr>
      <vt:lpstr>Description!Text355</vt:lpstr>
      <vt:lpstr>Description!Text362</vt:lpstr>
      <vt:lpstr>Description!Text363</vt:lpstr>
      <vt:lpstr>Description!Text364</vt:lpstr>
      <vt:lpstr>Description!Text365</vt:lpstr>
      <vt:lpstr>Description!Text366</vt:lpstr>
      <vt:lpstr>Description!Text371</vt:lpstr>
      <vt:lpstr>Description!Text380</vt:lpstr>
      <vt:lpstr>Description!Text385</vt:lpstr>
      <vt:lpstr>Description!Text386</vt:lpstr>
      <vt:lpstr>Description!Text387</vt:lpstr>
      <vt:lpstr>Description!Text388</vt:lpstr>
      <vt:lpstr>Description!Text401</vt:lpstr>
      <vt:lpstr>Description!Text468</vt:lpstr>
      <vt:lpstr>Description!Text469</vt:lpstr>
      <vt:lpstr>Description!Text474</vt:lpstr>
      <vt:lpstr>Description!Text476</vt:lpstr>
      <vt:lpstr>Description!Text478</vt:lpstr>
      <vt:lpstr>Description!Text479</vt:lpstr>
      <vt:lpstr>Description!Text480</vt:lpstr>
      <vt:lpstr>Description!Text481</vt:lpstr>
      <vt:lpstr>Description!Text482</vt:lpstr>
      <vt:lpstr>Description!Text483</vt:lpstr>
      <vt:lpstr>Description!Text484</vt:lpstr>
      <vt:lpstr>Description!Text485</vt:lpstr>
      <vt:lpstr>Description!Text486</vt:lpstr>
      <vt:lpstr>Description!Text487</vt:lpstr>
      <vt:lpstr>Description!Text488</vt:lpstr>
    </vt:vector>
  </TitlesOfParts>
  <Company>H.K. Bell, Consulting Engineers,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RD- SUMMARY ADDENDUM - KENTUCKY GUIDE 7</dc:title>
  <dc:creator>Willis Jackson</dc:creator>
  <dc:description>The advantage of this Excel version of (RD) Kentucky Guide 7 is to link calculations and recurring numbers.</dc:description>
  <cp:lastModifiedBy>Bob</cp:lastModifiedBy>
  <cp:lastPrinted>2020-07-17T20:56:30Z</cp:lastPrinted>
  <dcterms:created xsi:type="dcterms:W3CDTF">2008-04-01T12:00:17Z</dcterms:created>
  <dcterms:modified xsi:type="dcterms:W3CDTF">2020-07-17T20:57:05Z</dcterms:modified>
</cp:coreProperties>
</file>