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keckert\Downloads\"/>
    </mc:Choice>
  </mc:AlternateContent>
  <xr:revisionPtr revIDLastSave="0" documentId="8_{83135C73-034E-4816-91E3-06E297454A4E}" xr6:coauthVersionLast="47" xr6:coauthVersionMax="47" xr10:uidLastSave="{00000000-0000-0000-0000-000000000000}"/>
  <bookViews>
    <workbookView xWindow="-120" yWindow="-120" windowWidth="20730" windowHeight="11160" xr2:uid="{00000000-000D-0000-FFFF-FFFF00000000}"/>
  </bookViews>
  <sheets>
    <sheet name="JEDI output + Local Adjustments" sheetId="1" r:id="rId1"/>
    <sheet name="Sales tax estimate. " sheetId="4" r:id="rId2"/>
    <sheet name="Adjustment Factor"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1" l="1"/>
  <c r="D33" i="1"/>
  <c r="E33" i="1"/>
  <c r="C33" i="1"/>
  <c r="E34" i="1" s="1"/>
  <c r="E32" i="1"/>
  <c r="D32" i="1"/>
  <c r="D35" i="1" l="1"/>
  <c r="E35" i="1"/>
  <c r="C34" i="1"/>
  <c r="C35" i="1" s="1"/>
  <c r="D4" i="4"/>
  <c r="D5" i="4"/>
  <c r="D6" i="4"/>
  <c r="D3" i="4"/>
  <c r="D8" i="4" l="1"/>
  <c r="D10" i="4" s="1"/>
  <c r="C6" i="2"/>
  <c r="L2" i="1" l="1"/>
  <c r="I33" i="1" s="1"/>
  <c r="L3" i="1"/>
  <c r="H10" i="1" l="1"/>
  <c r="I24" i="1"/>
  <c r="H17" i="1"/>
  <c r="H26" i="1"/>
  <c r="H7" i="1"/>
  <c r="G33" i="1"/>
  <c r="I25" i="1"/>
  <c r="G13" i="1"/>
  <c r="G26" i="1"/>
  <c r="H12" i="1"/>
  <c r="H14" i="1"/>
  <c r="G24" i="1"/>
  <c r="G34" i="1"/>
  <c r="H16" i="1"/>
  <c r="I16" i="1"/>
  <c r="H32" i="1"/>
  <c r="G10" i="1"/>
  <c r="G9" i="1"/>
  <c r="H13" i="1"/>
  <c r="H25" i="1"/>
  <c r="I15" i="1"/>
  <c r="G5" i="1"/>
  <c r="H6" i="1"/>
  <c r="H24" i="1"/>
  <c r="H23" i="1"/>
  <c r="G32" i="1"/>
  <c r="I10" i="1"/>
  <c r="I17" i="1"/>
  <c r="G17" i="1"/>
  <c r="H34" i="1"/>
  <c r="H5" i="1"/>
  <c r="G25" i="1"/>
  <c r="I13" i="1"/>
  <c r="I32" i="1"/>
  <c r="I26" i="1"/>
  <c r="G12" i="1"/>
  <c r="I23" i="1"/>
  <c r="I14" i="1"/>
  <c r="G7" i="1"/>
  <c r="H33" i="1"/>
  <c r="H35" i="1"/>
  <c r="G15" i="1"/>
  <c r="I7" i="1"/>
  <c r="G35" i="1"/>
  <c r="I12" i="1"/>
  <c r="G11" i="1"/>
  <c r="I34" i="1"/>
  <c r="G14" i="1"/>
  <c r="H15" i="1"/>
  <c r="G6" i="1"/>
  <c r="G23" i="1"/>
  <c r="G16" i="1"/>
  <c r="I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Marshall Goldberg</author>
    <author xml:space="preserve"> </author>
  </authors>
  <commentList>
    <comment ref="B4" authorId="0" shapeId="0" xr:uid="{00000000-0006-0000-0000-000001000000}">
      <text>
        <r>
          <rPr>
            <b/>
            <sz val="8"/>
            <color indexed="81"/>
            <rFont val="Tahoma"/>
            <family val="2"/>
          </rPr>
          <t xml:space="preserve">
Project Development and Onsite Labor Impacts refers to the changes that occur in the onsite construction and installation industries and project development related industries to which the direct final demand (i.e., spending on construction and installation labor and services) change is made .</t>
        </r>
      </text>
    </comment>
    <comment ref="B6" authorId="1" shapeId="0" xr:uid="{00000000-0006-0000-0000-000002000000}">
      <text>
        <r>
          <rPr>
            <b/>
            <sz val="8"/>
            <color indexed="81"/>
            <rFont val="Tahoma"/>
            <family val="2"/>
          </rPr>
          <t xml:space="preserve">
Construction and Installation Related Services includes engineering, design, and other professional services, as well as admin. and services (e.g., sales, marketing, accounting, etc.) related to project development.</t>
        </r>
        <r>
          <rPr>
            <sz val="8"/>
            <color indexed="81"/>
            <rFont val="Tahoma"/>
            <family val="2"/>
          </rPr>
          <t xml:space="preserve">
</t>
        </r>
      </text>
    </comment>
    <comment ref="B8" authorId="0" shapeId="0" xr:uid="{00000000-0006-0000-0000-000003000000}">
      <text>
        <r>
          <rPr>
            <b/>
            <sz val="8"/>
            <color indexed="81"/>
            <rFont val="Tahoma"/>
            <family val="2"/>
          </rPr>
          <t xml:space="preserve">
Module and Supply Chain Impacts refers to the changes in inter-industry purchases resulting from the direct final demand (i.e., construction, installation, and development spending on materials and PV equipment and other purchases of goods and offsite services) changes.</t>
        </r>
      </text>
    </comment>
    <comment ref="B16" authorId="0" shapeId="0" xr:uid="{00000000-0006-0000-0000-000004000000}">
      <text>
        <r>
          <rPr>
            <b/>
            <sz val="8"/>
            <color indexed="81"/>
            <rFont val="Tahoma"/>
            <family val="2"/>
          </rPr>
          <t xml:space="preserve">
Induced Impacts refers to the changes  that occur in household spending as household income increases or decreases as a result of the direct and indirect effects from final demand  (i.e., purchases of goods and services) changes.</t>
        </r>
        <r>
          <rPr>
            <sz val="8"/>
            <color indexed="81"/>
            <rFont val="Tahoma"/>
            <family val="2"/>
          </rPr>
          <t xml:space="preserve">
</t>
        </r>
      </text>
    </comment>
    <comment ref="B22" authorId="1" shapeId="0" xr:uid="{00000000-0006-0000-0000-000005000000}">
      <text>
        <r>
          <rPr>
            <b/>
            <sz val="8"/>
            <color indexed="81"/>
            <rFont val="Tahoma"/>
            <family val="2"/>
          </rPr>
          <t xml:space="preserve">
Onsite Labor Impacts refers to the final demand changes that occur in the onsite spending for PV workers (i.e., spending on field technicians, administration and management) .</t>
        </r>
        <r>
          <rPr>
            <sz val="8"/>
            <color indexed="81"/>
            <rFont val="Tahoma"/>
            <family val="2"/>
          </rPr>
          <t xml:space="preserve">
</t>
        </r>
      </text>
    </comment>
    <comment ref="B23" authorId="0" shapeId="0" xr:uid="{00000000-0006-0000-0000-000006000000}">
      <text>
        <r>
          <rPr>
            <b/>
            <sz val="8"/>
            <color indexed="81"/>
            <rFont val="Tahoma"/>
            <family val="2"/>
          </rPr>
          <t xml:space="preserve">
PV Project Labor includes all spending on operations, maintenance, and other required services.</t>
        </r>
        <r>
          <rPr>
            <sz val="8"/>
            <color indexed="81"/>
            <rFont val="Tahoma"/>
            <family val="2"/>
          </rPr>
          <t xml:space="preserve">
</t>
        </r>
      </text>
    </comment>
    <comment ref="B24" authorId="1" shapeId="0" xr:uid="{00000000-0006-0000-0000-000007000000}">
      <text>
        <r>
          <rPr>
            <b/>
            <sz val="8"/>
            <color indexed="81"/>
            <rFont val="Tahoma"/>
            <family val="2"/>
          </rPr>
          <t xml:space="preserve">
Local Revenue includes property and sales tax (if applicable) as well as any return on investment paid to local investors; Supply chain includes all purchases of materials and components, and all off-site labor for the PV project</t>
        </r>
        <r>
          <rPr>
            <sz val="8"/>
            <color indexed="81"/>
            <rFont val="Tahoma"/>
            <family val="2"/>
          </rPr>
          <t xml:space="preserve">
</t>
        </r>
      </text>
    </comment>
    <comment ref="B25" authorId="0" shapeId="0" xr:uid="{00000000-0006-0000-0000-000008000000}">
      <text>
        <r>
          <rPr>
            <b/>
            <sz val="8"/>
            <color indexed="81"/>
            <rFont val="Tahoma"/>
            <family val="2"/>
          </rPr>
          <t xml:space="preserve">
Induced Impacts refers to the changes  that occur in household spending as household income increases or decreases as a result of the direct and indirect effects from final demand  (i.e., purchases of goods and services) changes.</t>
        </r>
        <r>
          <rPr>
            <sz val="8"/>
            <color indexed="81"/>
            <rFont val="Tahoma"/>
            <family val="2"/>
          </rPr>
          <t xml:space="preserve">
</t>
        </r>
      </text>
    </comment>
    <comment ref="B31" authorId="1" shapeId="0" xr:uid="{A41CAFA8-EEFE-4BDF-BAB2-53947C2C871F}">
      <text>
        <r>
          <rPr>
            <b/>
            <sz val="8"/>
            <color indexed="81"/>
            <rFont val="Tahoma"/>
            <family val="2"/>
          </rPr>
          <t xml:space="preserve">
Onsite Labor Impacts refers to the final demand changes that occur in the onsite spending for PV workers (i.e., spending on field technicians, administration and management) .</t>
        </r>
        <r>
          <rPr>
            <sz val="8"/>
            <color indexed="81"/>
            <rFont val="Tahoma"/>
            <family val="2"/>
          </rPr>
          <t xml:space="preserve">
</t>
        </r>
      </text>
    </comment>
    <comment ref="B32" authorId="0" shapeId="0" xr:uid="{BF3B32BD-5700-4CF9-82DC-4214C7D47088}">
      <text>
        <r>
          <rPr>
            <b/>
            <sz val="8"/>
            <color indexed="81"/>
            <rFont val="Tahoma"/>
            <family val="2"/>
          </rPr>
          <t xml:space="preserve">
PV Project Labor includes all spending on operations, maintenance, and other required services.</t>
        </r>
        <r>
          <rPr>
            <sz val="8"/>
            <color indexed="81"/>
            <rFont val="Tahoma"/>
            <family val="2"/>
          </rPr>
          <t xml:space="preserve">
</t>
        </r>
      </text>
    </comment>
    <comment ref="B33" authorId="1" shapeId="0" xr:uid="{332C1E31-EA40-49A2-8EDF-61199DD43C01}">
      <text>
        <r>
          <rPr>
            <b/>
            <sz val="8"/>
            <color indexed="81"/>
            <rFont val="Tahoma"/>
            <family val="2"/>
          </rPr>
          <t xml:space="preserve">
Local Revenue includes property and sales tax (if applicable) as well as any return on investment paid to local investors; Supply chain includes all purchases of materials and components, and all off-site labor for the PV project</t>
        </r>
        <r>
          <rPr>
            <sz val="8"/>
            <color indexed="81"/>
            <rFont val="Tahoma"/>
            <family val="2"/>
          </rPr>
          <t xml:space="preserve">
</t>
        </r>
      </text>
    </comment>
    <comment ref="B34" authorId="0" shapeId="0" xr:uid="{DFD4C504-FCF7-4D81-A6F1-EC138A450F6F}">
      <text>
        <r>
          <rPr>
            <b/>
            <sz val="8"/>
            <color indexed="81"/>
            <rFont val="Tahoma"/>
            <family val="2"/>
          </rPr>
          <t xml:space="preserve">
Induced Impacts refers to the changes  that occur in household spending as household income increases or decreases as a result of the direct and indirect effects from final demand  (i.e., purchases of goods and services) changes.</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Yosef Shirazi</author>
  </authors>
  <commentList>
    <comment ref="C2" authorId="0" shapeId="0" xr:uid="{00000000-0006-0000-0300-000003000000}">
      <text>
        <r>
          <rPr>
            <b/>
            <sz val="9"/>
            <color indexed="81"/>
            <rFont val="Tahoma"/>
            <family val="2"/>
          </rPr>
          <t>Yosef Shirazi:</t>
        </r>
        <r>
          <rPr>
            <sz val="9"/>
            <color indexed="81"/>
            <rFont val="Tahoma"/>
            <family val="2"/>
          </rPr>
          <t xml:space="preserve">
Thousands of "Chained" 2012$ 
According to US Department of Commerce, Bureau of Economic Analysis
https://www.bea.gov/system/files/2019-12/lagdp1219.pdf</t>
        </r>
      </text>
    </comment>
  </commentList>
</comments>
</file>

<file path=xl/sharedStrings.xml><?xml version="1.0" encoding="utf-8"?>
<sst xmlns="http://schemas.openxmlformats.org/spreadsheetml/2006/main" count="91" uniqueCount="55">
  <si>
    <t>Jobs</t>
  </si>
  <si>
    <t>Earnings</t>
  </si>
  <si>
    <t>Output</t>
  </si>
  <si>
    <t>$000 (2020)</t>
  </si>
  <si>
    <t xml:space="preserve">   Project Development and Onsite Labor Impacts</t>
  </si>
  <si>
    <t xml:space="preserve">     Construction and Installation Labor</t>
  </si>
  <si>
    <t xml:space="preserve">     Construction and Installation Related Services</t>
  </si>
  <si>
    <t xml:space="preserve">     Subtotal</t>
  </si>
  <si>
    <t xml:space="preserve">   Module and Supply Chain Impacts</t>
  </si>
  <si>
    <t xml:space="preserve">     Manufacturing Impacts</t>
  </si>
  <si>
    <t xml:space="preserve">     Trade (Wholesale and Retail)</t>
  </si>
  <si>
    <t xml:space="preserve">     Finance, Insurance and Real Estate</t>
  </si>
  <si>
    <t xml:space="preserve">     Professional Services</t>
  </si>
  <si>
    <t xml:space="preserve">     Other Services</t>
  </si>
  <si>
    <t xml:space="preserve">     Other Sectors</t>
  </si>
  <si>
    <t xml:space="preserve">   Induced Impacts</t>
  </si>
  <si>
    <t xml:space="preserve">  Total Impacts</t>
  </si>
  <si>
    <t>Annual</t>
  </si>
  <si>
    <t xml:space="preserve">   Onsite Labor Impacts</t>
  </si>
  <si>
    <t xml:space="preserve">     PV Project Labor Only</t>
  </si>
  <si>
    <t xml:space="preserve">   Local Revenue and Supply Chain Impacts</t>
  </si>
  <si>
    <t>Annual Earnings</t>
  </si>
  <si>
    <t>Annual Output</t>
  </si>
  <si>
    <t>Kentucky as a Whole</t>
  </si>
  <si>
    <t>Henderson and Webster Counties</t>
  </si>
  <si>
    <t>GDP</t>
  </si>
  <si>
    <t>Webster County</t>
  </si>
  <si>
    <t>Henderson County</t>
  </si>
  <si>
    <t>Kentucky (Statewide)</t>
  </si>
  <si>
    <t>https://www.census.gov/quickfacts/fact/table/KY,hendersoncountykentucky,webstercountykentucky/PST040219#qf-flag-D</t>
  </si>
  <si>
    <t>https://www.bea.gov/system/files/2019-12/lagdp1219.pdf</t>
  </si>
  <si>
    <t>Proportion of H+W Counties to KY</t>
  </si>
  <si>
    <t>H+W County Adjustment Factor</t>
  </si>
  <si>
    <t xml:space="preserve">    Mounting (rails, clamps, fittings, etc.)</t>
  </si>
  <si>
    <t xml:space="preserve">    Modules</t>
  </si>
  <si>
    <t xml:space="preserve">    Electrical (wire, connectors, breakers, etc.)</t>
  </si>
  <si>
    <t xml:space="preserve">    Inverter</t>
  </si>
  <si>
    <t>Cost</t>
  </si>
  <si>
    <t>Materials for Installation</t>
  </si>
  <si>
    <t>Locally purchased percent</t>
  </si>
  <si>
    <t>Local Purchase values</t>
  </si>
  <si>
    <t>Total local purchases for installation</t>
  </si>
  <si>
    <t>Sales Tax %</t>
  </si>
  <si>
    <t>Total sales tax for installation material</t>
  </si>
  <si>
    <t>For construction</t>
  </si>
  <si>
    <t>During operating years - Outputs from  JEDI</t>
  </si>
  <si>
    <t>During operating years - Cardno adjustment based on Client comments of 5 Staff only</t>
  </si>
  <si>
    <t>Notes</t>
  </si>
  <si>
    <t>During construction and installation period - Outputs from JEDI</t>
  </si>
  <si>
    <t>For operation</t>
  </si>
  <si>
    <t>Columns B through E are copy and paste (value only) of JEDI outputs of interest. This copy paste allows for better data visaualization. Columns G through I are the regional values that Cardno calculated by multiplying statewide JJEDI values by ratio of GDPs between state and two county region</t>
  </si>
  <si>
    <t>Assumed the statewide Jobs value as 5, per client feedback</t>
  </si>
  <si>
    <t>This stayed unchanged</t>
  </si>
  <si>
    <t>Assumed this was a linear function of (labor impacts + supply chain impacts), using same ratio as in the original JEDI output.</t>
  </si>
  <si>
    <t>From Project Data tab of JEDI Summary Output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</si>
</sst>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0.0"/>
    <numFmt numFmtId="166" formatCode="0.000"/>
  </numFmts>
  <fonts count="12" x14ac:knownFonts="1">
    <font>
      <sz val="11"/>
      <color theme="1"/>
      <name val="Calibri"/>
      <family val="2"/>
      <scheme val="minor"/>
    </font>
    <font>
      <b/>
      <sz val="11"/>
      <color theme="1"/>
      <name val="Calibri"/>
      <family val="2"/>
      <scheme val="minor"/>
    </font>
    <font>
      <sz val="8"/>
      <color indexed="81"/>
      <name val="Tahoma"/>
      <family val="2"/>
    </font>
    <font>
      <b/>
      <sz val="8"/>
      <color indexed="81"/>
      <name val="Tahoma"/>
      <family val="2"/>
    </font>
    <font>
      <b/>
      <i/>
      <sz val="11"/>
      <color theme="1"/>
      <name val="Calibri"/>
      <family val="2"/>
      <scheme val="minor"/>
    </font>
    <font>
      <sz val="10"/>
      <name val="Arial"/>
      <family val="2"/>
    </font>
    <font>
      <b/>
      <sz val="10"/>
      <name val="Arial"/>
      <family val="2"/>
    </font>
    <font>
      <sz val="11"/>
      <color theme="1"/>
      <name val="Calibri"/>
      <family val="2"/>
      <scheme val="minor"/>
    </font>
    <font>
      <sz val="9"/>
      <color indexed="81"/>
      <name val="Tahoma"/>
      <family val="2"/>
    </font>
    <font>
      <b/>
      <sz val="9"/>
      <color indexed="81"/>
      <name val="Tahoma"/>
      <family val="2"/>
    </font>
    <font>
      <b/>
      <sz val="14"/>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35">
    <xf numFmtId="0" fontId="0" fillId="0" borderId="0" xfId="0"/>
    <xf numFmtId="0" fontId="1" fillId="0" borderId="0" xfId="0" applyFont="1"/>
    <xf numFmtId="0" fontId="4" fillId="0" borderId="0" xfId="0" applyFont="1"/>
    <xf numFmtId="0" fontId="5" fillId="0" borderId="0" xfId="0" applyFont="1" applyFill="1" applyAlignment="1">
      <alignment horizontal="left" wrapText="1"/>
    </xf>
    <xf numFmtId="0" fontId="5" fillId="0" borderId="0" xfId="0" quotePrefix="1" applyFont="1" applyFill="1" applyAlignment="1">
      <alignment horizontal="left"/>
    </xf>
    <xf numFmtId="1" fontId="0" fillId="0" borderId="0" xfId="0" applyNumberFormat="1" applyFill="1" applyAlignment="1"/>
    <xf numFmtId="1" fontId="5" fillId="0" borderId="0" xfId="0" applyNumberFormat="1" applyFont="1" applyFill="1" applyAlignment="1"/>
    <xf numFmtId="1" fontId="6" fillId="0" borderId="0" xfId="0" applyNumberFormat="1" applyFont="1" applyFill="1" applyAlignment="1"/>
    <xf numFmtId="0" fontId="6" fillId="0" borderId="0" xfId="0" applyFont="1" applyFill="1" applyAlignment="1">
      <alignment horizontal="left" wrapText="1"/>
    </xf>
    <xf numFmtId="0" fontId="6" fillId="0" borderId="0" xfId="0" applyFont="1" applyFill="1" applyAlignment="1">
      <alignment horizontal="left"/>
    </xf>
    <xf numFmtId="1" fontId="1" fillId="0" borderId="0" xfId="0" applyNumberFormat="1" applyFont="1" applyFill="1" applyAlignment="1">
      <alignment horizontal="left"/>
    </xf>
    <xf numFmtId="44" fontId="0" fillId="0" borderId="0" xfId="1" applyFont="1"/>
    <xf numFmtId="3" fontId="0" fillId="0" borderId="0" xfId="0" applyNumberFormat="1"/>
    <xf numFmtId="9" fontId="0" fillId="0" borderId="0" xfId="2" applyFont="1"/>
    <xf numFmtId="10" fontId="0" fillId="0" borderId="0" xfId="2" applyNumberFormat="1" applyFont="1"/>
    <xf numFmtId="164" fontId="0" fillId="2" borderId="0" xfId="2" applyNumberFormat="1" applyFont="1" applyFill="1"/>
    <xf numFmtId="165" fontId="0" fillId="0" borderId="0" xfId="0" applyNumberFormat="1"/>
    <xf numFmtId="44" fontId="0" fillId="0" borderId="0" xfId="0" applyNumberFormat="1"/>
    <xf numFmtId="2" fontId="0" fillId="0" borderId="0" xfId="0" applyNumberFormat="1"/>
    <xf numFmtId="166" fontId="0" fillId="0" borderId="0" xfId="0" applyNumberFormat="1"/>
    <xf numFmtId="0" fontId="10" fillId="3" borderId="0" xfId="0" applyFont="1" applyFill="1"/>
    <xf numFmtId="0" fontId="10" fillId="3" borderId="0" xfId="0" applyFont="1" applyFill="1" applyAlignment="1">
      <alignment wrapText="1"/>
    </xf>
    <xf numFmtId="0" fontId="11" fillId="5" borderId="0" xfId="0" applyFont="1" applyFill="1" applyAlignment="1">
      <alignment horizontal="center"/>
    </xf>
    <xf numFmtId="0" fontId="0" fillId="0" borderId="1" xfId="0" applyBorder="1"/>
    <xf numFmtId="44" fontId="0" fillId="0" borderId="0" xfId="1" applyFont="1" applyFill="1"/>
    <xf numFmtId="0" fontId="0" fillId="0" borderId="0" xfId="0" applyFill="1"/>
    <xf numFmtId="165" fontId="0" fillId="0" borderId="0" xfId="0" applyNumberFormat="1" applyFill="1"/>
    <xf numFmtId="0" fontId="1" fillId="0" borderId="0" xfId="0" applyFont="1" applyFill="1"/>
    <xf numFmtId="2" fontId="0" fillId="0" borderId="0" xfId="0" applyNumberFormat="1" applyFill="1"/>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4" borderId="0" xfId="0" applyFont="1" applyFill="1" applyAlignment="1">
      <alignment horizontal="center"/>
    </xf>
    <xf numFmtId="0" fontId="1" fillId="0" borderId="0" xfId="0" applyFont="1" applyAlignment="1">
      <alignment horizontal="center"/>
    </xf>
    <xf numFmtId="0" fontId="0" fillId="0" borderId="0" xfId="0" applyAlignment="1">
      <alignment horizontal="center" wrapText="1"/>
    </xf>
    <xf numFmtId="0" fontId="1" fillId="5" borderId="0" xfId="0" applyFont="1" applyFill="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
  <sheetViews>
    <sheetView tabSelected="1" topLeftCell="A9" zoomScale="85" zoomScaleNormal="85" workbookViewId="0">
      <selection activeCell="B32" sqref="B32"/>
    </sheetView>
  </sheetViews>
  <sheetFormatPr defaultRowHeight="15" x14ac:dyDescent="0.25"/>
  <cols>
    <col min="1" max="1" width="36.140625" customWidth="1"/>
    <col min="2" max="2" width="53.85546875" customWidth="1"/>
    <col min="3" max="3" width="9.140625" customWidth="1"/>
    <col min="4" max="4" width="13" customWidth="1"/>
    <col min="5" max="5" width="15.7109375" customWidth="1"/>
    <col min="8" max="8" width="14.28515625" bestFit="1" customWidth="1"/>
    <col min="9" max="9" width="13.28515625" bestFit="1" customWidth="1"/>
    <col min="11" max="11" width="14.5703125" bestFit="1" customWidth="1"/>
    <col min="12" max="12" width="20.42578125" customWidth="1"/>
    <col min="13" max="13" width="13.7109375" customWidth="1"/>
  </cols>
  <sheetData>
    <row r="1" spans="1:12" ht="26.45" customHeight="1" x14ac:dyDescent="0.4">
      <c r="A1" s="22" t="s">
        <v>47</v>
      </c>
      <c r="C1" s="31" t="s">
        <v>23</v>
      </c>
      <c r="D1" s="31"/>
      <c r="E1" s="31"/>
      <c r="G1" s="31" t="s">
        <v>24</v>
      </c>
      <c r="H1" s="31"/>
      <c r="I1" s="31"/>
      <c r="K1" s="29" t="s">
        <v>32</v>
      </c>
      <c r="L1" s="30"/>
    </row>
    <row r="2" spans="1:12" x14ac:dyDescent="0.25">
      <c r="A2" s="33" t="s">
        <v>50</v>
      </c>
      <c r="C2" t="s">
        <v>0</v>
      </c>
      <c r="D2" t="s">
        <v>1</v>
      </c>
      <c r="E2" t="s">
        <v>2</v>
      </c>
      <c r="G2" t="s">
        <v>0</v>
      </c>
      <c r="H2" t="s">
        <v>1</v>
      </c>
      <c r="I2" t="s">
        <v>2</v>
      </c>
      <c r="K2" s="23" t="s">
        <v>44</v>
      </c>
      <c r="L2" s="23">
        <f>'Adjustment Factor'!$C$6</f>
        <v>1.3394245654120228E-2</v>
      </c>
    </row>
    <row r="3" spans="1:12" ht="38.1" customHeight="1" x14ac:dyDescent="0.3">
      <c r="A3" s="33"/>
      <c r="B3" s="21" t="s">
        <v>48</v>
      </c>
      <c r="D3" s="1" t="s">
        <v>3</v>
      </c>
      <c r="E3" s="1" t="s">
        <v>3</v>
      </c>
      <c r="H3" s="1" t="s">
        <v>3</v>
      </c>
      <c r="I3" s="1" t="s">
        <v>3</v>
      </c>
      <c r="K3" s="23" t="s">
        <v>49</v>
      </c>
      <c r="L3" s="23">
        <f>'Adjustment Factor'!$C$6</f>
        <v>1.3394245654120228E-2</v>
      </c>
    </row>
    <row r="4" spans="1:12" x14ac:dyDescent="0.25">
      <c r="A4" s="33"/>
      <c r="B4" s="8" t="s">
        <v>4</v>
      </c>
    </row>
    <row r="5" spans="1:12" x14ac:dyDescent="0.25">
      <c r="A5" s="33"/>
      <c r="B5" s="4" t="s">
        <v>5</v>
      </c>
      <c r="C5" s="28">
        <v>38.538834764842292</v>
      </c>
      <c r="D5" s="24">
        <v>2495.9999999999995</v>
      </c>
      <c r="E5" s="24"/>
      <c r="F5" s="25"/>
      <c r="G5" s="26">
        <f>C5*$L$2</f>
        <v>0.51619862006384643</v>
      </c>
      <c r="H5" s="24">
        <f>D5*$L$2</f>
        <v>33.432037152684082</v>
      </c>
      <c r="I5" s="24"/>
    </row>
    <row r="6" spans="1:12" x14ac:dyDescent="0.25">
      <c r="A6" s="33"/>
      <c r="B6" s="3" t="s">
        <v>6</v>
      </c>
      <c r="C6" s="28">
        <v>91.719096455114624</v>
      </c>
      <c r="D6" s="24">
        <v>6413.9443159103394</v>
      </c>
      <c r="E6" s="24"/>
      <c r="F6" s="25"/>
      <c r="G6" s="26">
        <f t="shared" ref="G6:I7" si="0">C6*$L$2</f>
        <v>1.2285081090937531</v>
      </c>
      <c r="H6" s="24">
        <f t="shared" si="0"/>
        <v>85.909945779151201</v>
      </c>
      <c r="I6" s="24"/>
    </row>
    <row r="7" spans="1:12" x14ac:dyDescent="0.25">
      <c r="A7" s="33"/>
      <c r="B7" s="3" t="s">
        <v>7</v>
      </c>
      <c r="C7" s="28">
        <v>130.2579312199569</v>
      </c>
      <c r="D7" s="24">
        <v>8909.9443159103394</v>
      </c>
      <c r="E7" s="24">
        <v>14019.2</v>
      </c>
      <c r="F7" s="25"/>
      <c r="G7" s="26">
        <f t="shared" si="0"/>
        <v>1.7447067291575993</v>
      </c>
      <c r="H7" s="24">
        <f t="shared" si="0"/>
        <v>119.34198293183529</v>
      </c>
      <c r="I7" s="24">
        <f t="shared" si="0"/>
        <v>187.77660867424231</v>
      </c>
    </row>
    <row r="8" spans="1:12" x14ac:dyDescent="0.25">
      <c r="A8" s="33"/>
      <c r="B8" s="9" t="s">
        <v>8</v>
      </c>
      <c r="C8" s="28"/>
      <c r="D8" s="24"/>
      <c r="E8" s="24"/>
      <c r="F8" s="25"/>
      <c r="G8" s="26"/>
      <c r="H8" s="24"/>
      <c r="I8" s="24"/>
    </row>
    <row r="9" spans="1:12" x14ac:dyDescent="0.25">
      <c r="A9" s="33"/>
      <c r="B9" s="5" t="s">
        <v>9</v>
      </c>
      <c r="C9" s="28">
        <v>0</v>
      </c>
      <c r="D9" s="24">
        <v>0</v>
      </c>
      <c r="E9" s="24">
        <v>0</v>
      </c>
      <c r="F9" s="25"/>
      <c r="G9" s="26">
        <f>C9*$L$2</f>
        <v>0</v>
      </c>
      <c r="H9" s="24"/>
      <c r="I9" s="24"/>
    </row>
    <row r="10" spans="1:12" x14ac:dyDescent="0.25">
      <c r="B10" s="6" t="s">
        <v>10</v>
      </c>
      <c r="C10" s="28">
        <v>14.141264252795843</v>
      </c>
      <c r="D10" s="24">
        <v>970.31017472478948</v>
      </c>
      <c r="E10" s="24">
        <v>2799.0927627866054</v>
      </c>
      <c r="F10" s="25"/>
      <c r="G10" s="26">
        <f t="shared" ref="G10:G17" si="1">C10*$L$2</f>
        <v>0.18941156726177644</v>
      </c>
      <c r="H10" s="24">
        <f t="shared" ref="H10:I17" si="2">D10*$L$2</f>
        <v>12.99657284095615</v>
      </c>
      <c r="I10" s="24">
        <f t="shared" si="2"/>
        <v>37.49173607343387</v>
      </c>
    </row>
    <row r="11" spans="1:12" x14ac:dyDescent="0.25">
      <c r="B11" s="6" t="s">
        <v>11</v>
      </c>
      <c r="C11" s="28">
        <v>0</v>
      </c>
      <c r="D11" s="24">
        <v>0</v>
      </c>
      <c r="E11" s="24">
        <v>0</v>
      </c>
      <c r="F11" s="25"/>
      <c r="G11" s="26">
        <f t="shared" si="1"/>
        <v>0</v>
      </c>
      <c r="H11" s="24"/>
      <c r="I11" s="24"/>
    </row>
    <row r="12" spans="1:12" x14ac:dyDescent="0.25">
      <c r="B12" s="6" t="s">
        <v>12</v>
      </c>
      <c r="C12" s="28">
        <v>11.647289709847961</v>
      </c>
      <c r="D12" s="24">
        <v>634.24638051986699</v>
      </c>
      <c r="E12" s="24">
        <v>1766.6395236968995</v>
      </c>
      <c r="F12" s="25"/>
      <c r="G12" s="26">
        <f t="shared" si="1"/>
        <v>0.15600665957841028</v>
      </c>
      <c r="H12" s="24">
        <f t="shared" si="2"/>
        <v>8.4952518259197127</v>
      </c>
      <c r="I12" s="24">
        <f t="shared" si="2"/>
        <v>23.662803762674223</v>
      </c>
    </row>
    <row r="13" spans="1:12" x14ac:dyDescent="0.25">
      <c r="B13" s="6" t="s">
        <v>13</v>
      </c>
      <c r="C13" s="28">
        <v>26.832584199961261</v>
      </c>
      <c r="D13" s="24">
        <v>3578.673217483929</v>
      </c>
      <c r="E13" s="24">
        <v>9583.3888857035654</v>
      </c>
      <c r="F13" s="25"/>
      <c r="G13" s="26">
        <f t="shared" si="1"/>
        <v>0.3594022243091462</v>
      </c>
      <c r="H13" s="24">
        <f t="shared" si="2"/>
        <v>47.933628190800569</v>
      </c>
      <c r="I13" s="24">
        <f t="shared" si="2"/>
        <v>128.36226493407906</v>
      </c>
    </row>
    <row r="14" spans="1:12" x14ac:dyDescent="0.25">
      <c r="B14" s="6" t="s">
        <v>14</v>
      </c>
      <c r="C14" s="28">
        <v>52.172993878215863</v>
      </c>
      <c r="D14" s="24">
        <v>541.31067035512206</v>
      </c>
      <c r="E14" s="24">
        <v>1397.5279298510395</v>
      </c>
      <c r="F14" s="25"/>
      <c r="G14" s="26">
        <f t="shared" si="1"/>
        <v>0.69881789651573401</v>
      </c>
      <c r="H14" s="24">
        <f t="shared" si="2"/>
        <v>7.2504480939330005</v>
      </c>
      <c r="I14" s="24">
        <f t="shared" si="2"/>
        <v>18.718832400918924</v>
      </c>
    </row>
    <row r="15" spans="1:12" x14ac:dyDescent="0.25">
      <c r="B15" s="3" t="s">
        <v>7</v>
      </c>
      <c r="C15" s="28">
        <v>104.79413204082093</v>
      </c>
      <c r="D15" s="24">
        <v>5724.5404430837079</v>
      </c>
      <c r="E15" s="24">
        <v>15546.649102038111</v>
      </c>
      <c r="F15" s="25"/>
      <c r="G15" s="26">
        <f t="shared" si="1"/>
        <v>1.4036383476650669</v>
      </c>
      <c r="H15" s="24">
        <f t="shared" si="2"/>
        <v>76.675900951609435</v>
      </c>
      <c r="I15" s="24">
        <f t="shared" si="2"/>
        <v>208.23563717110611</v>
      </c>
    </row>
    <row r="16" spans="1:12" x14ac:dyDescent="0.25">
      <c r="B16" s="10" t="s">
        <v>15</v>
      </c>
      <c r="C16" s="28">
        <v>58.750398842895308</v>
      </c>
      <c r="D16" s="24">
        <v>2863.6294845800935</v>
      </c>
      <c r="E16" s="24">
        <v>8134.0298288664044</v>
      </c>
      <c r="F16" s="25"/>
      <c r="G16" s="26">
        <f t="shared" si="1"/>
        <v>0.7869172743792805</v>
      </c>
      <c r="H16" s="24">
        <f t="shared" si="2"/>
        <v>38.356156778847463</v>
      </c>
      <c r="I16" s="24">
        <f t="shared" si="2"/>
        <v>108.94919368577814</v>
      </c>
    </row>
    <row r="17" spans="1:13" x14ac:dyDescent="0.25">
      <c r="B17" s="7" t="s">
        <v>16</v>
      </c>
      <c r="C17" s="28">
        <v>293.80246210367312</v>
      </c>
      <c r="D17" s="24">
        <v>17498.114243574142</v>
      </c>
      <c r="E17" s="24">
        <v>37699.878930904517</v>
      </c>
      <c r="F17" s="25"/>
      <c r="G17" s="26">
        <f t="shared" si="1"/>
        <v>3.9352623512019465</v>
      </c>
      <c r="H17" s="24">
        <f t="shared" si="2"/>
        <v>234.3740406622922</v>
      </c>
      <c r="I17" s="24">
        <f t="shared" si="2"/>
        <v>504.96143953112653</v>
      </c>
    </row>
    <row r="18" spans="1:13" x14ac:dyDescent="0.25">
      <c r="C18" s="25"/>
      <c r="D18" s="25"/>
      <c r="E18" s="25"/>
      <c r="F18" s="25"/>
      <c r="G18" s="25"/>
      <c r="H18" s="25"/>
      <c r="I18" s="25"/>
    </row>
    <row r="19" spans="1:13" x14ac:dyDescent="0.25">
      <c r="C19" s="25"/>
      <c r="D19" s="25"/>
      <c r="E19" s="25"/>
      <c r="F19" s="25"/>
      <c r="G19" s="25"/>
      <c r="H19" s="25"/>
      <c r="I19" s="25"/>
    </row>
    <row r="20" spans="1:13" x14ac:dyDescent="0.25">
      <c r="C20" s="27" t="s">
        <v>17</v>
      </c>
      <c r="D20" s="27" t="s">
        <v>21</v>
      </c>
      <c r="E20" s="27" t="s">
        <v>22</v>
      </c>
      <c r="F20" s="25"/>
      <c r="G20" s="27" t="s">
        <v>17</v>
      </c>
      <c r="H20" s="27" t="s">
        <v>21</v>
      </c>
      <c r="I20" s="27" t="s">
        <v>22</v>
      </c>
    </row>
    <row r="21" spans="1:13" ht="18.75" x14ac:dyDescent="0.3">
      <c r="B21" s="20" t="s">
        <v>45</v>
      </c>
      <c r="C21" s="27" t="s">
        <v>0</v>
      </c>
      <c r="D21" s="27" t="s">
        <v>3</v>
      </c>
      <c r="E21" s="27" t="s">
        <v>3</v>
      </c>
      <c r="F21" s="25"/>
      <c r="G21" s="27" t="s">
        <v>0</v>
      </c>
      <c r="H21" s="27" t="s">
        <v>3</v>
      </c>
      <c r="I21" s="27" t="s">
        <v>3</v>
      </c>
    </row>
    <row r="22" spans="1:13" x14ac:dyDescent="0.25">
      <c r="B22" s="8" t="s">
        <v>18</v>
      </c>
      <c r="C22" s="25"/>
      <c r="D22" s="25"/>
      <c r="E22" s="25"/>
      <c r="F22" s="25"/>
      <c r="G22" s="25"/>
      <c r="H22" s="25"/>
      <c r="I22" s="25"/>
    </row>
    <row r="23" spans="1:13" x14ac:dyDescent="0.25">
      <c r="B23" s="4" t="s">
        <v>19</v>
      </c>
      <c r="C23" s="28">
        <v>21.67809455522379</v>
      </c>
      <c r="D23" s="24">
        <v>1304.0535284981809</v>
      </c>
      <c r="E23" s="24">
        <v>1304.0535284981809</v>
      </c>
      <c r="F23" s="25"/>
      <c r="G23" s="26">
        <f>C23*$L$2</f>
        <v>0.29036172378591363</v>
      </c>
      <c r="H23" s="24">
        <f t="shared" ref="H23:I26" si="3">D23*$L$2</f>
        <v>17.466813306826907</v>
      </c>
      <c r="I23" s="24">
        <f t="shared" si="3"/>
        <v>17.466813306826907</v>
      </c>
    </row>
    <row r="24" spans="1:13" x14ac:dyDescent="0.25">
      <c r="B24" s="9" t="s">
        <v>20</v>
      </c>
      <c r="C24" s="28">
        <v>3.5155213184305714</v>
      </c>
      <c r="D24" s="24">
        <v>222.35240362987452</v>
      </c>
      <c r="E24" s="24">
        <v>686.47036743011859</v>
      </c>
      <c r="F24" s="25"/>
      <c r="G24" s="26">
        <f t="shared" ref="G24:G26" si="4">C24*$L$2</f>
        <v>4.7087756141355692E-2</v>
      </c>
      <c r="H24" s="24">
        <f t="shared" si="3"/>
        <v>2.9782427160026335</v>
      </c>
      <c r="I24" s="24">
        <f t="shared" si="3"/>
        <v>9.1947527356331822</v>
      </c>
    </row>
    <row r="25" spans="1:13" x14ac:dyDescent="0.25">
      <c r="B25" s="10" t="s">
        <v>15</v>
      </c>
      <c r="C25" s="28">
        <v>2.8161147034579042</v>
      </c>
      <c r="D25" s="24">
        <v>138.12256586878092</v>
      </c>
      <c r="E25" s="24">
        <v>392.38540440881764</v>
      </c>
      <c r="F25" s="25"/>
      <c r="G25" s="26">
        <f t="shared" si="4"/>
        <v>3.7719732128295103E-2</v>
      </c>
      <c r="H25" s="24">
        <f t="shared" si="3"/>
        <v>1.8500475776238539</v>
      </c>
      <c r="I25" s="24">
        <f t="shared" si="3"/>
        <v>5.2557064977430139</v>
      </c>
    </row>
    <row r="26" spans="1:13" x14ac:dyDescent="0.25">
      <c r="B26" s="2" t="s">
        <v>16</v>
      </c>
      <c r="C26" s="28">
        <v>28.009730577112265</v>
      </c>
      <c r="D26" s="24">
        <v>1664.5284979968362</v>
      </c>
      <c r="E26" s="24">
        <v>2382.9093003371172</v>
      </c>
      <c r="F26" s="25"/>
      <c r="G26" s="26">
        <f t="shared" si="4"/>
        <v>0.37516921205556442</v>
      </c>
      <c r="H26" s="24">
        <f t="shared" si="3"/>
        <v>22.295103600453395</v>
      </c>
      <c r="I26" s="24">
        <f t="shared" si="3"/>
        <v>31.917272540203104</v>
      </c>
    </row>
    <row r="27" spans="1:13" x14ac:dyDescent="0.25">
      <c r="C27" s="25"/>
      <c r="D27" s="25"/>
      <c r="E27" s="25"/>
      <c r="F27" s="25"/>
      <c r="G27" s="25"/>
      <c r="H27" s="25"/>
      <c r="I27" s="25"/>
    </row>
    <row r="28" spans="1:13" x14ac:dyDescent="0.25">
      <c r="C28" s="25"/>
      <c r="D28" s="25"/>
      <c r="E28" s="25"/>
      <c r="F28" s="25"/>
      <c r="G28" s="25"/>
      <c r="H28" s="25"/>
      <c r="I28" s="25"/>
      <c r="K28" s="32"/>
      <c r="L28" s="32"/>
      <c r="M28" s="32"/>
    </row>
    <row r="29" spans="1:13" x14ac:dyDescent="0.25">
      <c r="C29" s="27" t="s">
        <v>17</v>
      </c>
      <c r="D29" s="27" t="s">
        <v>21</v>
      </c>
      <c r="E29" s="27" t="s">
        <v>22</v>
      </c>
      <c r="F29" s="25"/>
      <c r="G29" s="27" t="s">
        <v>17</v>
      </c>
      <c r="H29" s="27" t="s">
        <v>21</v>
      </c>
      <c r="I29" s="27" t="s">
        <v>22</v>
      </c>
      <c r="K29" s="1"/>
      <c r="L29" s="1"/>
      <c r="M29" s="1"/>
    </row>
    <row r="30" spans="1:13" ht="44.45" customHeight="1" x14ac:dyDescent="0.4">
      <c r="A30" s="22" t="s">
        <v>47</v>
      </c>
      <c r="B30" s="21" t="s">
        <v>46</v>
      </c>
      <c r="C30" s="27" t="s">
        <v>0</v>
      </c>
      <c r="D30" s="27" t="s">
        <v>3</v>
      </c>
      <c r="E30" s="27" t="s">
        <v>3</v>
      </c>
      <c r="F30" s="25"/>
      <c r="G30" s="27" t="s">
        <v>0</v>
      </c>
      <c r="H30" s="27" t="s">
        <v>3</v>
      </c>
      <c r="I30" s="27" t="s">
        <v>3</v>
      </c>
    </row>
    <row r="31" spans="1:13" x14ac:dyDescent="0.25">
      <c r="B31" s="8" t="s">
        <v>18</v>
      </c>
      <c r="C31" s="25"/>
      <c r="D31" s="25"/>
      <c r="E31" s="25"/>
      <c r="F31" s="25"/>
      <c r="G31" s="25"/>
      <c r="H31" s="25"/>
      <c r="I31" s="25"/>
    </row>
    <row r="32" spans="1:13" x14ac:dyDescent="0.25">
      <c r="A32" t="s">
        <v>51</v>
      </c>
      <c r="B32" s="4" t="s">
        <v>19</v>
      </c>
      <c r="C32" s="28">
        <v>5</v>
      </c>
      <c r="D32" s="26">
        <f t="shared" ref="D32:E32" si="5">($C$32/$C$23)*D23</f>
        <v>300.77678764066974</v>
      </c>
      <c r="E32" s="26">
        <f t="shared" si="5"/>
        <v>300.77678764066974</v>
      </c>
      <c r="F32" s="25"/>
      <c r="G32" s="26">
        <f>C32*$L$2</f>
        <v>6.6971228270601132E-2</v>
      </c>
      <c r="H32" s="24">
        <f t="shared" ref="H32:H35" si="6">D32*$L$2</f>
        <v>4.028678180716283</v>
      </c>
      <c r="I32" s="24">
        <f t="shared" ref="I32:I35" si="7">E32*$L$2</f>
        <v>4.028678180716283</v>
      </c>
    </row>
    <row r="33" spans="1:9" x14ac:dyDescent="0.25">
      <c r="A33" t="s">
        <v>52</v>
      </c>
      <c r="B33" s="9" t="s">
        <v>20</v>
      </c>
      <c r="C33" s="28">
        <f>C24</f>
        <v>3.5155213184305714</v>
      </c>
      <c r="D33" s="28">
        <f t="shared" ref="D33:E33" si="8">D24</f>
        <v>222.35240362987452</v>
      </c>
      <c r="E33" s="28">
        <f t="shared" si="8"/>
        <v>686.47036743011859</v>
      </c>
      <c r="F33" s="25"/>
      <c r="G33" s="26">
        <f t="shared" ref="G33:G35" si="9">C33*$L$2</f>
        <v>4.7087756141355692E-2</v>
      </c>
      <c r="H33" s="24">
        <f t="shared" si="6"/>
        <v>2.9782427160026335</v>
      </c>
      <c r="I33" s="24">
        <f t="shared" si="7"/>
        <v>9.1947527356331822</v>
      </c>
    </row>
    <row r="34" spans="1:9" x14ac:dyDescent="0.25">
      <c r="A34" t="s">
        <v>53</v>
      </c>
      <c r="B34" s="10" t="s">
        <v>15</v>
      </c>
      <c r="C34" s="28">
        <f>(($C$32+$C$33)/($C$23+$C$24))*C25</f>
        <v>0.95185561741928493</v>
      </c>
      <c r="D34" s="28">
        <f t="shared" ref="D34:E34" si="10">(($C$32+$C$33)/($C$23+$C$24))*D25</f>
        <v>46.685861216210078</v>
      </c>
      <c r="E34" s="28">
        <f t="shared" si="10"/>
        <v>132.62749948404365</v>
      </c>
      <c r="F34" s="25"/>
      <c r="G34" s="26">
        <f t="shared" si="9"/>
        <v>1.2749387966968184E-2</v>
      </c>
      <c r="H34" s="24">
        <f t="shared" si="6"/>
        <v>0.62532189370408198</v>
      </c>
      <c r="I34" s="24">
        <f t="shared" si="7"/>
        <v>1.7764453085809844</v>
      </c>
    </row>
    <row r="35" spans="1:9" x14ac:dyDescent="0.25">
      <c r="B35" s="2" t="s">
        <v>16</v>
      </c>
      <c r="C35" s="28">
        <f>SUM(C32:C34)</f>
        <v>9.4673769358498578</v>
      </c>
      <c r="D35" s="28">
        <f t="shared" ref="D35:E35" si="11">SUM(D32:D34)</f>
        <v>569.81505248675433</v>
      </c>
      <c r="E35" s="28">
        <f t="shared" si="11"/>
        <v>1119.874654554832</v>
      </c>
      <c r="F35" s="25"/>
      <c r="G35" s="26">
        <f t="shared" si="9"/>
        <v>0.12680837237892503</v>
      </c>
      <c r="H35" s="24">
        <f t="shared" si="6"/>
        <v>7.6322427904229988</v>
      </c>
      <c r="I35" s="24">
        <f t="shared" si="7"/>
        <v>14.99987622493045</v>
      </c>
    </row>
    <row r="37" spans="1:9" x14ac:dyDescent="0.25">
      <c r="E37" s="18"/>
    </row>
    <row r="38" spans="1:9" x14ac:dyDescent="0.25">
      <c r="E38" s="16"/>
    </row>
    <row r="40" spans="1:9" x14ac:dyDescent="0.25">
      <c r="D40" s="19"/>
    </row>
  </sheetData>
  <mergeCells count="5">
    <mergeCell ref="K1:L1"/>
    <mergeCell ref="C1:E1"/>
    <mergeCell ref="G1:I1"/>
    <mergeCell ref="K28:M28"/>
    <mergeCell ref="A2:A9"/>
  </mergeCell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
  <sheetViews>
    <sheetView workbookViewId="0">
      <selection activeCell="D17" sqref="D17"/>
    </sheetView>
  </sheetViews>
  <sheetFormatPr defaultRowHeight="15" x14ac:dyDescent="0.25"/>
  <cols>
    <col min="1" max="1" width="38" bestFit="1" customWidth="1"/>
    <col min="2" max="2" width="15.28515625" bestFit="1" customWidth="1"/>
    <col min="3" max="3" width="20.28515625" bestFit="1" customWidth="1"/>
    <col min="4" max="4" width="18.5703125" bestFit="1" customWidth="1"/>
  </cols>
  <sheetData>
    <row r="1" spans="1:5" x14ac:dyDescent="0.25">
      <c r="A1" s="34" t="s">
        <v>54</v>
      </c>
      <c r="B1" s="34"/>
      <c r="C1" s="34"/>
      <c r="D1" s="34"/>
      <c r="E1" s="34"/>
    </row>
    <row r="2" spans="1:5" x14ac:dyDescent="0.25">
      <c r="A2" t="s">
        <v>38</v>
      </c>
      <c r="B2" t="s">
        <v>37</v>
      </c>
      <c r="C2" t="s">
        <v>39</v>
      </c>
      <c r="D2" t="s">
        <v>40</v>
      </c>
    </row>
    <row r="3" spans="1:5" x14ac:dyDescent="0.25">
      <c r="A3" t="s">
        <v>33</v>
      </c>
      <c r="B3" s="11">
        <v>41600000</v>
      </c>
      <c r="C3">
        <v>0.05</v>
      </c>
      <c r="D3" s="11">
        <f>B3*C3</f>
        <v>2080000</v>
      </c>
    </row>
    <row r="4" spans="1:5" x14ac:dyDescent="0.25">
      <c r="A4" t="s">
        <v>34</v>
      </c>
      <c r="B4" s="11">
        <v>72800000</v>
      </c>
      <c r="C4">
        <v>0</v>
      </c>
      <c r="D4" s="11">
        <f t="shared" ref="D4:D6" si="0">B4*C4</f>
        <v>0</v>
      </c>
    </row>
    <row r="5" spans="1:5" x14ac:dyDescent="0.25">
      <c r="A5" t="s">
        <v>35</v>
      </c>
      <c r="B5" s="11">
        <v>58240000</v>
      </c>
      <c r="C5">
        <v>0.2</v>
      </c>
      <c r="D5" s="11">
        <f t="shared" si="0"/>
        <v>11648000</v>
      </c>
    </row>
    <row r="6" spans="1:5" x14ac:dyDescent="0.25">
      <c r="A6" t="s">
        <v>36</v>
      </c>
      <c r="B6" s="11">
        <v>8320000</v>
      </c>
      <c r="C6">
        <v>0.05</v>
      </c>
      <c r="D6" s="11">
        <f t="shared" si="0"/>
        <v>416000</v>
      </c>
    </row>
    <row r="8" spans="1:5" x14ac:dyDescent="0.25">
      <c r="A8" t="s">
        <v>41</v>
      </c>
      <c r="D8" s="17">
        <f>SUM(D3:D6)</f>
        <v>14144000</v>
      </c>
    </row>
    <row r="9" spans="1:5" x14ac:dyDescent="0.25">
      <c r="A9" t="s">
        <v>42</v>
      </c>
      <c r="B9" s="13">
        <v>0.06</v>
      </c>
    </row>
    <row r="10" spans="1:5" x14ac:dyDescent="0.25">
      <c r="A10" t="s">
        <v>43</v>
      </c>
      <c r="D10" s="17">
        <f>D8*B9</f>
        <v>848640</v>
      </c>
    </row>
  </sheetData>
  <mergeCells count="1">
    <mergeCell ref="A1:E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11"/>
  <sheetViews>
    <sheetView workbookViewId="0">
      <selection activeCell="B11" sqref="B11"/>
    </sheetView>
  </sheetViews>
  <sheetFormatPr defaultRowHeight="15" x14ac:dyDescent="0.25"/>
  <cols>
    <col min="2" max="2" width="29.5703125" customWidth="1"/>
    <col min="3" max="3" width="13.140625" customWidth="1"/>
    <col min="4" max="4" width="15.85546875" bestFit="1" customWidth="1"/>
    <col min="5" max="5" width="15.85546875" customWidth="1"/>
  </cols>
  <sheetData>
    <row r="2" spans="2:5" x14ac:dyDescent="0.25">
      <c r="C2" t="s">
        <v>25</v>
      </c>
    </row>
    <row r="3" spans="2:5" x14ac:dyDescent="0.25">
      <c r="B3" t="s">
        <v>28</v>
      </c>
      <c r="C3" s="12">
        <v>187215545</v>
      </c>
    </row>
    <row r="4" spans="2:5" x14ac:dyDescent="0.25">
      <c r="B4" t="s">
        <v>26</v>
      </c>
      <c r="C4" s="12">
        <v>590257</v>
      </c>
    </row>
    <row r="5" spans="2:5" x14ac:dyDescent="0.25">
      <c r="B5" t="s">
        <v>27</v>
      </c>
      <c r="C5" s="12">
        <v>1917354</v>
      </c>
    </row>
    <row r="6" spans="2:5" x14ac:dyDescent="0.25">
      <c r="B6" t="s">
        <v>31</v>
      </c>
      <c r="C6" s="15">
        <f t="shared" ref="C6" si="0">(C4+C5)/C3</f>
        <v>1.3394245654120228E-2</v>
      </c>
    </row>
    <row r="8" spans="2:5" x14ac:dyDescent="0.25">
      <c r="E8" s="12"/>
    </row>
    <row r="9" spans="2:5" x14ac:dyDescent="0.25">
      <c r="E9" s="14"/>
    </row>
    <row r="10" spans="2:5" x14ac:dyDescent="0.25">
      <c r="B10" t="s">
        <v>29</v>
      </c>
    </row>
    <row r="11" spans="2:5" x14ac:dyDescent="0.25">
      <c r="B11" t="s">
        <v>30</v>
      </c>
    </row>
  </sheetData>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JEDI output + Local Adjustments</vt:lpstr>
      <vt:lpstr>Sales tax estimate. </vt:lpstr>
      <vt:lpstr>Adjustment Factor</vt:lpstr>
    </vt:vector>
  </TitlesOfParts>
  <Company>Cardno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Yosef Shirazi</dc:creator>
  <cp:lastModifiedBy>Kathryn Eckert</cp:lastModifiedBy>
  <dcterms:created xsi:type="dcterms:W3CDTF">2020-10-21T16:42:42Z</dcterms:created>
  <dcterms:modified xsi:type="dcterms:W3CDTF">2022-06-02T18:19:57Z</dcterms:modified>
</cp:coreProperties>
</file>