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omments1.xml" ContentType="application/vnd.openxmlformats-officedocument.spreadsheetml.comment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"/>
    </mc:Choice>
  </mc:AlternateContent>
  <xr:revisionPtr revIDLastSave="0" documentId="13_ncr:1_{5E9B8D73-03CB-4E05-9C02-AC95182B6A6D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WorkPaper" sheetId="35" state="hidden" r:id="rId21"/>
    <sheet name="WP-E.1" sheetId="33" state="hidden" r:id="rId22"/>
    <sheet name="Data Mart Inputs" sheetId="12" state="hidden" r:id="rId23"/>
    <sheet name="Holidays" sheetId="37" state="hidden" r:id="rId24"/>
    <sheet name="Rate Validation" sheetId="43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W.O.R.K.B.O.O.K..C.O.N.T.E.N.T.S____">'[1]Workbook Contents'!$A$1</definedName>
    <definedName name="_Fill" hidden="1">#REF!</definedName>
    <definedName name="ACT_BEGIN_DATE">'[1]1. MAIN INPUTS'!$F$24</definedName>
    <definedName name="ACT_END_DATE">'[1]1. MAIN INPUTS'!$F$23</definedName>
    <definedName name="AREA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'[2]Pipeline Cashout'!$A$9:$C$140</definedName>
    <definedName name="Cashouts">'[3]tbl Texas'!$A$8:$E$52</definedName>
    <definedName name="CF_Month_1">#REF!</definedName>
    <definedName name="CF_Month_2">#REF!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>#REF!</definedName>
    <definedName name="CRIT_SALES_DB">#REF!</definedName>
    <definedName name="CRIT_STORAGE_DB">#REF!</definedName>
    <definedName name="CRIT_TRANS_DB">#REF!</definedName>
    <definedName name="Database_PBR_Savings">#REF!</definedName>
    <definedName name="DatabaseStats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>[4]Macros!$D$9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>#REF!</definedName>
    <definedName name="DB_STORAGE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>#REF!</definedName>
    <definedName name="EWACOG">'[5]Backup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>#REF!</definedName>
    <definedName name="FirmRefFactor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[5]History!$A$12:$N$145</definedName>
    <definedName name="HLF">'[1]gca G1 HLF'!$B$8:$L$98</definedName>
    <definedName name="int_rate">#REF!</definedName>
    <definedName name="InterDemRefFactor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>#REF!</definedName>
    <definedName name="LVS_COG_FINAL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>#REF!</definedName>
    <definedName name="Month2">#REF!</definedName>
    <definedName name="Month3">#REF!</definedName>
    <definedName name="NA">'[6]Main Inputs'!$C$5</definedName>
    <definedName name="NumberTrueUp">'[5]Additional Backup'!$J$1</definedName>
    <definedName name="NymexMonth1">'C.1'!$E$25</definedName>
    <definedName name="NymexMonth2">'C.1'!$G$25</definedName>
    <definedName name="NymexMonth3">'C.1'!$I$25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2">'Data Mart Inputs'!$A$1:$M$35</definedName>
    <definedName name="_xlnm.Print_Area" localSheetId="18">E.1!$A$1:$K$48</definedName>
    <definedName name="_xlnm.Print_Area" localSheetId="19">E.2!$A$1:$K$35</definedName>
    <definedName name="Print_Total">#REF!</definedName>
    <definedName name="rpt_Confidential">'C.2'!$A$1:$R$1</definedName>
    <definedName name="rpt_PublicDisclosure">'C.2'!$A$3:$R$24</definedName>
    <definedName name="SALES_DB">#REF!</definedName>
    <definedName name="SEASON">'[1]1. MAIN INPUTS'!$F$13</definedName>
    <definedName name="SecondEffectiveDate">'[5]Additional Backup'!$B$1</definedName>
    <definedName name="SecondTrueUp">'[5]Additional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>#REF!</definedName>
    <definedName name="TEN_SS">'[1]S S'!$A$10:$L$22</definedName>
    <definedName name="TEN_STORAGE">#REF!</definedName>
    <definedName name="TEN_TRANSITION">#REF!</definedName>
    <definedName name="Tenn">[2]Tenn!$A$8:$F$22</definedName>
    <definedName name="test">'[1]gca G1'!$H$1:$I$2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>'[1]Cont. T13687'!#REF!</definedName>
    <definedName name="Texas">[2]Texas!$A$7:$E$37</definedName>
    <definedName name="TexasGasNNS">'C.2'!#REF!</definedName>
    <definedName name="TexasGasNoticePayback">#REF!</definedName>
    <definedName name="TGX_2">[1]B.1!$B$11:$K$21</definedName>
    <definedName name="ThirdEffectiveDate">'[5]Additional Backup'!$B$39</definedName>
    <definedName name="ThirdTrueUp">'[5]Additional Backup'!$F$73</definedName>
    <definedName name="TrueUp">'[5]Backup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6" l="1"/>
  <c r="F17" i="26"/>
  <c r="D17" i="26"/>
  <c r="H18" i="27"/>
  <c r="F18" i="27"/>
  <c r="D18" i="27"/>
  <c r="F9" i="28" l="1"/>
  <c r="F10" i="28"/>
  <c r="F16" i="28"/>
  <c r="F17" i="28"/>
  <c r="I10" i="28"/>
  <c r="E10" i="28"/>
  <c r="I36" i="6" l="1"/>
  <c r="I35" i="6"/>
  <c r="I21" i="7"/>
  <c r="I20" i="7"/>
  <c r="I14" i="7"/>
  <c r="I13" i="7"/>
  <c r="I12" i="7"/>
  <c r="K12" i="7" s="1"/>
  <c r="C7" i="30" l="1"/>
  <c r="K24" i="28" l="1"/>
  <c r="K17" i="28"/>
  <c r="K23" i="28"/>
  <c r="K16" i="28"/>
  <c r="E29" i="19" l="1"/>
  <c r="G20" i="6" l="1"/>
  <c r="G24" i="6" s="1"/>
  <c r="E33" i="14" l="1"/>
  <c r="B8" i="30" l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D17" i="27" l="1"/>
  <c r="F22" i="16" l="1"/>
  <c r="G12" i="6" l="1"/>
  <c r="G13" i="6"/>
  <c r="G14" i="6"/>
  <c r="G35" i="6"/>
  <c r="G36" i="6"/>
  <c r="G42" i="6"/>
  <c r="G46" i="6" s="1"/>
  <c r="G29" i="6" l="1"/>
  <c r="G28" i="6"/>
  <c r="G27" i="6"/>
  <c r="G50" i="6"/>
  <c r="G49" i="6"/>
  <c r="G57" i="13" l="1"/>
  <c r="F33" i="19" l="1"/>
  <c r="G30" i="13" l="1"/>
  <c r="G24" i="13"/>
  <c r="G21" i="13"/>
  <c r="G18" i="13"/>
  <c r="G12" i="13"/>
  <c r="I57" i="13" l="1"/>
  <c r="G59" i="13"/>
  <c r="E33" i="19" l="1"/>
  <c r="E59" i="13" l="1"/>
  <c r="E66" i="13" s="1"/>
  <c r="I59" i="13"/>
  <c r="I66" i="13" s="1"/>
  <c r="G66" i="13"/>
  <c r="I30" i="13"/>
  <c r="A3" i="30" l="1"/>
  <c r="H30" i="17" l="1"/>
  <c r="F14" i="30" l="1"/>
  <c r="F8" i="30"/>
  <c r="F9" i="30"/>
  <c r="F11" i="30"/>
  <c r="F12" i="30"/>
  <c r="F13" i="30"/>
  <c r="F15" i="30"/>
  <c r="F17" i="30"/>
  <c r="F7" i="30"/>
  <c r="F10" i="30" l="1"/>
  <c r="F16" i="30"/>
  <c r="F18" i="30"/>
  <c r="B19" i="7" l="1"/>
  <c r="B34" i="6"/>
  <c r="L9" i="28" l="1"/>
  <c r="N12" i="28"/>
  <c r="E24" i="14" l="1"/>
  <c r="F49" i="15" s="1"/>
  <c r="E18" i="14"/>
  <c r="G22" i="14" l="1"/>
  <c r="G24" i="14" s="1"/>
  <c r="I22" i="14"/>
  <c r="I24" i="14" s="1"/>
  <c r="I24" i="13"/>
  <c r="E26" i="13"/>
  <c r="F41" i="15" s="1"/>
  <c r="B21" i="33" l="1"/>
  <c r="F12" i="33" l="1"/>
  <c r="F13" i="33"/>
  <c r="F14" i="33"/>
  <c r="F15" i="33"/>
  <c r="F16" i="33"/>
  <c r="F17" i="33"/>
  <c r="F18" i="33"/>
  <c r="F19" i="33"/>
  <c r="F20" i="33"/>
  <c r="I23" i="28" l="1"/>
  <c r="I16" i="28" l="1"/>
  <c r="L10" i="28" l="1"/>
  <c r="G23" i="28"/>
  <c r="G16" i="28"/>
  <c r="E23" i="28"/>
  <c r="E16" i="28"/>
  <c r="G30" i="25" l="1"/>
  <c r="I25" i="22" l="1"/>
  <c r="E25" i="22"/>
  <c r="G25" i="22"/>
  <c r="E21" i="33"/>
  <c r="D21" i="33"/>
  <c r="C21" i="33"/>
  <c r="F11" i="33"/>
  <c r="F10" i="33"/>
  <c r="F9" i="33"/>
  <c r="J8" i="32"/>
  <c r="H25" i="45"/>
  <c r="H26" i="45" s="1"/>
  <c r="J23" i="45"/>
  <c r="P15" i="45"/>
  <c r="P17" i="45" s="1"/>
  <c r="K14" i="45"/>
  <c r="I18" i="30"/>
  <c r="I17" i="30"/>
  <c r="I16" i="30"/>
  <c r="I15" i="30"/>
  <c r="I14" i="30"/>
  <c r="I13" i="30"/>
  <c r="I12" i="30"/>
  <c r="I11" i="30"/>
  <c r="I10" i="30"/>
  <c r="I9" i="30"/>
  <c r="I8" i="30"/>
  <c r="I7" i="30"/>
  <c r="N26" i="28"/>
  <c r="D25" i="28"/>
  <c r="D27" i="28" s="1"/>
  <c r="L24" i="28"/>
  <c r="L23" i="28"/>
  <c r="J23" i="28"/>
  <c r="H23" i="28"/>
  <c r="F23" i="28"/>
  <c r="N19" i="28"/>
  <c r="D18" i="28"/>
  <c r="D20" i="28" s="1"/>
  <c r="L17" i="28"/>
  <c r="L16" i="28"/>
  <c r="J16" i="28"/>
  <c r="H16" i="28"/>
  <c r="D11" i="28"/>
  <c r="D13" i="28" s="1"/>
  <c r="J10" i="28"/>
  <c r="G10" i="28"/>
  <c r="J9" i="28"/>
  <c r="H9" i="28"/>
  <c r="H17" i="27"/>
  <c r="F17" i="27"/>
  <c r="A67" i="26"/>
  <c r="G33" i="26"/>
  <c r="H16" i="26"/>
  <c r="F16" i="26"/>
  <c r="D16" i="26"/>
  <c r="A64" i="25"/>
  <c r="G42" i="25"/>
  <c r="G19" i="25"/>
  <c r="F18" i="19"/>
  <c r="E18" i="19" s="1"/>
  <c r="F25" i="19"/>
  <c r="E25" i="19" s="1"/>
  <c r="F11" i="20"/>
  <c r="F13" i="20" s="1"/>
  <c r="F15" i="20" s="1"/>
  <c r="F22" i="20" s="1"/>
  <c r="A2" i="20"/>
  <c r="F19" i="19"/>
  <c r="E19" i="19" s="1"/>
  <c r="A2" i="19"/>
  <c r="E35" i="18"/>
  <c r="F30" i="18"/>
  <c r="G26" i="18"/>
  <c r="G35" i="18" s="1"/>
  <c r="F26" i="18"/>
  <c r="A2" i="18"/>
  <c r="I30" i="16"/>
  <c r="I21" i="16"/>
  <c r="J21" i="16" s="1"/>
  <c r="J20" i="16"/>
  <c r="A2" i="16"/>
  <c r="A2" i="15"/>
  <c r="I32" i="14"/>
  <c r="I29" i="14"/>
  <c r="G29" i="14"/>
  <c r="F48" i="15"/>
  <c r="I16" i="14"/>
  <c r="G16" i="14"/>
  <c r="I13" i="14"/>
  <c r="G13" i="14"/>
  <c r="A2" i="14"/>
  <c r="E53" i="13"/>
  <c r="F44" i="15" s="1"/>
  <c r="I51" i="13"/>
  <c r="I53" i="13" s="1"/>
  <c r="I65" i="13" s="1"/>
  <c r="G51" i="13"/>
  <c r="G53" i="13" s="1"/>
  <c r="G65" i="13" s="1"/>
  <c r="G45" i="13"/>
  <c r="I42" i="13"/>
  <c r="I39" i="13"/>
  <c r="G39" i="13"/>
  <c r="E35" i="13"/>
  <c r="F42" i="15" s="1"/>
  <c r="I35" i="13"/>
  <c r="I63" i="13" s="1"/>
  <c r="G35" i="13"/>
  <c r="G63" i="13" s="1"/>
  <c r="I21" i="13"/>
  <c r="I18" i="13"/>
  <c r="E14" i="13"/>
  <c r="F40" i="15" s="1"/>
  <c r="I12" i="13"/>
  <c r="I14" i="13" s="1"/>
  <c r="I61" i="13" s="1"/>
  <c r="G14" i="13"/>
  <c r="G61" i="13" s="1"/>
  <c r="K21" i="7"/>
  <c r="K20" i="7"/>
  <c r="K14" i="7"/>
  <c r="K13" i="7"/>
  <c r="A2" i="7"/>
  <c r="K36" i="6"/>
  <c r="K35" i="6"/>
  <c r="K14" i="6"/>
  <c r="K13" i="6"/>
  <c r="K12" i="6"/>
  <c r="J28" i="16" l="1"/>
  <c r="J29" i="16"/>
  <c r="J8" i="30"/>
  <c r="J12" i="30"/>
  <c r="J16" i="30"/>
  <c r="J18" i="30"/>
  <c r="G35" i="25" s="1"/>
  <c r="J9" i="30"/>
  <c r="J13" i="30"/>
  <c r="J17" i="30"/>
  <c r="J11" i="30"/>
  <c r="J10" i="30"/>
  <c r="J14" i="30"/>
  <c r="J15" i="30"/>
  <c r="J14" i="17"/>
  <c r="J15" i="17"/>
  <c r="J14" i="16"/>
  <c r="L69" i="29"/>
  <c r="G19" i="19"/>
  <c r="G28" i="14"/>
  <c r="I28" i="14"/>
  <c r="N9" i="28"/>
  <c r="G7" i="7"/>
  <c r="H10" i="28"/>
  <c r="H11" i="28" s="1"/>
  <c r="H13" i="28" s="1"/>
  <c r="G17" i="28"/>
  <c r="H17" i="28" s="1"/>
  <c r="H18" i="28" s="1"/>
  <c r="H20" i="28" s="1"/>
  <c r="G24" i="28"/>
  <c r="H24" i="28" s="1"/>
  <c r="H25" i="28" s="1"/>
  <c r="H27" i="28" s="1"/>
  <c r="G26" i="13"/>
  <c r="G62" i="13" s="1"/>
  <c r="G68" i="13" s="1"/>
  <c r="G71" i="13" s="1"/>
  <c r="I26" i="13"/>
  <c r="I62" i="13" s="1"/>
  <c r="G18" i="18"/>
  <c r="G36" i="45"/>
  <c r="E17" i="18"/>
  <c r="G32" i="45"/>
  <c r="G34" i="45" s="1"/>
  <c r="G18" i="14"/>
  <c r="I18" i="14"/>
  <c r="J7" i="30"/>
  <c r="F35" i="18"/>
  <c r="J11" i="28"/>
  <c r="J13" i="28" s="1"/>
  <c r="L25" i="28"/>
  <c r="L27" i="28" s="1"/>
  <c r="E16" i="25" s="1"/>
  <c r="I24" i="28"/>
  <c r="J24" i="28" s="1"/>
  <c r="J25" i="28" s="1"/>
  <c r="J27" i="28" s="1"/>
  <c r="I17" i="28"/>
  <c r="J17" i="28" s="1"/>
  <c r="J18" i="28" s="1"/>
  <c r="J20" i="28" s="1"/>
  <c r="E17" i="28"/>
  <c r="E24" i="28"/>
  <c r="F24" i="28" s="1"/>
  <c r="F25" i="28" s="1"/>
  <c r="F27" i="28" s="1"/>
  <c r="D31" i="27"/>
  <c r="D36" i="27" s="1"/>
  <c r="L11" i="28"/>
  <c r="L13" i="28" s="1"/>
  <c r="E12" i="25" s="1"/>
  <c r="G36" i="25"/>
  <c r="I45" i="13"/>
  <c r="I47" i="13" s="1"/>
  <c r="I64" i="13" s="1"/>
  <c r="G32" i="14"/>
  <c r="F21" i="33"/>
  <c r="L18" i="28"/>
  <c r="L20" i="28" s="1"/>
  <c r="E14" i="25" s="1"/>
  <c r="K44" i="6"/>
  <c r="G13" i="12"/>
  <c r="F50" i="15"/>
  <c r="G49" i="15" s="1"/>
  <c r="I49" i="15" s="1"/>
  <c r="G42" i="13"/>
  <c r="G47" i="13" s="1"/>
  <c r="G64" i="13" s="1"/>
  <c r="E47" i="13"/>
  <c r="E61" i="13"/>
  <c r="E63" i="13"/>
  <c r="E65" i="13"/>
  <c r="G31" i="14"/>
  <c r="I13" i="15"/>
  <c r="I20" i="15"/>
  <c r="F12" i="19"/>
  <c r="E12" i="19" s="1"/>
  <c r="F13" i="19"/>
  <c r="E13" i="19" s="1"/>
  <c r="D69" i="29"/>
  <c r="H69" i="29"/>
  <c r="E62" i="13"/>
  <c r="I31" i="14"/>
  <c r="N16" i="28"/>
  <c r="F69" i="29"/>
  <c r="J69" i="29"/>
  <c r="F31" i="27"/>
  <c r="F36" i="27" s="1"/>
  <c r="N69" i="29"/>
  <c r="H31" i="27"/>
  <c r="H36" i="27" s="1"/>
  <c r="N23" i="28"/>
  <c r="I21" i="32"/>
  <c r="I22" i="45"/>
  <c r="H27" i="45"/>
  <c r="I68" i="13" l="1"/>
  <c r="E28" i="19"/>
  <c r="E30" i="19" s="1"/>
  <c r="F22" i="19"/>
  <c r="E22" i="19" s="1"/>
  <c r="H31" i="16"/>
  <c r="J30" i="16"/>
  <c r="F28" i="26"/>
  <c r="F33" i="26" s="1"/>
  <c r="D33" i="26"/>
  <c r="F21" i="19"/>
  <c r="H35" i="16"/>
  <c r="D14" i="25"/>
  <c r="F14" i="25" s="1"/>
  <c r="I14" i="25" s="1"/>
  <c r="G29" i="15"/>
  <c r="G32" i="15" s="1"/>
  <c r="I27" i="15"/>
  <c r="F14" i="19"/>
  <c r="E14" i="19" s="1"/>
  <c r="E15" i="19" s="1"/>
  <c r="E18" i="18"/>
  <c r="D16" i="25"/>
  <c r="I33" i="14"/>
  <c r="I35" i="14" s="1"/>
  <c r="E11" i="18" s="1"/>
  <c r="F11" i="28"/>
  <c r="F13" i="28" s="1"/>
  <c r="O13" i="28" s="1"/>
  <c r="N10" i="28"/>
  <c r="N11" i="28" s="1"/>
  <c r="N13" i="28" s="1"/>
  <c r="K22" i="6"/>
  <c r="I71" i="13"/>
  <c r="E9" i="18" s="1"/>
  <c r="G17" i="18"/>
  <c r="G38" i="45"/>
  <c r="J26" i="16"/>
  <c r="G38" i="25"/>
  <c r="O27" i="28"/>
  <c r="N17" i="28"/>
  <c r="N18" i="28" s="1"/>
  <c r="N20" i="28" s="1"/>
  <c r="I25" i="15"/>
  <c r="N24" i="28"/>
  <c r="N25" i="28" s="1"/>
  <c r="N27" i="28" s="1"/>
  <c r="F18" i="28"/>
  <c r="F20" i="28" s="1"/>
  <c r="J32" i="28"/>
  <c r="L33" i="28"/>
  <c r="G33" i="14"/>
  <c r="G35" i="14" s="1"/>
  <c r="E19" i="25"/>
  <c r="G5" i="12"/>
  <c r="H31" i="28"/>
  <c r="I25" i="45"/>
  <c r="J22" i="45"/>
  <c r="J25" i="45" s="1"/>
  <c r="G40" i="45"/>
  <c r="G41" i="45"/>
  <c r="H41" i="45" s="1"/>
  <c r="F43" i="15"/>
  <c r="E64" i="13"/>
  <c r="E68" i="13" s="1"/>
  <c r="G48" i="15"/>
  <c r="G29" i="12"/>
  <c r="G33" i="12"/>
  <c r="G25" i="12"/>
  <c r="H32" i="17"/>
  <c r="I30" i="17"/>
  <c r="I32" i="17" s="1"/>
  <c r="E12" i="18" s="1"/>
  <c r="F30" i="19" l="1"/>
  <c r="D28" i="26"/>
  <c r="H22" i="19"/>
  <c r="G22" i="19" s="1"/>
  <c r="E21" i="19"/>
  <c r="E23" i="19" s="1"/>
  <c r="E37" i="19" s="1"/>
  <c r="F23" i="19"/>
  <c r="H28" i="26"/>
  <c r="H33" i="26" s="1"/>
  <c r="C14" i="25"/>
  <c r="C12" i="25"/>
  <c r="H40" i="45"/>
  <c r="H46" i="45" s="1"/>
  <c r="F16" i="25"/>
  <c r="I16" i="25" s="1"/>
  <c r="F15" i="19"/>
  <c r="F30" i="28"/>
  <c r="G26" i="25" s="1"/>
  <c r="E13" i="18"/>
  <c r="F18" i="18" s="1"/>
  <c r="H18" i="18" s="1"/>
  <c r="O20" i="28"/>
  <c r="O36" i="28" s="1"/>
  <c r="N34" i="28"/>
  <c r="K23" i="6"/>
  <c r="G4" i="12"/>
  <c r="K45" i="6"/>
  <c r="G12" i="12"/>
  <c r="D12" i="25"/>
  <c r="G17" i="12"/>
  <c r="G21" i="12"/>
  <c r="G9" i="12"/>
  <c r="G50" i="15"/>
  <c r="I48" i="15"/>
  <c r="I50" i="15" s="1"/>
  <c r="I13" i="16" s="1"/>
  <c r="J13" i="16" s="1"/>
  <c r="F45" i="15"/>
  <c r="I26" i="45"/>
  <c r="D33" i="12"/>
  <c r="D32" i="12"/>
  <c r="D31" i="12"/>
  <c r="D26" i="12"/>
  <c r="D25" i="12"/>
  <c r="D24" i="12"/>
  <c r="D23" i="12"/>
  <c r="D18" i="12"/>
  <c r="D17" i="12"/>
  <c r="D16" i="12"/>
  <c r="D15" i="12"/>
  <c r="D10" i="12"/>
  <c r="D9" i="12"/>
  <c r="D8" i="12"/>
  <c r="D7" i="12"/>
  <c r="D2" i="12"/>
  <c r="D30" i="12"/>
  <c r="D29" i="12"/>
  <c r="D28" i="12"/>
  <c r="D27" i="12"/>
  <c r="D22" i="12"/>
  <c r="D21" i="12"/>
  <c r="D20" i="12"/>
  <c r="D19" i="12"/>
  <c r="D14" i="12"/>
  <c r="D13" i="12"/>
  <c r="D12" i="12"/>
  <c r="D11" i="12"/>
  <c r="D6" i="12"/>
  <c r="D5" i="12"/>
  <c r="D4" i="12"/>
  <c r="D3" i="12"/>
  <c r="H44" i="45" l="1"/>
  <c r="F37" i="19"/>
  <c r="F39" i="19" s="1"/>
  <c r="E39" i="19" s="1"/>
  <c r="E41" i="19" s="1"/>
  <c r="E45" i="19" s="1"/>
  <c r="C16" i="25"/>
  <c r="F17" i="18"/>
  <c r="H17" i="18" s="1"/>
  <c r="G28" i="12"/>
  <c r="G24" i="12"/>
  <c r="G16" i="12"/>
  <c r="G32" i="12" s="1"/>
  <c r="G8" i="12"/>
  <c r="G20" i="12"/>
  <c r="D19" i="25"/>
  <c r="F12" i="25"/>
  <c r="I12" i="25" s="1"/>
  <c r="I19" i="25" s="1"/>
  <c r="J26" i="45"/>
  <c r="J27" i="45" s="1"/>
  <c r="H14" i="15"/>
  <c r="G40" i="15"/>
  <c r="G42" i="15"/>
  <c r="I42" i="15" s="1"/>
  <c r="G44" i="15"/>
  <c r="I44" i="15" s="1"/>
  <c r="G41" i="15"/>
  <c r="I41" i="15" s="1"/>
  <c r="I27" i="45"/>
  <c r="G43" i="15"/>
  <c r="I43" i="15" s="1"/>
  <c r="I7" i="7" l="1"/>
  <c r="F41" i="19"/>
  <c r="F45" i="19" s="1"/>
  <c r="G25" i="25"/>
  <c r="F19" i="18"/>
  <c r="F19" i="25"/>
  <c r="I12" i="15"/>
  <c r="J27" i="16"/>
  <c r="H21" i="19" s="1"/>
  <c r="G21" i="19" s="1"/>
  <c r="G33" i="19"/>
  <c r="J12" i="16"/>
  <c r="I42" i="45"/>
  <c r="G42" i="45"/>
  <c r="I14" i="15"/>
  <c r="H15" i="15"/>
  <c r="G45" i="15"/>
  <c r="I40" i="15"/>
  <c r="I45" i="15" s="1"/>
  <c r="H19" i="15" s="1"/>
  <c r="H19" i="18"/>
  <c r="I19" i="6" s="1"/>
  <c r="I17" i="18"/>
  <c r="I19" i="18" s="1"/>
  <c r="I41" i="6" s="1"/>
  <c r="G29" i="25" l="1"/>
  <c r="G41" i="25" s="1"/>
  <c r="I15" i="15"/>
  <c r="H12" i="19" s="1"/>
  <c r="G12" i="19" s="1"/>
  <c r="I15" i="16"/>
  <c r="I16" i="16" s="1"/>
  <c r="I19" i="16"/>
  <c r="I22" i="16" s="1"/>
  <c r="J31" i="16"/>
  <c r="I31" i="16" s="1"/>
  <c r="I16" i="17"/>
  <c r="J13" i="17"/>
  <c r="H21" i="15"/>
  <c r="I21" i="15" s="1"/>
  <c r="I18" i="15"/>
  <c r="H28" i="15"/>
  <c r="I28" i="15" s="1"/>
  <c r="I26" i="15"/>
  <c r="I50" i="45"/>
  <c r="B22" i="33" s="1"/>
  <c r="I48" i="45"/>
  <c r="I19" i="15"/>
  <c r="I30" i="18"/>
  <c r="H30" i="18"/>
  <c r="H26" i="18"/>
  <c r="G32" i="25" l="1"/>
  <c r="G44" i="25" s="1"/>
  <c r="J19" i="16"/>
  <c r="H22" i="15"/>
  <c r="J15" i="16"/>
  <c r="J16" i="16" s="1"/>
  <c r="H18" i="19" s="1"/>
  <c r="G18" i="19" s="1"/>
  <c r="I22" i="15"/>
  <c r="H13" i="19" s="1"/>
  <c r="G13" i="19" s="1"/>
  <c r="I29" i="15"/>
  <c r="J16" i="17"/>
  <c r="J17" i="17" s="1"/>
  <c r="H25" i="19" s="1"/>
  <c r="G25" i="19" s="1"/>
  <c r="I17" i="17"/>
  <c r="J22" i="16"/>
  <c r="I23" i="16"/>
  <c r="C22" i="33"/>
  <c r="B23" i="33"/>
  <c r="I30" i="32" s="1"/>
  <c r="K41" i="6"/>
  <c r="K19" i="6"/>
  <c r="I21" i="6" l="1"/>
  <c r="I43" i="6"/>
  <c r="J23" i="16"/>
  <c r="H19" i="19" s="1"/>
  <c r="H23" i="19" s="1"/>
  <c r="I32" i="15"/>
  <c r="H32" i="15" s="1"/>
  <c r="H14" i="19"/>
  <c r="H15" i="19" s="1"/>
  <c r="H29" i="15"/>
  <c r="H29" i="19" s="1"/>
  <c r="G29" i="19" s="1"/>
  <c r="D22" i="33"/>
  <c r="C23" i="33"/>
  <c r="I31" i="32" s="1"/>
  <c r="K43" i="6" l="1"/>
  <c r="K21" i="6"/>
  <c r="G3" i="12"/>
  <c r="G11" i="12" s="1"/>
  <c r="G27" i="12" s="1"/>
  <c r="H28" i="19"/>
  <c r="G15" i="19"/>
  <c r="J35" i="16"/>
  <c r="I35" i="16" s="1"/>
  <c r="G14" i="19"/>
  <c r="G23" i="19"/>
  <c r="E22" i="33"/>
  <c r="D23" i="33"/>
  <c r="I32" i="32" s="1"/>
  <c r="H30" i="19" l="1"/>
  <c r="G30" i="19" s="1"/>
  <c r="G31" i="12"/>
  <c r="G23" i="12"/>
  <c r="G7" i="12"/>
  <c r="G19" i="12"/>
  <c r="G15" i="12"/>
  <c r="G28" i="19"/>
  <c r="F22" i="33"/>
  <c r="F23" i="33" s="1"/>
  <c r="E23" i="33"/>
  <c r="I33" i="32" s="1"/>
  <c r="I35" i="32" s="1"/>
  <c r="H37" i="19" l="1"/>
  <c r="H41" i="19" s="1"/>
  <c r="I24" i="32"/>
  <c r="I23" i="32" s="1"/>
  <c r="G41" i="19" l="1"/>
  <c r="H45" i="19"/>
  <c r="G45" i="19" s="1"/>
  <c r="I18" i="6" s="1"/>
  <c r="G37" i="19"/>
  <c r="I47" i="32"/>
  <c r="I20" i="6" l="1"/>
  <c r="I40" i="6"/>
  <c r="K18" i="6"/>
  <c r="I42" i="6" l="1"/>
  <c r="K40" i="6"/>
  <c r="I24" i="6"/>
  <c r="K20" i="6"/>
  <c r="G2" i="12"/>
  <c r="I46" i="6" l="1"/>
  <c r="I27" i="6"/>
  <c r="I28" i="6"/>
  <c r="I29" i="6"/>
  <c r="K24" i="6"/>
  <c r="G10" i="12"/>
  <c r="K42" i="6"/>
  <c r="G14" i="12"/>
  <c r="M17" i="12" s="1"/>
  <c r="G18" i="12"/>
  <c r="M21" i="12" s="1"/>
  <c r="G6" i="12"/>
  <c r="M9" i="12" s="1"/>
  <c r="M5" i="12"/>
  <c r="I50" i="6" l="1"/>
  <c r="I49" i="6"/>
  <c r="K29" i="6"/>
  <c r="K28" i="6"/>
  <c r="K27" i="6"/>
  <c r="K46" i="6"/>
  <c r="G26" i="12"/>
  <c r="M29" i="12" s="1"/>
  <c r="G30" i="12"/>
  <c r="M33" i="12" s="1"/>
  <c r="G22" i="12"/>
  <c r="M25" i="12" s="1"/>
  <c r="M13" i="12"/>
  <c r="K50" i="6" l="1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  <author>Nelson, Patricia A</author>
  </authors>
  <commentList>
    <comment ref="D12" authorId="0" shapeId="0" xr:uid="{00000000-0006-0000-1500-000001000000}">
      <text>
        <r>
          <rPr>
            <sz val="8"/>
            <color indexed="81"/>
            <rFont val="Tahoma"/>
            <family val="2"/>
          </rPr>
          <t>Acct 8580 except East Diamond</t>
        </r>
      </text>
    </comment>
    <comment ref="F12" authorId="0" shapeId="0" xr:uid="{00000000-0006-0000-1500-000002000000}">
      <text>
        <r>
          <rPr>
            <sz val="8"/>
            <color indexed="81"/>
            <rFont val="Tahoma"/>
            <family val="2"/>
          </rPr>
          <t>Acct 8580 except East Diamond</t>
        </r>
      </text>
    </comment>
    <comment ref="H12" authorId="0" shapeId="0" xr:uid="{00000000-0006-0000-1500-000003000000}">
      <text>
        <r>
          <rPr>
            <sz val="8"/>
            <color indexed="81"/>
            <rFont val="Tahoma"/>
            <family val="2"/>
          </rPr>
          <t>Acct 8580 except East Diamond</t>
        </r>
      </text>
    </comment>
    <comment ref="D13" authorId="0" shapeId="0" xr:uid="{00000000-0006-0000-1500-000004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F13" authorId="0" shapeId="0" xr:uid="{00000000-0006-0000-1500-000005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H13" authorId="0" shapeId="0" xr:uid="{00000000-0006-0000-1500-000006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D14" authorId="0" shapeId="0" xr:uid="{00000000-0006-0000-1500-000007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F14" authorId="0" shapeId="0" xr:uid="{00000000-0006-0000-1500-000008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H14" authorId="0" shapeId="0" xr:uid="{00000000-0006-0000-1500-000009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D15" authorId="0" shapeId="0" xr:uid="{00000000-0006-0000-1500-00000A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F15" authorId="0" shapeId="0" xr:uid="{00000000-0006-0000-1500-00000B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H15" authorId="0" shapeId="0" xr:uid="{00000000-0006-0000-1500-00000C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D16" authorId="0" shapeId="0" xr:uid="{00000000-0006-0000-1500-00000D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F16" authorId="0" shapeId="0" xr:uid="{00000000-0006-0000-1500-00000E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H16" authorId="0" shapeId="0" xr:uid="{00000000-0006-0000-1500-00000F000000}">
      <text>
        <r>
          <rPr>
            <sz val="8"/>
            <color indexed="81"/>
            <rFont val="Tahoma"/>
            <family val="2"/>
          </rPr>
          <t xml:space="preserve">Acct 8580 </t>
        </r>
      </text>
    </comment>
    <comment ref="D17" authorId="0" shapeId="0" xr:uid="{00000000-0006-0000-1500-000010000000}">
      <text>
        <r>
          <rPr>
            <sz val="8"/>
            <color indexed="81"/>
            <rFont val="Tahoma"/>
            <family val="2"/>
          </rPr>
          <t>Total Acct 8580 except East Diamond</t>
        </r>
      </text>
    </comment>
    <comment ref="F17" authorId="0" shapeId="0" xr:uid="{00000000-0006-0000-1500-000011000000}">
      <text>
        <r>
          <rPr>
            <sz val="8"/>
            <color indexed="81"/>
            <rFont val="Tahoma"/>
            <family val="2"/>
          </rPr>
          <t>Total Acct 8580 except East Diamond</t>
        </r>
      </text>
    </comment>
    <comment ref="H17" authorId="0" shapeId="0" xr:uid="{00000000-0006-0000-1500-000012000000}">
      <text>
        <r>
          <rPr>
            <sz val="8"/>
            <color indexed="81"/>
            <rFont val="Tahoma"/>
            <family val="2"/>
          </rPr>
          <t>Total Acct 8580 except East Diamond</t>
        </r>
      </text>
    </comment>
    <comment ref="D18" authorId="1" shapeId="0" xr:uid="{00000000-0006-0000-1500-000013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F18" authorId="1" shapeId="0" xr:uid="{00000000-0006-0000-1500-000014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H18" authorId="1" shapeId="0" xr:uid="{00000000-0006-0000-1500-00001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D19" authorId="0" shapeId="0" xr:uid="{00000000-0006-0000-1500-000016000000}">
      <text>
        <r>
          <rPr>
            <sz val="12"/>
            <color indexed="81"/>
            <rFont val="Tahoma"/>
            <family val="2"/>
          </rPr>
          <t>Acct 8001</t>
        </r>
      </text>
    </comment>
    <comment ref="F19" authorId="0" shapeId="0" xr:uid="{00000000-0006-0000-1500-000017000000}">
      <text>
        <r>
          <rPr>
            <sz val="12"/>
            <color indexed="81"/>
            <rFont val="Tahoma"/>
            <family val="2"/>
          </rPr>
          <t>Acct 8001</t>
        </r>
      </text>
    </comment>
    <comment ref="H19" authorId="0" shapeId="0" xr:uid="{00000000-0006-0000-1500-000018000000}">
      <text>
        <r>
          <rPr>
            <sz val="12"/>
            <color indexed="81"/>
            <rFont val="Tahoma"/>
            <family val="2"/>
          </rPr>
          <t>Acct 8001</t>
        </r>
      </text>
    </comment>
    <comment ref="D23" authorId="0" shapeId="0" xr:uid="{00000000-0006-0000-1500-000019000000}">
      <text>
        <r>
          <rPr>
            <sz val="12"/>
            <color indexed="81"/>
            <rFont val="Tahoma"/>
            <family val="2"/>
          </rPr>
          <t xml:space="preserve">Acct 8580 (Only East Diamond)
</t>
        </r>
      </text>
    </comment>
    <comment ref="F23" authorId="0" shapeId="0" xr:uid="{00000000-0006-0000-1500-00001A000000}">
      <text>
        <r>
          <rPr>
            <sz val="12"/>
            <color indexed="81"/>
            <rFont val="Tahoma"/>
            <family val="2"/>
          </rPr>
          <t xml:space="preserve">Acct 8580 (Only East Diamond)
</t>
        </r>
      </text>
    </comment>
    <comment ref="H23" authorId="0" shapeId="0" xr:uid="{00000000-0006-0000-1500-00001B000000}">
      <text>
        <r>
          <rPr>
            <sz val="12"/>
            <color indexed="81"/>
            <rFont val="Tahoma"/>
            <family val="2"/>
          </rPr>
          <t xml:space="preserve">Acct 8580 (Only East Diamond)
</t>
        </r>
      </text>
    </comment>
    <comment ref="D25" authorId="0" shapeId="0" xr:uid="{00000000-0006-0000-1500-00001C000000}">
      <text>
        <r>
          <rPr>
            <sz val="12"/>
            <color indexed="81"/>
            <rFont val="Tahoma"/>
            <family val="2"/>
          </rPr>
          <t>Acct 8081</t>
        </r>
      </text>
    </comment>
    <comment ref="F25" authorId="0" shapeId="0" xr:uid="{00000000-0006-0000-1500-00001D000000}">
      <text>
        <r>
          <rPr>
            <sz val="12"/>
            <color indexed="81"/>
            <rFont val="Tahoma"/>
            <family val="2"/>
          </rPr>
          <t>Acct 8081</t>
        </r>
      </text>
    </comment>
    <comment ref="H25" authorId="0" shapeId="0" xr:uid="{00000000-0006-0000-1500-00001E000000}">
      <text>
        <r>
          <rPr>
            <sz val="12"/>
            <color indexed="81"/>
            <rFont val="Tahoma"/>
            <family val="2"/>
          </rPr>
          <t>Acct 8081</t>
        </r>
      </text>
    </comment>
    <comment ref="D26" authorId="0" shapeId="0" xr:uid="{00000000-0006-0000-1500-00001F000000}">
      <text>
        <r>
          <rPr>
            <sz val="12"/>
            <color indexed="81"/>
            <rFont val="Tahoma"/>
            <family val="2"/>
          </rPr>
          <t>Acct 8082</t>
        </r>
      </text>
    </comment>
    <comment ref="F26" authorId="0" shapeId="0" xr:uid="{00000000-0006-0000-1500-000020000000}">
      <text>
        <r>
          <rPr>
            <sz val="12"/>
            <color indexed="81"/>
            <rFont val="Tahoma"/>
            <family val="2"/>
          </rPr>
          <t>Acct 8082</t>
        </r>
      </text>
    </comment>
    <comment ref="H26" authorId="0" shapeId="0" xr:uid="{00000000-0006-0000-1500-000021000000}">
      <text>
        <r>
          <rPr>
            <sz val="12"/>
            <color indexed="81"/>
            <rFont val="Tahoma"/>
            <family val="2"/>
          </rPr>
          <t>Acct 8082</t>
        </r>
      </text>
    </comment>
    <comment ref="D27" authorId="0" shapeId="0" xr:uid="{00000000-0006-0000-1500-000022000000}">
      <text>
        <r>
          <rPr>
            <sz val="12"/>
            <color indexed="81"/>
            <rFont val="Tahoma"/>
            <family val="2"/>
          </rPr>
          <t>Acct 8010</t>
        </r>
      </text>
    </comment>
    <comment ref="F27" authorId="0" shapeId="0" xr:uid="{00000000-0006-0000-1500-000023000000}">
      <text>
        <r>
          <rPr>
            <sz val="12"/>
            <color indexed="81"/>
            <rFont val="Tahoma"/>
            <family val="2"/>
          </rPr>
          <t>Acct 8010</t>
        </r>
      </text>
    </comment>
    <comment ref="H27" authorId="0" shapeId="0" xr:uid="{00000000-0006-0000-1500-000024000000}">
      <text>
        <r>
          <rPr>
            <sz val="12"/>
            <color indexed="81"/>
            <rFont val="Tahoma"/>
            <family val="2"/>
          </rPr>
          <t>Acct 8010</t>
        </r>
      </text>
    </comment>
    <comment ref="D28" authorId="0" shapeId="0" xr:uid="{00000000-0006-0000-1500-000025000000}">
      <text>
        <r>
          <rPr>
            <sz val="12"/>
            <color indexed="81"/>
            <rFont val="Tahoma"/>
            <family val="2"/>
          </rPr>
          <t>Acct 8050</t>
        </r>
      </text>
    </comment>
    <comment ref="F28" authorId="0" shapeId="0" xr:uid="{00000000-0006-0000-1500-000026000000}">
      <text>
        <r>
          <rPr>
            <sz val="12"/>
            <color indexed="81"/>
            <rFont val="Tahoma"/>
            <family val="2"/>
          </rPr>
          <t>Acct 8050</t>
        </r>
      </text>
    </comment>
    <comment ref="H28" authorId="0" shapeId="0" xr:uid="{00000000-0006-0000-1500-000027000000}">
      <text>
        <r>
          <rPr>
            <sz val="12"/>
            <color indexed="81"/>
            <rFont val="Tahoma"/>
            <family val="2"/>
          </rPr>
          <t>Acct 8050</t>
        </r>
      </text>
    </comment>
    <comment ref="D30" authorId="0" shapeId="0" xr:uid="{00000000-0006-0000-1500-000028000000}">
      <text>
        <r>
          <rPr>
            <sz val="12"/>
            <color indexed="81"/>
            <rFont val="Tahoma"/>
            <family val="2"/>
          </rPr>
          <t xml:space="preserve">Acct 8060 + 8040.4740 (Cash-outs) + 8040.4774
</t>
        </r>
      </text>
    </comment>
    <comment ref="F30" authorId="0" shapeId="0" xr:uid="{00000000-0006-0000-1500-000029000000}">
      <text>
        <r>
          <rPr>
            <sz val="12"/>
            <color indexed="81"/>
            <rFont val="Tahoma"/>
            <family val="2"/>
          </rPr>
          <t xml:space="preserve">Acct 8060 + 8040.4740 (Cash-outs) + 8040.4774
</t>
        </r>
      </text>
    </comment>
    <comment ref="H30" authorId="0" shapeId="0" xr:uid="{00000000-0006-0000-1500-00002A000000}">
      <text>
        <r>
          <rPr>
            <sz val="12"/>
            <color indexed="81"/>
            <rFont val="Tahoma"/>
            <family val="2"/>
          </rPr>
          <t xml:space="preserve">Acct 8060 + 8040.4740 (Cash-outs) + 8040.4774
</t>
        </r>
      </text>
    </comment>
    <comment ref="D36" authorId="1" shapeId="0" xr:uid="{00000000-0006-0000-1500-00002B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These Total Gas Costs are used in the 1910.14088 Recon Rpt.</t>
        </r>
      </text>
    </comment>
    <comment ref="F36" authorId="1" shapeId="0" xr:uid="{00000000-0006-0000-1500-00002C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These Total Gas Costs are used in the 1910.14088 Recon Rpt.</t>
        </r>
      </text>
    </comment>
    <comment ref="H36" authorId="1" shapeId="0" xr:uid="{00000000-0006-0000-1500-00002D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These Total Gas Costs are used in the 1910.14088 Recon Rpt.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<sst xmlns="http://schemas.openxmlformats.org/spreadsheetml/2006/main" count="1357" uniqueCount="563">
  <si>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</si>
  <si>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</si>
  <si>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</si>
  <si>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</si>
  <si>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</si>
  <si>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</si>
  <si>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</si>
  <si>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</si>
  <si>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</si>
  <si>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</si>
  <si>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</si>
  <si>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</si>
  <si>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</si>
  <si>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</si>
  <si>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</si>
  <si>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</si>
  <si>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</si>
  <si>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</si>
  <si>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</si>
  <si>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</si>
  <si>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</si>
  <si>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</si>
  <si>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</si>
  <si>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</si>
  <si>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</si>
  <si>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</si>
  <si>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</si>
  <si>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</si>
  <si>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</si>
  <si>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</si>
  <si>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</si>
  <si>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</si>
  <si>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</si>
  <si>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</si>
  <si>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</si>
  <si>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</si>
  <si>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</si>
  <si>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</si>
  <si>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</si>
  <si>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</si>
  <si>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</si>
  <si>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</si>
  <si>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</si>
  <si>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</si>
  <si>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</si>
  <si>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</si>
  <si>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</si>
  <si>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</si>
  <si>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</si>
  <si>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</si>
  <si>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</si>
  <si>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</si>
  <si>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</si>
  <si>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</si>
  <si>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</si>
  <si>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</si>
  <si>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</si>
  <si>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</si>
  <si>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</si>
  <si>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</si>
  <si>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</si>
  <si>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</si>
  <si>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</si>
  <si>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</si>
  <si>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</si>
  <si>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</si>
  <si>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</si>
  <si>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</si>
  <si>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</si>
  <si>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</si>
  <si>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</si>
  <si>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</si>
  <si>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</si>
  <si>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</si>
  <si>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</si>
  <si>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</si>
  <si>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</si>
  <si>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</si>
  <si>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</si>
  <si>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</si>
  <si>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</si>
  <si>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</si>
  <si>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</si>
  <si>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</si>
  <si>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</si>
  <si>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</si>
  <si>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</si>
  <si>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</si>
  <si>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</si>
  <si>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</si>
  <si>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</si>
  <si>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</si>
  <si>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</si>
  <si>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</si>
  <si>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</si>
  <si>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</si>
  <si>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</si>
  <si>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</si>
  <si>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</si>
  <si>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</si>
  <si>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</si>
  <si>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</si>
  <si>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</si>
  <si>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</si>
  <si>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</si>
  <si>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</si>
  <si>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</si>
  <si>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</si>
  <si>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</si>
  <si>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</si>
  <si>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</si>
  <si>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</si>
  <si>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</si>
  <si>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</si>
  <si>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</si>
  <si>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</si>
  <si>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</si>
  <si>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</si>
  <si>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</si>
  <si>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</si>
  <si>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</si>
  <si>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</si>
  <si>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</si>
  <si>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</si>
  <si>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</si>
  <si>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</si>
  <si>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</si>
  <si>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</si>
  <si>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</si>
  <si>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</si>
  <si>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</si>
  <si>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</si>
  <si>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</si>
  <si>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</si>
  <si>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</si>
  <si>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</si>
  <si>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</si>
  <si>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</si>
  <si>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</si>
  <si>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</si>
  <si>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</si>
  <si>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</si>
  <si>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</si>
  <si>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</si>
  <si>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</si>
  <si>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</si>
  <si>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</si>
  <si>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</si>
  <si>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</si>
  <si>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</si>
  <si>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</si>
  <si>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</si>
  <si>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</si>
  <si>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</si>
  <si>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</si>
  <si>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</si>
  <si>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</si>
  <si>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</si>
  <si>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</si>
  <si>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</si>
  <si>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</si>
  <si>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</si>
  <si>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</si>
  <si>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</si>
  <si>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</si>
  <si>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</si>
  <si>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</si>
  <si>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</si>
  <si>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</si>
  <si>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</si>
  <si>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</si>
  <si>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</si>
  <si>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</si>
  <si>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</si>
  <si>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</si>
  <si>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</si>
  <si>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</si>
  <si>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</si>
  <si>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</si>
  <si>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</si>
  <si>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</si>
  <si>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</si>
  <si>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</si>
  <si>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</si>
  <si>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</si>
  <si>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</si>
  <si>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</si>
  <si>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</si>
  <si>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</si>
  <si>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</si>
  <si>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</si>
  <si>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</si>
  <si>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</si>
  <si>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</si>
  <si>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</si>
  <si>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</si>
  <si>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</si>
  <si>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</si>
  <si>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</si>
  <si>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</si>
  <si>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</si>
  <si>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</si>
  <si>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</si>
  <si>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</si>
  <si>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</si>
  <si>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</si>
  <si>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</si>
  <si>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</si>
  <si>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</si>
  <si>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</si>
  <si>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</si>
  <si>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</si>
  <si>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</si>
  <si>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</si>
  <si>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</si>
  <si>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</si>
  <si>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</si>
  <si>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</si>
  <si>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</si>
  <si>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</si>
  <si>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</si>
  <si>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</si>
  <si>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</si>
  <si>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</si>
  <si>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</si>
  <si>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</si>
  <si>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</si>
  <si>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</si>
  <si>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</si>
  <si>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</si>
  <si>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</si>
  <si>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</si>
  <si>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</si>
  <si>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</si>
  <si>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</si>
  <si>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</si>
  <si>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</si>
  <si>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</si>
  <si>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</si>
  <si>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</si>
  <si>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</si>
  <si>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</si>
  <si>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</si>
  <si>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</si>
  <si>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</si>
  <si>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</si>
  <si>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</si>
  <si>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</si>
  <si>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</si>
  <si>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</si>
  <si>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</si>
  <si>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</si>
  <si>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</si>
  <si>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</si>
  <si>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</si>
  <si>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</si>
  <si>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</si>
  <si>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</si>
  <si>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</si>
  <si>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</si>
  <si>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</si>
  <si>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</si>
  <si>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</si>
  <si>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</si>
  <si>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</si>
  <si>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</si>
  <si>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</si>
  <si>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</si>
  <si>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</si>
  <si>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</si>
  <si>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</si>
  <si>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</si>
  <si>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</si>
  <si>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</si>
  <si>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</si>
  <si>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</si>
  <si>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</si>
  <si>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</si>
  <si>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</si>
  <si>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</si>
  <si>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</si>
  <si>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</si>
  <si>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</si>
  <si>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</si>
  <si>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</si>
  <si>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</si>
  <si>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</si>
  <si>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</si>
  <si>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</si>
  <si>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</si>
  <si>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</si>
  <si>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</si>
  <si>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</si>
  <si>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</si>
  <si>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</si>
  <si>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 xml:space="preserve">                   Atmos Energy Corporation</t>
  </si>
  <si>
    <t>EXHIBIT C</t>
  </si>
  <si>
    <t xml:space="preserve">                                     Total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</si>
  <si>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</si>
  <si>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</si>
  <si>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</si>
  <si>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</si>
  <si>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</si>
  <si>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</si>
  <si>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</si>
  <si>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</si>
  <si>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</si>
  <si>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</si>
  <si>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</si>
  <si>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</si>
  <si>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</si>
  <si>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</si>
  <si>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</si>
  <si>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</si>
  <si>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</si>
  <si>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</si>
  <si>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</si>
  <si>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</si>
  <si>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</si>
  <si>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</si>
  <si>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</si>
  <si>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</si>
  <si>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</si>
  <si>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</si>
  <si>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</si>
  <si>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</si>
  <si>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</si>
  <si>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</si>
  <si>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</si>
  <si>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</si>
  <si>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</si>
  <si>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</si>
  <si>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</si>
  <si>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</si>
  <si>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</si>
  <si>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</si>
  <si>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</si>
  <si>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</si>
  <si>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</si>
  <si>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</si>
  <si>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</si>
  <si>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</si>
  <si>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</si>
  <si>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</si>
  <si>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</si>
  <si>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</si>
  <si>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</si>
  <si>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</si>
  <si>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</si>
  <si>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</si>
  <si>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</si>
  <si>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</si>
  <si>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</si>
  <si>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</si>
  <si>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</si>
  <si>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</si>
  <si>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</si>
  <si>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</si>
  <si>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</si>
  <si>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</si>
  <si>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</si>
  <si>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</si>
  <si>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</si>
  <si>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</si>
  <si>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</si>
  <si>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</si>
  <si>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</si>
  <si>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</si>
  <si>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</si>
  <si>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</si>
  <si>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</si>
  <si>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</si>
  <si>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</si>
  <si>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</si>
  <si>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</si>
  <si>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</si>
  <si>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</si>
  <si>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</si>
  <si>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</si>
  <si>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</si>
  <si>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</si>
  <si>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</si>
  <si>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</si>
  <si>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</si>
  <si>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</si>
  <si>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</si>
  <si>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</si>
  <si>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</si>
  <si>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</si>
  <si>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</si>
  <si>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</si>
  <si>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</si>
  <si>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</si>
  <si>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</si>
  <si>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</si>
  <si>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</si>
  <si>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</si>
  <si>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</si>
  <si>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</si>
  <si>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</si>
  <si>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</si>
  <si>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</si>
  <si>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</si>
  <si>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</si>
  <si>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</si>
  <si>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</si>
  <si>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</si>
  <si>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</si>
  <si>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</si>
  <si>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</si>
  <si>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</si>
  <si>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</si>
  <si>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</si>
  <si>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</si>
  <si>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</si>
  <si>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</si>
  <si>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</si>
  <si>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</si>
  <si>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</si>
  <si>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</si>
  <si>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</si>
  <si>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</si>
  <si>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</si>
  <si>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</si>
  <si>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</si>
  <si>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</si>
  <si>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</si>
  <si>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</si>
  <si>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</si>
  <si>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</si>
  <si>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</si>
  <si>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</si>
  <si>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</si>
  <si>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</si>
  <si>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</si>
  <si>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</si>
  <si>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</si>
  <si>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</si>
  <si>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</si>
  <si>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</si>
  <si>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</si>
  <si>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</si>
  <si>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</si>
  <si>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</si>
  <si>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</si>
  <si>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</si>
  <si>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</si>
  <si>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</si>
  <si>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</si>
  <si>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</si>
  <si>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</si>
  <si>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</si>
  <si>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</si>
  <si>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</si>
  <si>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</si>
  <si>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</si>
  <si>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</si>
  <si>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</si>
  <si>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</si>
  <si>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</si>
  <si>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</si>
  <si>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</si>
  <si>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</si>
  <si>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</si>
  <si>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</si>
  <si>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</si>
  <si>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</si>
  <si>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</si>
  <si>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</si>
  <si>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</si>
  <si>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</si>
  <si>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</si>
  <si>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</si>
  <si>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</si>
  <si>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</si>
  <si>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</si>
  <si>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</si>
  <si>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</si>
  <si>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</si>
  <si>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</si>
  <si>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</si>
  <si>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</si>
  <si>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</si>
  <si>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</si>
  <si>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</si>
  <si>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</si>
  <si>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</si>
  <si>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</si>
  <si>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</si>
  <si>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</si>
  <si>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</si>
  <si>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</si>
  <si>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</si>
  <si>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</si>
  <si>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</si>
  <si>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</si>
  <si>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</si>
  <si>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</si>
  <si>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</si>
  <si>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</si>
  <si>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</si>
  <si>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</si>
  <si>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</si>
  <si>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</si>
  <si>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</si>
  <si>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</si>
  <si>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</si>
  <si>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</si>
  <si>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</si>
  <si>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</si>
  <si>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</si>
  <si>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</si>
  <si>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</si>
  <si>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</si>
  <si>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</si>
  <si>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</si>
  <si>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</si>
  <si>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</si>
  <si>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</si>
  <si>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</si>
  <si>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</si>
  <si>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</si>
  <si>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</si>
  <si>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</si>
  <si>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</si>
  <si>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</si>
  <si>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</si>
  <si>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</si>
  <si>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 xml:space="preserve">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</si>
  <si>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</si>
  <si>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</si>
  <si>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</si>
  <si>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</si>
  <si>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</si>
  <si>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</si>
  <si>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</si>
  <si>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Distribution Charge (per Case No. 2015-00343)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</si>
  <si>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</si>
  <si>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</si>
  <si>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</si>
  <si>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</si>
  <si>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</si>
  <si>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</si>
  <si>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</si>
  <si>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</si>
  <si>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</si>
  <si>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</si>
  <si>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2020-00111</t>
  </si>
  <si>
    <t>2020-00000</t>
  </si>
  <si>
    <t>(Over)/Under Recovered Gas Cost through January 2020 (February 2020 GL)</t>
  </si>
  <si>
    <t>Total Gas Cost Under/(Over) Recovery for the three months ended April 2020</t>
  </si>
  <si>
    <t>Prior Net Uncollectable Gas Cost as of November, 2018</t>
  </si>
  <si>
    <t>(Over)/Under Recovered Gas Cost through April 2020 (May 2020 GL) (a)</t>
  </si>
  <si>
    <t>Net Uncollectible Gas Cost through November 2019 (c)</t>
  </si>
  <si>
    <t>Total Deferred Balance through April 2020 (May 2020 GL) incl. Net Uncol Gas Cost</t>
  </si>
  <si>
    <t>For the Quarter ending  October - 2020</t>
  </si>
  <si>
    <t>The Company believes prices are decreasing and prices for the quarter ending October 31, 2020 will settle at $1.824 per MMBTU (based on the average of the past ten days) for the period that the GCA is to become effective.</t>
  </si>
  <si>
    <t>Thursday</t>
  </si>
  <si>
    <t>Friday</t>
  </si>
  <si>
    <t>Monday</t>
  </si>
  <si>
    <t>Tuesday</t>
  </si>
  <si>
    <t>Wednesday</t>
  </si>
  <si>
    <t>The Gas Supply Department reviewed the NYMEX futures close prices for the quarter of August 2020 through October 2020 during the period June 11 through June 24,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</si>
</sst>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5" formatCode="&quot;$&quot;#,##0.0000"/>
    <numFmt numFmtId="206" formatCode="###,000"/>
    <numFmt numFmtId="209" formatCode="0.000%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sz val="12"/>
      <color indexed="81"/>
      <name val="Tahoma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8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67" fillId="0" borderId="0" applyNumberFormat="0" applyFill="0" applyBorder="0" applyAlignment="0" applyProtection="0"/>
    <xf numFmtId="0" fontId="68" fillId="0" borderId="13" applyNumberFormat="0" applyFont="0" applyFill="0" applyAlignment="0" applyProtection="0"/>
    <xf numFmtId="206" fontId="69" fillId="0" borderId="14" applyNumberFormat="0" applyProtection="0">
      <alignment horizontal="right" vertical="center"/>
    </xf>
    <xf numFmtId="206" fontId="70" fillId="0" borderId="15" applyNumberFormat="0" applyProtection="0">
      <alignment horizontal="right" vertical="center"/>
    </xf>
    <xf numFmtId="0" fontId="70" fillId="5" borderId="13" applyNumberFormat="0" applyAlignment="0" applyProtection="0">
      <alignment horizontal="left" vertical="center" indent="1"/>
    </xf>
    <xf numFmtId="0" fontId="71" fillId="6" borderId="15" applyNumberFormat="0" applyAlignment="0" applyProtection="0">
      <alignment horizontal="left" vertical="center" indent="1"/>
    </xf>
    <xf numFmtId="0" fontId="71" fillId="6" borderId="15" applyNumberFormat="0" applyAlignment="0" applyProtection="0">
      <alignment horizontal="left" vertical="center" indent="1"/>
    </xf>
    <xf numFmtId="0" fontId="72" fillId="0" borderId="16" applyNumberFormat="0" applyFill="0" applyBorder="0" applyAlignment="0" applyProtection="0"/>
    <xf numFmtId="206" fontId="73" fillId="7" borderId="17" applyNumberFormat="0" applyBorder="0" applyAlignment="0" applyProtection="0">
      <alignment horizontal="right" vertical="center" indent="1"/>
    </xf>
    <xf numFmtId="206" fontId="74" fillId="8" borderId="17" applyNumberFormat="0" applyBorder="0" applyAlignment="0" applyProtection="0">
      <alignment horizontal="right" vertical="center" indent="1"/>
    </xf>
    <xf numFmtId="206" fontId="74" fillId="9" borderId="17" applyNumberFormat="0" applyBorder="0" applyAlignment="0" applyProtection="0">
      <alignment horizontal="right" vertical="center" indent="1"/>
    </xf>
    <xf numFmtId="206" fontId="75" fillId="10" borderId="17" applyNumberFormat="0" applyBorder="0" applyAlignment="0" applyProtection="0">
      <alignment horizontal="right" vertical="center" indent="1"/>
    </xf>
    <xf numFmtId="206" fontId="75" fillId="11" borderId="17" applyNumberFormat="0" applyBorder="0" applyAlignment="0" applyProtection="0">
      <alignment horizontal="right" vertical="center" indent="1"/>
    </xf>
    <xf numFmtId="206" fontId="75" fillId="12" borderId="17" applyNumberFormat="0" applyBorder="0" applyAlignment="0" applyProtection="0">
      <alignment horizontal="right" vertical="center" indent="1"/>
    </xf>
    <xf numFmtId="206" fontId="76" fillId="13" borderId="17" applyNumberFormat="0" applyBorder="0" applyAlignment="0" applyProtection="0">
      <alignment horizontal="right" vertical="center" indent="1"/>
    </xf>
    <xf numFmtId="206" fontId="76" fillId="14" borderId="17" applyNumberFormat="0" applyBorder="0" applyAlignment="0" applyProtection="0">
      <alignment horizontal="right" vertical="center" indent="1"/>
    </xf>
    <xf numFmtId="206" fontId="76" fillId="15" borderId="17" applyNumberFormat="0" applyBorder="0" applyAlignment="0" applyProtection="0">
      <alignment horizontal="right" vertical="center" indent="1"/>
    </xf>
    <xf numFmtId="0" fontId="71" fillId="16" borderId="13" applyNumberFormat="0" applyAlignment="0" applyProtection="0">
      <alignment horizontal="left" vertical="center" indent="1"/>
    </xf>
    <xf numFmtId="0" fontId="71" fillId="17" borderId="13" applyNumberFormat="0" applyAlignment="0" applyProtection="0">
      <alignment horizontal="left" vertical="center" indent="1"/>
    </xf>
    <xf numFmtId="0" fontId="71" fillId="18" borderId="13" applyNumberFormat="0" applyAlignment="0" applyProtection="0">
      <alignment horizontal="left" vertical="center" indent="1"/>
    </xf>
    <xf numFmtId="0" fontId="71" fillId="19" borderId="13" applyNumberFormat="0" applyAlignment="0" applyProtection="0">
      <alignment horizontal="left" vertical="center" indent="1"/>
    </xf>
    <xf numFmtId="0" fontId="71" fillId="20" borderId="15" applyNumberFormat="0" applyAlignment="0" applyProtection="0">
      <alignment horizontal="left" vertical="center" indent="1"/>
    </xf>
    <xf numFmtId="206" fontId="69" fillId="19" borderId="14" applyNumberFormat="0" applyBorder="0" applyProtection="0">
      <alignment horizontal="right" vertical="center"/>
    </xf>
    <xf numFmtId="206" fontId="70" fillId="19" borderId="15" applyNumberFormat="0" applyBorder="0" applyProtection="0">
      <alignment horizontal="right" vertical="center"/>
    </xf>
    <xf numFmtId="206" fontId="69" fillId="21" borderId="13" applyNumberFormat="0" applyAlignment="0" applyProtection="0">
      <alignment horizontal="left" vertical="center" indent="1"/>
    </xf>
    <xf numFmtId="0" fontId="70" fillId="5" borderId="15" applyNumberFormat="0" applyAlignment="0" applyProtection="0">
      <alignment horizontal="left" vertical="center" indent="1"/>
    </xf>
    <xf numFmtId="0" fontId="71" fillId="20" borderId="15" applyNumberFormat="0" applyAlignment="0" applyProtection="0">
      <alignment horizontal="left" vertical="center" indent="1"/>
    </xf>
    <xf numFmtId="206" fontId="70" fillId="20" borderId="15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3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1" xfId="1" applyNumberFormat="1" applyFill="1" applyBorder="1"/>
    <xf numFmtId="0" fontId="1" fillId="0" borderId="0" xfId="1" applyFont="1" applyBorder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" fillId="2" borderId="1" xfId="1" applyFill="1" applyBorder="1"/>
    <xf numFmtId="14" fontId="1" fillId="2" borderId="1" xfId="1" applyNumberFormat="1" applyFill="1" applyBorder="1"/>
    <xf numFmtId="49" fontId="1" fillId="2" borderId="1" xfId="1" applyNumberFormat="1" applyFill="1" applyBorder="1"/>
    <xf numFmtId="0" fontId="1" fillId="2" borderId="0" xfId="1" applyFill="1" applyBorder="1"/>
    <xf numFmtId="175" fontId="1" fillId="2" borderId="0" xfId="1" applyNumberFormat="1" applyFill="1" applyBorder="1"/>
    <xf numFmtId="14" fontId="1" fillId="2" borderId="0" xfId="1" applyNumberFormat="1" applyFill="1"/>
    <xf numFmtId="49" fontId="1" fillId="2" borderId="0" xfId="1" applyNumberFormat="1" applyFill="1" applyBorder="1"/>
    <xf numFmtId="0" fontId="1" fillId="2" borderId="2" xfId="1" applyFill="1" applyBorder="1"/>
    <xf numFmtId="49" fontId="1" fillId="2" borderId="2" xfId="1" applyNumberFormat="1" applyFill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5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2" xfId="1" applyFill="1" applyBorder="1"/>
    <xf numFmtId="49" fontId="1" fillId="3" borderId="2" xfId="1" applyNumberFormat="1" applyFill="1" applyBorder="1"/>
    <xf numFmtId="0" fontId="1" fillId="2" borderId="0" xfId="1" applyFill="1"/>
    <xf numFmtId="175" fontId="1" fillId="2" borderId="0" xfId="1" applyNumberFormat="1" applyFill="1"/>
    <xf numFmtId="49" fontId="1" fillId="2" borderId="0" xfId="1" applyNumberFormat="1" applyFill="1"/>
    <xf numFmtId="0" fontId="1" fillId="3" borderId="0" xfId="1" applyFill="1"/>
    <xf numFmtId="175" fontId="1" fillId="3" borderId="0" xfId="1" applyNumberFormat="1" applyFill="1"/>
    <xf numFmtId="49" fontId="1" fillId="3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4" xfId="6" applyNumberFormat="1" applyFont="1" applyFill="1" applyBorder="1" applyProtection="1"/>
    <xf numFmtId="0" fontId="14" fillId="0" borderId="4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5" xfId="6" applyNumberFormat="1" applyFont="1" applyFill="1" applyBorder="1" applyProtection="1"/>
    <xf numFmtId="37" fontId="14" fillId="0" borderId="2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6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5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7" fontId="14" fillId="0" borderId="0" xfId="6" applyNumberFormat="1" applyFont="1" applyFill="1" applyBorder="1" applyProtection="1"/>
    <xf numFmtId="177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6" xfId="6" applyFont="1" applyFill="1" applyBorder="1" applyProtection="1"/>
    <xf numFmtId="0" fontId="18" fillId="0" borderId="6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6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8" fontId="14" fillId="0" borderId="4" xfId="4" applyNumberFormat="1" applyFont="1" applyFill="1" applyBorder="1" applyProtection="1"/>
    <xf numFmtId="10" fontId="14" fillId="0" borderId="4" xfId="6" applyNumberFormat="1" applyFont="1" applyFill="1" applyBorder="1" applyProtection="1"/>
    <xf numFmtId="179" fontId="14" fillId="0" borderId="0" xfId="6" applyNumberFormat="1" applyFont="1" applyFill="1" applyAlignment="1" applyProtection="1">
      <alignment horizontal="center"/>
    </xf>
    <xf numFmtId="176" fontId="14" fillId="0" borderId="0" xfId="6" applyNumberFormat="1" applyFont="1" applyFill="1" applyProtection="1"/>
    <xf numFmtId="180" fontId="14" fillId="0" borderId="0" xfId="2" applyNumberFormat="1" applyFont="1" applyFill="1" applyBorder="1" applyProtection="1"/>
    <xf numFmtId="37" fontId="14" fillId="0" borderId="6" xfId="6" applyNumberFormat="1" applyFont="1" applyFill="1" applyBorder="1" applyProtection="1"/>
    <xf numFmtId="178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6" fontId="14" fillId="0" borderId="0" xfId="6" applyNumberFormat="1" applyFont="1" applyFill="1" applyBorder="1" applyProtection="1"/>
    <xf numFmtId="0" fontId="14" fillId="0" borderId="6" xfId="6" applyFont="1" applyFill="1" applyBorder="1" applyProtection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8" fontId="14" fillId="0" borderId="4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6" fontId="14" fillId="0" borderId="0" xfId="6" applyNumberFormat="1" applyFont="1" applyProtection="1"/>
    <xf numFmtId="0" fontId="14" fillId="0" borderId="0" xfId="6" applyFont="1" applyBorder="1" applyProtection="1"/>
    <xf numFmtId="176" fontId="14" fillId="0" borderId="0" xfId="6" applyNumberFormat="1" applyFont="1" applyBorder="1" applyAlignment="1" applyProtection="1">
      <alignment horizontal="center"/>
    </xf>
    <xf numFmtId="0" fontId="14" fillId="0" borderId="6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7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6" xfId="6" applyNumberFormat="1" applyFont="1" applyFill="1" applyBorder="1" applyProtection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6" xfId="6" applyFont="1" applyBorder="1" applyAlignment="1" applyProtection="1">
      <alignment horizontal="center"/>
    </xf>
    <xf numFmtId="0" fontId="18" fillId="0" borderId="6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4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4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80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9" fontId="14" fillId="0" borderId="0" xfId="6" applyNumberFormat="1" applyFont="1" applyFill="1" applyBorder="1" applyProtection="1"/>
    <xf numFmtId="169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6" xfId="6" applyFont="1" applyFill="1" applyBorder="1" applyAlignment="1" applyProtection="1">
      <alignment horizontal="center"/>
    </xf>
    <xf numFmtId="0" fontId="14" fillId="0" borderId="6" xfId="6" applyFont="1" applyFill="1" applyBorder="1" applyAlignment="1" applyProtection="1">
      <alignment horizontal="centerContinuous"/>
    </xf>
    <xf numFmtId="183" fontId="14" fillId="0" borderId="4" xfId="6" applyNumberFormat="1" applyFont="1" applyFill="1" applyBorder="1" applyProtection="1"/>
    <xf numFmtId="5" fontId="14" fillId="0" borderId="4" xfId="6" applyNumberFormat="1" applyFont="1" applyFill="1" applyBorder="1" applyProtection="1"/>
    <xf numFmtId="183" fontId="14" fillId="0" borderId="0" xfId="6" applyNumberFormat="1" applyFont="1" applyFill="1" applyBorder="1" applyAlignment="1" applyProtection="1">
      <alignment horizontal="right"/>
    </xf>
    <xf numFmtId="183" fontId="14" fillId="0" borderId="0" xfId="6" applyNumberFormat="1" applyFont="1" applyFill="1" applyBorder="1" applyProtection="1"/>
    <xf numFmtId="183" fontId="14" fillId="0" borderId="0" xfId="6" applyNumberFormat="1" applyFont="1" applyFill="1" applyProtection="1"/>
    <xf numFmtId="181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81" fontId="13" fillId="0" borderId="0" xfId="2" applyNumberFormat="1" applyFont="1" applyFill="1"/>
    <xf numFmtId="175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81" fontId="13" fillId="0" borderId="0" xfId="6" applyNumberFormat="1" applyFont="1" applyFill="1"/>
    <xf numFmtId="37" fontId="14" fillId="0" borderId="8" xfId="6" applyNumberFormat="1" applyFont="1" applyFill="1" applyBorder="1" applyProtection="1"/>
    <xf numFmtId="37" fontId="14" fillId="0" borderId="8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5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9" xfId="6" applyNumberFormat="1" applyFont="1" applyFill="1" applyBorder="1" applyProtection="1"/>
    <xf numFmtId="0" fontId="19" fillId="0" borderId="0" xfId="6" applyFont="1" applyFill="1" applyProtection="1"/>
    <xf numFmtId="184" fontId="0" fillId="0" borderId="0" xfId="4" applyNumberFormat="1" applyFont="1"/>
    <xf numFmtId="185" fontId="3" fillId="0" borderId="0" xfId="6" applyNumberFormat="1" applyFon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0" fontId="3" fillId="0" borderId="1" xfId="6" applyBorder="1" applyAlignment="1">
      <alignment horizontal="centerContinuous"/>
    </xf>
    <xf numFmtId="186" fontId="3" fillId="0" borderId="1" xfId="6" applyNumberFormat="1" applyBorder="1" applyAlignment="1">
      <alignment horizontal="centerContinuous"/>
    </xf>
    <xf numFmtId="186" fontId="3" fillId="0" borderId="0" xfId="6" applyNumberFormat="1"/>
    <xf numFmtId="0" fontId="6" fillId="0" borderId="0" xfId="6" applyFont="1"/>
    <xf numFmtId="0" fontId="3" fillId="0" borderId="0" xfId="6" applyAlignment="1">
      <alignment horizontal="centerContinuous"/>
    </xf>
    <xf numFmtId="0" fontId="3" fillId="0" borderId="0" xfId="6" applyFont="1"/>
    <xf numFmtId="0" fontId="3" fillId="0" borderId="0" xfId="6" applyFill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4" fillId="0" borderId="0" xfId="6" applyFont="1" applyAlignment="1" applyProtection="1"/>
    <xf numFmtId="188" fontId="34" fillId="0" borderId="0" xfId="6" applyNumberFormat="1" applyFont="1" applyAlignment="1" applyProtection="1"/>
    <xf numFmtId="0" fontId="34" fillId="0" borderId="0" xfId="6" applyFont="1" applyProtection="1"/>
    <xf numFmtId="0" fontId="32" fillId="0" borderId="0" xfId="6" applyFont="1" applyAlignment="1" applyProtection="1"/>
    <xf numFmtId="0" fontId="35" fillId="0" borderId="0" xfId="6" applyFont="1" applyProtection="1"/>
    <xf numFmtId="189" fontId="36" fillId="0" borderId="0" xfId="4" applyNumberFormat="1" applyFont="1" applyFill="1" applyBorder="1" applyProtection="1"/>
    <xf numFmtId="0" fontId="37" fillId="0" borderId="0" xfId="6" applyFont="1" applyFill="1" applyBorder="1" applyProtection="1"/>
    <xf numFmtId="0" fontId="36" fillId="0" borderId="0" xfId="6" applyFont="1" applyFill="1" applyBorder="1" applyProtection="1">
      <protection locked="0"/>
    </xf>
    <xf numFmtId="189" fontId="33" fillId="0" borderId="3" xfId="4" applyNumberFormat="1" applyFont="1" applyBorder="1" applyProtection="1"/>
    <xf numFmtId="189" fontId="33" fillId="0" borderId="0" xfId="4" applyNumberFormat="1" applyFont="1" applyBorder="1" applyProtection="1"/>
    <xf numFmtId="0" fontId="33" fillId="0" borderId="0" xfId="6" applyFont="1" applyProtection="1"/>
    <xf numFmtId="188" fontId="33" fillId="0" borderId="0" xfId="6" applyNumberFormat="1" applyFont="1" applyProtection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0" fontId="32" fillId="0" borderId="0" xfId="6" applyNumberFormat="1" applyFont="1" applyBorder="1" applyProtection="1">
      <protection locked="0"/>
    </xf>
    <xf numFmtId="191" fontId="38" fillId="0" borderId="0" xfId="6" applyNumberFormat="1" applyFont="1" applyFill="1"/>
    <xf numFmtId="191" fontId="39" fillId="0" borderId="0" xfId="6" applyNumberFormat="1" applyFont="1" applyFill="1"/>
    <xf numFmtId="0" fontId="35" fillId="0" borderId="6" xfId="6" quotePrefix="1" applyFont="1" applyBorder="1" applyAlignment="1" applyProtection="1">
      <alignment horizontal="center"/>
    </xf>
    <xf numFmtId="0" fontId="35" fillId="0" borderId="0" xfId="6" quotePrefix="1" applyFont="1" applyBorder="1" applyAlignment="1" applyProtection="1">
      <alignment horizontal="center"/>
    </xf>
    <xf numFmtId="188" fontId="35" fillId="0" borderId="0" xfId="6" applyNumberFormat="1" applyFont="1" applyProtection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35" fillId="0" borderId="0" xfId="6" applyFont="1" applyAlignment="1" applyProtection="1">
      <alignment horizontal="centerContinuous"/>
    </xf>
    <xf numFmtId="188" fontId="35" fillId="0" borderId="0" xfId="6" applyNumberFormat="1" applyFont="1" applyAlignment="1" applyProtection="1">
      <alignment horizontal="centerContinuous"/>
    </xf>
    <xf numFmtId="0" fontId="39" fillId="0" borderId="0" xfId="6" applyFont="1" applyAlignment="1" applyProtection="1">
      <alignment horizontal="centerContinuous"/>
      <protection locked="0"/>
    </xf>
    <xf numFmtId="0" fontId="34" fillId="0" borderId="0" xfId="6" applyFont="1" applyAlignment="1" applyProtection="1">
      <alignment horizontal="centerContinuous"/>
    </xf>
    <xf numFmtId="188" fontId="34" fillId="0" borderId="0" xfId="6" applyNumberFormat="1" applyFont="1" applyAlignment="1" applyProtection="1">
      <alignment horizontal="centerContinuous"/>
    </xf>
    <xf numFmtId="0" fontId="40" fillId="0" borderId="0" xfId="6" applyFont="1" applyAlignment="1" applyProtection="1">
      <alignment horizontal="centerContinuous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3" fillId="0" borderId="0" xfId="8" applyFont="1" applyProtection="1"/>
    <xf numFmtId="166" fontId="43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8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4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5" xfId="9" quotePrefix="1" applyNumberFormat="1" applyFont="1" applyFill="1" applyBorder="1"/>
    <xf numFmtId="7" fontId="45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94" fontId="13" fillId="0" borderId="0" xfId="8" applyNumberFormat="1" applyFont="1" applyAlignment="1" applyProtection="1"/>
    <xf numFmtId="0" fontId="43" fillId="0" borderId="0" xfId="8" applyFont="1" applyAlignment="1" applyProtection="1"/>
    <xf numFmtId="43" fontId="13" fillId="0" borderId="0" xfId="10" applyFont="1"/>
    <xf numFmtId="181" fontId="13" fillId="0" borderId="0" xfId="8" applyNumberFormat="1" applyFont="1"/>
    <xf numFmtId="0" fontId="46" fillId="0" borderId="0" xfId="8" applyFont="1" applyProtection="1"/>
    <xf numFmtId="195" fontId="13" fillId="0" borderId="0" xfId="8" applyNumberFormat="1" applyFont="1" applyProtection="1"/>
    <xf numFmtId="43" fontId="13" fillId="0" borderId="0" xfId="8" applyNumberFormat="1" applyFont="1" applyProtection="1"/>
    <xf numFmtId="0" fontId="42" fillId="0" borderId="0" xfId="8"/>
    <xf numFmtId="181" fontId="13" fillId="0" borderId="3" xfId="10" applyNumberFormat="1" applyFont="1" applyBorder="1" applyProtection="1"/>
    <xf numFmtId="181" fontId="13" fillId="0" borderId="3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6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6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3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42" fillId="0" borderId="0" xfId="8" applyNumberFormat="1"/>
    <xf numFmtId="39" fontId="13" fillId="0" borderId="3" xfId="8" applyNumberFormat="1" applyFont="1" applyFill="1" applyBorder="1" applyProtection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 applyBorder="1"/>
    <xf numFmtId="0" fontId="42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7" fontId="13" fillId="0" borderId="0" xfId="8" applyNumberFormat="1" applyFont="1" applyProtection="1"/>
    <xf numFmtId="165" fontId="13" fillId="0" borderId="0" xfId="8" applyNumberFormat="1" applyFont="1" applyProtection="1"/>
    <xf numFmtId="197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3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6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6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6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13" fillId="0" borderId="0" xfId="8" applyFont="1" applyAlignment="1" applyProtection="1">
      <alignment horizontal="centerContinuous"/>
    </xf>
    <xf numFmtId="186" fontId="13" fillId="0" borderId="1" xfId="8" applyNumberFormat="1" applyFont="1" applyBorder="1" applyAlignment="1" applyProtection="1">
      <alignment horizontal="centerContinuous"/>
    </xf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3" xfId="4" applyFont="1" applyBorder="1"/>
    <xf numFmtId="43" fontId="33" fillId="0" borderId="1" xfId="2" applyFont="1" applyBorder="1"/>
    <xf numFmtId="164" fontId="49" fillId="0" borderId="0" xfId="15" applyFont="1"/>
    <xf numFmtId="43" fontId="35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4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0" xfId="16" quotePrefix="1" applyFont="1" applyBorder="1"/>
    <xf numFmtId="164" fontId="43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43" fillId="0" borderId="0" xfId="16" applyFont="1" applyBorder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6" xfId="16" applyFont="1" applyBorder="1" applyAlignment="1" applyProtection="1">
      <alignment horizontal="center"/>
    </xf>
    <xf numFmtId="164" fontId="18" fillId="0" borderId="6" xfId="16" applyFont="1" applyBorder="1" applyProtection="1"/>
    <xf numFmtId="164" fontId="18" fillId="0" borderId="6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43" fillId="0" borderId="0" xfId="16" applyFont="1"/>
    <xf numFmtId="164" fontId="52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49" fontId="13" fillId="0" borderId="0" xfId="8" applyNumberFormat="1" applyFont="1" applyAlignment="1" applyProtection="1"/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81" fontId="13" fillId="0" borderId="0" xfId="10" applyNumberFormat="1" applyFont="1" applyFill="1"/>
    <xf numFmtId="0" fontId="42" fillId="0" borderId="0" xfId="8" applyFill="1"/>
    <xf numFmtId="43" fontId="42" fillId="0" borderId="0" xfId="18" applyFont="1" applyFill="1"/>
    <xf numFmtId="40" fontId="58" fillId="0" borderId="0" xfId="34" applyNumberFormat="1">
      <alignment vertical="center"/>
    </xf>
    <xf numFmtId="43" fontId="13" fillId="0" borderId="0" xfId="18" applyFont="1" applyProtection="1"/>
    <xf numFmtId="7" fontId="42" fillId="0" borderId="0" xfId="8" applyNumberFormat="1"/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4" xfId="6" applyNumberFormat="1" applyFont="1" applyFill="1" applyBorder="1" applyProtection="1">
      <protection locked="0"/>
    </xf>
    <xf numFmtId="0" fontId="14" fillId="0" borderId="7" xfId="6" applyFont="1" applyFill="1" applyBorder="1" applyProtection="1"/>
    <xf numFmtId="37" fontId="14" fillId="0" borderId="7" xfId="6" applyNumberFormat="1" applyFont="1" applyFill="1" applyBorder="1" applyProtection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3" xfId="25" applyFont="1" applyBorder="1"/>
    <xf numFmtId="43" fontId="58" fillId="0" borderId="0" xfId="18" applyFont="1"/>
    <xf numFmtId="0" fontId="58" fillId="0" borderId="0" xfId="35"/>
    <xf numFmtId="164" fontId="13" fillId="0" borderId="0" xfId="16" applyFont="1"/>
    <xf numFmtId="0" fontId="59" fillId="0" borderId="0" xfId="6" applyFont="1"/>
    <xf numFmtId="180" fontId="1" fillId="0" borderId="0" xfId="18" applyNumberFormat="1" applyFont="1"/>
    <xf numFmtId="7" fontId="13" fillId="0" borderId="0" xfId="8" applyNumberFormat="1" applyFont="1" applyFill="1"/>
    <xf numFmtId="176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9" fontId="0" fillId="0" borderId="0" xfId="0" applyNumberFormat="1"/>
    <xf numFmtId="167" fontId="14" fillId="0" borderId="4" xfId="6" applyNumberFormat="1" applyFont="1" applyFill="1" applyBorder="1" applyProtection="1"/>
    <xf numFmtId="9" fontId="1" fillId="0" borderId="0" xfId="45" applyFont="1"/>
    <xf numFmtId="180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3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8" fontId="13" fillId="0" borderId="0" xfId="25" applyNumberFormat="1" applyFont="1"/>
    <xf numFmtId="166" fontId="43" fillId="0" borderId="11" xfId="25" applyNumberFormat="1" applyFont="1" applyBorder="1"/>
    <xf numFmtId="166" fontId="43" fillId="0" borderId="0" xfId="25" applyNumberFormat="1" applyFont="1" applyBorder="1"/>
    <xf numFmtId="178" fontId="43" fillId="0" borderId="11" xfId="25" applyNumberFormat="1" applyFont="1" applyBorder="1"/>
    <xf numFmtId="178" fontId="43" fillId="0" borderId="0" xfId="25" applyNumberFormat="1" applyFont="1" applyBorder="1"/>
    <xf numFmtId="164" fontId="33" fillId="0" borderId="0" xfId="15" applyFont="1" applyAlignment="1"/>
    <xf numFmtId="44" fontId="62" fillId="0" borderId="0" xfId="4" applyFont="1"/>
    <xf numFmtId="205" fontId="13" fillId="0" borderId="0" xfId="8" applyNumberFormat="1" applyFont="1" applyFill="1" applyProtection="1"/>
    <xf numFmtId="37" fontId="64" fillId="0" borderId="0" xfId="6" applyNumberFormat="1" applyFont="1" applyFill="1" applyProtection="1"/>
    <xf numFmtId="177" fontId="64" fillId="0" borderId="0" xfId="6" applyNumberFormat="1" applyFont="1" applyFill="1" applyProtection="1"/>
    <xf numFmtId="0" fontId="64" fillId="0" borderId="0" xfId="6" applyFont="1" applyFill="1" applyProtection="1"/>
    <xf numFmtId="0" fontId="64" fillId="0" borderId="0" xfId="6" applyFont="1" applyFill="1"/>
    <xf numFmtId="0" fontId="64" fillId="0" borderId="0" xfId="6" applyFont="1" applyFill="1" applyBorder="1" applyAlignment="1" applyProtection="1">
      <alignment horizontal="center"/>
    </xf>
    <xf numFmtId="37" fontId="64" fillId="0" borderId="0" xfId="8" applyNumberFormat="1" applyFont="1" applyFill="1" applyProtection="1">
      <protection locked="0"/>
    </xf>
    <xf numFmtId="37" fontId="64" fillId="0" borderId="1" xfId="8" applyNumberFormat="1" applyFont="1" applyFill="1" applyBorder="1" applyProtection="1">
      <protection locked="0"/>
    </xf>
    <xf numFmtId="37" fontId="64" fillId="0" borderId="0" xfId="8" applyNumberFormat="1" applyFont="1" applyProtection="1">
      <protection locked="0"/>
    </xf>
    <xf numFmtId="0" fontId="64" fillId="0" borderId="0" xfId="8" applyFont="1" applyProtection="1"/>
    <xf numFmtId="0" fontId="64" fillId="0" borderId="0" xfId="8" applyFont="1" applyProtection="1">
      <protection locked="0"/>
    </xf>
    <xf numFmtId="37" fontId="64" fillId="0" borderId="1" xfId="8" applyNumberFormat="1" applyFont="1" applyBorder="1" applyProtection="1">
      <protection locked="0"/>
    </xf>
    <xf numFmtId="37" fontId="64" fillId="0" borderId="0" xfId="8" applyNumberFormat="1" applyFont="1" applyFill="1" applyProtection="1"/>
    <xf numFmtId="166" fontId="64" fillId="0" borderId="0" xfId="8" applyNumberFormat="1" applyFont="1" applyFill="1" applyProtection="1">
      <protection locked="0"/>
    </xf>
    <xf numFmtId="39" fontId="64" fillId="0" borderId="0" xfId="8" applyNumberFormat="1" applyFont="1" applyFill="1" applyBorder="1" applyProtection="1"/>
    <xf numFmtId="0" fontId="65" fillId="0" borderId="0" xfId="8" applyFont="1" applyFill="1"/>
    <xf numFmtId="0" fontId="64" fillId="0" borderId="0" xfId="8" applyFont="1" applyFill="1"/>
    <xf numFmtId="205" fontId="64" fillId="0" borderId="0" xfId="8" applyNumberFormat="1" applyFont="1" applyFill="1" applyProtection="1"/>
    <xf numFmtId="205" fontId="64" fillId="0" borderId="0" xfId="8" applyNumberFormat="1" applyFont="1" applyFill="1"/>
    <xf numFmtId="165" fontId="61" fillId="0" borderId="0" xfId="1" applyNumberFormat="1" applyFont="1" applyFill="1"/>
    <xf numFmtId="165" fontId="61" fillId="0" borderId="0" xfId="6" applyNumberFormat="1" applyFont="1" applyFill="1"/>
    <xf numFmtId="165" fontId="61" fillId="0" borderId="0" xfId="6" applyNumberFormat="1" applyFont="1"/>
    <xf numFmtId="165" fontId="61" fillId="0" borderId="1" xfId="6" applyNumberFormat="1" applyFont="1" applyFill="1" applyBorder="1"/>
    <xf numFmtId="0" fontId="61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2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 applyProtection="1">
      <alignment horizontal="left"/>
    </xf>
    <xf numFmtId="165" fontId="5" fillId="0" borderId="0" xfId="16" applyNumberFormat="1" applyFont="1"/>
    <xf numFmtId="180" fontId="13" fillId="0" borderId="0" xfId="2" applyNumberFormat="1" applyFont="1" applyFill="1" applyProtection="1"/>
    <xf numFmtId="7" fontId="1" fillId="0" borderId="0" xfId="13" applyNumberFormat="1" applyFont="1"/>
    <xf numFmtId="39" fontId="13" fillId="0" borderId="0" xfId="8" quotePrefix="1" applyNumberFormat="1" applyFont="1" applyFill="1" applyBorder="1" applyProtection="1"/>
    <xf numFmtId="166" fontId="43" fillId="0" borderId="0" xfId="8" applyNumberFormat="1" applyFont="1" applyFill="1" applyBorder="1" applyProtection="1"/>
    <xf numFmtId="39" fontId="13" fillId="0" borderId="0" xfId="8" applyNumberFormat="1" applyFont="1" applyFill="1"/>
    <xf numFmtId="166" fontId="43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3" fillId="0" borderId="3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90" fontId="13" fillId="0" borderId="0" xfId="8" applyNumberFormat="1" applyFont="1" applyFill="1" applyProtection="1">
      <protection locked="0"/>
    </xf>
    <xf numFmtId="190" fontId="13" fillId="0" borderId="0" xfId="8" applyNumberFormat="1" applyFont="1" applyFill="1"/>
    <xf numFmtId="190" fontId="42" fillId="0" borderId="0" xfId="8" applyNumberFormat="1" applyFill="1"/>
    <xf numFmtId="165" fontId="1" fillId="0" borderId="0" xfId="6" applyNumberFormat="1" applyFont="1" applyFill="1"/>
    <xf numFmtId="176" fontId="16" fillId="0" borderId="0" xfId="6" applyNumberFormat="1" applyFont="1" applyFill="1" applyAlignment="1" applyProtection="1">
      <alignment horizontal="center"/>
    </xf>
    <xf numFmtId="165" fontId="64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44" fontId="13" fillId="0" borderId="0" xfId="79" applyFont="1"/>
    <xf numFmtId="44" fontId="56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44" fontId="56" fillId="0" borderId="0" xfId="79" applyFont="1" applyFill="1" applyBorder="1" applyAlignment="1">
      <alignment horizontal="left"/>
    </xf>
    <xf numFmtId="166" fontId="13" fillId="0" borderId="0" xfId="8" applyNumberFormat="1" applyFont="1" applyFill="1" applyProtection="1">
      <protection locked="0"/>
    </xf>
    <xf numFmtId="164" fontId="63" fillId="0" borderId="0" xfId="16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 applyFill="1"/>
    <xf numFmtId="175" fontId="13" fillId="0" borderId="0" xfId="2" applyNumberFormat="1" applyFont="1" applyFill="1"/>
    <xf numFmtId="0" fontId="64" fillId="0" borderId="0" xfId="8" applyFont="1" applyFill="1" applyProtection="1"/>
    <xf numFmtId="0" fontId="64" fillId="0" borderId="0" xfId="8" applyFont="1" applyFill="1" applyProtection="1">
      <protection locked="0"/>
    </xf>
    <xf numFmtId="37" fontId="64" fillId="0" borderId="0" xfId="10" applyNumberFormat="1" applyFont="1" applyFill="1" applyProtection="1"/>
    <xf numFmtId="7" fontId="64" fillId="0" borderId="0" xfId="8" applyNumberFormat="1" applyFont="1" applyFill="1" applyProtection="1">
      <protection locked="0"/>
    </xf>
    <xf numFmtId="39" fontId="64" fillId="0" borderId="0" xfId="8" quotePrefix="1" applyNumberFormat="1" applyFont="1" applyFill="1" applyBorder="1" applyProtection="1"/>
    <xf numFmtId="37" fontId="64" fillId="0" borderId="1" xfId="6" applyNumberFormat="1" applyFont="1" applyFill="1" applyBorder="1" applyProtection="1"/>
    <xf numFmtId="0" fontId="43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8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66" fillId="0" borderId="0" xfId="0" applyFont="1" applyFill="1"/>
    <xf numFmtId="39" fontId="64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81" fontId="13" fillId="0" borderId="0" xfId="2" applyNumberFormat="1" applyFont="1" applyFill="1" applyProtection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Fill="1" applyBorder="1" applyProtection="1">
      <protection locked="0"/>
    </xf>
    <xf numFmtId="37" fontId="64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13" fillId="0" borderId="1" xfId="8" applyFont="1" applyFill="1" applyBorder="1" applyAlignment="1" applyProtection="1">
      <alignment horizontal="centerContinuous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Alignment="1" applyProtection="1">
      <alignment horizontal="centerContinuous"/>
    </xf>
    <xf numFmtId="7" fontId="13" fillId="0" borderId="0" xfId="8" applyNumberFormat="1" applyFont="1" applyFill="1" applyBorder="1" applyProtection="1"/>
    <xf numFmtId="175" fontId="64" fillId="0" borderId="0" xfId="6" applyNumberFormat="1" applyFont="1" applyFill="1"/>
    <xf numFmtId="37" fontId="77" fillId="0" borderId="0" xfId="6" applyNumberFormat="1" applyFont="1" applyFill="1" applyProtection="1"/>
    <xf numFmtId="4" fontId="13" fillId="0" borderId="0" xfId="8" applyNumberFormat="1" applyFont="1" applyProtection="1"/>
    <xf numFmtId="181" fontId="13" fillId="0" borderId="0" xfId="10" applyNumberFormat="1" applyFont="1" applyFill="1" applyBorder="1" applyProtection="1"/>
    <xf numFmtId="37" fontId="64" fillId="0" borderId="9" xfId="6" applyNumberFormat="1" applyFont="1" applyFill="1" applyBorder="1" applyProtection="1"/>
    <xf numFmtId="166" fontId="64" fillId="0" borderId="0" xfId="6" applyNumberFormat="1" applyFont="1" applyFill="1" applyProtection="1"/>
    <xf numFmtId="10" fontId="64" fillId="0" borderId="0" xfId="6" applyNumberFormat="1" applyFont="1" applyFill="1" applyProtection="1"/>
    <xf numFmtId="166" fontId="64" fillId="0" borderId="0" xfId="6" applyNumberFormat="1" applyFont="1" applyFill="1" applyBorder="1" applyProtection="1"/>
    <xf numFmtId="177" fontId="64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80" fontId="64" fillId="0" borderId="0" xfId="2" applyNumberFormat="1" applyFont="1" applyFill="1" applyProtection="1"/>
    <xf numFmtId="10" fontId="64" fillId="0" borderId="0" xfId="5" quotePrefix="1" applyNumberFormat="1" applyFont="1" applyFill="1" applyAlignment="1" applyProtection="1">
      <alignment horizontal="center"/>
    </xf>
    <xf numFmtId="190" fontId="64" fillId="0" borderId="0" xfId="8" applyNumberFormat="1" applyFont="1" applyFill="1" applyProtection="1">
      <protection locked="0"/>
    </xf>
    <xf numFmtId="190" fontId="64" fillId="0" borderId="1" xfId="8" applyNumberFormat="1" applyFont="1" applyFill="1" applyBorder="1" applyProtection="1">
      <protection locked="0"/>
    </xf>
    <xf numFmtId="39" fontId="64" fillId="0" borderId="1" xfId="8" applyNumberFormat="1" applyFont="1" applyFill="1" applyBorder="1" applyProtection="1"/>
    <xf numFmtId="39" fontId="64" fillId="0" borderId="1" xfId="8" applyNumberFormat="1" applyFont="1" applyFill="1" applyBorder="1"/>
    <xf numFmtId="174" fontId="61" fillId="0" borderId="0" xfId="13" applyNumberFormat="1" applyFont="1" applyFill="1"/>
    <xf numFmtId="174" fontId="1" fillId="0" borderId="0" xfId="13" applyNumberFormat="1" applyFont="1" applyFill="1"/>
    <xf numFmtId="7" fontId="61" fillId="0" borderId="0" xfId="13" applyNumberFormat="1" applyFont="1" applyFill="1"/>
    <xf numFmtId="43" fontId="13" fillId="0" borderId="0" xfId="18" applyFont="1" applyAlignment="1" applyProtection="1"/>
    <xf numFmtId="0" fontId="61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8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56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205" fontId="42" fillId="0" borderId="0" xfId="8" applyNumberFormat="1" applyFill="1"/>
    <xf numFmtId="197" fontId="42" fillId="0" borderId="0" xfId="8" applyNumberFormat="1" applyFill="1"/>
    <xf numFmtId="7" fontId="13" fillId="0" borderId="4" xfId="8" applyNumberFormat="1" applyFont="1" applyFill="1" applyBorder="1" applyProtection="1"/>
    <xf numFmtId="43" fontId="13" fillId="0" borderId="0" xfId="18" applyFont="1" applyFill="1" applyBorder="1"/>
    <xf numFmtId="8" fontId="13" fillId="0" borderId="4" xfId="8" applyNumberFormat="1" applyFont="1" applyFill="1" applyBorder="1"/>
    <xf numFmtId="44" fontId="13" fillId="0" borderId="0" xfId="8" applyNumberFormat="1" applyFont="1" applyFill="1" applyBorder="1"/>
    <xf numFmtId="7" fontId="13" fillId="0" borderId="4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4" fillId="0" borderId="0" xfId="8" applyNumberFormat="1" applyFont="1" applyProtection="1"/>
    <xf numFmtId="7" fontId="78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1" fillId="0" borderId="0" xfId="1" applyBorder="1" applyAlignment="1">
      <alignment horizontal="center"/>
    </xf>
    <xf numFmtId="0" fontId="1" fillId="4" borderId="0" xfId="1" applyFill="1" applyBorder="1" applyAlignment="1">
      <alignment horizontal="center"/>
    </xf>
    <xf numFmtId="175" fontId="1" fillId="4" borderId="0" xfId="18" applyNumberFormat="1" applyFont="1" applyFill="1" applyBorder="1" applyAlignment="1">
      <alignment horizontal="center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61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5" fillId="0" borderId="0" xfId="6" applyFont="1" applyAlignment="1" applyProtection="1">
      <alignment horizontal="left" vertical="top" wrapText="1"/>
    </xf>
    <xf numFmtId="0" fontId="35" fillId="0" borderId="0" xfId="6" applyFont="1" applyAlignment="1" applyProtection="1">
      <alignment horizontal="left" wrapText="1"/>
    </xf>
    <xf numFmtId="194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84">
    <cellStyle name="Comma" xfId="18" builtinId="3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3" xfId="22" xr:uid="{00000000-0005-0000-0000-000005000000}"/>
    <cellStyle name="Comma 3" xfId="10" xr:uid="{00000000-0005-0000-0000-000006000000}"/>
    <cellStyle name="Comma 4" xfId="29" xr:uid="{00000000-0005-0000-0000-000007000000}"/>
    <cellStyle name="Comma 5" xfId="21" xr:uid="{00000000-0005-0000-0000-000008000000}"/>
    <cellStyle name="Comma 6" xfId="33" xr:uid="{00000000-0005-0000-0000-000009000000}"/>
    <cellStyle name="Comma 6 2" xfId="43" xr:uid="{00000000-0005-0000-0000-00000A000000}"/>
    <cellStyle name="Comma 7" xfId="40" xr:uid="{00000000-0005-0000-0000-00000B000000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2" xfId="4" xr:uid="{00000000-0005-0000-0000-000010000000}"/>
    <cellStyle name="Currency 2 2" xfId="25" xr:uid="{00000000-0005-0000-0000-000011000000}"/>
    <cellStyle name="Currency 3" xfId="9" xr:uid="{00000000-0005-0000-0000-000012000000}"/>
    <cellStyle name="Currency 4" xfId="32" xr:uid="{00000000-0005-0000-0000-000013000000}"/>
    <cellStyle name="Currency 4 2" xfId="42" xr:uid="{00000000-0005-0000-0000-000014000000}"/>
    <cellStyle name="Hyperlink 2" xfId="17" xr:uid="{00000000-0005-0000-0000-000016000000}"/>
    <cellStyle name="Hyperlink 3" xfId="28" xr:uid="{00000000-0005-0000-0000-000017000000}"/>
    <cellStyle name="Hyperlink 4" xfId="39" xr:uid="{00000000-0005-0000-0000-000018000000}"/>
    <cellStyle name="Hyperlink 5" xfId="48" xr:uid="{00000000-0005-0000-0000-000019000000}"/>
    <cellStyle name="Normal" xfId="0" builtinId="0"/>
    <cellStyle name="Normal 10" xfId="37" xr:uid="{00000000-0005-0000-0000-00001B000000}"/>
    <cellStyle name="Normal 11" xfId="46" xr:uid="{00000000-0005-0000-0000-00001C000000}"/>
    <cellStyle name="Normal 11 2" xfId="78" xr:uid="{00000000-0005-0000-0000-00001D000000}"/>
    <cellStyle name="Normal 2" xfId="1" xr:uid="{00000000-0005-0000-0000-00001E000000}"/>
    <cellStyle name="Normal 2 2" xfId="6" xr:uid="{00000000-0005-0000-0000-00001F000000}"/>
    <cellStyle name="Normal 2 2 2" xfId="27" xr:uid="{00000000-0005-0000-0000-000020000000}"/>
    <cellStyle name="Normal 2 2_C.1" xfId="80" xr:uid="{00000000-0005-0000-0000-000021000000}"/>
    <cellStyle name="Normal 2 3" xfId="77" xr:uid="{00000000-0005-0000-0000-000022000000}"/>
    <cellStyle name="Normal 3" xfId="8" xr:uid="{00000000-0005-0000-0000-000023000000}"/>
    <cellStyle name="Normal 3 2" xfId="47" xr:uid="{00000000-0005-0000-0000-000024000000}"/>
    <cellStyle name="Normal 4" xfId="16" xr:uid="{00000000-0005-0000-0000-000025000000}"/>
    <cellStyle name="Normal 4 2" xfId="76" xr:uid="{00000000-0005-0000-0000-000026000000}"/>
    <cellStyle name="Normal 5" xfId="19" xr:uid="{00000000-0005-0000-0000-000027000000}"/>
    <cellStyle name="Normal 5 2" xfId="30" xr:uid="{00000000-0005-0000-0000-000028000000}"/>
    <cellStyle name="Normal 5_C.1" xfId="81" xr:uid="{00000000-0005-0000-0000-000029000000}"/>
    <cellStyle name="Normal 6" xfId="23" xr:uid="{00000000-0005-0000-0000-00002A000000}"/>
    <cellStyle name="Normal 7" xfId="20" xr:uid="{00000000-0005-0000-0000-00002B000000}"/>
    <cellStyle name="Normal 8" xfId="31" xr:uid="{00000000-0005-0000-0000-00002C000000}"/>
    <cellStyle name="Normal 8 2" xfId="41" xr:uid="{00000000-0005-0000-0000-00002D000000}"/>
    <cellStyle name="Normal 9" xfId="34" xr:uid="{00000000-0005-0000-0000-00002E000000}"/>
    <cellStyle name="Normal 9 2" xfId="44" xr:uid="{00000000-0005-0000-0000-00002F000000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Percent" xfId="45" builtinId="5"/>
    <cellStyle name="Percent 2" xfId="5" xr:uid="{00000000-0005-0000-0000-000038000000}"/>
    <cellStyle name="Percent 2 2" xfId="26" xr:uid="{00000000-0005-0000-0000-000039000000}"/>
    <cellStyle name="Percent 3" xfId="7" xr:uid="{00000000-0005-0000-0000-00003A000000}"/>
    <cellStyle name="SAPBorder" xfId="49" xr:uid="{00000000-0005-0000-0000-00003B000000}"/>
    <cellStyle name="SAPDataCell" xfId="50" xr:uid="{00000000-0005-0000-0000-00003C000000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TotalCell" xfId="54" xr:uid="{00000000-0005-0000-0000-000040000000}"/>
    <cellStyle name="SAPEmphasized" xfId="55" xr:uid="{00000000-0005-0000-0000-000041000000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LockedDataCell" xfId="70" xr:uid="{00000000-0005-0000-0000-000050000000}"/>
    <cellStyle name="SAPLockedDataTotalCell" xfId="71" xr:uid="{00000000-0005-0000-0000-000051000000}"/>
    <cellStyle name="SAPMemberCell" xfId="72" xr:uid="{00000000-0005-0000-0000-000052000000}"/>
    <cellStyle name="SAPMemberTotalCell" xfId="73" xr:uid="{00000000-0005-0000-0000-000053000000}"/>
    <cellStyle name="SAPReadonlyDataCell" xfId="74" xr:uid="{00000000-0005-0000-0000-000054000000}"/>
    <cellStyle name="SAPReadonlyDataTotalCell" xfId="75" xr:uid="{00000000-0005-0000-0000-00005500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C%20(Rates%20used%20in%20the%20Expected%20Gas%20Cost%20EGC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L51"/>
  <sheetViews>
    <sheetView tabSelected="1" view="pageBreakPreview" zoomScaleNormal="80" zoomScaleSheetLayoutView="100" workbookViewId="0">
      <pane xSplit="6" ySplit="8" topLeftCell="G9" activePane="bottomRight" state="frozen"/>
      <selection activeCell="B43" sqref="B43"/>
      <selection pane="topRight" activeCell="B43" sqref="B43"/>
      <selection pane="bottomLeft" activeCell="B43" sqref="B43"/>
      <selection pane="bottomRight" activeCell="G23" sqref="G23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6384" width="9.140625" style="1"/>
  </cols>
  <sheetData>
    <row r="1" spans="1:11">
      <c r="A1" s="22" t="s">
        <v>32</v>
      </c>
      <c r="K1" s="24" t="s">
        <v>31</v>
      </c>
    </row>
    <row r="2" spans="1:11">
      <c r="A2" s="1" t="s">
        <v>30</v>
      </c>
      <c r="K2" s="24" t="s">
        <v>29</v>
      </c>
    </row>
    <row r="3" spans="1:11">
      <c r="A3" s="1" t="s">
        <v>28</v>
      </c>
    </row>
    <row r="5" spans="1:11">
      <c r="G5" s="4" t="s">
        <v>27</v>
      </c>
      <c r="I5" s="4" t="s">
        <v>26</v>
      </c>
      <c r="K5" s="4" t="s">
        <v>25</v>
      </c>
    </row>
    <row r="6" spans="1:11">
      <c r="A6" s="23" t="s">
        <v>24</v>
      </c>
      <c r="B6" s="22"/>
      <c r="C6" s="22"/>
      <c r="D6" s="22"/>
      <c r="E6" s="22"/>
      <c r="F6" s="22"/>
      <c r="G6" s="594" t="s">
        <v>3</v>
      </c>
      <c r="H6" s="594"/>
      <c r="I6" s="594"/>
      <c r="J6" s="22"/>
      <c r="K6" s="22"/>
    </row>
    <row r="7" spans="1:11">
      <c r="A7" s="21" t="s">
        <v>23</v>
      </c>
      <c r="B7" s="19" t="s">
        <v>22</v>
      </c>
      <c r="C7" s="19"/>
      <c r="D7" s="19"/>
      <c r="E7" s="19"/>
      <c r="F7" s="19"/>
      <c r="G7" s="20" t="s">
        <v>547</v>
      </c>
      <c r="H7" s="26"/>
      <c r="I7" s="20" t="s">
        <v>548</v>
      </c>
      <c r="J7" s="19"/>
      <c r="K7" s="19" t="s">
        <v>21</v>
      </c>
    </row>
    <row r="8" spans="1:11">
      <c r="G8" s="18" t="s">
        <v>20</v>
      </c>
      <c r="I8" s="4" t="s">
        <v>20</v>
      </c>
      <c r="K8" s="4" t="s">
        <v>20</v>
      </c>
    </row>
    <row r="9" spans="1:11">
      <c r="A9" s="5">
        <v>1</v>
      </c>
      <c r="B9" s="17" t="s">
        <v>19</v>
      </c>
      <c r="G9" s="2"/>
    </row>
    <row r="10" spans="1:11">
      <c r="A10" s="5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5">
        <v>3</v>
      </c>
      <c r="B11" s="585" t="s">
        <v>536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5">
        <v>4</v>
      </c>
      <c r="B12" s="586" t="s">
        <v>6</v>
      </c>
      <c r="C12" s="587">
        <v>300</v>
      </c>
      <c r="D12" s="2" t="s">
        <v>4</v>
      </c>
      <c r="E12" s="2"/>
      <c r="F12" s="2"/>
      <c r="G12" s="491">
        <f>A.2!G12</f>
        <v>1.2713999999999999</v>
      </c>
      <c r="H12" s="588"/>
      <c r="I12" s="487">
        <v>1.3855</v>
      </c>
      <c r="J12" s="2"/>
      <c r="K12" s="14">
        <f>I12-G12</f>
        <v>0.11410000000000009</v>
      </c>
    </row>
    <row r="13" spans="1:11">
      <c r="A13" s="5">
        <v>5</v>
      </c>
      <c r="B13" s="586" t="s">
        <v>18</v>
      </c>
      <c r="C13" s="587">
        <v>14700</v>
      </c>
      <c r="D13" s="2" t="s">
        <v>4</v>
      </c>
      <c r="E13" s="2"/>
      <c r="F13" s="2"/>
      <c r="G13" s="491">
        <f>A.2!G13</f>
        <v>0.89429999999999998</v>
      </c>
      <c r="H13" s="588"/>
      <c r="I13" s="487">
        <v>0.95779999999999998</v>
      </c>
      <c r="J13" s="2"/>
      <c r="K13" s="14">
        <f>I13-G13</f>
        <v>6.3500000000000001E-2</v>
      </c>
    </row>
    <row r="14" spans="1:11">
      <c r="A14" s="5">
        <v>6</v>
      </c>
      <c r="B14" s="586" t="s">
        <v>5</v>
      </c>
      <c r="C14" s="587">
        <v>15000</v>
      </c>
      <c r="D14" s="2" t="s">
        <v>4</v>
      </c>
      <c r="E14" s="2"/>
      <c r="F14" s="2"/>
      <c r="G14" s="491">
        <f>A.2!G14</f>
        <v>0.71409999999999996</v>
      </c>
      <c r="H14" s="588"/>
      <c r="I14" s="487">
        <v>0.7651</v>
      </c>
      <c r="J14" s="2"/>
      <c r="K14" s="14">
        <f>I14-G14</f>
        <v>5.1000000000000045E-2</v>
      </c>
    </row>
    <row r="15" spans="1:11">
      <c r="A15" s="5">
        <v>7</v>
      </c>
      <c r="B15" s="2"/>
      <c r="C15" s="2"/>
      <c r="D15" s="2"/>
      <c r="E15" s="2"/>
      <c r="F15" s="2"/>
      <c r="G15" s="200"/>
      <c r="H15" s="2"/>
      <c r="I15" s="2"/>
      <c r="J15" s="2"/>
      <c r="K15" s="2"/>
    </row>
    <row r="16" spans="1:11">
      <c r="A16" s="5">
        <v>8</v>
      </c>
      <c r="B16" s="589" t="s">
        <v>16</v>
      </c>
      <c r="C16" s="2"/>
      <c r="D16" s="2"/>
      <c r="E16" s="2"/>
      <c r="F16" s="2"/>
      <c r="G16" s="200"/>
      <c r="H16" s="2"/>
      <c r="I16" s="2"/>
      <c r="J16" s="2"/>
      <c r="K16" s="2"/>
    </row>
    <row r="17" spans="1:12">
      <c r="A17" s="5">
        <v>9</v>
      </c>
      <c r="B17" s="590" t="s">
        <v>15</v>
      </c>
      <c r="C17" s="2"/>
      <c r="D17" s="2"/>
      <c r="E17" s="2"/>
      <c r="F17" s="2"/>
      <c r="G17" s="200"/>
      <c r="H17" s="2"/>
      <c r="I17" s="2"/>
      <c r="J17" s="2"/>
      <c r="K17" s="2"/>
    </row>
    <row r="18" spans="1:12">
      <c r="A18" s="5">
        <v>10</v>
      </c>
      <c r="B18" s="591" t="s">
        <v>14</v>
      </c>
      <c r="C18" s="2"/>
      <c r="D18" s="2"/>
      <c r="E18" s="2"/>
      <c r="F18" s="2"/>
      <c r="G18" s="463">
        <v>2.0474000000000001</v>
      </c>
      <c r="H18" s="14"/>
      <c r="I18" s="14">
        <f>ROUND(B.7!$G$45,4)</f>
        <v>2.0188999999999999</v>
      </c>
      <c r="J18" s="14"/>
      <c r="K18" s="14">
        <f t="shared" ref="K18:K24" si="0">I18-G18</f>
        <v>-2.8500000000000192E-2</v>
      </c>
      <c r="L18" s="421"/>
    </row>
    <row r="19" spans="1:12">
      <c r="A19" s="5">
        <v>11</v>
      </c>
      <c r="B19" s="591" t="s">
        <v>13</v>
      </c>
      <c r="C19" s="2"/>
      <c r="D19" s="2"/>
      <c r="E19" s="2"/>
      <c r="F19" s="2"/>
      <c r="G19" s="465">
        <v>1.4704999999999999</v>
      </c>
      <c r="H19" s="592"/>
      <c r="I19" s="592">
        <f>ROUND(B.6!$H$19,4)</f>
        <v>1.4704999999999999</v>
      </c>
      <c r="J19" s="592"/>
      <c r="K19" s="592">
        <f t="shared" si="0"/>
        <v>0</v>
      </c>
      <c r="L19" s="421"/>
    </row>
    <row r="20" spans="1:12">
      <c r="A20" s="5">
        <v>12</v>
      </c>
      <c r="B20" s="590" t="s">
        <v>12</v>
      </c>
      <c r="C20" s="2"/>
      <c r="D20" s="2"/>
      <c r="E20" s="2"/>
      <c r="F20" s="2"/>
      <c r="G20" s="491">
        <f>G18+G19</f>
        <v>3.5179</v>
      </c>
      <c r="H20" s="14"/>
      <c r="I20" s="14">
        <f>ROUND(SUM(I18:I19),4)</f>
        <v>3.4893999999999998</v>
      </c>
      <c r="J20" s="14"/>
      <c r="K20" s="14">
        <f t="shared" si="0"/>
        <v>-2.8500000000000192E-2</v>
      </c>
      <c r="L20" s="421"/>
    </row>
    <row r="21" spans="1:12">
      <c r="A21" s="5">
        <v>13</v>
      </c>
      <c r="B21" s="590" t="s">
        <v>11</v>
      </c>
      <c r="C21" s="2"/>
      <c r="D21" s="2"/>
      <c r="E21" s="2"/>
      <c r="F21" s="2"/>
      <c r="G21" s="463">
        <v>-0.28249999999999997</v>
      </c>
      <c r="H21" s="14"/>
      <c r="I21" s="14">
        <f>ROUND(D.1!$G$44,4)</f>
        <v>-0.64970000000000006</v>
      </c>
      <c r="J21" s="14"/>
      <c r="K21" s="14">
        <f t="shared" si="0"/>
        <v>-0.36720000000000008</v>
      </c>
      <c r="L21" s="421"/>
    </row>
    <row r="22" spans="1:12">
      <c r="A22" s="5">
        <v>14</v>
      </c>
      <c r="B22" s="590" t="s">
        <v>10</v>
      </c>
      <c r="C22" s="2"/>
      <c r="D22" s="2"/>
      <c r="E22" s="2"/>
      <c r="F22" s="2"/>
      <c r="G22" s="463">
        <v>0</v>
      </c>
      <c r="H22" s="14"/>
      <c r="I22" s="14">
        <v>0</v>
      </c>
      <c r="J22" s="14"/>
      <c r="K22" s="14">
        <f t="shared" si="0"/>
        <v>0</v>
      </c>
      <c r="L22" s="421"/>
    </row>
    <row r="23" spans="1:12">
      <c r="A23" s="5">
        <v>15</v>
      </c>
      <c r="B23" s="590" t="s">
        <v>9</v>
      </c>
      <c r="C23" s="2"/>
      <c r="D23" s="2"/>
      <c r="E23" s="2"/>
      <c r="F23" s="2"/>
      <c r="G23" s="465">
        <v>0.21690000000000001</v>
      </c>
      <c r="H23" s="14"/>
      <c r="I23" s="12">
        <v>0.21690000000000001</v>
      </c>
      <c r="J23" s="14"/>
      <c r="K23" s="6">
        <f t="shared" si="0"/>
        <v>0</v>
      </c>
      <c r="L23" s="421"/>
    </row>
    <row r="24" spans="1:12">
      <c r="A24" s="5">
        <v>16</v>
      </c>
      <c r="B24" s="586" t="s">
        <v>8</v>
      </c>
      <c r="C24" s="2"/>
      <c r="D24" s="2"/>
      <c r="E24" s="2"/>
      <c r="F24" s="2"/>
      <c r="G24" s="491">
        <f>G20+G21+G22+G23</f>
        <v>3.4523000000000001</v>
      </c>
      <c r="H24" s="14"/>
      <c r="I24" s="14">
        <f>ROUND(SUM(I20:I23),4)</f>
        <v>3.0566</v>
      </c>
      <c r="J24" s="14"/>
      <c r="K24" s="14">
        <f t="shared" si="0"/>
        <v>-0.39570000000000016</v>
      </c>
      <c r="L24" s="421"/>
    </row>
    <row r="25" spans="1:12">
      <c r="A25" s="5">
        <v>17</v>
      </c>
      <c r="B25" s="2"/>
      <c r="C25" s="2"/>
      <c r="D25" s="2"/>
      <c r="E25" s="2"/>
      <c r="F25" s="2"/>
      <c r="G25" s="463"/>
      <c r="H25" s="14"/>
      <c r="I25" s="14"/>
      <c r="J25" s="14"/>
      <c r="K25" s="14"/>
    </row>
    <row r="26" spans="1:12">
      <c r="A26" s="5">
        <v>18</v>
      </c>
      <c r="B26" s="589" t="s">
        <v>7</v>
      </c>
      <c r="C26" s="2"/>
      <c r="D26" s="2"/>
      <c r="E26" s="2"/>
      <c r="F26" s="2"/>
      <c r="G26" s="463"/>
      <c r="H26" s="14"/>
      <c r="I26" s="14"/>
      <c r="J26" s="14"/>
      <c r="K26" s="14"/>
    </row>
    <row r="27" spans="1:12">
      <c r="A27" s="5">
        <v>19</v>
      </c>
      <c r="B27" s="586" t="s">
        <v>6</v>
      </c>
      <c r="C27" s="587">
        <v>300</v>
      </c>
      <c r="D27" s="2" t="s">
        <v>4</v>
      </c>
      <c r="E27" s="2"/>
      <c r="F27" s="2"/>
      <c r="G27" s="491">
        <f>G12+$G$24</f>
        <v>4.7237</v>
      </c>
      <c r="H27" s="14"/>
      <c r="I27" s="14">
        <f>I12+I24</f>
        <v>4.4420999999999999</v>
      </c>
      <c r="J27" s="14"/>
      <c r="K27" s="14">
        <f>I27-G27</f>
        <v>-0.28160000000000007</v>
      </c>
    </row>
    <row r="28" spans="1:12">
      <c r="A28" s="5">
        <v>20</v>
      </c>
      <c r="B28" s="586" t="s">
        <v>18</v>
      </c>
      <c r="C28" s="587">
        <v>14700</v>
      </c>
      <c r="D28" s="2" t="s">
        <v>4</v>
      </c>
      <c r="E28" s="2"/>
      <c r="F28" s="2"/>
      <c r="G28" s="491">
        <f t="shared" ref="G28:G29" si="1">G13+$G$24</f>
        <v>4.3466000000000005</v>
      </c>
      <c r="H28" s="14"/>
      <c r="I28" s="14">
        <f>+I13+I24</f>
        <v>4.0144000000000002</v>
      </c>
      <c r="J28" s="14"/>
      <c r="K28" s="14">
        <f>I28-G28</f>
        <v>-0.33220000000000027</v>
      </c>
    </row>
    <row r="29" spans="1:12">
      <c r="A29" s="5">
        <v>21</v>
      </c>
      <c r="B29" s="586" t="s">
        <v>5</v>
      </c>
      <c r="C29" s="587">
        <v>15000</v>
      </c>
      <c r="D29" s="2" t="s">
        <v>4</v>
      </c>
      <c r="E29" s="2"/>
      <c r="F29" s="2"/>
      <c r="G29" s="491">
        <f t="shared" si="1"/>
        <v>4.1664000000000003</v>
      </c>
      <c r="H29" s="14"/>
      <c r="I29" s="14">
        <f>+I14+I24</f>
        <v>3.8216999999999999</v>
      </c>
      <c r="J29" s="14"/>
      <c r="K29" s="14">
        <f>I29-G29</f>
        <v>-0.34470000000000045</v>
      </c>
    </row>
    <row r="30" spans="1:12">
      <c r="A30" s="5">
        <v>22</v>
      </c>
      <c r="B30" s="2"/>
      <c r="C30" s="2"/>
      <c r="D30" s="2"/>
      <c r="E30" s="2"/>
      <c r="F30" s="2"/>
      <c r="G30" s="561"/>
      <c r="H30" s="2"/>
      <c r="I30" s="2"/>
      <c r="J30" s="2"/>
      <c r="K30" s="2"/>
    </row>
    <row r="31" spans="1:12">
      <c r="A31" s="5">
        <v>23</v>
      </c>
      <c r="B31" s="2"/>
      <c r="C31" s="2"/>
      <c r="D31" s="2"/>
      <c r="E31" s="2"/>
      <c r="F31" s="2"/>
      <c r="G31" s="561"/>
      <c r="H31" s="2"/>
      <c r="I31" s="2"/>
      <c r="J31" s="2"/>
      <c r="K31" s="2"/>
    </row>
    <row r="32" spans="1:12">
      <c r="A32" s="5">
        <v>24</v>
      </c>
      <c r="B32" s="593" t="s">
        <v>17</v>
      </c>
      <c r="C32" s="2"/>
      <c r="D32" s="2"/>
      <c r="E32" s="2"/>
      <c r="F32" s="2"/>
      <c r="G32" s="561"/>
      <c r="H32" s="2"/>
      <c r="I32" s="2"/>
      <c r="J32" s="2"/>
      <c r="K32" s="2"/>
    </row>
    <row r="33" spans="1:12">
      <c r="A33" s="5">
        <v>25</v>
      </c>
      <c r="B33" s="2"/>
      <c r="C33" s="2"/>
      <c r="D33" s="2"/>
      <c r="E33" s="2"/>
      <c r="F33" s="2"/>
      <c r="G33" s="561"/>
      <c r="H33" s="2"/>
      <c r="I33" s="2"/>
      <c r="J33" s="2"/>
      <c r="K33" s="2"/>
    </row>
    <row r="34" spans="1:12">
      <c r="A34" s="5">
        <v>26</v>
      </c>
      <c r="B34" s="585" t="str">
        <f>+B11</f>
        <v>Distribution Charge (per Case No. 2015-00343)</v>
      </c>
      <c r="C34" s="2"/>
      <c r="D34" s="2"/>
      <c r="E34" s="2"/>
      <c r="F34" s="2"/>
      <c r="G34" s="561"/>
      <c r="H34" s="2"/>
      <c r="I34" s="2"/>
      <c r="J34" s="2"/>
      <c r="K34" s="2"/>
    </row>
    <row r="35" spans="1:12">
      <c r="A35" s="5">
        <v>27</v>
      </c>
      <c r="B35" s="586" t="s">
        <v>6</v>
      </c>
      <c r="C35" s="587">
        <v>15000</v>
      </c>
      <c r="D35" s="2" t="s">
        <v>4</v>
      </c>
      <c r="E35" s="2"/>
      <c r="F35" s="2"/>
      <c r="G35" s="491">
        <f>A.2!G20</f>
        <v>0.77080000000000004</v>
      </c>
      <c r="H35" s="2"/>
      <c r="I35" s="487">
        <f>0.8327</f>
        <v>0.8327</v>
      </c>
      <c r="J35" s="2"/>
      <c r="K35" s="14">
        <f>I35-G35</f>
        <v>6.1899999999999955E-2</v>
      </c>
    </row>
    <row r="36" spans="1:12">
      <c r="A36" s="5">
        <v>28</v>
      </c>
      <c r="B36" s="586" t="s">
        <v>5</v>
      </c>
      <c r="C36" s="587">
        <v>15000</v>
      </c>
      <c r="D36" s="2" t="s">
        <v>4</v>
      </c>
      <c r="E36" s="2"/>
      <c r="F36" s="2"/>
      <c r="G36" s="491">
        <f>A.2!G21</f>
        <v>0.5927</v>
      </c>
      <c r="H36" s="2"/>
      <c r="I36" s="487">
        <f>0.6387</f>
        <v>0.63870000000000005</v>
      </c>
      <c r="J36" s="2"/>
      <c r="K36" s="14">
        <f>I36-G36</f>
        <v>4.6000000000000041E-2</v>
      </c>
    </row>
    <row r="37" spans="1:12">
      <c r="A37" s="5">
        <v>29</v>
      </c>
      <c r="G37" s="466"/>
    </row>
    <row r="38" spans="1:12">
      <c r="A38" s="5">
        <v>30</v>
      </c>
      <c r="B38" s="10" t="s">
        <v>16</v>
      </c>
      <c r="G38" s="561"/>
    </row>
    <row r="39" spans="1:12">
      <c r="A39" s="5">
        <v>31</v>
      </c>
      <c r="B39" s="13" t="s">
        <v>15</v>
      </c>
      <c r="G39" s="561"/>
    </row>
    <row r="40" spans="1:12">
      <c r="A40" s="5">
        <v>32</v>
      </c>
      <c r="B40" s="15" t="s">
        <v>14</v>
      </c>
      <c r="G40" s="463">
        <v>2.0474000000000001</v>
      </c>
      <c r="H40" s="8"/>
      <c r="I40" s="8">
        <f>I18</f>
        <v>2.0188999999999999</v>
      </c>
      <c r="J40" s="8"/>
      <c r="K40" s="8">
        <f t="shared" ref="K40:K46" si="2">I40-G40</f>
        <v>-2.8500000000000192E-2</v>
      </c>
    </row>
    <row r="41" spans="1:12">
      <c r="A41" s="5">
        <v>33</v>
      </c>
      <c r="B41" s="15" t="s">
        <v>13</v>
      </c>
      <c r="G41" s="465">
        <v>0.21729999999999999</v>
      </c>
      <c r="H41" s="11"/>
      <c r="I41" s="11">
        <f>ROUND(B.6!$I$19,4)</f>
        <v>0.21729999999999999</v>
      </c>
      <c r="J41" s="11"/>
      <c r="K41" s="11">
        <f t="shared" si="2"/>
        <v>0</v>
      </c>
    </row>
    <row r="42" spans="1:12">
      <c r="A42" s="5">
        <v>34</v>
      </c>
      <c r="B42" s="13" t="s">
        <v>12</v>
      </c>
      <c r="G42" s="491">
        <f>G40+G41</f>
        <v>2.2646999999999999</v>
      </c>
      <c r="H42" s="8"/>
      <c r="I42" s="8">
        <f>ROUND(SUM(I40:I41),4)</f>
        <v>2.2362000000000002</v>
      </c>
      <c r="J42" s="8"/>
      <c r="K42" s="8">
        <f t="shared" si="2"/>
        <v>-2.8499999999999748E-2</v>
      </c>
    </row>
    <row r="43" spans="1:12">
      <c r="A43" s="5">
        <v>35</v>
      </c>
      <c r="B43" s="13" t="s">
        <v>11</v>
      </c>
      <c r="G43" s="463">
        <v>-0.28249999999999997</v>
      </c>
      <c r="H43" s="8"/>
      <c r="I43" s="14">
        <f>ROUND(D.1!$G$44,4)</f>
        <v>-0.64970000000000006</v>
      </c>
      <c r="J43" s="8"/>
      <c r="K43" s="8">
        <f t="shared" si="2"/>
        <v>-0.36720000000000008</v>
      </c>
    </row>
    <row r="44" spans="1:12">
      <c r="A44" s="5">
        <v>36</v>
      </c>
      <c r="B44" s="13" t="s">
        <v>10</v>
      </c>
      <c r="G44" s="463">
        <v>0</v>
      </c>
      <c r="H44" s="8"/>
      <c r="I44" s="8">
        <v>0</v>
      </c>
      <c r="J44" s="8"/>
      <c r="K44" s="8">
        <f t="shared" si="2"/>
        <v>0</v>
      </c>
    </row>
    <row r="45" spans="1:12">
      <c r="A45" s="5">
        <v>37</v>
      </c>
      <c r="B45" s="13" t="s">
        <v>9</v>
      </c>
      <c r="G45" s="465">
        <v>0.21690000000000001</v>
      </c>
      <c r="H45" s="8"/>
      <c r="I45" s="12">
        <v>0.21690000000000001</v>
      </c>
      <c r="J45" s="8"/>
      <c r="K45" s="11">
        <f t="shared" si="2"/>
        <v>0</v>
      </c>
    </row>
    <row r="46" spans="1:12">
      <c r="A46" s="5">
        <v>38</v>
      </c>
      <c r="B46" s="9" t="s">
        <v>8</v>
      </c>
      <c r="G46" s="491">
        <f>+G42+G43+G44+G45</f>
        <v>2.1991000000000001</v>
      </c>
      <c r="H46" s="8"/>
      <c r="I46" s="8">
        <f>ROUND(SUM(I42:I45),4)</f>
        <v>1.8033999999999999</v>
      </c>
      <c r="J46" s="8"/>
      <c r="K46" s="8">
        <f t="shared" si="2"/>
        <v>-0.39570000000000016</v>
      </c>
      <c r="L46" s="412"/>
    </row>
    <row r="47" spans="1:12">
      <c r="A47" s="5">
        <v>39</v>
      </c>
      <c r="G47" s="464"/>
      <c r="H47" s="8"/>
      <c r="I47" s="8"/>
      <c r="J47" s="8"/>
      <c r="K47" s="8"/>
    </row>
    <row r="48" spans="1:12">
      <c r="A48" s="5">
        <v>40</v>
      </c>
      <c r="B48" s="10" t="s">
        <v>7</v>
      </c>
      <c r="G48" s="464"/>
      <c r="H48" s="8"/>
      <c r="I48" s="8"/>
      <c r="J48" s="8"/>
      <c r="K48" s="8"/>
    </row>
    <row r="49" spans="1:11">
      <c r="A49" s="5">
        <v>41</v>
      </c>
      <c r="B49" s="9" t="s">
        <v>6</v>
      </c>
      <c r="C49" s="5">
        <v>300</v>
      </c>
      <c r="D49" s="1" t="s">
        <v>4</v>
      </c>
      <c r="G49" s="486">
        <f>+G35+$G$46</f>
        <v>2.9699</v>
      </c>
      <c r="H49" s="8"/>
      <c r="I49" s="8">
        <f>I35+I46</f>
        <v>2.6360999999999999</v>
      </c>
      <c r="J49" s="8"/>
      <c r="K49" s="8">
        <f>I49-G49</f>
        <v>-0.3338000000000001</v>
      </c>
    </row>
    <row r="50" spans="1:11">
      <c r="A50" s="5">
        <v>42</v>
      </c>
      <c r="B50" s="9" t="s">
        <v>5</v>
      </c>
      <c r="C50" s="5">
        <v>14700</v>
      </c>
      <c r="D50" s="1" t="s">
        <v>4</v>
      </c>
      <c r="G50" s="486">
        <f>+G36+$G$46</f>
        <v>2.7918000000000003</v>
      </c>
      <c r="H50" s="8"/>
      <c r="I50" s="8">
        <f>+I36+I46</f>
        <v>2.4420999999999999</v>
      </c>
      <c r="J50" s="8"/>
      <c r="K50" s="8">
        <f>I50-G50</f>
        <v>-0.34970000000000034</v>
      </c>
    </row>
    <row r="51" spans="1:11">
      <c r="A51" s="5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H50"/>
  <sheetViews>
    <sheetView view="pageBreakPreview" zoomScale="115" zoomScaleNormal="80" zoomScaleSheetLayoutView="115" workbookViewId="0">
      <selection activeCell="B13" sqref="B13"/>
    </sheetView>
  </sheetViews>
  <sheetFormatPr defaultColWidth="9.85546875" defaultRowHeight="14.25"/>
  <cols>
    <col min="1" max="1" width="5.85546875" style="53" customWidth="1"/>
    <col min="2" max="2" width="30" style="53" customWidth="1"/>
    <col min="3" max="3" width="15.28515625" style="53" customWidth="1"/>
    <col min="4" max="4" width="18" style="53" customWidth="1"/>
    <col min="5" max="5" width="9.85546875" style="53"/>
    <col min="6" max="6" width="13" style="53" bestFit="1" customWidth="1"/>
    <col min="7" max="7" width="14.140625" style="53" customWidth="1"/>
    <col min="8" max="16384" width="9.85546875" style="53"/>
  </cols>
  <sheetData>
    <row r="1" spans="1:7" ht="15">
      <c r="A1" s="87" t="s">
        <v>32</v>
      </c>
      <c r="B1" s="70"/>
      <c r="C1" s="70"/>
      <c r="D1" s="70"/>
      <c r="E1" s="70"/>
      <c r="F1" s="55" t="s">
        <v>125</v>
      </c>
    </row>
    <row r="2" spans="1:7">
      <c r="A2" s="53" t="str">
        <f>B.1!A2</f>
        <v>Expected Gas Cost (EGC) Calculation</v>
      </c>
      <c r="D2" s="70"/>
      <c r="E2" s="70"/>
      <c r="F2" s="55" t="s">
        <v>284</v>
      </c>
    </row>
    <row r="3" spans="1:7">
      <c r="A3" s="70" t="s">
        <v>283</v>
      </c>
      <c r="B3" s="70"/>
      <c r="C3" s="70"/>
      <c r="D3" s="55"/>
      <c r="E3" s="55"/>
      <c r="F3" s="55"/>
    </row>
    <row r="6" spans="1:7" ht="15">
      <c r="A6" s="83" t="s">
        <v>24</v>
      </c>
      <c r="B6" s="80"/>
      <c r="C6" s="80"/>
      <c r="D6" s="80"/>
      <c r="E6" s="80"/>
      <c r="F6" s="80"/>
    </row>
    <row r="7" spans="1:7" ht="15">
      <c r="A7" s="82" t="s">
        <v>23</v>
      </c>
      <c r="B7" s="82" t="s">
        <v>22</v>
      </c>
      <c r="C7" s="81"/>
      <c r="D7" s="81"/>
      <c r="E7" s="81"/>
      <c r="F7" s="82" t="s">
        <v>282</v>
      </c>
    </row>
    <row r="9" spans="1:7">
      <c r="A9" s="55"/>
      <c r="B9" s="175"/>
      <c r="C9" s="55"/>
      <c r="D9" s="55"/>
      <c r="E9" s="55"/>
      <c r="F9" s="55"/>
    </row>
    <row r="10" spans="1:7">
      <c r="A10" s="55"/>
      <c r="B10" s="142" t="s">
        <v>281</v>
      </c>
      <c r="C10" s="55"/>
      <c r="D10" s="55"/>
      <c r="E10" s="55"/>
      <c r="F10" s="55"/>
    </row>
    <row r="11" spans="1:7">
      <c r="A11" s="79" t="s">
        <v>202</v>
      </c>
      <c r="B11" s="55" t="s">
        <v>280</v>
      </c>
      <c r="C11" s="55"/>
      <c r="D11" s="55"/>
      <c r="E11" s="61"/>
      <c r="F11" s="61">
        <f>B.6!E26+B.6!E30</f>
        <v>16941089.02600522</v>
      </c>
    </row>
    <row r="12" spans="1:7">
      <c r="A12" s="79">
        <v>2</v>
      </c>
      <c r="B12" s="55" t="s">
        <v>279</v>
      </c>
      <c r="C12" s="55"/>
      <c r="D12" s="55"/>
      <c r="E12" s="55"/>
      <c r="F12" s="98">
        <v>0</v>
      </c>
    </row>
    <row r="13" spans="1:7">
      <c r="A13" s="79">
        <v>3</v>
      </c>
      <c r="B13" s="55" t="s">
        <v>278</v>
      </c>
      <c r="C13" s="55"/>
      <c r="D13" s="55"/>
      <c r="E13" s="55"/>
      <c r="F13" s="61">
        <f>SUM(F11:F12)</f>
        <v>16941089.02600522</v>
      </c>
    </row>
    <row r="14" spans="1:7">
      <c r="A14" s="79">
        <v>4</v>
      </c>
      <c r="B14" s="55" t="s">
        <v>277</v>
      </c>
      <c r="C14" s="55"/>
      <c r="D14" s="55"/>
      <c r="E14" s="55"/>
      <c r="F14" s="98">
        <v>365</v>
      </c>
    </row>
    <row r="15" spans="1:7" ht="15" thickBot="1">
      <c r="A15" s="79">
        <v>5</v>
      </c>
      <c r="B15" s="55" t="s">
        <v>276</v>
      </c>
      <c r="C15" s="55"/>
      <c r="D15" s="55"/>
      <c r="E15" s="55"/>
      <c r="F15" s="174">
        <f>ROUND(F13/365,0)</f>
        <v>46414</v>
      </c>
    </row>
    <row r="16" spans="1:7" ht="15" thickTop="1">
      <c r="A16" s="79">
        <v>6</v>
      </c>
      <c r="B16" s="55"/>
      <c r="C16" s="55"/>
      <c r="D16" s="55"/>
      <c r="E16" s="55"/>
      <c r="F16" s="61"/>
      <c r="G16" s="55"/>
    </row>
    <row r="17" spans="1:7">
      <c r="A17" s="79">
        <v>7</v>
      </c>
      <c r="B17" s="142" t="s">
        <v>275</v>
      </c>
      <c r="C17" s="55"/>
      <c r="D17" s="55"/>
      <c r="E17" s="55"/>
      <c r="F17" s="55"/>
      <c r="G17" s="55"/>
    </row>
    <row r="18" spans="1:7">
      <c r="A18" s="79">
        <v>8</v>
      </c>
      <c r="B18" s="55" t="s">
        <v>274</v>
      </c>
      <c r="C18" s="55"/>
      <c r="D18" s="55"/>
      <c r="E18" s="55"/>
      <c r="F18" s="55"/>
      <c r="G18" s="55"/>
    </row>
    <row r="19" spans="1:7" ht="15" thickBot="1">
      <c r="A19" s="79">
        <v>9</v>
      </c>
      <c r="B19" s="55" t="s">
        <v>273</v>
      </c>
      <c r="C19" s="55"/>
      <c r="D19" s="55"/>
      <c r="E19" s="55"/>
      <c r="F19" s="545">
        <v>310542</v>
      </c>
      <c r="G19" s="55" t="s">
        <v>272</v>
      </c>
    </row>
    <row r="20" spans="1:7" ht="15" thickTop="1">
      <c r="A20" s="79">
        <v>10</v>
      </c>
      <c r="B20" s="55"/>
      <c r="C20" s="55"/>
      <c r="D20" s="55"/>
      <c r="E20" s="55"/>
      <c r="F20" s="61"/>
      <c r="G20" s="55"/>
    </row>
    <row r="21" spans="1:7">
      <c r="A21" s="79">
        <v>11</v>
      </c>
      <c r="B21" s="55"/>
      <c r="C21" s="55"/>
      <c r="D21" s="55"/>
      <c r="E21" s="55"/>
      <c r="F21" s="55"/>
      <c r="G21" s="55"/>
    </row>
    <row r="22" spans="1:7" ht="15">
      <c r="A22" s="79">
        <v>12</v>
      </c>
      <c r="B22" s="55" t="s">
        <v>271</v>
      </c>
      <c r="C22" s="55"/>
      <c r="D22" s="55"/>
      <c r="E22" s="55"/>
      <c r="F22" s="173">
        <f>ROUND(F15/F19,4)</f>
        <v>0.14949999999999999</v>
      </c>
      <c r="G22" s="55"/>
    </row>
    <row r="23" spans="1:7">
      <c r="A23" s="79">
        <v>13</v>
      </c>
      <c r="B23" s="55"/>
      <c r="C23" s="55"/>
      <c r="D23" s="55"/>
      <c r="E23" s="55"/>
      <c r="F23" s="61"/>
      <c r="G23" s="55"/>
    </row>
    <row r="47" spans="7:7">
      <c r="G47" s="73"/>
    </row>
    <row r="50" spans="6:8">
      <c r="F50" s="73"/>
      <c r="G50" s="73"/>
      <c r="H50" s="7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J50"/>
  <sheetViews>
    <sheetView view="pageBreakPreview" zoomScale="85" zoomScaleNormal="80" zoomScaleSheetLayoutView="85" workbookViewId="0">
      <selection activeCell="E27" sqref="E27"/>
    </sheetView>
  </sheetViews>
  <sheetFormatPr defaultColWidth="9.85546875" defaultRowHeight="12.75"/>
  <cols>
    <col min="1" max="1" width="7.7109375" style="201" customWidth="1"/>
    <col min="2" max="2" width="19" style="201" customWidth="1"/>
    <col min="3" max="3" width="13.5703125" style="202" customWidth="1"/>
    <col min="4" max="4" width="9.7109375" style="201" customWidth="1"/>
    <col min="5" max="5" width="14.7109375" style="201" customWidth="1"/>
    <col min="6" max="6" width="2.7109375" style="201" customWidth="1"/>
    <col min="7" max="7" width="14.7109375" style="201" customWidth="1"/>
    <col min="8" max="8" width="2.7109375" style="201" customWidth="1"/>
    <col min="9" max="9" width="13.140625" style="201" bestFit="1" customWidth="1"/>
    <col min="10" max="16384" width="9.85546875" style="201"/>
  </cols>
  <sheetData>
    <row r="1" spans="1:9" ht="15.75">
      <c r="A1" s="233" t="s">
        <v>32</v>
      </c>
      <c r="B1" s="231"/>
      <c r="C1" s="232"/>
      <c r="D1" s="231"/>
      <c r="E1" s="231"/>
      <c r="F1" s="231"/>
      <c r="G1" s="231"/>
      <c r="H1" s="231"/>
      <c r="I1" s="231"/>
    </row>
    <row r="2" spans="1:9" ht="15.75">
      <c r="A2" s="228" t="s">
        <v>303</v>
      </c>
      <c r="B2" s="228"/>
      <c r="C2" s="229"/>
      <c r="D2" s="228"/>
      <c r="E2" s="228"/>
      <c r="F2" s="228"/>
      <c r="G2" s="228"/>
      <c r="H2" s="228"/>
      <c r="I2" s="228"/>
    </row>
    <row r="3" spans="1:9" ht="15.75">
      <c r="A3" s="230" t="s">
        <v>555</v>
      </c>
      <c r="B3" s="228"/>
      <c r="C3" s="229"/>
      <c r="D3" s="228"/>
      <c r="E3" s="228"/>
      <c r="F3" s="228"/>
      <c r="G3" s="228"/>
      <c r="H3" s="228"/>
      <c r="I3" s="228"/>
    </row>
    <row r="4" spans="1:9" ht="15.75">
      <c r="A4" s="209"/>
      <c r="B4" s="209"/>
      <c r="C4" s="224"/>
      <c r="D4" s="209"/>
      <c r="E4" s="209"/>
      <c r="F4" s="209"/>
      <c r="G4" s="209"/>
      <c r="H4" s="209"/>
      <c r="I4" s="209"/>
    </row>
    <row r="5" spans="1:9">
      <c r="A5" s="598" t="s">
        <v>302</v>
      </c>
      <c r="B5" s="598"/>
      <c r="C5" s="598"/>
      <c r="D5" s="598"/>
      <c r="E5" s="598"/>
      <c r="F5" s="598"/>
      <c r="G5" s="598"/>
      <c r="H5" s="598"/>
      <c r="I5" s="598"/>
    </row>
    <row r="6" spans="1:9">
      <c r="A6" s="598"/>
      <c r="B6" s="598"/>
      <c r="C6" s="598"/>
      <c r="D6" s="598"/>
      <c r="E6" s="598"/>
      <c r="F6" s="598"/>
      <c r="G6" s="598"/>
      <c r="H6" s="598"/>
      <c r="I6" s="598"/>
    </row>
    <row r="7" spans="1:9" ht="15.75">
      <c r="A7" s="209"/>
      <c r="B7" s="209"/>
      <c r="C7" s="224"/>
      <c r="D7" s="209"/>
      <c r="E7" s="209"/>
      <c r="F7" s="209"/>
      <c r="G7" s="209"/>
      <c r="H7" s="209"/>
      <c r="I7" s="209"/>
    </row>
    <row r="8" spans="1:9" ht="15.75" customHeight="1">
      <c r="A8" s="209" t="s">
        <v>301</v>
      </c>
      <c r="B8" s="597" t="s">
        <v>562</v>
      </c>
      <c r="C8" s="597"/>
      <c r="D8" s="597"/>
      <c r="E8" s="597"/>
      <c r="F8" s="597"/>
      <c r="G8" s="597"/>
      <c r="H8" s="597"/>
      <c r="I8" s="597"/>
    </row>
    <row r="9" spans="1:9" ht="15.75">
      <c r="A9" s="209"/>
      <c r="B9" s="597"/>
      <c r="C9" s="597"/>
      <c r="D9" s="597"/>
      <c r="E9" s="597"/>
      <c r="F9" s="597"/>
      <c r="G9" s="597"/>
      <c r="H9" s="597"/>
      <c r="I9" s="597"/>
    </row>
    <row r="10" spans="1:9" ht="15.75">
      <c r="A10" s="209"/>
      <c r="B10" s="597"/>
      <c r="C10" s="597"/>
      <c r="D10" s="597"/>
      <c r="E10" s="597"/>
      <c r="F10" s="597"/>
      <c r="G10" s="597"/>
      <c r="H10" s="597"/>
      <c r="I10" s="597"/>
    </row>
    <row r="11" spans="1:9" ht="15.75">
      <c r="A11" s="209"/>
      <c r="B11" s="207"/>
      <c r="C11" s="224"/>
      <c r="D11" s="209"/>
      <c r="E11" s="209"/>
      <c r="F11" s="209"/>
      <c r="G11" s="209"/>
      <c r="H11" s="209"/>
      <c r="I11" s="209"/>
    </row>
    <row r="12" spans="1:9" ht="15.75">
      <c r="A12" s="209"/>
      <c r="B12" s="209"/>
      <c r="C12" s="224"/>
      <c r="D12" s="207"/>
      <c r="E12" s="225">
        <v>44044</v>
      </c>
      <c r="F12" s="227"/>
      <c r="G12" s="225">
        <v>44075</v>
      </c>
      <c r="H12" s="226"/>
      <c r="I12" s="225">
        <v>44105</v>
      </c>
    </row>
    <row r="13" spans="1:9" ht="15.75">
      <c r="A13" s="209"/>
      <c r="B13" s="207"/>
      <c r="C13" s="224"/>
      <c r="D13" s="207"/>
      <c r="E13" s="222" t="s">
        <v>300</v>
      </c>
      <c r="F13" s="223"/>
      <c r="G13" s="222" t="s">
        <v>300</v>
      </c>
      <c r="H13" s="223"/>
      <c r="I13" s="222" t="s">
        <v>300</v>
      </c>
    </row>
    <row r="14" spans="1:9" ht="15.75">
      <c r="B14" s="217" t="s">
        <v>557</v>
      </c>
      <c r="C14" s="221">
        <v>43993</v>
      </c>
      <c r="D14" s="209"/>
      <c r="E14" s="532">
        <v>1.9</v>
      </c>
      <c r="F14" s="532"/>
      <c r="G14" s="532">
        <v>1.954</v>
      </c>
      <c r="H14" s="532"/>
      <c r="I14" s="532">
        <v>2.0449999999999999</v>
      </c>
    </row>
    <row r="15" spans="1:9" ht="15.75">
      <c r="A15" s="209"/>
      <c r="B15" s="217" t="s">
        <v>558</v>
      </c>
      <c r="C15" s="221">
        <v>43994</v>
      </c>
      <c r="D15" s="209"/>
      <c r="E15" s="532">
        <v>1.8149999999999999</v>
      </c>
      <c r="F15" s="532"/>
      <c r="G15" s="532">
        <v>1.865</v>
      </c>
      <c r="H15" s="532"/>
      <c r="I15" s="532">
        <v>1.96</v>
      </c>
    </row>
    <row r="16" spans="1:9" ht="15.75">
      <c r="A16" s="209"/>
      <c r="B16" s="217" t="s">
        <v>559</v>
      </c>
      <c r="C16" s="221">
        <v>43997</v>
      </c>
      <c r="D16" s="209"/>
      <c r="E16" s="532">
        <v>1.76</v>
      </c>
      <c r="F16" s="532"/>
      <c r="G16" s="532">
        <v>1.8140000000000001</v>
      </c>
      <c r="H16" s="532"/>
      <c r="I16" s="532">
        <v>1.917</v>
      </c>
    </row>
    <row r="17" spans="1:10" ht="15.75">
      <c r="A17" s="209"/>
      <c r="B17" s="217" t="s">
        <v>560</v>
      </c>
      <c r="C17" s="221">
        <v>43998</v>
      </c>
      <c r="D17" s="209"/>
      <c r="E17" s="532">
        <v>1.7010000000000001</v>
      </c>
      <c r="F17" s="532"/>
      <c r="G17" s="532">
        <v>1.756</v>
      </c>
      <c r="H17" s="532"/>
      <c r="I17" s="532">
        <v>1.8680000000000001</v>
      </c>
    </row>
    <row r="18" spans="1:10" ht="15.75">
      <c r="A18" s="209"/>
      <c r="B18" s="217" t="s">
        <v>561</v>
      </c>
      <c r="C18" s="221">
        <v>43999</v>
      </c>
      <c r="D18" s="209"/>
      <c r="E18" s="532">
        <v>1.7270000000000001</v>
      </c>
      <c r="F18" s="532"/>
      <c r="G18" s="532">
        <v>1.784</v>
      </c>
      <c r="H18" s="532"/>
      <c r="I18" s="532">
        <v>1.9</v>
      </c>
    </row>
    <row r="19" spans="1:10" ht="15.75">
      <c r="A19" s="209"/>
      <c r="B19" s="217" t="s">
        <v>557</v>
      </c>
      <c r="C19" s="221">
        <v>44000</v>
      </c>
      <c r="D19" s="209"/>
      <c r="E19" s="532">
        <v>1.728</v>
      </c>
      <c r="F19" s="532"/>
      <c r="G19" s="532">
        <v>1.784</v>
      </c>
      <c r="H19" s="532"/>
      <c r="I19" s="532">
        <v>1.8979999999999999</v>
      </c>
    </row>
    <row r="20" spans="1:10" ht="15.75">
      <c r="A20" s="209"/>
      <c r="B20" s="217" t="s">
        <v>558</v>
      </c>
      <c r="C20" s="221">
        <v>44001</v>
      </c>
      <c r="D20" s="209"/>
      <c r="E20" s="532">
        <v>1.748</v>
      </c>
      <c r="F20" s="532"/>
      <c r="G20" s="532">
        <v>1.7989999999999999</v>
      </c>
      <c r="H20" s="532"/>
      <c r="I20" s="532">
        <v>1.9039999999999999</v>
      </c>
    </row>
    <row r="21" spans="1:10" ht="15.75">
      <c r="A21" s="209"/>
      <c r="B21" s="217" t="s">
        <v>559</v>
      </c>
      <c r="C21" s="221">
        <v>44004</v>
      </c>
      <c r="D21" s="209"/>
      <c r="E21" s="532">
        <v>1.738</v>
      </c>
      <c r="F21" s="532"/>
      <c r="G21" s="532">
        <v>1.7869999999999999</v>
      </c>
      <c r="H21" s="532"/>
      <c r="I21" s="532">
        <v>1.8879999999999999</v>
      </c>
    </row>
    <row r="22" spans="1:10" ht="15.75">
      <c r="A22" s="209"/>
      <c r="B22" s="217" t="s">
        <v>560</v>
      </c>
      <c r="C22" s="221">
        <v>44005</v>
      </c>
      <c r="D22" s="209"/>
      <c r="E22" s="532">
        <v>1.6910000000000001</v>
      </c>
      <c r="F22" s="532"/>
      <c r="G22" s="532">
        <v>1.74</v>
      </c>
      <c r="H22" s="532"/>
      <c r="I22" s="532">
        <v>1.839</v>
      </c>
    </row>
    <row r="23" spans="1:10" ht="15.75">
      <c r="A23" s="209"/>
      <c r="B23" s="217" t="s">
        <v>561</v>
      </c>
      <c r="C23" s="221">
        <v>44006</v>
      </c>
      <c r="D23" s="209"/>
      <c r="E23" s="532">
        <v>1.661</v>
      </c>
      <c r="F23" s="532"/>
      <c r="G23" s="532">
        <v>1.7230000000000001</v>
      </c>
      <c r="H23" s="532"/>
      <c r="I23" s="532">
        <v>1.8220000000000001</v>
      </c>
    </row>
    <row r="24" spans="1:10" ht="15.75">
      <c r="A24" s="209"/>
      <c r="B24" s="217"/>
      <c r="C24" s="220"/>
      <c r="D24" s="209"/>
      <c r="E24" s="218"/>
      <c r="F24" s="219"/>
      <c r="G24" s="218"/>
      <c r="H24" s="219"/>
      <c r="I24" s="218"/>
      <c r="J24" s="411"/>
    </row>
    <row r="25" spans="1:10" ht="16.5" thickBot="1">
      <c r="A25" s="209"/>
      <c r="B25" s="217" t="s">
        <v>154</v>
      </c>
      <c r="C25" s="216"/>
      <c r="D25" s="215"/>
      <c r="E25" s="213">
        <f>AVERAGEA(E14:E23)</f>
        <v>1.7469000000000001</v>
      </c>
      <c r="F25" s="214"/>
      <c r="G25" s="213">
        <f>AVERAGEA(G14:G23)</f>
        <v>1.8005999999999998</v>
      </c>
      <c r="H25" s="214"/>
      <c r="I25" s="213">
        <f>AVERAGEA(I14:I23)</f>
        <v>1.9040999999999997</v>
      </c>
    </row>
    <row r="26" spans="1:10" ht="16.5" thickTop="1">
      <c r="A26" s="209"/>
      <c r="B26" s="212"/>
      <c r="D26" s="211"/>
      <c r="E26" s="210"/>
      <c r="F26" s="210"/>
      <c r="G26" s="210"/>
      <c r="H26" s="210"/>
      <c r="I26" s="210"/>
    </row>
    <row r="27" spans="1:10" ht="15.75" customHeight="1"/>
    <row r="28" spans="1:10" ht="15.75">
      <c r="A28" s="209" t="s">
        <v>299</v>
      </c>
      <c r="B28" s="596" t="s">
        <v>556</v>
      </c>
      <c r="C28" s="596"/>
      <c r="D28" s="596"/>
      <c r="E28" s="596"/>
      <c r="F28" s="596"/>
      <c r="G28" s="596"/>
      <c r="H28" s="596"/>
      <c r="I28" s="596"/>
    </row>
    <row r="29" spans="1:10" ht="15.75">
      <c r="A29" s="209"/>
      <c r="B29" s="596"/>
      <c r="C29" s="596"/>
      <c r="D29" s="596"/>
      <c r="E29" s="596"/>
      <c r="F29" s="596"/>
      <c r="G29" s="596"/>
      <c r="H29" s="596"/>
      <c r="I29" s="596"/>
    </row>
    <row r="30" spans="1:10" ht="18.75" customHeight="1">
      <c r="A30" s="207"/>
      <c r="B30" s="596"/>
      <c r="C30" s="596"/>
      <c r="D30" s="596"/>
      <c r="E30" s="596"/>
      <c r="F30" s="596"/>
      <c r="G30" s="596"/>
      <c r="H30" s="596"/>
      <c r="I30" s="596"/>
    </row>
    <row r="31" spans="1:10" ht="10.5" customHeight="1">
      <c r="A31" s="207"/>
      <c r="B31" s="208"/>
      <c r="C31" s="206"/>
      <c r="D31" s="205"/>
      <c r="E31" s="205"/>
      <c r="F31" s="205"/>
      <c r="G31" s="205"/>
      <c r="H31" s="205"/>
      <c r="I31" s="205"/>
    </row>
    <row r="32" spans="1:10" ht="20.25" customHeight="1">
      <c r="A32" s="207"/>
      <c r="B32" s="595" t="s">
        <v>298</v>
      </c>
      <c r="C32" s="595"/>
      <c r="D32" s="595"/>
      <c r="E32" s="595"/>
      <c r="F32" s="595"/>
      <c r="G32" s="595"/>
      <c r="H32" s="595"/>
      <c r="I32" s="595"/>
    </row>
    <row r="33" spans="1:9">
      <c r="A33" s="207"/>
      <c r="B33" s="595"/>
      <c r="C33" s="595"/>
      <c r="D33" s="595"/>
      <c r="E33" s="595"/>
      <c r="F33" s="595"/>
      <c r="G33" s="595"/>
      <c r="H33" s="595"/>
      <c r="I33" s="595"/>
    </row>
    <row r="34" spans="1:9" ht="15.75">
      <c r="B34" s="204"/>
    </row>
    <row r="48" spans="1:9" ht="15.75">
      <c r="B48" s="203"/>
    </row>
    <row r="49" spans="2:2" ht="15.75">
      <c r="B49" s="203"/>
    </row>
    <row r="50" spans="2:2" ht="15.75">
      <c r="B50" s="203"/>
    </row>
  </sheetData>
  <mergeCells count="4">
    <mergeCell ref="B32:I33"/>
    <mergeCell ref="B28:I30"/>
    <mergeCell ref="B8:I10"/>
    <mergeCell ref="A5:I6"/>
  </mergeCells>
  <printOptions horizontalCentered="1"/>
  <pageMargins left="0.36" right="0.45" top="0.75" bottom="0.36" header="0.48" footer="0.17"/>
  <pageSetup orientation="landscape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R24"/>
  <sheetViews>
    <sheetView view="pageBreakPreview" zoomScale="80" zoomScaleNormal="85" zoomScaleSheetLayoutView="80" workbookViewId="0"/>
  </sheetViews>
  <sheetFormatPr defaultColWidth="9.140625" defaultRowHeight="12.75"/>
  <cols>
    <col min="1" max="1" width="18.7109375" style="16" bestFit="1" customWidth="1"/>
    <col min="2" max="2" width="12" style="16" bestFit="1" customWidth="1"/>
    <col min="3" max="3" width="15" style="16" customWidth="1"/>
    <col min="4" max="4" width="13.85546875" style="16" customWidth="1"/>
    <col min="5" max="5" width="2.7109375" style="16" customWidth="1"/>
    <col min="6" max="6" width="12" style="16" bestFit="1" customWidth="1"/>
    <col min="7" max="7" width="8.7109375" style="16" customWidth="1"/>
    <col min="8" max="8" width="13.42578125" style="16" customWidth="1"/>
    <col min="9" max="9" width="2.7109375" style="16" customWidth="1"/>
    <col min="10" max="10" width="12" style="16" bestFit="1" customWidth="1"/>
    <col min="11" max="11" width="12.28515625" style="16" bestFit="1" customWidth="1"/>
    <col min="12" max="12" width="13.42578125" style="16" bestFit="1" customWidth="1"/>
    <col min="13" max="13" width="2.7109375" style="16" customWidth="1"/>
    <col min="14" max="14" width="12.85546875" style="16" bestFit="1" customWidth="1"/>
    <col min="15" max="15" width="9.140625" style="16"/>
    <col min="16" max="16" width="14.85546875" style="16" customWidth="1"/>
    <col min="17" max="17" width="8.85546875" style="16" bestFit="1" customWidth="1"/>
    <col min="18" max="18" width="10.85546875" style="16" bestFit="1" customWidth="1"/>
    <col min="19" max="16384" width="9.140625" style="16"/>
  </cols>
  <sheetData>
    <row r="1" spans="1:18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6" t="s">
        <v>296</v>
      </c>
      <c r="Q1" s="199"/>
      <c r="R1" s="199"/>
    </row>
    <row r="2" spans="1:18">
      <c r="P2" s="16" t="s">
        <v>36</v>
      </c>
    </row>
    <row r="3" spans="1:18">
      <c r="A3" s="198" t="s">
        <v>295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8">
      <c r="A4" s="198" t="s">
        <v>294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8">
      <c r="A5" s="198" t="s">
        <v>555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8">
      <c r="A6" s="197"/>
    </row>
    <row r="8" spans="1:18">
      <c r="B8" s="195">
        <v>44044</v>
      </c>
      <c r="C8" s="195"/>
      <c r="D8" s="195"/>
      <c r="E8" s="196"/>
      <c r="F8" s="195">
        <v>44075</v>
      </c>
      <c r="G8" s="195"/>
      <c r="H8" s="195"/>
      <c r="I8" s="196"/>
      <c r="J8" s="195">
        <v>44105</v>
      </c>
      <c r="K8" s="195"/>
      <c r="L8" s="195"/>
      <c r="N8" s="194" t="s">
        <v>297</v>
      </c>
      <c r="O8" s="194"/>
      <c r="P8" s="194"/>
    </row>
    <row r="9" spans="1:18">
      <c r="B9" s="193" t="s">
        <v>240</v>
      </c>
      <c r="C9" s="193" t="s">
        <v>115</v>
      </c>
      <c r="D9" s="193" t="s">
        <v>293</v>
      </c>
      <c r="F9" s="193" t="s">
        <v>240</v>
      </c>
      <c r="G9" s="193" t="s">
        <v>115</v>
      </c>
      <c r="H9" s="193" t="s">
        <v>293</v>
      </c>
      <c r="J9" s="193" t="s">
        <v>240</v>
      </c>
      <c r="K9" s="193" t="s">
        <v>115</v>
      </c>
      <c r="L9" s="193" t="s">
        <v>293</v>
      </c>
      <c r="N9" s="193" t="s">
        <v>240</v>
      </c>
      <c r="O9" s="193" t="s">
        <v>115</v>
      </c>
      <c r="P9" s="193" t="s">
        <v>293</v>
      </c>
    </row>
    <row r="10" spans="1:18" ht="15">
      <c r="A10" s="16" t="s">
        <v>157</v>
      </c>
      <c r="B10" s="186"/>
      <c r="C10" s="187"/>
      <c r="D10" s="187"/>
      <c r="E10" s="187"/>
      <c r="F10" s="186"/>
      <c r="G10" s="187"/>
      <c r="H10" s="187"/>
      <c r="I10" s="187"/>
      <c r="J10" s="186"/>
      <c r="K10" s="187"/>
      <c r="L10" s="187"/>
      <c r="N10" s="189"/>
      <c r="O10" s="187"/>
      <c r="P10" s="187"/>
    </row>
    <row r="11" spans="1:18" ht="15">
      <c r="A11" s="16" t="s">
        <v>292</v>
      </c>
      <c r="B11" s="186"/>
      <c r="C11" s="187"/>
      <c r="D11" s="187"/>
      <c r="E11" s="187"/>
      <c r="F11" s="186"/>
      <c r="G11" s="187"/>
      <c r="H11" s="187"/>
      <c r="I11" s="187"/>
      <c r="J11" s="186"/>
      <c r="K11" s="187"/>
      <c r="L11" s="187"/>
      <c r="N11" s="189"/>
      <c r="O11" s="187"/>
      <c r="P11" s="187"/>
    </row>
    <row r="12" spans="1:18" ht="15">
      <c r="A12" s="16" t="s">
        <v>145</v>
      </c>
      <c r="B12" s="186"/>
      <c r="C12" s="187"/>
      <c r="D12" s="187"/>
      <c r="E12" s="187"/>
      <c r="F12" s="186"/>
      <c r="G12" s="187"/>
      <c r="H12" s="187"/>
      <c r="I12" s="187"/>
      <c r="J12" s="186"/>
      <c r="K12" s="187"/>
      <c r="L12" s="187"/>
      <c r="N12" s="189"/>
      <c r="O12" s="187"/>
      <c r="P12" s="187"/>
    </row>
    <row r="13" spans="1:18" ht="15">
      <c r="A13" s="16" t="s">
        <v>291</v>
      </c>
      <c r="B13" s="186"/>
      <c r="C13" s="187"/>
      <c r="D13" s="187"/>
      <c r="E13" s="187"/>
      <c r="F13" s="186"/>
      <c r="G13" s="187"/>
      <c r="H13" s="187"/>
      <c r="I13" s="187"/>
      <c r="J13" s="186"/>
      <c r="K13" s="187"/>
      <c r="L13" s="187"/>
      <c r="N13" s="189"/>
      <c r="O13" s="187"/>
      <c r="P13" s="187"/>
    </row>
    <row r="14" spans="1:18" ht="15">
      <c r="A14" s="16" t="s">
        <v>290</v>
      </c>
      <c r="B14" s="186"/>
      <c r="C14" s="187"/>
      <c r="D14" s="187"/>
      <c r="E14" s="187"/>
      <c r="F14" s="186"/>
      <c r="G14" s="187"/>
      <c r="H14" s="187"/>
      <c r="I14" s="187"/>
      <c r="J14" s="186"/>
      <c r="K14" s="187"/>
      <c r="L14" s="187"/>
      <c r="N14" s="189"/>
      <c r="O14" s="187"/>
      <c r="P14" s="187"/>
    </row>
    <row r="15" spans="1:18" ht="15">
      <c r="A15" s="16" t="s">
        <v>289</v>
      </c>
      <c r="B15" s="186"/>
      <c r="C15" s="187"/>
      <c r="D15" s="187"/>
      <c r="E15" s="187"/>
      <c r="F15" s="186"/>
      <c r="G15" s="187"/>
      <c r="H15" s="187"/>
      <c r="I15" s="187"/>
      <c r="J15" s="186"/>
      <c r="K15" s="187"/>
      <c r="L15" s="187"/>
      <c r="N15" s="189"/>
      <c r="O15" s="187"/>
      <c r="P15" s="187"/>
    </row>
    <row r="16" spans="1:18" ht="16.5">
      <c r="A16" s="16" t="s">
        <v>247</v>
      </c>
      <c r="B16" s="192"/>
      <c r="C16" s="187"/>
      <c r="D16" s="187"/>
      <c r="E16" s="187"/>
      <c r="F16" s="192"/>
      <c r="G16" s="187"/>
      <c r="H16" s="187"/>
      <c r="I16" s="187"/>
      <c r="J16" s="192"/>
      <c r="K16" s="187"/>
      <c r="L16" s="187"/>
      <c r="N16" s="191"/>
      <c r="O16" s="187"/>
      <c r="P16" s="187"/>
    </row>
    <row r="17" spans="1:16" ht="15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N17" s="187"/>
      <c r="O17" s="187"/>
      <c r="P17" s="187"/>
    </row>
    <row r="18" spans="1:16" ht="15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N18" s="187"/>
      <c r="O18" s="187"/>
      <c r="P18" s="187"/>
    </row>
    <row r="19" spans="1:16" ht="15">
      <c r="B19" s="186"/>
      <c r="C19" s="180"/>
      <c r="D19" s="190"/>
      <c r="E19" s="187"/>
      <c r="F19" s="186"/>
      <c r="G19" s="180"/>
      <c r="H19" s="190"/>
      <c r="I19" s="187"/>
      <c r="J19" s="186"/>
      <c r="K19" s="180"/>
      <c r="L19" s="190"/>
      <c r="N19" s="189"/>
      <c r="O19" s="180"/>
      <c r="P19" s="185"/>
    </row>
    <row r="20" spans="1:16" ht="15.75">
      <c r="B20" s="186"/>
      <c r="C20" s="182"/>
      <c r="D20" s="188" t="s">
        <v>288</v>
      </c>
      <c r="E20" s="187"/>
      <c r="F20" s="186"/>
      <c r="G20" s="182"/>
      <c r="H20" s="184"/>
      <c r="I20" s="187"/>
      <c r="J20" s="186"/>
      <c r="K20" s="182"/>
      <c r="L20" s="184"/>
      <c r="N20" s="186"/>
      <c r="O20" s="182"/>
      <c r="P20" s="185"/>
    </row>
    <row r="21" spans="1:16" ht="15" hidden="1">
      <c r="A21" s="16" t="s">
        <v>287</v>
      </c>
      <c r="B21" s="178"/>
      <c r="C21" s="182"/>
      <c r="D21" s="184"/>
      <c r="F21" s="178"/>
      <c r="G21" s="182"/>
      <c r="H21" s="184"/>
      <c r="J21" s="178"/>
      <c r="K21" s="182"/>
      <c r="L21" s="184"/>
      <c r="N21" s="178"/>
      <c r="O21" s="180"/>
      <c r="P21" s="183"/>
    </row>
    <row r="22" spans="1:16" ht="15" hidden="1">
      <c r="A22" s="16" t="s">
        <v>286</v>
      </c>
      <c r="B22" s="181"/>
      <c r="C22" s="182"/>
      <c r="D22" s="179"/>
      <c r="F22" s="181"/>
      <c r="G22" s="182"/>
      <c r="H22" s="179"/>
      <c r="J22" s="181"/>
      <c r="K22" s="182"/>
      <c r="L22" s="179"/>
      <c r="N22" s="181"/>
      <c r="O22" s="180"/>
      <c r="P22" s="179"/>
    </row>
    <row r="23" spans="1:16">
      <c r="B23" s="178"/>
      <c r="D23" s="177"/>
      <c r="F23" s="178"/>
      <c r="H23" s="177"/>
      <c r="J23" s="178"/>
      <c r="L23" s="177"/>
      <c r="N23" s="178"/>
      <c r="P23" s="177"/>
    </row>
    <row r="24" spans="1:16" ht="15">
      <c r="A24" s="16" t="s">
        <v>285</v>
      </c>
      <c r="C24" s="176"/>
      <c r="G24" s="176"/>
      <c r="K24" s="176"/>
      <c r="O24" s="176"/>
    </row>
  </sheetData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M121"/>
  <sheetViews>
    <sheetView showGridLines="0" view="pageBreakPreview" zoomScale="85" zoomScaleNormal="80" zoomScaleSheetLayoutView="85" workbookViewId="0">
      <selection activeCell="D21" sqref="D21"/>
    </sheetView>
  </sheetViews>
  <sheetFormatPr defaultColWidth="9.140625" defaultRowHeight="14.25"/>
  <cols>
    <col min="1" max="1" width="11.140625" style="234" customWidth="1"/>
    <col min="2" max="2" width="16.5703125" style="234" customWidth="1"/>
    <col min="3" max="3" width="17.5703125" style="234" bestFit="1" customWidth="1"/>
    <col min="4" max="4" width="17.5703125" style="234" customWidth="1"/>
    <col min="5" max="5" width="17.42578125" style="234" bestFit="1" customWidth="1"/>
    <col min="6" max="6" width="21.5703125" style="234" customWidth="1"/>
    <col min="7" max="7" width="17.7109375" style="234" customWidth="1"/>
    <col min="8" max="8" width="4.85546875" style="234" customWidth="1"/>
    <col min="9" max="9" width="18.28515625" style="234" bestFit="1" customWidth="1"/>
    <col min="10" max="10" width="23.28515625" style="234" bestFit="1" customWidth="1"/>
    <col min="11" max="11" width="21.140625" style="234" customWidth="1"/>
    <col min="12" max="12" width="17" style="234" customWidth="1"/>
    <col min="13" max="13" width="16.140625" style="234" bestFit="1" customWidth="1"/>
    <col min="14" max="16384" width="9.140625" style="234"/>
  </cols>
  <sheetData>
    <row r="1" spans="1:13" ht="15">
      <c r="A1" s="274" t="s">
        <v>32</v>
      </c>
      <c r="B1" s="271"/>
      <c r="C1" s="271"/>
      <c r="D1" s="271"/>
      <c r="E1" s="271"/>
      <c r="F1" s="271"/>
      <c r="G1" s="271"/>
      <c r="H1" s="271"/>
      <c r="I1" s="239" t="s">
        <v>329</v>
      </c>
      <c r="J1" s="239"/>
      <c r="K1" s="239"/>
    </row>
    <row r="2" spans="1:13">
      <c r="A2" s="600" t="s">
        <v>328</v>
      </c>
      <c r="B2" s="600"/>
      <c r="C2" s="600"/>
      <c r="D2" s="600"/>
      <c r="E2" s="271"/>
      <c r="F2" s="271"/>
      <c r="G2" s="271"/>
      <c r="H2" s="271"/>
      <c r="I2" s="239" t="s">
        <v>327</v>
      </c>
      <c r="J2" s="239"/>
      <c r="K2" s="239"/>
    </row>
    <row r="3" spans="1:13">
      <c r="A3" s="599">
        <v>43922</v>
      </c>
      <c r="B3" s="599"/>
      <c r="C3" s="599"/>
      <c r="D3" s="599"/>
      <c r="E3" s="560"/>
      <c r="F3" s="273"/>
      <c r="G3" s="271"/>
      <c r="H3" s="271"/>
      <c r="I3" s="239"/>
      <c r="J3" s="239"/>
      <c r="K3" s="239"/>
    </row>
    <row r="4" spans="1:13">
      <c r="A4" s="382" t="s">
        <v>548</v>
      </c>
      <c r="B4" s="271"/>
      <c r="C4" s="271"/>
      <c r="D4" s="271"/>
      <c r="E4" s="271"/>
      <c r="F4" s="271"/>
      <c r="G4" s="271"/>
      <c r="H4" s="271"/>
      <c r="I4" s="239"/>
      <c r="J4" s="239"/>
      <c r="K4" s="239"/>
    </row>
    <row r="5" spans="1:13">
      <c r="A5" s="271"/>
      <c r="B5" s="271"/>
      <c r="C5" s="271"/>
      <c r="D5" s="272"/>
      <c r="E5" s="271"/>
      <c r="F5" s="271"/>
      <c r="G5" s="271"/>
      <c r="H5" s="271"/>
      <c r="I5" s="239"/>
      <c r="J5" s="239"/>
      <c r="K5" s="239"/>
    </row>
    <row r="6" spans="1:13">
      <c r="D6" s="252"/>
    </row>
    <row r="7" spans="1:13" ht="14.25" customHeight="1">
      <c r="A7" s="239"/>
      <c r="B7" s="235" t="s">
        <v>27</v>
      </c>
      <c r="C7" s="235" t="s">
        <v>26</v>
      </c>
      <c r="D7" s="235" t="s">
        <v>25</v>
      </c>
      <c r="E7" s="235" t="s">
        <v>121</v>
      </c>
      <c r="F7" s="235" t="s">
        <v>120</v>
      </c>
      <c r="G7" s="235" t="s">
        <v>204</v>
      </c>
      <c r="H7" s="235"/>
      <c r="I7" s="235" t="s">
        <v>326</v>
      </c>
      <c r="J7" s="239"/>
      <c r="K7" s="239"/>
    </row>
    <row r="8" spans="1:13" ht="14.25" customHeight="1">
      <c r="A8" s="239"/>
      <c r="B8" s="239"/>
      <c r="C8" s="239"/>
      <c r="D8" s="239"/>
      <c r="E8" s="235" t="s">
        <v>325</v>
      </c>
      <c r="F8" s="235" t="s">
        <v>324</v>
      </c>
      <c r="G8" s="239"/>
      <c r="H8" s="239"/>
      <c r="I8" s="239"/>
      <c r="J8" s="239"/>
      <c r="K8" s="239"/>
    </row>
    <row r="9" spans="1:13" ht="14.25" customHeight="1">
      <c r="A9" s="235" t="s">
        <v>24</v>
      </c>
      <c r="B9" s="239"/>
      <c r="C9" s="235" t="s">
        <v>323</v>
      </c>
      <c r="D9" s="235" t="s">
        <v>322</v>
      </c>
      <c r="E9" s="235" t="s">
        <v>321</v>
      </c>
      <c r="F9" s="235" t="s">
        <v>320</v>
      </c>
      <c r="G9" s="239"/>
      <c r="H9" s="239"/>
      <c r="I9" s="239"/>
      <c r="J9" s="239"/>
      <c r="K9" s="239"/>
    </row>
    <row r="10" spans="1:13" ht="14.25" customHeight="1">
      <c r="A10" s="235" t="s">
        <v>23</v>
      </c>
      <c r="B10" s="235" t="s">
        <v>40</v>
      </c>
      <c r="C10" s="235" t="s">
        <v>319</v>
      </c>
      <c r="D10" s="235" t="s">
        <v>318</v>
      </c>
      <c r="E10" s="235" t="s">
        <v>318</v>
      </c>
      <c r="F10" s="235" t="s">
        <v>317</v>
      </c>
      <c r="G10" s="260" t="s">
        <v>316</v>
      </c>
      <c r="H10" s="235"/>
      <c r="I10" s="235" t="s">
        <v>114</v>
      </c>
      <c r="J10" s="239"/>
      <c r="K10" s="257"/>
    </row>
    <row r="11" spans="1:13" ht="14.25" customHeight="1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52"/>
    </row>
    <row r="12" spans="1:13" ht="14.25" customHeight="1">
      <c r="A12" s="235" t="s">
        <v>202</v>
      </c>
      <c r="B12" s="268">
        <v>43862</v>
      </c>
      <c r="C12" s="246">
        <f>D.2!D33</f>
        <v>3031486.51</v>
      </c>
      <c r="D12" s="259">
        <f>D.3!D36</f>
        <v>8361080.1899999995</v>
      </c>
      <c r="E12" s="259">
        <f>D.4!L13</f>
        <v>11375683.599999998</v>
      </c>
      <c r="F12" s="259">
        <f>D12-E12</f>
        <v>-3014603.4099999983</v>
      </c>
      <c r="G12" s="512">
        <v>0</v>
      </c>
      <c r="H12" s="267"/>
      <c r="I12" s="259">
        <f>F12+G12</f>
        <v>-3014603.4099999983</v>
      </c>
      <c r="J12" s="239"/>
      <c r="K12" s="264"/>
      <c r="L12" s="266"/>
      <c r="M12" s="257"/>
    </row>
    <row r="13" spans="1:13" ht="14.25" customHeight="1">
      <c r="A13" s="235" t="s">
        <v>37</v>
      </c>
      <c r="B13" s="239"/>
      <c r="C13" s="246"/>
      <c r="D13" s="259"/>
      <c r="E13" s="259"/>
      <c r="F13" s="259"/>
      <c r="G13" s="512"/>
      <c r="H13" s="270"/>
      <c r="I13" s="259"/>
      <c r="J13" s="239"/>
      <c r="K13" s="239"/>
    </row>
    <row r="14" spans="1:13" ht="14.25" customHeight="1">
      <c r="A14" s="235" t="s">
        <v>200</v>
      </c>
      <c r="B14" s="268">
        <v>43891</v>
      </c>
      <c r="C14" s="246">
        <f>D.2!F$33</f>
        <v>1691625.52</v>
      </c>
      <c r="D14" s="259">
        <f>D.3!F36</f>
        <v>6386722.3400000008</v>
      </c>
      <c r="E14" s="259">
        <f>D.4!L20</f>
        <v>9310139.9300000016</v>
      </c>
      <c r="F14" s="259">
        <f>D14-E14</f>
        <v>-2923417.5900000008</v>
      </c>
      <c r="G14" s="512">
        <v>0</v>
      </c>
      <c r="H14" s="267"/>
      <c r="I14" s="259">
        <f>F14+G14</f>
        <v>-2923417.5900000008</v>
      </c>
      <c r="J14" s="239"/>
      <c r="K14" s="264"/>
      <c r="L14" s="266"/>
    </row>
    <row r="15" spans="1:13" ht="14.25" customHeight="1">
      <c r="A15" s="235" t="s">
        <v>199</v>
      </c>
      <c r="B15" s="239"/>
      <c r="C15" s="246"/>
      <c r="D15" s="259"/>
      <c r="E15" s="259"/>
      <c r="F15" s="259"/>
      <c r="G15" s="512"/>
      <c r="H15" s="269"/>
      <c r="I15" s="259"/>
      <c r="J15" s="239"/>
      <c r="K15" s="257"/>
    </row>
    <row r="16" spans="1:13" ht="14.25" customHeight="1">
      <c r="A16" s="235" t="s">
        <v>198</v>
      </c>
      <c r="B16" s="268">
        <v>43922</v>
      </c>
      <c r="C16" s="246">
        <f>D.2!H33</f>
        <v>1244490.48</v>
      </c>
      <c r="D16" s="579">
        <f>+D.3!H36</f>
        <v>3023144.4400000004</v>
      </c>
      <c r="E16" s="578">
        <f>D.4!L27</f>
        <v>5218056.1499999994</v>
      </c>
      <c r="F16" s="579">
        <f>D16-E16</f>
        <v>-2194911.709999999</v>
      </c>
      <c r="G16" s="580">
        <v>0</v>
      </c>
      <c r="H16" s="267"/>
      <c r="I16" s="579">
        <f>F16+G16</f>
        <v>-2194911.709999999</v>
      </c>
      <c r="J16" s="239"/>
      <c r="K16" s="264"/>
      <c r="L16" s="266"/>
      <c r="M16" s="252"/>
    </row>
    <row r="17" spans="1:13" ht="14.25" customHeight="1">
      <c r="A17" s="235" t="s">
        <v>197</v>
      </c>
      <c r="B17" s="265"/>
      <c r="C17" s="246"/>
      <c r="D17" s="324" t="s">
        <v>315</v>
      </c>
      <c r="E17" s="324" t="s">
        <v>315</v>
      </c>
      <c r="F17" s="324" t="s">
        <v>315</v>
      </c>
      <c r="G17" s="581"/>
      <c r="H17" s="581"/>
      <c r="I17" s="324" t="s">
        <v>314</v>
      </c>
      <c r="J17" s="239"/>
      <c r="K17" s="264"/>
    </row>
    <row r="18" spans="1:13" ht="14.25" customHeight="1">
      <c r="A18" s="235" t="s">
        <v>196</v>
      </c>
      <c r="B18" s="239"/>
      <c r="C18" s="239"/>
      <c r="D18" s="257"/>
      <c r="E18" s="257"/>
      <c r="F18" s="257"/>
      <c r="G18" s="324"/>
      <c r="H18" s="257"/>
      <c r="I18" s="257"/>
      <c r="J18" s="239"/>
      <c r="K18" s="239"/>
    </row>
    <row r="19" spans="1:13" ht="14.25" customHeight="1">
      <c r="A19" s="235" t="s">
        <v>194</v>
      </c>
      <c r="B19" s="239" t="s">
        <v>313</v>
      </c>
      <c r="C19" s="239"/>
      <c r="D19" s="263">
        <f>SUM(D12:D17)</f>
        <v>17770946.970000003</v>
      </c>
      <c r="E19" s="263">
        <f>SUM(E12:E17)</f>
        <v>25903879.68</v>
      </c>
      <c r="F19" s="263">
        <f>SUM(F12:F17)</f>
        <v>-8132932.7099999981</v>
      </c>
      <c r="G19" s="263">
        <f>SUM(G12:G17)</f>
        <v>0</v>
      </c>
      <c r="H19" s="263"/>
      <c r="I19" s="263">
        <f>SUM(I12:I17)</f>
        <v>-8132932.7099999981</v>
      </c>
      <c r="J19" s="239"/>
      <c r="K19" s="239"/>
      <c r="M19" s="252"/>
    </row>
    <row r="20" spans="1:13" ht="14.25" customHeight="1">
      <c r="A20" s="235" t="s">
        <v>192</v>
      </c>
    </row>
    <row r="21" spans="1:13" ht="14.25" customHeight="1">
      <c r="A21" s="235" t="s">
        <v>190</v>
      </c>
      <c r="B21" s="234" t="s">
        <v>312</v>
      </c>
      <c r="D21" s="262">
        <v>1195557.1317841609</v>
      </c>
      <c r="K21" s="239"/>
    </row>
    <row r="22" spans="1:13" ht="14.25" customHeight="1">
      <c r="A22" s="235" t="s">
        <v>188</v>
      </c>
      <c r="B22" s="239"/>
      <c r="C22" s="239"/>
      <c r="D22" s="239"/>
      <c r="E22" s="246"/>
      <c r="F22" s="246"/>
      <c r="G22" s="246"/>
      <c r="H22" s="246"/>
      <c r="I22" s="246"/>
      <c r="J22" s="239"/>
      <c r="K22" s="239"/>
    </row>
    <row r="23" spans="1:13" ht="14.25" customHeight="1">
      <c r="A23" s="235" t="s">
        <v>187</v>
      </c>
      <c r="B23" s="254" t="s">
        <v>309</v>
      </c>
      <c r="C23" s="239"/>
      <c r="D23" s="239"/>
      <c r="E23" s="246"/>
      <c r="F23" s="246"/>
      <c r="G23" s="246"/>
      <c r="H23" s="246"/>
      <c r="I23" s="246"/>
      <c r="J23" s="261"/>
    </row>
    <row r="24" spans="1:13" ht="14.25" customHeight="1">
      <c r="A24" s="235" t="s">
        <v>186</v>
      </c>
      <c r="B24" s="304" t="s">
        <v>549</v>
      </c>
      <c r="C24" s="239"/>
      <c r="D24" s="239"/>
      <c r="E24" s="239"/>
      <c r="F24" s="239"/>
      <c r="G24" s="513">
        <v>-4988278.6751000071</v>
      </c>
      <c r="H24" s="239"/>
      <c r="J24" s="252"/>
      <c r="K24" s="260"/>
    </row>
    <row r="25" spans="1:13" ht="14.25" customHeight="1">
      <c r="A25" s="235" t="s">
        <v>184</v>
      </c>
      <c r="B25" s="239" t="s">
        <v>550</v>
      </c>
      <c r="C25" s="239"/>
      <c r="D25" s="239"/>
      <c r="E25" s="239"/>
      <c r="F25" s="239"/>
      <c r="G25" s="314">
        <f>+I19</f>
        <v>-8132932.7099999981</v>
      </c>
      <c r="H25" s="239"/>
      <c r="J25" s="239"/>
      <c r="K25" s="257"/>
    </row>
    <row r="26" spans="1:13" ht="14.25" customHeight="1">
      <c r="A26" s="235" t="s">
        <v>182</v>
      </c>
      <c r="B26" s="239" t="s">
        <v>311</v>
      </c>
      <c r="C26" s="239"/>
      <c r="D26" s="239"/>
      <c r="E26" s="246"/>
      <c r="F26" s="246"/>
      <c r="G26" s="480">
        <f>-D.4!F30</f>
        <v>1913626.7600000002</v>
      </c>
      <c r="H26" s="246"/>
      <c r="I26" s="248"/>
      <c r="J26" s="259"/>
    </row>
    <row r="27" spans="1:13" ht="14.25" customHeight="1">
      <c r="A27" s="235" t="s">
        <v>180</v>
      </c>
      <c r="B27" s="239" t="s">
        <v>546</v>
      </c>
      <c r="C27" s="239"/>
      <c r="D27" s="239"/>
      <c r="E27" s="246"/>
      <c r="F27" s="246"/>
      <c r="G27" s="513">
        <v>-0.42</v>
      </c>
      <c r="H27" s="246"/>
      <c r="I27" s="248"/>
      <c r="J27" s="259"/>
    </row>
    <row r="28" spans="1:13" ht="14.25" customHeight="1">
      <c r="A28" s="235" t="s">
        <v>178</v>
      </c>
      <c r="B28" s="524" t="s">
        <v>551</v>
      </c>
      <c r="C28" s="283"/>
      <c r="D28" s="283"/>
      <c r="E28" s="313"/>
      <c r="F28" s="313"/>
      <c r="G28" s="525"/>
      <c r="H28" s="313"/>
      <c r="J28" s="259"/>
    </row>
    <row r="29" spans="1:13" ht="14.25" customHeight="1">
      <c r="A29" s="235" t="s">
        <v>176</v>
      </c>
      <c r="B29" s="239" t="s">
        <v>552</v>
      </c>
      <c r="C29" s="239"/>
      <c r="D29" s="239"/>
      <c r="E29" s="246"/>
      <c r="F29" s="246"/>
      <c r="G29" s="247">
        <f>SUM(G24:G28)</f>
        <v>-11207585.045100005</v>
      </c>
      <c r="H29" s="246"/>
      <c r="I29" s="242"/>
      <c r="J29" s="252"/>
    </row>
    <row r="30" spans="1:13" ht="14.25" customHeight="1">
      <c r="A30" s="235" t="s">
        <v>173</v>
      </c>
      <c r="B30" s="239" t="s">
        <v>307</v>
      </c>
      <c r="C30" s="239"/>
      <c r="D30" s="246"/>
      <c r="E30" s="239"/>
      <c r="F30" s="239"/>
      <c r="G30" s="313">
        <f>B.6!$E$26+B.6!$E$30</f>
        <v>16941089.02600522</v>
      </c>
      <c r="H30" s="246" t="s">
        <v>310</v>
      </c>
      <c r="J30" s="257"/>
      <c r="K30" s="255"/>
    </row>
    <row r="31" spans="1:13" ht="14.25" customHeight="1">
      <c r="A31" s="235" t="s">
        <v>172</v>
      </c>
      <c r="B31" s="239"/>
      <c r="C31" s="239"/>
      <c r="D31" s="246"/>
      <c r="E31" s="239"/>
      <c r="F31" s="239"/>
      <c r="G31" s="313"/>
      <c r="K31" s="255"/>
      <c r="M31" s="252"/>
    </row>
    <row r="32" spans="1:13" ht="14.25" customHeight="1">
      <c r="A32" s="235" t="s">
        <v>171</v>
      </c>
      <c r="B32" s="234" t="s">
        <v>309</v>
      </c>
      <c r="G32" s="481">
        <f>ROUND(G29/G30,4)</f>
        <v>-0.66159999999999997</v>
      </c>
      <c r="H32" s="234" t="s">
        <v>305</v>
      </c>
      <c r="K32" s="242"/>
    </row>
    <row r="33" spans="1:11" ht="14.25" customHeight="1">
      <c r="A33" s="235" t="s">
        <v>170</v>
      </c>
      <c r="B33" s="256"/>
      <c r="G33" s="482"/>
      <c r="K33" s="255"/>
    </row>
    <row r="34" spans="1:11" ht="14.25" customHeight="1">
      <c r="A34" s="235" t="s">
        <v>135</v>
      </c>
      <c r="B34" s="254" t="s">
        <v>308</v>
      </c>
      <c r="G34" s="482"/>
      <c r="J34" s="251"/>
    </row>
    <row r="35" spans="1:11" ht="14.25" customHeight="1">
      <c r="A35" s="235" t="s">
        <v>168</v>
      </c>
      <c r="B35" s="239" t="s">
        <v>553</v>
      </c>
      <c r="C35" s="239"/>
      <c r="D35" s="239"/>
      <c r="E35" s="239"/>
      <c r="F35" s="239"/>
      <c r="G35" s="253">
        <f>D.6!J18</f>
        <v>201125.03000000003</v>
      </c>
      <c r="H35" s="239"/>
      <c r="J35" s="252"/>
    </row>
    <row r="36" spans="1:11" ht="14.25" customHeight="1">
      <c r="A36" s="235" t="s">
        <v>167</v>
      </c>
      <c r="B36" s="239" t="s">
        <v>307</v>
      </c>
      <c r="G36" s="313">
        <f>G30</f>
        <v>16941089.02600522</v>
      </c>
      <c r="H36" s="239"/>
    </row>
    <row r="37" spans="1:11" ht="14.25" customHeight="1">
      <c r="A37" s="235" t="s">
        <v>165</v>
      </c>
      <c r="B37" s="239"/>
      <c r="C37" s="239"/>
      <c r="D37" s="239"/>
      <c r="E37" s="239"/>
      <c r="F37" s="239"/>
      <c r="G37" s="283"/>
      <c r="H37" s="239"/>
      <c r="J37" s="248"/>
      <c r="K37" s="251"/>
    </row>
    <row r="38" spans="1:11" ht="14.25" customHeight="1">
      <c r="A38" s="235" t="s">
        <v>164</v>
      </c>
      <c r="B38" s="234" t="s">
        <v>308</v>
      </c>
      <c r="G38" s="483">
        <f>ROUND(G35/G36,4)</f>
        <v>1.1900000000000001E-2</v>
      </c>
      <c r="H38" s="234" t="s">
        <v>305</v>
      </c>
      <c r="K38" s="250"/>
    </row>
    <row r="39" spans="1:11" ht="14.25" customHeight="1">
      <c r="A39" s="235" t="s">
        <v>162</v>
      </c>
      <c r="G39" s="481"/>
    </row>
    <row r="40" spans="1:11" ht="14.25" customHeight="1">
      <c r="A40" s="235" t="s">
        <v>158</v>
      </c>
      <c r="B40" s="249" t="s">
        <v>306</v>
      </c>
      <c r="G40" s="481"/>
      <c r="J40" s="252"/>
      <c r="K40" s="248"/>
    </row>
    <row r="41" spans="1:11" ht="14.25" customHeight="1">
      <c r="A41" s="235" t="s">
        <v>153</v>
      </c>
      <c r="B41" s="234" t="s">
        <v>554</v>
      </c>
      <c r="G41" s="247">
        <f>G29+G35</f>
        <v>-11006460.015100006</v>
      </c>
      <c r="I41" s="242"/>
      <c r="J41" s="252"/>
    </row>
    <row r="42" spans="1:11" ht="14.25" customHeight="1">
      <c r="A42" s="235" t="s">
        <v>152</v>
      </c>
      <c r="B42" s="239" t="s">
        <v>307</v>
      </c>
      <c r="G42" s="313">
        <f>G30</f>
        <v>16941089.02600522</v>
      </c>
      <c r="J42" s="252"/>
    </row>
    <row r="43" spans="1:11" ht="14.25" customHeight="1">
      <c r="A43" s="235" t="s">
        <v>151</v>
      </c>
      <c r="B43" s="244"/>
      <c r="C43" s="244"/>
      <c r="D43" s="244"/>
      <c r="E43" s="244"/>
      <c r="F43" s="245"/>
      <c r="G43" s="484"/>
      <c r="H43" s="241"/>
    </row>
    <row r="44" spans="1:11" ht="14.25" customHeight="1" thickBot="1">
      <c r="A44" s="235" t="s">
        <v>149</v>
      </c>
      <c r="B44" s="237" t="s">
        <v>306</v>
      </c>
      <c r="C44" s="237"/>
      <c r="D44" s="237"/>
      <c r="E44" s="237"/>
      <c r="F44" s="237"/>
      <c r="G44" s="485">
        <f>G32+G38</f>
        <v>-0.64969999999999994</v>
      </c>
      <c r="H44" s="234" t="s">
        <v>305</v>
      </c>
      <c r="J44" s="243"/>
    </row>
    <row r="45" spans="1:11" ht="14.25" customHeight="1" thickTop="1">
      <c r="A45" s="235" t="s">
        <v>148</v>
      </c>
    </row>
    <row r="46" spans="1:11" ht="14.25" customHeight="1">
      <c r="A46" s="235"/>
      <c r="G46" s="242"/>
      <c r="I46" s="237"/>
    </row>
    <row r="47" spans="1:11">
      <c r="A47" s="235"/>
    </row>
    <row r="48" spans="1:11">
      <c r="A48" s="235"/>
      <c r="B48" s="240"/>
      <c r="C48" s="240"/>
      <c r="D48" s="240"/>
      <c r="E48" s="240"/>
      <c r="F48" s="240"/>
      <c r="G48" s="241"/>
      <c r="H48" s="240"/>
    </row>
    <row r="49" spans="1:9">
      <c r="A49" s="235"/>
      <c r="I49" s="239"/>
    </row>
    <row r="50" spans="1:9">
      <c r="A50" s="235"/>
    </row>
    <row r="51" spans="1:9">
      <c r="A51" s="235"/>
    </row>
    <row r="52" spans="1:9">
      <c r="A52" s="235"/>
    </row>
    <row r="53" spans="1:9" ht="15">
      <c r="A53" s="235"/>
      <c r="H53" s="238"/>
      <c r="I53" s="237"/>
    </row>
    <row r="54" spans="1:9">
      <c r="A54" s="235"/>
      <c r="D54" s="236"/>
    </row>
    <row r="55" spans="1:9">
      <c r="A55" s="235"/>
    </row>
    <row r="56" spans="1:9">
      <c r="A56" s="235"/>
    </row>
    <row r="57" spans="1:9">
      <c r="A57" s="235"/>
    </row>
    <row r="58" spans="1:9">
      <c r="A58" s="235"/>
    </row>
    <row r="59" spans="1:9">
      <c r="A59" s="235"/>
    </row>
    <row r="60" spans="1:9">
      <c r="A60" s="235"/>
    </row>
    <row r="61" spans="1:9">
      <c r="A61" s="235"/>
    </row>
    <row r="62" spans="1:9">
      <c r="A62" s="235"/>
    </row>
    <row r="63" spans="1:9">
      <c r="A63" s="235"/>
    </row>
    <row r="64" spans="1:9">
      <c r="A64" s="235" t="str">
        <f>A1</f>
        <v>Atmos Energy Corporation</v>
      </c>
    </row>
    <row r="65" spans="1:1">
      <c r="A65" s="235"/>
    </row>
    <row r="66" spans="1:1">
      <c r="A66" s="235"/>
    </row>
    <row r="67" spans="1:1">
      <c r="A67" s="235"/>
    </row>
    <row r="68" spans="1:1">
      <c r="A68" s="235"/>
    </row>
    <row r="69" spans="1:1">
      <c r="A69" s="235"/>
    </row>
    <row r="70" spans="1:1">
      <c r="A70" s="235"/>
    </row>
    <row r="71" spans="1:1">
      <c r="A71" s="235"/>
    </row>
    <row r="72" spans="1:1">
      <c r="A72" s="235"/>
    </row>
    <row r="73" spans="1:1">
      <c r="A73" s="235"/>
    </row>
    <row r="74" spans="1:1">
      <c r="A74" s="235"/>
    </row>
    <row r="75" spans="1:1">
      <c r="A75" s="235"/>
    </row>
    <row r="76" spans="1:1">
      <c r="A76" s="235"/>
    </row>
    <row r="77" spans="1:1">
      <c r="A77" s="235"/>
    </row>
    <row r="78" spans="1:1">
      <c r="A78" s="235"/>
    </row>
    <row r="79" spans="1:1">
      <c r="A79" s="235"/>
    </row>
    <row r="80" spans="1:1">
      <c r="A80" s="235"/>
    </row>
    <row r="81" spans="1:1">
      <c r="A81" s="235"/>
    </row>
    <row r="82" spans="1:1">
      <c r="A82" s="235"/>
    </row>
    <row r="83" spans="1:1">
      <c r="A83" s="235"/>
    </row>
    <row r="84" spans="1:1">
      <c r="A84" s="235"/>
    </row>
    <row r="85" spans="1:1">
      <c r="A85" s="235"/>
    </row>
    <row r="86" spans="1:1">
      <c r="A86" s="235"/>
    </row>
    <row r="87" spans="1:1">
      <c r="A87" s="235"/>
    </row>
    <row r="88" spans="1:1">
      <c r="A88" s="235"/>
    </row>
    <row r="89" spans="1:1">
      <c r="A89" s="235"/>
    </row>
    <row r="90" spans="1:1">
      <c r="A90" s="235"/>
    </row>
    <row r="91" spans="1:1">
      <c r="A91" s="235"/>
    </row>
    <row r="92" spans="1:1">
      <c r="A92" s="235"/>
    </row>
    <row r="93" spans="1:1">
      <c r="A93" s="235"/>
    </row>
    <row r="94" spans="1:1">
      <c r="A94" s="235"/>
    </row>
    <row r="95" spans="1:1">
      <c r="A95" s="235"/>
    </row>
    <row r="96" spans="1:1">
      <c r="A96" s="235"/>
    </row>
    <row r="97" spans="1:1">
      <c r="A97" s="235"/>
    </row>
    <row r="98" spans="1:1">
      <c r="A98" s="235"/>
    </row>
    <row r="99" spans="1:1">
      <c r="A99" s="235"/>
    </row>
    <row r="100" spans="1:1">
      <c r="A100" s="235"/>
    </row>
    <row r="101" spans="1:1">
      <c r="A101" s="235"/>
    </row>
    <row r="102" spans="1:1">
      <c r="A102" s="235"/>
    </row>
    <row r="103" spans="1:1">
      <c r="A103" s="235"/>
    </row>
    <row r="104" spans="1:1">
      <c r="A104" s="235"/>
    </row>
    <row r="105" spans="1:1">
      <c r="A105" s="235"/>
    </row>
    <row r="106" spans="1:1">
      <c r="A106" s="235"/>
    </row>
    <row r="107" spans="1:1">
      <c r="A107" s="235"/>
    </row>
    <row r="108" spans="1:1">
      <c r="A108" s="235"/>
    </row>
    <row r="109" spans="1:1">
      <c r="A109" s="235"/>
    </row>
    <row r="110" spans="1:1">
      <c r="A110" s="235"/>
    </row>
    <row r="111" spans="1:1">
      <c r="A111" s="235"/>
    </row>
    <row r="112" spans="1:1">
      <c r="A112" s="235"/>
    </row>
    <row r="113" spans="1:1">
      <c r="A113" s="235"/>
    </row>
    <row r="114" spans="1:1">
      <c r="A114" s="235"/>
    </row>
    <row r="115" spans="1:1">
      <c r="A115" s="235"/>
    </row>
    <row r="116" spans="1:1">
      <c r="A116" s="235"/>
    </row>
    <row r="117" spans="1:1">
      <c r="A117" s="235"/>
    </row>
    <row r="118" spans="1:1">
      <c r="A118" s="235"/>
    </row>
    <row r="119" spans="1:1">
      <c r="A119" s="235"/>
    </row>
    <row r="120" spans="1:1">
      <c r="A120" s="235"/>
    </row>
    <row r="121" spans="1:1">
      <c r="A121" s="235"/>
    </row>
  </sheetData>
  <mergeCells count="2">
    <mergeCell ref="A3:D3"/>
    <mergeCell ref="A2:D2"/>
  </mergeCells>
  <printOptions horizontalCentered="1"/>
  <pageMargins left="0.5" right="0.28000000000000003" top="0.5" bottom="0.5" header="0.5" footer="0.5"/>
  <pageSetup scale="69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/>
  </sheetViews>
  <sheetFormatPr defaultColWidth="12.5703125" defaultRowHeight="14.25"/>
  <cols>
    <col min="1" max="1" width="6.140625" style="234" customWidth="1"/>
    <col min="2" max="2" width="35.7109375" style="234" customWidth="1"/>
    <col min="3" max="3" width="6.140625" style="234" customWidth="1"/>
    <col min="4" max="4" width="17" style="234" customWidth="1"/>
    <col min="5" max="5" width="2.28515625" style="234" customWidth="1"/>
    <col min="6" max="6" width="16.42578125" style="234" customWidth="1"/>
    <col min="7" max="7" width="2.28515625" style="234" customWidth="1"/>
    <col min="8" max="8" width="16.42578125" style="234" customWidth="1"/>
    <col min="9" max="9" width="2.28515625" style="234" customWidth="1"/>
    <col min="10" max="10" width="16.42578125" style="234" customWidth="1"/>
    <col min="11" max="11" width="2.28515625" style="234" customWidth="1"/>
    <col min="12" max="15" width="13.85546875" style="234" customWidth="1"/>
    <col min="16" max="16384" width="12.5703125" style="234"/>
  </cols>
  <sheetData>
    <row r="1" spans="1:41" ht="15">
      <c r="A1" s="302" t="s">
        <v>32</v>
      </c>
      <c r="B1" s="239"/>
      <c r="C1" s="239"/>
      <c r="D1" s="239"/>
      <c r="E1" s="239"/>
      <c r="F1" s="239"/>
      <c r="G1" s="239"/>
      <c r="H1" s="239" t="s">
        <v>329</v>
      </c>
      <c r="I1" s="239"/>
      <c r="K1" s="239"/>
      <c r="M1" s="239"/>
      <c r="N1" s="239"/>
      <c r="O1" s="239"/>
      <c r="P1" s="239"/>
    </row>
    <row r="2" spans="1:41">
      <c r="A2" s="301" t="s">
        <v>357</v>
      </c>
      <c r="B2" s="239"/>
      <c r="C2" s="239"/>
      <c r="D2" s="239"/>
      <c r="E2" s="239"/>
      <c r="F2" s="239"/>
      <c r="G2" s="239"/>
      <c r="H2" s="239" t="s">
        <v>356</v>
      </c>
      <c r="I2" s="239"/>
      <c r="K2" s="239"/>
      <c r="M2" s="239"/>
      <c r="N2" s="239"/>
      <c r="O2" s="239"/>
      <c r="P2" s="239"/>
    </row>
    <row r="3" spans="1:41">
      <c r="A3" s="599">
        <v>43922</v>
      </c>
      <c r="B3" s="599"/>
      <c r="C3" s="599"/>
      <c r="D3" s="59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</row>
    <row r="4" spans="1:41">
      <c r="A4" s="301" t="s">
        <v>548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41" ht="15">
      <c r="A5" s="301"/>
      <c r="B5" s="239"/>
      <c r="C5" s="239" t="s">
        <v>355</v>
      </c>
      <c r="D5" s="300">
        <v>43891</v>
      </c>
      <c r="E5" s="244"/>
      <c r="F5" s="300">
        <v>43922</v>
      </c>
      <c r="G5" s="244"/>
      <c r="H5" s="300">
        <v>43952</v>
      </c>
      <c r="I5" s="239"/>
      <c r="J5" s="280"/>
      <c r="K5" s="239"/>
      <c r="L5" s="239"/>
      <c r="M5" s="239"/>
      <c r="N5" s="239"/>
      <c r="O5" s="239"/>
      <c r="P5" s="239"/>
    </row>
    <row r="6" spans="1:41" ht="15">
      <c r="A6" s="239"/>
      <c r="B6" s="239"/>
      <c r="C6" s="239"/>
      <c r="D6" s="239"/>
      <c r="E6" s="239"/>
      <c r="F6" s="239"/>
      <c r="G6" s="239"/>
      <c r="H6" s="239"/>
      <c r="I6" s="239"/>
      <c r="J6" s="280"/>
      <c r="K6" s="239"/>
      <c r="L6" s="239"/>
      <c r="M6" s="239"/>
      <c r="N6" s="239"/>
      <c r="O6" s="239"/>
      <c r="P6" s="239"/>
    </row>
    <row r="7" spans="1:41" ht="15">
      <c r="A7" s="239"/>
      <c r="B7" s="239"/>
      <c r="C7" s="239"/>
      <c r="D7" s="235" t="s">
        <v>27</v>
      </c>
      <c r="F7" s="235" t="s">
        <v>26</v>
      </c>
      <c r="G7" s="246"/>
      <c r="H7" s="235" t="s">
        <v>25</v>
      </c>
      <c r="I7" s="244"/>
      <c r="J7" s="280"/>
      <c r="K7" s="239"/>
      <c r="L7" s="239"/>
      <c r="M7" s="239"/>
      <c r="N7" s="239"/>
      <c r="O7" s="239"/>
      <c r="P7" s="239"/>
    </row>
    <row r="8" spans="1:41" ht="15">
      <c r="A8" s="235" t="s">
        <v>24</v>
      </c>
      <c r="B8" s="239"/>
      <c r="C8" s="239"/>
      <c r="D8" s="299" t="s">
        <v>40</v>
      </c>
      <c r="E8" s="299"/>
      <c r="F8" s="299"/>
      <c r="G8" s="299"/>
      <c r="H8" s="299"/>
      <c r="I8" s="331"/>
      <c r="J8" s="280"/>
      <c r="K8" s="239"/>
      <c r="M8" s="298"/>
      <c r="N8" s="298"/>
      <c r="O8" s="298"/>
      <c r="P8" s="239"/>
    </row>
    <row r="9" spans="1:41" ht="15">
      <c r="A9" s="235" t="s">
        <v>23</v>
      </c>
      <c r="B9" s="297" t="s">
        <v>22</v>
      </c>
      <c r="C9" s="239" t="s">
        <v>354</v>
      </c>
      <c r="D9" s="295">
        <v>43862</v>
      </c>
      <c r="E9" s="296"/>
      <c r="F9" s="295">
        <v>43891</v>
      </c>
      <c r="G9" s="296"/>
      <c r="H9" s="295">
        <v>43922</v>
      </c>
      <c r="I9" s="244"/>
      <c r="J9" s="280"/>
      <c r="K9" s="239"/>
      <c r="L9" s="290"/>
      <c r="M9" s="290"/>
      <c r="N9" s="294"/>
      <c r="O9" s="294"/>
      <c r="P9" s="239"/>
    </row>
    <row r="10" spans="1:41" ht="15.75">
      <c r="A10" s="235" t="s">
        <v>202</v>
      </c>
      <c r="B10" s="237" t="s">
        <v>353</v>
      </c>
      <c r="C10" s="239"/>
      <c r="D10" s="246"/>
      <c r="E10" s="239"/>
      <c r="F10" s="239"/>
      <c r="G10" s="239"/>
      <c r="H10" s="239"/>
      <c r="I10" s="239"/>
      <c r="J10" s="280"/>
      <c r="K10" s="239"/>
      <c r="L10" s="290"/>
      <c r="M10" s="290"/>
      <c r="N10" s="239"/>
      <c r="O10" s="239"/>
      <c r="P10" s="239"/>
    </row>
    <row r="11" spans="1:41" ht="15">
      <c r="A11" s="235" t="s">
        <v>37</v>
      </c>
      <c r="B11" s="239" t="s">
        <v>352</v>
      </c>
      <c r="C11" s="239"/>
      <c r="D11" s="246"/>
      <c r="E11" s="239"/>
      <c r="F11" s="239"/>
      <c r="G11" s="239"/>
      <c r="H11" s="239"/>
      <c r="I11" s="239"/>
      <c r="J11" s="280"/>
      <c r="K11" s="239"/>
      <c r="L11" s="290"/>
      <c r="M11" s="289"/>
      <c r="N11" s="239"/>
      <c r="O11" s="239"/>
      <c r="P11" s="239"/>
    </row>
    <row r="12" spans="1:41" ht="16.5">
      <c r="A12" s="235" t="s">
        <v>200</v>
      </c>
      <c r="B12" s="239" t="s">
        <v>351</v>
      </c>
      <c r="C12" s="235" t="s">
        <v>4</v>
      </c>
      <c r="D12" s="287">
        <v>0</v>
      </c>
      <c r="E12" s="286"/>
      <c r="F12" s="287">
        <v>0</v>
      </c>
      <c r="G12" s="286"/>
      <c r="H12" s="287">
        <v>0</v>
      </c>
      <c r="I12" s="291"/>
      <c r="J12" s="280"/>
      <c r="K12" s="239"/>
      <c r="L12" s="290"/>
      <c r="M12" s="289"/>
      <c r="N12" s="246"/>
      <c r="O12" s="246"/>
      <c r="P12" s="239"/>
    </row>
    <row r="13" spans="1:41" ht="16.5">
      <c r="A13" s="235" t="s">
        <v>199</v>
      </c>
      <c r="B13" s="239" t="s">
        <v>350</v>
      </c>
      <c r="C13" s="235" t="s">
        <v>4</v>
      </c>
      <c r="D13" s="291">
        <v>0</v>
      </c>
      <c r="E13" s="293"/>
      <c r="F13" s="291">
        <v>0</v>
      </c>
      <c r="G13" s="293"/>
      <c r="H13" s="291">
        <v>0</v>
      </c>
      <c r="I13" s="291"/>
      <c r="J13" s="280"/>
      <c r="K13" s="239"/>
      <c r="L13" s="290"/>
      <c r="M13" s="289"/>
      <c r="N13" s="246"/>
      <c r="O13" s="246"/>
      <c r="P13" s="239"/>
    </row>
    <row r="14" spans="1:41" ht="16.5">
      <c r="A14" s="235" t="s">
        <v>198</v>
      </c>
      <c r="B14" s="239" t="s">
        <v>349</v>
      </c>
      <c r="C14" s="235" t="s">
        <v>4</v>
      </c>
      <c r="D14" s="291">
        <v>0</v>
      </c>
      <c r="E14" s="286"/>
      <c r="F14" s="291">
        <v>0</v>
      </c>
      <c r="G14" s="293"/>
      <c r="H14" s="291">
        <v>0</v>
      </c>
      <c r="I14" s="291"/>
      <c r="J14" s="280"/>
      <c r="K14" s="244"/>
      <c r="L14" s="290"/>
      <c r="M14" s="289"/>
      <c r="N14" s="292"/>
      <c r="O14" s="292"/>
      <c r="P14" s="244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</row>
    <row r="15" spans="1:41" ht="16.5">
      <c r="A15" s="235" t="s">
        <v>197</v>
      </c>
      <c r="B15" s="239" t="s">
        <v>348</v>
      </c>
      <c r="C15" s="235" t="s">
        <v>4</v>
      </c>
      <c r="D15" s="285">
        <v>0</v>
      </c>
      <c r="E15" s="286"/>
      <c r="F15" s="285">
        <v>0</v>
      </c>
      <c r="G15" s="286"/>
      <c r="H15" s="285">
        <v>0</v>
      </c>
      <c r="I15" s="291"/>
      <c r="J15" s="280"/>
      <c r="K15" s="239"/>
      <c r="L15" s="290"/>
      <c r="M15" s="289"/>
      <c r="N15" s="246"/>
      <c r="O15" s="246"/>
      <c r="P15" s="239"/>
    </row>
    <row r="16" spans="1:41" ht="15.75">
      <c r="A16" s="235" t="s">
        <v>196</v>
      </c>
      <c r="B16" s="237" t="s">
        <v>347</v>
      </c>
      <c r="C16" s="235" t="s">
        <v>4</v>
      </c>
      <c r="D16" s="246">
        <f>SUM(D12:D15)</f>
        <v>0</v>
      </c>
      <c r="E16" s="239"/>
      <c r="F16" s="246">
        <f>SUM(F12:F15)</f>
        <v>0</v>
      </c>
      <c r="G16" s="239"/>
      <c r="H16" s="246">
        <f>SUM(H12:H15)</f>
        <v>0</v>
      </c>
      <c r="I16" s="239"/>
      <c r="J16" s="280"/>
      <c r="K16" s="239"/>
      <c r="L16" s="290"/>
      <c r="M16" s="289"/>
      <c r="N16" s="246"/>
      <c r="O16" s="246"/>
      <c r="P16" s="239"/>
    </row>
    <row r="17" spans="1:16" ht="15">
      <c r="A17" s="235" t="s">
        <v>194</v>
      </c>
      <c r="B17" s="239" t="s">
        <v>346</v>
      </c>
      <c r="C17" s="235" t="s">
        <v>4</v>
      </c>
      <c r="D17" s="246">
        <f>D.5!D69</f>
        <v>220911</v>
      </c>
      <c r="E17" s="239"/>
      <c r="F17" s="246">
        <f>D.5!H69</f>
        <v>333925</v>
      </c>
      <c r="G17" s="246"/>
      <c r="H17" s="246">
        <f>D.5!L69</f>
        <v>1862445</v>
      </c>
      <c r="I17" s="239"/>
      <c r="J17" s="280"/>
      <c r="K17" s="239"/>
      <c r="L17" s="290"/>
      <c r="M17" s="289"/>
      <c r="N17" s="246"/>
      <c r="O17" s="246"/>
      <c r="P17" s="239"/>
    </row>
    <row r="18" spans="1:16" ht="15">
      <c r="A18" s="235" t="s">
        <v>192</v>
      </c>
      <c r="B18" s="239" t="s">
        <v>345</v>
      </c>
      <c r="C18" s="239"/>
      <c r="D18" s="246"/>
      <c r="E18" s="239"/>
      <c r="F18" s="287"/>
      <c r="G18" s="286"/>
      <c r="H18" s="287"/>
      <c r="I18" s="239"/>
      <c r="J18" s="280"/>
      <c r="K18" s="239"/>
      <c r="L18" s="239"/>
      <c r="M18" s="239"/>
      <c r="N18" s="239"/>
      <c r="O18" s="239"/>
      <c r="P18" s="239"/>
    </row>
    <row r="19" spans="1:16" ht="15">
      <c r="A19" s="235" t="s">
        <v>190</v>
      </c>
      <c r="B19" s="239" t="s">
        <v>344</v>
      </c>
      <c r="C19" s="235" t="s">
        <v>4</v>
      </c>
      <c r="D19" s="287">
        <v>0</v>
      </c>
      <c r="E19" s="239"/>
      <c r="F19" s="287">
        <v>0</v>
      </c>
      <c r="G19" s="286"/>
      <c r="H19" s="287">
        <v>0</v>
      </c>
      <c r="I19" s="239"/>
      <c r="J19" s="280"/>
      <c r="K19" s="239"/>
      <c r="L19" s="239"/>
      <c r="M19" s="239"/>
      <c r="N19" s="239"/>
      <c r="O19" s="239"/>
      <c r="P19" s="239"/>
    </row>
    <row r="20" spans="1:16" ht="15">
      <c r="A20" s="235" t="s">
        <v>188</v>
      </c>
      <c r="B20" s="239" t="s">
        <v>343</v>
      </c>
      <c r="C20" s="235" t="s">
        <v>4</v>
      </c>
      <c r="D20" s="287">
        <v>0</v>
      </c>
      <c r="E20" s="239"/>
      <c r="F20" s="287">
        <v>0</v>
      </c>
      <c r="G20" s="286"/>
      <c r="H20" s="287">
        <v>0</v>
      </c>
      <c r="I20" s="239"/>
      <c r="J20" s="280"/>
      <c r="K20" s="239"/>
      <c r="L20" s="239"/>
      <c r="M20" s="239"/>
      <c r="N20" s="239"/>
      <c r="O20" s="239"/>
      <c r="P20" s="239"/>
    </row>
    <row r="21" spans="1:16" ht="15">
      <c r="A21" s="235" t="s">
        <v>187</v>
      </c>
      <c r="B21" s="239" t="s">
        <v>342</v>
      </c>
      <c r="C21" s="239"/>
      <c r="D21" s="313"/>
      <c r="E21" s="283"/>
      <c r="F21" s="246"/>
      <c r="G21" s="387"/>
      <c r="H21" s="313"/>
      <c r="I21" s="239"/>
      <c r="J21" s="280"/>
      <c r="K21" s="239"/>
      <c r="L21" s="239"/>
      <c r="M21" s="239"/>
      <c r="N21" s="239"/>
      <c r="O21" s="239"/>
      <c r="P21" s="239"/>
    </row>
    <row r="22" spans="1:16" ht="15">
      <c r="A22" s="235" t="s">
        <v>186</v>
      </c>
      <c r="B22" s="239" t="s">
        <v>181</v>
      </c>
      <c r="C22" s="235" t="s">
        <v>4</v>
      </c>
      <c r="D22" s="449">
        <v>1758662</v>
      </c>
      <c r="E22" s="312"/>
      <c r="F22" s="449">
        <v>909304</v>
      </c>
      <c r="G22" s="388"/>
      <c r="H22" s="449">
        <v>16732</v>
      </c>
      <c r="I22" s="239"/>
      <c r="J22" s="280"/>
      <c r="K22" s="239"/>
      <c r="L22" s="239"/>
      <c r="M22" s="239"/>
      <c r="N22" s="239"/>
      <c r="O22" s="239"/>
      <c r="P22" s="239"/>
    </row>
    <row r="23" spans="1:16" ht="15">
      <c r="A23" s="235" t="s">
        <v>184</v>
      </c>
      <c r="B23" s="239" t="s">
        <v>223</v>
      </c>
      <c r="C23" s="235" t="s">
        <v>4</v>
      </c>
      <c r="D23" s="449">
        <v>-821</v>
      </c>
      <c r="E23" s="312"/>
      <c r="F23" s="449">
        <v>-17670</v>
      </c>
      <c r="G23" s="288"/>
      <c r="H23" s="449">
        <v>-453215</v>
      </c>
      <c r="I23" s="239"/>
      <c r="J23" s="280"/>
      <c r="K23" s="239"/>
      <c r="L23" s="239"/>
      <c r="M23" s="239"/>
      <c r="N23" s="239"/>
      <c r="O23" s="239"/>
      <c r="P23" s="239"/>
    </row>
    <row r="24" spans="1:16" ht="15">
      <c r="A24" s="235" t="s">
        <v>182</v>
      </c>
      <c r="B24" s="239" t="s">
        <v>341</v>
      </c>
      <c r="C24" s="235" t="s">
        <v>4</v>
      </c>
      <c r="D24" s="511">
        <v>760</v>
      </c>
      <c r="E24" s="312"/>
      <c r="F24" s="511">
        <v>2065</v>
      </c>
      <c r="G24" s="388"/>
      <c r="H24" s="511">
        <v>2740</v>
      </c>
      <c r="I24" s="239"/>
      <c r="J24" s="280"/>
      <c r="K24" s="239"/>
      <c r="L24" s="239"/>
      <c r="M24" s="239"/>
      <c r="N24" s="239"/>
      <c r="O24" s="239"/>
      <c r="P24" s="239"/>
    </row>
    <row r="25" spans="1:16" ht="15">
      <c r="A25" s="235" t="s">
        <v>180</v>
      </c>
      <c r="B25" s="239" t="s">
        <v>340</v>
      </c>
      <c r="C25" s="235" t="s">
        <v>4</v>
      </c>
      <c r="D25" s="511">
        <v>-520.29</v>
      </c>
      <c r="E25" s="312"/>
      <c r="F25" s="511">
        <v>-1741.43</v>
      </c>
      <c r="G25" s="388"/>
      <c r="H25" s="511">
        <v>-156.59</v>
      </c>
      <c r="I25" s="239"/>
      <c r="J25" s="280"/>
      <c r="K25" s="239"/>
      <c r="L25" s="239"/>
      <c r="M25" s="239"/>
      <c r="N25" s="239"/>
      <c r="O25" s="239"/>
      <c r="P25" s="239"/>
    </row>
    <row r="26" spans="1:16" ht="15">
      <c r="A26" s="235" t="s">
        <v>178</v>
      </c>
      <c r="B26" s="239" t="s">
        <v>339</v>
      </c>
      <c r="C26" s="235" t="s">
        <v>4</v>
      </c>
      <c r="D26" s="449"/>
      <c r="E26" s="312"/>
      <c r="F26" s="449"/>
      <c r="G26" s="388"/>
      <c r="H26" s="449"/>
      <c r="I26" s="239"/>
      <c r="J26" s="280"/>
      <c r="K26" s="239"/>
      <c r="L26" s="239"/>
      <c r="M26" s="239"/>
      <c r="N26" s="239"/>
      <c r="O26" s="239"/>
      <c r="P26" s="239"/>
    </row>
    <row r="27" spans="1:16" ht="16.5">
      <c r="A27" s="235" t="s">
        <v>176</v>
      </c>
      <c r="B27" s="239" t="s">
        <v>338</v>
      </c>
      <c r="C27" s="235" t="s">
        <v>4</v>
      </c>
      <c r="D27" s="450">
        <v>1052494.8</v>
      </c>
      <c r="E27" s="312"/>
      <c r="F27" s="450">
        <v>465742.95</v>
      </c>
      <c r="G27" s="388"/>
      <c r="H27" s="450">
        <v>-184054.93</v>
      </c>
      <c r="I27" s="239"/>
      <c r="J27" s="280"/>
      <c r="K27" s="239"/>
      <c r="L27" s="239"/>
      <c r="M27" s="239"/>
      <c r="N27" s="239"/>
      <c r="O27" s="239"/>
      <c r="P27" s="239"/>
    </row>
    <row r="28" spans="1:16" ht="15.75">
      <c r="A28" s="235" t="s">
        <v>173</v>
      </c>
      <c r="B28" s="237" t="s">
        <v>337</v>
      </c>
      <c r="C28" s="235" t="s">
        <v>4</v>
      </c>
      <c r="D28" s="313">
        <f>SUM(D16:D27)</f>
        <v>3031486.51</v>
      </c>
      <c r="E28" s="283"/>
      <c r="F28" s="313">
        <f>SUM(F16:F27)</f>
        <v>1691625.52</v>
      </c>
      <c r="G28" s="239"/>
      <c r="H28" s="246">
        <f>SUM(H16:H27)</f>
        <v>1244490.48</v>
      </c>
      <c r="I28" s="239"/>
      <c r="J28" s="280"/>
      <c r="K28" s="239"/>
      <c r="L28" s="239"/>
      <c r="M28" s="246"/>
      <c r="N28" s="239"/>
      <c r="O28" s="239"/>
      <c r="P28" s="239"/>
    </row>
    <row r="29" spans="1:16" ht="15">
      <c r="A29" s="235" t="s">
        <v>172</v>
      </c>
      <c r="B29" s="239"/>
      <c r="C29" s="239"/>
      <c r="D29" s="246"/>
      <c r="E29" s="239"/>
      <c r="F29" s="239"/>
      <c r="G29" s="239"/>
      <c r="H29" s="239"/>
      <c r="I29" s="239"/>
      <c r="J29" s="280"/>
      <c r="K29" s="239"/>
      <c r="L29" s="239"/>
      <c r="M29" s="246"/>
      <c r="N29" s="239"/>
      <c r="O29" s="239"/>
      <c r="P29" s="239"/>
    </row>
    <row r="30" spans="1:16" ht="15">
      <c r="A30" s="284">
        <v>21</v>
      </c>
      <c r="B30" s="239" t="s">
        <v>336</v>
      </c>
      <c r="C30" s="235" t="s">
        <v>4</v>
      </c>
      <c r="D30" s="287"/>
      <c r="E30" s="283"/>
      <c r="F30" s="287"/>
      <c r="G30" s="387"/>
      <c r="H30" s="287"/>
      <c r="I30" s="239"/>
      <c r="J30" s="280"/>
      <c r="K30" s="239"/>
      <c r="L30" s="239"/>
      <c r="M30" s="239"/>
      <c r="N30" s="239"/>
      <c r="O30" s="239"/>
      <c r="P30" s="239"/>
    </row>
    <row r="31" spans="1:16" ht="15">
      <c r="A31" s="284">
        <v>22</v>
      </c>
      <c r="B31" s="239" t="s">
        <v>335</v>
      </c>
      <c r="C31" s="235" t="s">
        <v>4</v>
      </c>
      <c r="D31" s="449">
        <v>0</v>
      </c>
      <c r="E31" s="509"/>
      <c r="F31" s="449">
        <v>0</v>
      </c>
      <c r="G31" s="510"/>
      <c r="H31" s="449">
        <v>0</v>
      </c>
      <c r="I31" s="239"/>
      <c r="J31" s="280"/>
      <c r="K31" s="239"/>
      <c r="L31" s="239"/>
      <c r="M31" s="239"/>
      <c r="N31" s="239"/>
      <c r="O31" s="239"/>
      <c r="P31" s="239"/>
    </row>
    <row r="32" spans="1:16" ht="15">
      <c r="A32" s="284">
        <v>23</v>
      </c>
      <c r="B32" s="239" t="s">
        <v>334</v>
      </c>
      <c r="C32" s="235" t="s">
        <v>4</v>
      </c>
      <c r="D32" s="450">
        <v>0</v>
      </c>
      <c r="E32" s="509"/>
      <c r="F32" s="450">
        <v>0</v>
      </c>
      <c r="G32" s="510"/>
      <c r="H32" s="450">
        <v>0</v>
      </c>
      <c r="I32" s="239"/>
      <c r="J32" s="280"/>
      <c r="K32" s="239"/>
      <c r="L32" s="239"/>
      <c r="M32" s="239"/>
      <c r="N32" s="239"/>
      <c r="O32" s="239"/>
      <c r="P32" s="239"/>
    </row>
    <row r="33" spans="1:16" ht="16.5" thickBot="1">
      <c r="A33" s="284">
        <v>24</v>
      </c>
      <c r="B33" s="237" t="s">
        <v>333</v>
      </c>
      <c r="C33" s="235" t="s">
        <v>4</v>
      </c>
      <c r="D33" s="282">
        <f>SUM(D17:D27)</f>
        <v>3031486.51</v>
      </c>
      <c r="E33" s="283"/>
      <c r="F33" s="282">
        <f>F28+SUM(F30:F32)</f>
        <v>1691625.52</v>
      </c>
      <c r="G33" s="544">
        <f>G28+SUM(G30:G32)</f>
        <v>0</v>
      </c>
      <c r="H33" s="281">
        <f>H28+SUM(H30:H32)</f>
        <v>1244490.48</v>
      </c>
      <c r="I33" s="239"/>
      <c r="J33" s="280"/>
      <c r="L33" s="279"/>
      <c r="M33" s="239"/>
      <c r="N33" s="239"/>
      <c r="O33" s="239"/>
      <c r="P33" s="239"/>
    </row>
    <row r="34" spans="1:16" ht="15" thickTop="1">
      <c r="A34" s="239"/>
      <c r="B34" s="239"/>
      <c r="C34" s="239"/>
      <c r="D34" s="246"/>
      <c r="E34" s="246"/>
      <c r="F34" s="246"/>
      <c r="G34" s="283"/>
      <c r="H34" s="246"/>
      <c r="I34" s="239"/>
      <c r="J34" s="246"/>
      <c r="K34" s="239"/>
      <c r="L34" s="246"/>
      <c r="M34" s="246"/>
      <c r="N34" s="246"/>
      <c r="O34" s="246"/>
      <c r="P34" s="239"/>
    </row>
    <row r="35" spans="1:16" ht="16.5">
      <c r="A35" s="239"/>
      <c r="B35" s="277" t="s">
        <v>332</v>
      </c>
      <c r="C35" s="239"/>
      <c r="D35" s="239"/>
      <c r="E35" s="239"/>
      <c r="F35" s="246"/>
      <c r="G35" s="283"/>
      <c r="H35" s="278"/>
      <c r="I35" s="239"/>
      <c r="J35" s="239"/>
      <c r="K35" s="239"/>
      <c r="L35" s="239"/>
      <c r="M35" s="239"/>
      <c r="N35" s="239"/>
      <c r="O35" s="239"/>
      <c r="P35" s="239"/>
    </row>
    <row r="36" spans="1:16" ht="16.5">
      <c r="A36" s="239"/>
      <c r="B36" s="277" t="s">
        <v>331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</row>
    <row r="37" spans="1:16">
      <c r="B37" s="256" t="s">
        <v>330</v>
      </c>
    </row>
    <row r="38" spans="1:16">
      <c r="D38" s="252"/>
    </row>
    <row r="39" spans="1:16">
      <c r="D39" s="276"/>
    </row>
    <row r="67" spans="1:1">
      <c r="A67" s="234" t="str">
        <f>A1</f>
        <v>Atmos Energy Corporation</v>
      </c>
    </row>
    <row r="87" spans="4:10">
      <c r="D87" s="275"/>
      <c r="F87" s="275"/>
      <c r="H87" s="275"/>
      <c r="J87" s="275"/>
    </row>
    <row r="88" spans="4:10">
      <c r="D88" s="275"/>
      <c r="F88" s="275"/>
      <c r="H88" s="275"/>
      <c r="J88" s="275"/>
    </row>
    <row r="89" spans="4:10">
      <c r="D89" s="275"/>
      <c r="F89" s="275"/>
      <c r="H89" s="275"/>
      <c r="J89" s="275"/>
    </row>
    <row r="90" spans="4:10">
      <c r="D90" s="275"/>
      <c r="F90" s="275"/>
      <c r="H90" s="275"/>
      <c r="J90" s="275"/>
    </row>
  </sheetData>
  <mergeCells count="1">
    <mergeCell ref="A3:D3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zoomScale="85" zoomScaleNormal="80" zoomScaleSheetLayoutView="85" workbookViewId="0"/>
  </sheetViews>
  <sheetFormatPr defaultColWidth="12.5703125" defaultRowHeight="14.25"/>
  <cols>
    <col min="1" max="1" width="6.140625" style="234" customWidth="1"/>
    <col min="2" max="2" width="35.7109375" style="234" customWidth="1"/>
    <col min="3" max="3" width="6.140625" style="234" customWidth="1"/>
    <col min="4" max="4" width="17" style="234" customWidth="1"/>
    <col min="5" max="5" width="2.28515625" style="234" customWidth="1"/>
    <col min="6" max="6" width="16.42578125" style="234" customWidth="1"/>
    <col min="7" max="7" width="2.28515625" style="234" customWidth="1"/>
    <col min="8" max="8" width="16.42578125" style="234" customWidth="1"/>
    <col min="9" max="9" width="2.28515625" style="234" customWidth="1"/>
    <col min="10" max="10" width="16.42578125" style="234" customWidth="1"/>
    <col min="11" max="11" width="2.28515625" style="234" customWidth="1"/>
    <col min="12" max="12" width="20.7109375" style="234" customWidth="1"/>
    <col min="13" max="13" width="27.140625" style="234" customWidth="1"/>
    <col min="14" max="14" width="18" style="234" bestFit="1" customWidth="1"/>
    <col min="15" max="15" width="14.85546875" style="234" bestFit="1" customWidth="1"/>
    <col min="16" max="16384" width="12.5703125" style="234"/>
  </cols>
  <sheetData>
    <row r="1" spans="1:36" ht="15">
      <c r="A1" s="302" t="s">
        <v>32</v>
      </c>
      <c r="B1" s="239"/>
      <c r="C1" s="239"/>
      <c r="D1" s="239"/>
      <c r="E1" s="239"/>
      <c r="F1" s="239"/>
      <c r="G1" s="239"/>
      <c r="H1" s="239" t="s">
        <v>329</v>
      </c>
      <c r="I1" s="239"/>
      <c r="K1" s="239"/>
      <c r="M1" s="239"/>
    </row>
    <row r="2" spans="1:36">
      <c r="A2" s="301" t="s">
        <v>357</v>
      </c>
      <c r="B2" s="239"/>
      <c r="C2" s="239"/>
      <c r="D2" s="239"/>
      <c r="E2" s="239"/>
      <c r="F2" s="239"/>
      <c r="G2" s="239"/>
      <c r="H2" s="239" t="s">
        <v>369</v>
      </c>
      <c r="I2" s="239"/>
      <c r="K2" s="239"/>
      <c r="M2" s="239"/>
    </row>
    <row r="3" spans="1:36">
      <c r="A3" s="599">
        <v>43922</v>
      </c>
      <c r="B3" s="599"/>
      <c r="C3" s="599"/>
      <c r="D3" s="599"/>
      <c r="E3" s="239"/>
      <c r="F3" s="239"/>
      <c r="G3" s="239"/>
      <c r="H3" s="239"/>
      <c r="I3" s="239"/>
      <c r="J3" s="239"/>
      <c r="K3" s="239"/>
      <c r="L3" s="239"/>
      <c r="M3" s="239"/>
    </row>
    <row r="4" spans="1:36">
      <c r="A4" s="301" t="s">
        <v>548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36" ht="15">
      <c r="A5" s="301"/>
      <c r="B5" s="239"/>
      <c r="C5" s="239" t="s">
        <v>355</v>
      </c>
      <c r="D5" s="300">
        <v>43891</v>
      </c>
      <c r="E5" s="244"/>
      <c r="F5" s="300">
        <v>43922</v>
      </c>
      <c r="G5" s="244"/>
      <c r="H5" s="300">
        <v>43952</v>
      </c>
      <c r="I5" s="239"/>
      <c r="J5" s="280"/>
      <c r="K5" s="239"/>
      <c r="L5" s="239"/>
      <c r="M5" s="239"/>
    </row>
    <row r="6" spans="1:36" ht="15">
      <c r="A6" s="239"/>
      <c r="B6" s="239"/>
      <c r="C6" s="239"/>
      <c r="D6" s="239"/>
      <c r="E6" s="239"/>
      <c r="F6" s="239"/>
      <c r="G6" s="239"/>
      <c r="H6" s="239"/>
      <c r="I6" s="239"/>
      <c r="J6" s="280"/>
      <c r="K6" s="239"/>
      <c r="L6" s="239"/>
      <c r="M6" s="239"/>
    </row>
    <row r="7" spans="1:36" ht="15">
      <c r="A7" s="239"/>
      <c r="B7" s="239"/>
      <c r="C7" s="239"/>
      <c r="D7" s="235" t="s">
        <v>27</v>
      </c>
      <c r="F7" s="235" t="s">
        <v>26</v>
      </c>
      <c r="G7" s="246"/>
      <c r="H7" s="235" t="s">
        <v>25</v>
      </c>
      <c r="I7" s="239"/>
      <c r="J7" s="280"/>
      <c r="K7" s="239"/>
      <c r="L7" s="239"/>
      <c r="M7" s="239"/>
    </row>
    <row r="8" spans="1:36" ht="15">
      <c r="A8" s="235" t="s">
        <v>24</v>
      </c>
      <c r="B8" s="239"/>
      <c r="C8" s="239"/>
      <c r="D8" s="299" t="s">
        <v>40</v>
      </c>
      <c r="E8" s="299"/>
      <c r="F8" s="299"/>
      <c r="G8" s="299"/>
      <c r="H8" s="299"/>
      <c r="I8" s="331"/>
      <c r="J8" s="311"/>
      <c r="K8" s="239"/>
      <c r="L8" s="298"/>
      <c r="M8" s="316"/>
      <c r="N8" s="316"/>
    </row>
    <row r="9" spans="1:36" ht="15">
      <c r="A9" s="235" t="s">
        <v>23</v>
      </c>
      <c r="B9" s="297" t="s">
        <v>22</v>
      </c>
      <c r="C9" s="239" t="s">
        <v>354</v>
      </c>
      <c r="D9" s="295">
        <v>43862</v>
      </c>
      <c r="E9" s="296"/>
      <c r="F9" s="295">
        <v>43891</v>
      </c>
      <c r="G9" s="296"/>
      <c r="H9" s="295">
        <v>43922</v>
      </c>
      <c r="I9" s="244"/>
      <c r="J9" s="311"/>
      <c r="K9" s="239"/>
      <c r="M9" s="316"/>
      <c r="N9" s="316"/>
    </row>
    <row r="10" spans="1:36" ht="15.75">
      <c r="A10" s="235" t="s">
        <v>202</v>
      </c>
      <c r="B10" s="237" t="s">
        <v>368</v>
      </c>
      <c r="C10" s="239"/>
      <c r="D10" s="246"/>
      <c r="E10" s="239"/>
      <c r="F10" s="239"/>
      <c r="G10" s="239"/>
      <c r="H10" s="239"/>
      <c r="I10" s="244"/>
      <c r="J10" s="311"/>
      <c r="K10" s="239"/>
      <c r="L10" s="239"/>
      <c r="M10" s="316"/>
      <c r="N10" s="315"/>
    </row>
    <row r="11" spans="1:36" ht="15">
      <c r="A11" s="235" t="s">
        <v>37</v>
      </c>
      <c r="B11" s="239" t="s">
        <v>352</v>
      </c>
      <c r="C11" s="239"/>
      <c r="D11" s="246"/>
      <c r="E11" s="239"/>
      <c r="F11" s="239"/>
      <c r="G11" s="239"/>
      <c r="H11" s="239"/>
      <c r="I11" s="239"/>
      <c r="J11" s="280"/>
      <c r="K11" s="239"/>
      <c r="L11" s="239"/>
      <c r="M11" s="316"/>
      <c r="N11" s="315"/>
    </row>
    <row r="12" spans="1:36" ht="16.5">
      <c r="A12" s="235" t="s">
        <v>200</v>
      </c>
      <c r="B12" s="239" t="s">
        <v>351</v>
      </c>
      <c r="C12" s="235" t="s">
        <v>111</v>
      </c>
      <c r="D12" s="449">
        <v>1645013.4</v>
      </c>
      <c r="E12" s="388"/>
      <c r="F12" s="449">
        <v>1807773.8299999998</v>
      </c>
      <c r="G12" s="388"/>
      <c r="H12" s="449">
        <v>1606989.52</v>
      </c>
      <c r="I12" s="286"/>
      <c r="J12" s="280"/>
      <c r="K12" s="239"/>
      <c r="L12" s="246"/>
      <c r="M12" s="316"/>
      <c r="N12" s="315"/>
    </row>
    <row r="13" spans="1:36" ht="16.5">
      <c r="A13" s="235" t="s">
        <v>199</v>
      </c>
      <c r="B13" s="239" t="s">
        <v>350</v>
      </c>
      <c r="C13" s="235" t="s">
        <v>111</v>
      </c>
      <c r="D13" s="533">
        <v>486289.54999999993</v>
      </c>
      <c r="E13" s="400"/>
      <c r="F13" s="533">
        <v>394989.65</v>
      </c>
      <c r="G13" s="400"/>
      <c r="H13" s="533">
        <v>286848.09000000003</v>
      </c>
      <c r="I13" s="293"/>
      <c r="J13" s="280"/>
      <c r="K13" s="244"/>
      <c r="L13" s="246"/>
      <c r="M13" s="311"/>
      <c r="N13" s="311"/>
    </row>
    <row r="14" spans="1:36" ht="16.5">
      <c r="A14" s="235" t="s">
        <v>198</v>
      </c>
      <c r="B14" s="239" t="s">
        <v>367</v>
      </c>
      <c r="C14" s="235" t="s">
        <v>111</v>
      </c>
      <c r="D14" s="533">
        <v>30832.32</v>
      </c>
      <c r="E14" s="385"/>
      <c r="F14" s="533">
        <v>32994.519999999997</v>
      </c>
      <c r="G14" s="385"/>
      <c r="H14" s="533">
        <v>6631.67</v>
      </c>
      <c r="I14" s="293"/>
      <c r="J14" s="280"/>
      <c r="K14" s="244"/>
      <c r="L14" s="292"/>
      <c r="M14" s="311"/>
      <c r="N14" s="311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</row>
    <row r="15" spans="1:36" ht="15">
      <c r="A15" s="235" t="s">
        <v>197</v>
      </c>
      <c r="B15" s="239" t="s">
        <v>366</v>
      </c>
      <c r="C15" s="235" t="s">
        <v>111</v>
      </c>
      <c r="D15" s="533">
        <v>0</v>
      </c>
      <c r="E15" s="385"/>
      <c r="F15" s="533">
        <v>0</v>
      </c>
      <c r="G15" s="385"/>
      <c r="H15" s="533">
        <v>0</v>
      </c>
      <c r="I15" s="293"/>
      <c r="J15" s="280"/>
      <c r="K15" s="244"/>
      <c r="L15" s="292"/>
      <c r="M15" s="311"/>
      <c r="N15" s="311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</row>
    <row r="16" spans="1:36" ht="16.5">
      <c r="A16" s="235" t="s">
        <v>196</v>
      </c>
      <c r="B16" s="239" t="s">
        <v>348</v>
      </c>
      <c r="C16" s="235" t="s">
        <v>111</v>
      </c>
      <c r="D16" s="534">
        <v>0</v>
      </c>
      <c r="E16" s="388"/>
      <c r="F16" s="534">
        <v>0</v>
      </c>
      <c r="G16" s="388"/>
      <c r="H16" s="534">
        <v>0</v>
      </c>
      <c r="I16" s="286"/>
      <c r="J16" s="280"/>
      <c r="K16" s="239"/>
      <c r="L16" s="246"/>
      <c r="M16" s="311"/>
      <c r="N16" s="310"/>
    </row>
    <row r="17" spans="1:15" ht="15.75">
      <c r="A17" s="235" t="s">
        <v>194</v>
      </c>
      <c r="B17" s="237" t="s">
        <v>347</v>
      </c>
      <c r="C17" s="235" t="s">
        <v>111</v>
      </c>
      <c r="D17" s="313">
        <f>SUM(D12:D16)</f>
        <v>2162135.2699999996</v>
      </c>
      <c r="E17" s="283"/>
      <c r="F17" s="313">
        <f>SUM(F12:F16)</f>
        <v>2235758</v>
      </c>
      <c r="G17" s="283"/>
      <c r="H17" s="313">
        <f>SUM(H12:H16)</f>
        <v>1900469.28</v>
      </c>
      <c r="I17" s="239"/>
      <c r="J17" s="306"/>
      <c r="K17" s="239"/>
      <c r="L17" s="246"/>
      <c r="M17" s="311"/>
      <c r="N17" s="310"/>
    </row>
    <row r="18" spans="1:15" ht="15">
      <c r="A18" s="235" t="s">
        <v>192</v>
      </c>
      <c r="B18" s="239" t="s">
        <v>346</v>
      </c>
      <c r="C18" s="235" t="s">
        <v>111</v>
      </c>
      <c r="D18" s="313">
        <f>D.5!F69</f>
        <v>386143.60000000003</v>
      </c>
      <c r="E18" s="283"/>
      <c r="F18" s="313">
        <f>D.5!J69</f>
        <v>554566.68999999994</v>
      </c>
      <c r="G18" s="283"/>
      <c r="H18" s="313">
        <f>D.5!N69</f>
        <v>2641651.6900000004</v>
      </c>
      <c r="I18" s="239"/>
      <c r="J18" s="399"/>
      <c r="K18" s="239"/>
      <c r="L18" s="246"/>
      <c r="M18" s="311"/>
      <c r="N18" s="310"/>
    </row>
    <row r="19" spans="1:15" ht="15">
      <c r="A19" s="235" t="s">
        <v>190</v>
      </c>
      <c r="B19" s="239" t="s">
        <v>365</v>
      </c>
      <c r="C19" s="235" t="s">
        <v>111</v>
      </c>
      <c r="D19" s="258">
        <v>0</v>
      </c>
      <c r="E19" s="312"/>
      <c r="F19" s="258">
        <v>0</v>
      </c>
      <c r="G19" s="312"/>
      <c r="H19" s="258">
        <v>0</v>
      </c>
      <c r="I19" s="239"/>
      <c r="J19" s="280"/>
      <c r="K19" s="239"/>
      <c r="L19" s="246"/>
      <c r="M19" s="311"/>
      <c r="N19" s="310"/>
    </row>
    <row r="20" spans="1:15" ht="15">
      <c r="A20" s="235" t="s">
        <v>188</v>
      </c>
      <c r="B20" s="239" t="s">
        <v>345</v>
      </c>
      <c r="C20" s="239"/>
      <c r="D20" s="258"/>
      <c r="E20" s="312"/>
      <c r="F20" s="258"/>
      <c r="G20" s="388"/>
      <c r="H20" s="258"/>
      <c r="I20" s="239"/>
      <c r="J20" s="280"/>
      <c r="K20" s="239"/>
      <c r="L20" s="239"/>
      <c r="M20" s="311"/>
      <c r="N20" s="310"/>
    </row>
    <row r="21" spans="1:15" ht="15">
      <c r="A21" s="235" t="s">
        <v>187</v>
      </c>
      <c r="B21" s="239" t="s">
        <v>344</v>
      </c>
      <c r="C21" s="235" t="s">
        <v>111</v>
      </c>
      <c r="D21" s="288"/>
      <c r="E21" s="312"/>
      <c r="F21" s="288"/>
      <c r="G21" s="388"/>
      <c r="H21" s="288"/>
      <c r="I21" s="239"/>
      <c r="J21" s="280"/>
      <c r="K21" s="239"/>
      <c r="L21" s="239"/>
      <c r="M21" s="311"/>
      <c r="N21" s="310"/>
    </row>
    <row r="22" spans="1:15" ht="15">
      <c r="A22" s="235" t="s">
        <v>186</v>
      </c>
      <c r="B22" s="239" t="s">
        <v>343</v>
      </c>
      <c r="C22" s="235" t="s">
        <v>111</v>
      </c>
      <c r="D22" s="288"/>
      <c r="E22" s="312"/>
      <c r="F22" s="288"/>
      <c r="G22" s="388"/>
      <c r="H22" s="288"/>
      <c r="I22" s="239"/>
      <c r="J22" s="280"/>
      <c r="K22" s="239"/>
      <c r="L22" s="239"/>
      <c r="M22" s="311"/>
      <c r="N22" s="310"/>
    </row>
    <row r="23" spans="1:15" ht="15">
      <c r="A23" s="235" t="s">
        <v>184</v>
      </c>
      <c r="B23" s="239" t="s">
        <v>364</v>
      </c>
      <c r="C23" s="235" t="s">
        <v>111</v>
      </c>
      <c r="D23" s="449">
        <v>147954</v>
      </c>
      <c r="E23" s="312"/>
      <c r="F23" s="449">
        <v>147954</v>
      </c>
      <c r="G23" s="288"/>
      <c r="H23" s="449">
        <v>147954</v>
      </c>
      <c r="I23" s="239"/>
      <c r="J23" s="280"/>
      <c r="K23" s="239"/>
      <c r="L23" s="239"/>
      <c r="M23" s="311"/>
      <c r="N23" s="310"/>
    </row>
    <row r="24" spans="1:15" ht="15">
      <c r="A24" s="235" t="s">
        <v>182</v>
      </c>
      <c r="B24" s="239" t="s">
        <v>342</v>
      </c>
      <c r="C24" s="239"/>
      <c r="D24" s="455"/>
      <c r="E24" s="312"/>
      <c r="F24" s="455"/>
      <c r="G24" s="388"/>
      <c r="H24" s="455"/>
      <c r="I24" s="239"/>
      <c r="J24" s="280"/>
      <c r="K24" s="239"/>
      <c r="L24" s="239"/>
      <c r="M24" s="311"/>
      <c r="N24" s="310"/>
    </row>
    <row r="25" spans="1:15" ht="15">
      <c r="A25" s="235" t="s">
        <v>180</v>
      </c>
      <c r="B25" s="239" t="s">
        <v>181</v>
      </c>
      <c r="C25" s="235" t="s">
        <v>111</v>
      </c>
      <c r="D25" s="449">
        <v>4121728.44</v>
      </c>
      <c r="E25" s="312"/>
      <c r="F25" s="449">
        <v>2184941.9500000002</v>
      </c>
      <c r="G25" s="388"/>
      <c r="H25" s="449">
        <v>39789.56</v>
      </c>
      <c r="I25" s="239"/>
      <c r="J25" s="280"/>
      <c r="K25" s="239"/>
      <c r="L25" s="239"/>
      <c r="M25" s="311"/>
      <c r="N25" s="310"/>
    </row>
    <row r="26" spans="1:15" ht="15">
      <c r="A26" s="235" t="s">
        <v>178</v>
      </c>
      <c r="B26" s="239" t="s">
        <v>223</v>
      </c>
      <c r="C26" s="235" t="s">
        <v>111</v>
      </c>
      <c r="D26" s="449">
        <v>-1582.76</v>
      </c>
      <c r="E26" s="312"/>
      <c r="F26" s="449">
        <v>-32607.69</v>
      </c>
      <c r="G26" s="388"/>
      <c r="H26" s="449">
        <v>-642509.23</v>
      </c>
      <c r="I26" s="239"/>
      <c r="J26" s="395"/>
      <c r="K26" s="239"/>
      <c r="L26" s="239"/>
      <c r="M26" s="311"/>
      <c r="N26" s="310"/>
    </row>
    <row r="27" spans="1:15" ht="15">
      <c r="A27" s="235" t="s">
        <v>176</v>
      </c>
      <c r="B27" s="239" t="s">
        <v>341</v>
      </c>
      <c r="C27" s="235" t="s">
        <v>111</v>
      </c>
      <c r="D27" s="511">
        <v>1379.4</v>
      </c>
      <c r="E27" s="312"/>
      <c r="F27" s="511">
        <v>3438.82</v>
      </c>
      <c r="G27" s="388"/>
      <c r="H27" s="511">
        <v>4320.95</v>
      </c>
      <c r="I27" s="239"/>
      <c r="J27" s="280"/>
      <c r="K27" s="239"/>
      <c r="L27" s="239"/>
      <c r="M27" s="311"/>
      <c r="N27" s="310"/>
    </row>
    <row r="28" spans="1:15" ht="15">
      <c r="A28" s="235" t="s">
        <v>173</v>
      </c>
      <c r="B28" s="239" t="s">
        <v>340</v>
      </c>
      <c r="C28" s="235" t="s">
        <v>111</v>
      </c>
      <c r="D28" s="449">
        <v>-761.53</v>
      </c>
      <c r="E28" s="312"/>
      <c r="F28" s="449">
        <v>-8282.56</v>
      </c>
      <c r="G28" s="388"/>
      <c r="H28" s="449">
        <v>-601.49</v>
      </c>
      <c r="I28" s="239"/>
      <c r="J28" s="396"/>
      <c r="K28" s="239"/>
      <c r="L28" s="239"/>
      <c r="M28" s="311"/>
      <c r="N28" s="310"/>
    </row>
    <row r="29" spans="1:15" ht="15">
      <c r="A29" s="235" t="s">
        <v>172</v>
      </c>
      <c r="B29" s="239" t="s">
        <v>339</v>
      </c>
      <c r="C29" s="235" t="s">
        <v>111</v>
      </c>
      <c r="D29" s="449"/>
      <c r="E29" s="312"/>
      <c r="F29" s="449"/>
      <c r="G29" s="388"/>
      <c r="H29" s="449"/>
      <c r="I29" s="239"/>
      <c r="J29" s="280"/>
      <c r="K29" s="239"/>
      <c r="L29" s="239"/>
      <c r="M29" s="311"/>
      <c r="N29" s="310"/>
    </row>
    <row r="30" spans="1:15" ht="16.5">
      <c r="A30" s="235" t="s">
        <v>171</v>
      </c>
      <c r="B30" s="239" t="s">
        <v>338</v>
      </c>
      <c r="C30" s="235" t="s">
        <v>111</v>
      </c>
      <c r="D30" s="450">
        <v>1544083.77</v>
      </c>
      <c r="E30" s="312"/>
      <c r="F30" s="450">
        <v>1300953.1299999999</v>
      </c>
      <c r="G30" s="388"/>
      <c r="H30" s="450">
        <v>-1067930.32</v>
      </c>
      <c r="I30" s="239"/>
      <c r="J30" s="280"/>
      <c r="K30" s="239"/>
      <c r="L30" s="397"/>
      <c r="M30" s="398"/>
    </row>
    <row r="31" spans="1:15" ht="15.75">
      <c r="A31" s="235" t="s">
        <v>170</v>
      </c>
      <c r="B31" s="237" t="s">
        <v>363</v>
      </c>
      <c r="C31" s="235" t="s">
        <v>111</v>
      </c>
      <c r="D31" s="313">
        <f>SUM(D17:D30)</f>
        <v>8361080.1899999995</v>
      </c>
      <c r="E31" s="283"/>
      <c r="F31" s="313">
        <f>SUM(F17:F30)</f>
        <v>6386722.3400000008</v>
      </c>
      <c r="G31" s="283"/>
      <c r="H31" s="313">
        <f>SUM(H17:H30)</f>
        <v>3023144.4400000004</v>
      </c>
      <c r="I31" s="239"/>
      <c r="J31" s="306"/>
      <c r="K31" s="239"/>
      <c r="L31" s="239"/>
      <c r="M31" s="305"/>
      <c r="N31" s="236"/>
      <c r="O31" s="236"/>
    </row>
    <row r="32" spans="1:15" ht="15">
      <c r="A32" s="235" t="s">
        <v>135</v>
      </c>
      <c r="B32" s="239" t="s">
        <v>362</v>
      </c>
      <c r="C32" s="239"/>
      <c r="D32" s="246"/>
      <c r="F32" s="313"/>
      <c r="G32" s="239"/>
      <c r="H32" s="246"/>
      <c r="I32" s="239"/>
      <c r="J32" s="280"/>
      <c r="K32" s="239"/>
      <c r="L32" s="239"/>
      <c r="M32" s="257"/>
      <c r="N32" s="257"/>
      <c r="O32" s="257"/>
    </row>
    <row r="33" spans="1:13" ht="15">
      <c r="A33" s="235" t="s">
        <v>168</v>
      </c>
      <c r="B33" s="239" t="s">
        <v>336</v>
      </c>
      <c r="C33" s="235" t="s">
        <v>111</v>
      </c>
      <c r="D33" s="309"/>
      <c r="E33" s="239"/>
      <c r="F33" s="389"/>
      <c r="G33" s="286"/>
      <c r="H33" s="308"/>
      <c r="I33" s="239"/>
      <c r="J33" s="280"/>
      <c r="K33" s="239"/>
      <c r="L33" s="239"/>
      <c r="M33" s="239"/>
    </row>
    <row r="34" spans="1:13" ht="15">
      <c r="A34" s="235" t="s">
        <v>167</v>
      </c>
      <c r="B34" s="239" t="s">
        <v>335</v>
      </c>
      <c r="C34" s="235" t="s">
        <v>111</v>
      </c>
      <c r="D34" s="451"/>
      <c r="E34" s="452"/>
      <c r="F34" s="449"/>
      <c r="G34" s="453"/>
      <c r="H34" s="451"/>
      <c r="I34" s="239"/>
      <c r="J34" s="280"/>
      <c r="K34" s="239"/>
      <c r="L34" s="239"/>
      <c r="M34" s="239"/>
    </row>
    <row r="35" spans="1:13" ht="15">
      <c r="A35" s="235" t="s">
        <v>165</v>
      </c>
      <c r="B35" s="239" t="s">
        <v>361</v>
      </c>
      <c r="C35" s="235" t="s">
        <v>111</v>
      </c>
      <c r="D35" s="454"/>
      <c r="E35" s="452"/>
      <c r="F35" s="450"/>
      <c r="G35" s="453"/>
      <c r="H35" s="454"/>
      <c r="I35" s="239"/>
      <c r="J35" s="280"/>
      <c r="K35" s="239"/>
      <c r="L35" s="239"/>
      <c r="M35" s="305"/>
    </row>
    <row r="36" spans="1:13" ht="15.75" thickBot="1">
      <c r="A36" s="235" t="s">
        <v>164</v>
      </c>
      <c r="B36" s="237" t="s">
        <v>360</v>
      </c>
      <c r="C36" s="235" t="s">
        <v>111</v>
      </c>
      <c r="D36" s="307">
        <f>D31+D33+D34+D35</f>
        <v>8361080.1899999995</v>
      </c>
      <c r="E36" s="283"/>
      <c r="F36" s="307">
        <f>F31+F33+F34+F35</f>
        <v>6386722.3400000008</v>
      </c>
      <c r="G36" s="239"/>
      <c r="H36" s="307">
        <f>H31+H33+H34+H35</f>
        <v>3023144.4400000004</v>
      </c>
      <c r="I36" s="239"/>
      <c r="J36" s="386"/>
      <c r="K36" s="239"/>
      <c r="L36" s="257"/>
      <c r="M36" s="305"/>
    </row>
    <row r="37" spans="1:13" ht="15.75" thickTop="1">
      <c r="A37" s="239"/>
      <c r="B37" s="239"/>
      <c r="C37" s="239"/>
      <c r="D37" s="246"/>
      <c r="E37" s="246"/>
      <c r="F37" s="246"/>
      <c r="G37" s="239"/>
      <c r="H37" s="246"/>
      <c r="I37" s="239"/>
      <c r="J37" s="280"/>
      <c r="K37" s="239"/>
      <c r="L37" s="246"/>
      <c r="M37" s="305"/>
    </row>
    <row r="38" spans="1:13" ht="16.5">
      <c r="A38" s="239"/>
      <c r="B38" s="277" t="s">
        <v>359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52"/>
    </row>
    <row r="39" spans="1:13" ht="16.5">
      <c r="A39" s="239"/>
      <c r="B39" s="277" t="s">
        <v>358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305"/>
    </row>
    <row r="40" spans="1:13">
      <c r="A40" s="239"/>
      <c r="B40" s="304" t="s">
        <v>330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3">
      <c r="A41" s="235"/>
      <c r="B41" s="239"/>
      <c r="C41" s="239"/>
      <c r="D41" s="239"/>
      <c r="E41" s="239"/>
      <c r="F41" s="246"/>
      <c r="G41" s="239"/>
      <c r="H41" s="393"/>
      <c r="I41" s="239"/>
      <c r="J41" s="239"/>
      <c r="K41" s="239"/>
      <c r="L41" s="239"/>
      <c r="M41" s="392"/>
    </row>
    <row r="42" spans="1:13">
      <c r="A42" s="235"/>
      <c r="B42" s="239"/>
      <c r="C42" s="239"/>
      <c r="D42" s="543"/>
      <c r="E42" s="543"/>
      <c r="F42" s="543"/>
      <c r="G42" s="239"/>
      <c r="H42" s="279"/>
      <c r="I42" s="239"/>
      <c r="J42" s="239"/>
      <c r="K42" s="239"/>
      <c r="L42" s="239"/>
      <c r="M42" s="239"/>
    </row>
    <row r="43" spans="1:13">
      <c r="A43" s="235"/>
      <c r="B43" s="286"/>
      <c r="C43" s="239"/>
      <c r="D43" s="252"/>
      <c r="F43" s="252"/>
      <c r="H43" s="252"/>
      <c r="M43" s="239"/>
    </row>
    <row r="44" spans="1:13">
      <c r="A44" s="235"/>
      <c r="B44" s="239"/>
      <c r="C44" s="239"/>
      <c r="M44" s="239"/>
    </row>
    <row r="45" spans="1:13">
      <c r="A45" s="235"/>
      <c r="B45" s="239"/>
      <c r="C45" s="239"/>
      <c r="M45" s="239"/>
    </row>
    <row r="46" spans="1:13">
      <c r="A46" s="239"/>
      <c r="B46" s="239"/>
      <c r="C46" s="239"/>
      <c r="M46" s="239"/>
    </row>
    <row r="47" spans="1:13">
      <c r="A47" s="239"/>
      <c r="B47" s="239"/>
      <c r="C47" s="239"/>
      <c r="M47" s="239"/>
    </row>
    <row r="48" spans="1:13">
      <c r="A48" s="239"/>
      <c r="B48" s="239"/>
      <c r="C48" s="239"/>
      <c r="D48" s="235"/>
      <c r="E48" s="239"/>
      <c r="F48" s="239"/>
      <c r="G48" s="239"/>
      <c r="H48" s="239"/>
      <c r="I48" s="239"/>
      <c r="J48" s="239"/>
      <c r="K48" s="239"/>
      <c r="L48" s="298"/>
      <c r="M48" s="239"/>
    </row>
    <row r="49" spans="1:13">
      <c r="A49" s="235"/>
      <c r="B49" s="235"/>
      <c r="C49" s="239"/>
      <c r="D49" s="235"/>
      <c r="E49" s="239"/>
      <c r="F49" s="235"/>
      <c r="G49" s="239"/>
      <c r="H49" s="235"/>
      <c r="I49" s="239"/>
      <c r="J49" s="235"/>
      <c r="K49" s="239"/>
      <c r="L49" s="298"/>
      <c r="M49" s="239"/>
    </row>
    <row r="50" spans="1:13">
      <c r="A50" s="235"/>
      <c r="B50" s="239"/>
      <c r="C50" s="239"/>
      <c r="D50" s="257"/>
      <c r="E50" s="239"/>
      <c r="F50" s="257"/>
      <c r="G50" s="257"/>
      <c r="H50" s="257"/>
      <c r="I50" s="257"/>
      <c r="J50" s="257"/>
      <c r="K50" s="239"/>
      <c r="L50" s="239"/>
      <c r="M50" s="239"/>
    </row>
    <row r="51" spans="1:13">
      <c r="A51" s="235"/>
      <c r="B51" s="239"/>
      <c r="C51" s="239"/>
      <c r="D51" s="257"/>
      <c r="E51" s="239"/>
      <c r="F51" s="257"/>
      <c r="G51" s="257"/>
      <c r="H51" s="257"/>
      <c r="I51" s="257"/>
      <c r="J51" s="257"/>
      <c r="K51" s="239"/>
      <c r="L51" s="239"/>
      <c r="M51" s="239"/>
    </row>
    <row r="52" spans="1:13">
      <c r="A52" s="235"/>
      <c r="B52" s="239"/>
      <c r="C52" s="235"/>
      <c r="D52" s="303"/>
      <c r="E52" s="286"/>
      <c r="F52" s="303"/>
      <c r="G52" s="303"/>
      <c r="H52" s="303"/>
      <c r="I52" s="286"/>
      <c r="J52" s="303"/>
      <c r="K52" s="239"/>
      <c r="L52" s="239"/>
      <c r="M52" s="239"/>
    </row>
    <row r="53" spans="1:13">
      <c r="A53" s="235"/>
      <c r="B53" s="239"/>
      <c r="C53" s="235"/>
      <c r="D53" s="303"/>
      <c r="E53" s="286"/>
      <c r="F53" s="303"/>
      <c r="G53" s="303"/>
      <c r="H53" s="303"/>
      <c r="I53" s="286"/>
      <c r="J53" s="303"/>
      <c r="K53" s="239"/>
      <c r="L53" s="239"/>
      <c r="M53" s="239"/>
    </row>
    <row r="54" spans="1:13">
      <c r="A54" s="235"/>
      <c r="B54" s="239"/>
      <c r="C54" s="235"/>
      <c r="D54" s="257"/>
      <c r="E54" s="239"/>
      <c r="F54" s="257"/>
      <c r="G54" s="257"/>
      <c r="H54" s="257"/>
      <c r="I54" s="239"/>
      <c r="J54" s="257"/>
      <c r="K54" s="239"/>
      <c r="L54" s="246"/>
      <c r="M54" s="239"/>
    </row>
    <row r="55" spans="1:13">
      <c r="A55" s="235"/>
      <c r="B55" s="239"/>
      <c r="C55" s="235"/>
      <c r="D55" s="257"/>
      <c r="E55" s="239"/>
      <c r="F55" s="257"/>
      <c r="G55" s="257"/>
      <c r="H55" s="257"/>
      <c r="I55" s="239"/>
      <c r="J55" s="257"/>
      <c r="K55" s="239"/>
      <c r="L55" s="246"/>
      <c r="M55" s="239"/>
    </row>
    <row r="56" spans="1:13">
      <c r="A56" s="235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</row>
    <row r="57" spans="1:13">
      <c r="A57" s="235"/>
      <c r="B57" s="239"/>
      <c r="C57" s="235"/>
      <c r="D57" s="303"/>
      <c r="E57" s="239"/>
      <c r="F57" s="303"/>
      <c r="G57" s="286"/>
      <c r="H57" s="303"/>
      <c r="I57" s="239"/>
      <c r="J57" s="303"/>
      <c r="K57" s="239"/>
      <c r="L57" s="239"/>
      <c r="M57" s="239"/>
    </row>
    <row r="58" spans="1:13">
      <c r="A58" s="235"/>
      <c r="B58" s="239"/>
      <c r="C58" s="235"/>
      <c r="D58" s="303"/>
      <c r="E58" s="239"/>
      <c r="F58" s="303"/>
      <c r="G58" s="286"/>
      <c r="H58" s="303"/>
      <c r="I58" s="239"/>
      <c r="J58" s="303"/>
      <c r="K58" s="239"/>
      <c r="L58" s="239"/>
      <c r="M58" s="239"/>
    </row>
    <row r="59" spans="1:13">
      <c r="A59" s="235"/>
      <c r="B59" s="239"/>
      <c r="C59" s="239"/>
      <c r="D59" s="257"/>
      <c r="E59" s="239"/>
      <c r="F59" s="287"/>
      <c r="G59" s="286"/>
      <c r="H59" s="303"/>
      <c r="I59" s="239"/>
      <c r="J59" s="303"/>
      <c r="K59" s="239"/>
      <c r="L59" s="239"/>
      <c r="M59" s="239"/>
    </row>
    <row r="60" spans="1:13">
      <c r="A60" s="235"/>
      <c r="B60" s="239"/>
      <c r="C60" s="235"/>
      <c r="D60" s="303"/>
      <c r="E60" s="239"/>
      <c r="F60" s="303"/>
      <c r="G60" s="286"/>
      <c r="H60" s="303"/>
      <c r="I60" s="239"/>
      <c r="J60" s="303"/>
      <c r="K60" s="239"/>
      <c r="L60" s="239"/>
      <c r="M60" s="239"/>
    </row>
    <row r="61" spans="1:13">
      <c r="A61" s="235"/>
      <c r="B61" s="239"/>
      <c r="C61" s="235"/>
      <c r="D61" s="303"/>
      <c r="E61" s="239"/>
      <c r="F61" s="303"/>
      <c r="G61" s="286"/>
      <c r="H61" s="303"/>
      <c r="I61" s="239"/>
      <c r="J61" s="303"/>
      <c r="K61" s="239"/>
      <c r="L61" s="239"/>
      <c r="M61" s="239"/>
    </row>
    <row r="62" spans="1:13">
      <c r="A62" s="235"/>
      <c r="B62" s="239"/>
      <c r="C62" s="235"/>
      <c r="D62" s="303"/>
      <c r="E62" s="239"/>
      <c r="F62" s="303"/>
      <c r="G62" s="286"/>
      <c r="H62" s="303"/>
      <c r="I62" s="239"/>
      <c r="J62" s="303"/>
      <c r="K62" s="239"/>
      <c r="L62" s="239"/>
      <c r="M62" s="239"/>
    </row>
    <row r="63" spans="1:13">
      <c r="A63" s="235"/>
      <c r="B63" s="239"/>
      <c r="C63" s="235"/>
      <c r="D63" s="257"/>
      <c r="E63" s="239"/>
      <c r="F63" s="257"/>
      <c r="G63" s="239"/>
      <c r="H63" s="257"/>
      <c r="I63" s="239"/>
      <c r="J63" s="257"/>
      <c r="K63" s="239"/>
      <c r="L63" s="239"/>
      <c r="M63" s="239"/>
    </row>
    <row r="64" spans="1:13">
      <c r="A64" s="235"/>
      <c r="B64" s="239"/>
      <c r="C64" s="235"/>
      <c r="D64" s="303"/>
      <c r="E64" s="239"/>
      <c r="F64" s="303"/>
      <c r="G64" s="286"/>
      <c r="H64" s="303"/>
      <c r="I64" s="239"/>
      <c r="J64" s="303"/>
      <c r="K64" s="239"/>
      <c r="L64" s="239"/>
      <c r="M64" s="239"/>
    </row>
    <row r="65" spans="1:13">
      <c r="A65" s="235"/>
      <c r="B65" s="239"/>
      <c r="C65" s="235"/>
      <c r="D65" s="257"/>
      <c r="E65" s="239"/>
      <c r="F65" s="257"/>
      <c r="G65" s="239"/>
      <c r="H65" s="257"/>
      <c r="I65" s="239"/>
      <c r="J65" s="257"/>
      <c r="K65" s="239"/>
      <c r="L65" s="239"/>
      <c r="M65" s="239"/>
    </row>
    <row r="66" spans="1:13">
      <c r="A66" s="239"/>
      <c r="B66" s="239"/>
      <c r="C66" s="239"/>
      <c r="D66" s="239"/>
      <c r="E66" s="239"/>
      <c r="F66" s="257"/>
      <c r="G66" s="239"/>
      <c r="H66" s="239"/>
      <c r="I66" s="239"/>
      <c r="J66" s="239"/>
      <c r="K66" s="239"/>
      <c r="L66" s="239"/>
      <c r="M66" s="239"/>
    </row>
    <row r="67" spans="1:13">
      <c r="A67" s="235"/>
      <c r="B67" s="239"/>
      <c r="C67" s="235"/>
      <c r="D67" s="303"/>
      <c r="E67" s="239"/>
      <c r="F67" s="303"/>
      <c r="G67" s="286"/>
      <c r="H67" s="303"/>
      <c r="I67" s="239"/>
      <c r="J67" s="303"/>
      <c r="K67" s="239"/>
      <c r="L67" s="239"/>
      <c r="M67" s="239"/>
    </row>
    <row r="68" spans="1:13">
      <c r="A68" s="235"/>
      <c r="B68" s="239"/>
      <c r="C68" s="235"/>
      <c r="D68" s="303"/>
      <c r="E68" s="239"/>
      <c r="F68" s="303"/>
      <c r="G68" s="286"/>
      <c r="H68" s="303"/>
      <c r="I68" s="239"/>
      <c r="J68" s="303"/>
      <c r="K68" s="239"/>
      <c r="L68" s="239"/>
      <c r="M68" s="239"/>
    </row>
    <row r="69" spans="1:13">
      <c r="A69" s="239"/>
      <c r="B69" s="239"/>
      <c r="C69" s="239"/>
      <c r="D69" s="303"/>
      <c r="E69" s="239"/>
      <c r="F69" s="303"/>
      <c r="G69" s="286"/>
      <c r="H69" s="303"/>
      <c r="I69" s="239"/>
      <c r="J69" s="303"/>
      <c r="K69" s="239"/>
      <c r="L69" s="239"/>
      <c r="M69" s="239"/>
    </row>
    <row r="70" spans="1:13">
      <c r="A70" s="301"/>
      <c r="B70" s="239"/>
      <c r="C70" s="235"/>
      <c r="D70" s="303"/>
      <c r="E70" s="239"/>
      <c r="F70" s="303"/>
      <c r="G70" s="286"/>
      <c r="H70" s="303"/>
      <c r="I70" s="239"/>
      <c r="J70" s="303"/>
      <c r="K70" s="239"/>
      <c r="L70" s="239"/>
      <c r="M70" s="239"/>
    </row>
    <row r="71" spans="1:13">
      <c r="A71" s="239"/>
      <c r="B71" s="239"/>
      <c r="C71" s="239"/>
      <c r="D71" s="257"/>
      <c r="E71" s="239"/>
      <c r="F71" s="246"/>
      <c r="G71" s="246"/>
      <c r="H71" s="246"/>
      <c r="I71" s="239"/>
      <c r="J71" s="246"/>
      <c r="K71" s="239"/>
      <c r="L71" s="239"/>
      <c r="M71" s="239"/>
    </row>
    <row r="72" spans="1:13">
      <c r="A72" s="235"/>
      <c r="B72" s="239"/>
      <c r="C72" s="235"/>
      <c r="D72" s="257"/>
      <c r="E72" s="239"/>
      <c r="F72" s="257"/>
      <c r="G72" s="246"/>
      <c r="H72" s="257"/>
      <c r="I72" s="239"/>
      <c r="J72" s="257"/>
      <c r="K72" s="239"/>
      <c r="L72" s="239"/>
      <c r="M72" s="239"/>
    </row>
    <row r="73" spans="1:13">
      <c r="A73" s="239"/>
      <c r="B73" s="239"/>
      <c r="C73" s="239"/>
      <c r="D73" s="259"/>
      <c r="E73" s="239"/>
      <c r="F73" s="257"/>
      <c r="G73" s="239"/>
      <c r="H73" s="257"/>
      <c r="I73" s="239"/>
      <c r="J73" s="257"/>
      <c r="K73" s="239"/>
      <c r="L73" s="239"/>
      <c r="M73" s="239"/>
    </row>
    <row r="74" spans="1:13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</row>
    <row r="75" spans="1:13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</row>
    <row r="93" spans="6:6">
      <c r="F93" s="303"/>
    </row>
  </sheetData>
  <mergeCells count="1">
    <mergeCell ref="A3:D3"/>
  </mergeCells>
  <printOptions horizontalCentered="1"/>
  <pageMargins left="0.5" right="0.21" top="0.5" bottom="0.5" header="0.5" footer="0.5"/>
  <pageSetup scale="97" orientation="portrait" r:id="rId1"/>
  <headerFooter alignWithMargins="0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Normal="70" zoomScaleSheetLayoutView="100" zoomScalePageLayoutView="55" workbookViewId="0"/>
  </sheetViews>
  <sheetFormatPr defaultColWidth="12.5703125" defaultRowHeight="15"/>
  <cols>
    <col min="1" max="1" width="7" style="234" customWidth="1"/>
    <col min="2" max="2" width="19.140625" style="234" customWidth="1"/>
    <col min="3" max="3" width="28.140625" style="234" customWidth="1"/>
    <col min="4" max="4" width="17" style="234" customWidth="1"/>
    <col min="5" max="5" width="12.7109375" style="234" bestFit="1" customWidth="1"/>
    <col min="6" max="6" width="17" style="234" bestFit="1" customWidth="1"/>
    <col min="7" max="7" width="12.140625" style="234" bestFit="1" customWidth="1"/>
    <col min="8" max="8" width="18.140625" style="234" customWidth="1"/>
    <col min="9" max="9" width="12" style="234" bestFit="1" customWidth="1"/>
    <col min="10" max="10" width="18.7109375" style="317" customWidth="1"/>
    <col min="11" max="11" width="13.140625" style="234" bestFit="1" customWidth="1"/>
    <col min="12" max="12" width="19.42578125" style="234" customWidth="1"/>
    <col min="13" max="13" width="2.5703125" style="280" customWidth="1"/>
    <col min="14" max="14" width="19" style="234" customWidth="1"/>
    <col min="15" max="15" width="18.42578125" style="234" customWidth="1"/>
    <col min="16" max="16" width="30.28515625" style="234" bestFit="1" customWidth="1"/>
    <col min="17" max="17" width="7.42578125" style="234" bestFit="1" customWidth="1"/>
    <col min="18" max="18" width="18.140625" style="234" bestFit="1" customWidth="1"/>
    <col min="19" max="16384" width="12.5703125" style="234"/>
  </cols>
  <sheetData>
    <row r="1" spans="1:18" ht="15.75">
      <c r="A1" s="274" t="s">
        <v>32</v>
      </c>
      <c r="B1" s="301"/>
      <c r="C1" s="239"/>
      <c r="D1" s="239"/>
      <c r="E1" s="239"/>
      <c r="I1" s="239"/>
      <c r="J1" s="328"/>
      <c r="K1" s="239"/>
      <c r="N1" s="239" t="s">
        <v>329</v>
      </c>
    </row>
    <row r="2" spans="1:18">
      <c r="A2" s="271" t="s">
        <v>392</v>
      </c>
      <c r="B2" s="301"/>
      <c r="C2" s="239"/>
      <c r="D2" s="239"/>
      <c r="E2" s="239"/>
      <c r="I2" s="239"/>
      <c r="J2" s="328"/>
      <c r="K2" s="239"/>
      <c r="N2" s="239" t="s">
        <v>391</v>
      </c>
    </row>
    <row r="3" spans="1:18">
      <c r="A3" s="599">
        <v>43922</v>
      </c>
      <c r="B3" s="599"/>
      <c r="C3" s="599"/>
      <c r="D3" s="599"/>
      <c r="E3" s="239"/>
      <c r="F3" s="239"/>
      <c r="G3" s="239"/>
      <c r="H3" s="239"/>
      <c r="I3" s="239"/>
      <c r="J3" s="328"/>
      <c r="K3" s="239"/>
    </row>
    <row r="4" spans="1:18">
      <c r="A4" s="271" t="s">
        <v>548</v>
      </c>
      <c r="B4" s="239"/>
      <c r="C4" s="239"/>
      <c r="D4" s="239"/>
      <c r="E4" s="239"/>
      <c r="F4" s="239"/>
      <c r="G4" s="239"/>
      <c r="H4" s="239"/>
      <c r="I4" s="239"/>
      <c r="J4" s="328"/>
      <c r="K4" s="239"/>
    </row>
    <row r="5" spans="1:18" ht="17.25" customHeight="1">
      <c r="A5" s="271"/>
      <c r="B5" s="239"/>
      <c r="C5" s="239"/>
      <c r="D5" s="235" t="s">
        <v>27</v>
      </c>
      <c r="E5" s="235" t="s">
        <v>26</v>
      </c>
      <c r="F5" s="235" t="s">
        <v>25</v>
      </c>
      <c r="G5" s="235" t="s">
        <v>121</v>
      </c>
      <c r="H5" s="235" t="s">
        <v>120</v>
      </c>
      <c r="I5" s="298" t="s">
        <v>204</v>
      </c>
      <c r="J5" s="284" t="s">
        <v>326</v>
      </c>
      <c r="K5" s="284" t="s">
        <v>390</v>
      </c>
      <c r="L5" s="284" t="s">
        <v>389</v>
      </c>
      <c r="N5" s="284" t="s">
        <v>388</v>
      </c>
      <c r="O5" s="246"/>
      <c r="P5" s="235"/>
    </row>
    <row r="6" spans="1:18" ht="15" customHeight="1">
      <c r="A6" s="235" t="s">
        <v>24</v>
      </c>
      <c r="B6" s="239"/>
      <c r="C6" s="239"/>
      <c r="D6" s="239"/>
      <c r="E6" s="235" t="s">
        <v>387</v>
      </c>
      <c r="F6" s="235" t="s">
        <v>387</v>
      </c>
      <c r="G6" s="235" t="s">
        <v>2</v>
      </c>
      <c r="H6" s="235" t="s">
        <v>2</v>
      </c>
      <c r="I6" s="284" t="s">
        <v>386</v>
      </c>
      <c r="J6" s="329" t="s">
        <v>385</v>
      </c>
      <c r="K6" s="383" t="s">
        <v>530</v>
      </c>
      <c r="L6" s="494" t="s">
        <v>531</v>
      </c>
      <c r="N6" s="284" t="s">
        <v>114</v>
      </c>
    </row>
    <row r="7" spans="1:18" ht="15" customHeight="1">
      <c r="A7" s="235" t="s">
        <v>23</v>
      </c>
      <c r="B7" s="301" t="s">
        <v>40</v>
      </c>
      <c r="C7" s="235" t="s">
        <v>384</v>
      </c>
      <c r="D7" s="383" t="s">
        <v>383</v>
      </c>
      <c r="E7" s="383" t="s">
        <v>115</v>
      </c>
      <c r="F7" s="383" t="s">
        <v>382</v>
      </c>
      <c r="G7" s="383" t="s">
        <v>115</v>
      </c>
      <c r="H7" s="383" t="s">
        <v>382</v>
      </c>
      <c r="I7" s="494" t="s">
        <v>115</v>
      </c>
      <c r="J7" s="569" t="s">
        <v>382</v>
      </c>
      <c r="K7" s="383" t="s">
        <v>115</v>
      </c>
      <c r="L7" s="494" t="s">
        <v>382</v>
      </c>
      <c r="M7" s="390"/>
      <c r="N7" s="494" t="s">
        <v>381</v>
      </c>
      <c r="O7" s="326"/>
      <c r="P7" s="326"/>
    </row>
    <row r="8" spans="1:18" ht="15" customHeight="1">
      <c r="A8" s="235"/>
      <c r="B8" s="301"/>
      <c r="C8" s="235"/>
      <c r="D8" s="383"/>
      <c r="E8" s="383"/>
      <c r="F8" s="383"/>
      <c r="G8" s="383"/>
      <c r="H8" s="383"/>
      <c r="I8" s="283"/>
      <c r="J8" s="562"/>
      <c r="K8" s="283"/>
      <c r="L8" s="326"/>
      <c r="M8" s="390"/>
      <c r="N8" s="326"/>
      <c r="O8" s="326"/>
      <c r="P8" s="326"/>
    </row>
    <row r="9" spans="1:18" ht="15" customHeight="1">
      <c r="A9" s="235" t="s">
        <v>202</v>
      </c>
      <c r="B9" s="327">
        <v>43862</v>
      </c>
      <c r="C9" s="239" t="s">
        <v>380</v>
      </c>
      <c r="D9" s="553">
        <v>2851931.4471</v>
      </c>
      <c r="E9" s="456">
        <v>-0.29299999999999998</v>
      </c>
      <c r="F9" s="333">
        <f>ROUND($D9*E9,2)</f>
        <v>-835615.91</v>
      </c>
      <c r="G9" s="456">
        <v>0</v>
      </c>
      <c r="H9" s="333">
        <f>ROUND($D9*G9,2)</f>
        <v>0</v>
      </c>
      <c r="I9" s="460">
        <v>0.21690000000000001</v>
      </c>
      <c r="J9" s="333">
        <f>ROUND($D9*I9,2)</f>
        <v>618583.93000000005</v>
      </c>
      <c r="K9" s="460">
        <v>3.9102000000000001</v>
      </c>
      <c r="L9" s="333">
        <f>ROUND($D9*K9,2)</f>
        <v>11151622.34</v>
      </c>
      <c r="M9" s="390"/>
      <c r="N9" s="413">
        <f>F9+H9+J9+L9</f>
        <v>10934590.359999999</v>
      </c>
      <c r="O9" s="563"/>
      <c r="P9" s="326"/>
    </row>
    <row r="10" spans="1:18" ht="15" customHeight="1">
      <c r="A10" s="235" t="s">
        <v>37</v>
      </c>
      <c r="B10" s="239"/>
      <c r="C10" s="239" t="s">
        <v>379</v>
      </c>
      <c r="D10" s="554">
        <v>6540.0691999999999</v>
      </c>
      <c r="E10" s="456">
        <f>E9</f>
        <v>-0.29299999999999998</v>
      </c>
      <c r="F10" s="253">
        <f>ROUND($D10*E10,2)</f>
        <v>-1916.24</v>
      </c>
      <c r="G10" s="456">
        <f>G9</f>
        <v>0</v>
      </c>
      <c r="H10" s="253">
        <f>ROUND($D10*G10,2)</f>
        <v>0</v>
      </c>
      <c r="I10" s="460">
        <f>I9</f>
        <v>0.21690000000000001</v>
      </c>
      <c r="J10" s="253">
        <f>ROUND($D10*I10,2)</f>
        <v>1418.54</v>
      </c>
      <c r="K10" s="460">
        <v>2.657</v>
      </c>
      <c r="L10" s="253">
        <f>ROUND($D10*K10,2)</f>
        <v>17376.96</v>
      </c>
      <c r="M10" s="390"/>
      <c r="N10" s="415">
        <f>F10+H10+J10+L10</f>
        <v>16879.259999999998</v>
      </c>
      <c r="O10" s="563"/>
      <c r="P10" s="326"/>
    </row>
    <row r="11" spans="1:18" ht="15" customHeight="1">
      <c r="A11" s="235" t="s">
        <v>197</v>
      </c>
      <c r="B11" s="239"/>
      <c r="C11" s="239" t="s">
        <v>378</v>
      </c>
      <c r="D11" s="488">
        <f>SUM(D9:D10)</f>
        <v>2858471.5162999998</v>
      </c>
      <c r="E11" s="456"/>
      <c r="F11" s="333">
        <f>SUM(F9:F10)</f>
        <v>-837532.15</v>
      </c>
      <c r="G11" s="457"/>
      <c r="H11" s="333">
        <f>H9+H10</f>
        <v>0</v>
      </c>
      <c r="I11" s="460"/>
      <c r="J11" s="333">
        <f>SUM(J9:J10)</f>
        <v>620002.47000000009</v>
      </c>
      <c r="K11" s="461"/>
      <c r="L11" s="333">
        <f>SUM(L9:L10)</f>
        <v>11168999.300000001</v>
      </c>
      <c r="M11" s="333"/>
      <c r="N11" s="333">
        <f>SUM(N9:N10)</f>
        <v>10951469.619999999</v>
      </c>
      <c r="O11" s="482"/>
      <c r="P11" s="564"/>
      <c r="Q11" s="248"/>
      <c r="R11" s="248"/>
    </row>
    <row r="12" spans="1:18" ht="15" customHeight="1">
      <c r="A12" s="235" t="s">
        <v>196</v>
      </c>
      <c r="B12" s="239"/>
      <c r="C12" s="239" t="s">
        <v>377</v>
      </c>
      <c r="D12" s="554">
        <v>0</v>
      </c>
      <c r="E12" s="456"/>
      <c r="F12" s="555">
        <v>-9623.92</v>
      </c>
      <c r="G12" s="457"/>
      <c r="H12" s="555">
        <v>0</v>
      </c>
      <c r="I12" s="461"/>
      <c r="J12" s="555">
        <v>17077.549999999945</v>
      </c>
      <c r="K12" s="461"/>
      <c r="L12" s="556">
        <v>206684.29999999789</v>
      </c>
      <c r="M12" s="390"/>
      <c r="N12" s="415">
        <f>F12+H12+J12+L12</f>
        <v>214137.92999999784</v>
      </c>
      <c r="O12" s="565"/>
      <c r="P12" s="566"/>
    </row>
    <row r="13" spans="1:18" ht="15" customHeight="1">
      <c r="A13" s="235" t="s">
        <v>194</v>
      </c>
      <c r="B13" s="239"/>
      <c r="C13" s="234" t="s">
        <v>114</v>
      </c>
      <c r="D13" s="489">
        <f>SUM(D11:D12)</f>
        <v>2858471.5162999998</v>
      </c>
      <c r="E13" s="456"/>
      <c r="F13" s="333">
        <f>F11+F12</f>
        <v>-847156.07000000007</v>
      </c>
      <c r="G13" s="457"/>
      <c r="H13" s="333">
        <f>H11+H12</f>
        <v>0</v>
      </c>
      <c r="I13" s="460"/>
      <c r="J13" s="333">
        <f>J11+J12</f>
        <v>637080.02</v>
      </c>
      <c r="K13" s="461"/>
      <c r="L13" s="333">
        <f>L11+L12</f>
        <v>11375683.599999998</v>
      </c>
      <c r="M13" s="333"/>
      <c r="N13" s="333">
        <f>N11+N12</f>
        <v>11165607.549999997</v>
      </c>
      <c r="O13" s="413">
        <f>F13+L13</f>
        <v>10528527.529999997</v>
      </c>
      <c r="P13" s="567"/>
      <c r="Q13" s="384"/>
      <c r="R13" s="495"/>
    </row>
    <row r="14" spans="1:18" ht="15" customHeight="1">
      <c r="A14" s="235" t="s">
        <v>192</v>
      </c>
      <c r="B14" s="239"/>
      <c r="D14" s="490"/>
      <c r="E14" s="456"/>
      <c r="F14" s="391"/>
      <c r="G14" s="458"/>
      <c r="H14" s="391"/>
      <c r="I14" s="461"/>
      <c r="J14" s="391"/>
      <c r="K14" s="461"/>
      <c r="L14" s="391"/>
      <c r="M14" s="390"/>
      <c r="N14" s="413"/>
      <c r="O14" s="413"/>
      <c r="P14" s="496"/>
    </row>
    <row r="15" spans="1:18" ht="15" customHeight="1">
      <c r="A15" s="235" t="s">
        <v>190</v>
      </c>
      <c r="D15" s="489"/>
      <c r="E15" s="456"/>
      <c r="F15" s="326"/>
      <c r="G15" s="459"/>
      <c r="H15" s="326"/>
      <c r="I15" s="460"/>
      <c r="J15" s="416"/>
      <c r="K15" s="461"/>
      <c r="L15" s="326"/>
      <c r="M15" s="390"/>
      <c r="N15" s="413"/>
      <c r="O15" s="413"/>
      <c r="P15" s="567"/>
    </row>
    <row r="16" spans="1:18" ht="15" customHeight="1">
      <c r="A16" s="235" t="s">
        <v>188</v>
      </c>
      <c r="B16" s="325">
        <v>43891</v>
      </c>
      <c r="C16" s="239" t="s">
        <v>380</v>
      </c>
      <c r="D16" s="553">
        <v>2329118.6956000002</v>
      </c>
      <c r="E16" s="500">
        <f>E9</f>
        <v>-0.29299999999999998</v>
      </c>
      <c r="F16" s="333">
        <f>ROUND($D16*E16,2)</f>
        <v>-682431.78</v>
      </c>
      <c r="G16" s="500">
        <f>G9</f>
        <v>0</v>
      </c>
      <c r="H16" s="333">
        <f>ROUND($D16*G16,2)</f>
        <v>0</v>
      </c>
      <c r="I16" s="443">
        <f>+I9</f>
        <v>0.21690000000000001</v>
      </c>
      <c r="J16" s="333">
        <f>ROUND($D16*I16,2)</f>
        <v>505185.85</v>
      </c>
      <c r="K16" s="460">
        <f>K9</f>
        <v>3.9102000000000001</v>
      </c>
      <c r="L16" s="333">
        <f>ROUND($D16*K16,2)</f>
        <v>9107319.9199999999</v>
      </c>
      <c r="M16" s="390"/>
      <c r="N16" s="413">
        <f>F16+H16+J16+L16</f>
        <v>8930073.9900000002</v>
      </c>
      <c r="O16" s="413"/>
      <c r="P16" s="568"/>
      <c r="Q16" s="240"/>
      <c r="R16" s="240"/>
    </row>
    <row r="17" spans="1:18" ht="15" customHeight="1">
      <c r="A17" s="235" t="s">
        <v>187</v>
      </c>
      <c r="B17" s="239"/>
      <c r="C17" s="239" t="s">
        <v>379</v>
      </c>
      <c r="D17" s="554">
        <v>5815.5748999999996</v>
      </c>
      <c r="E17" s="500">
        <f>E10</f>
        <v>-0.29299999999999998</v>
      </c>
      <c r="F17" s="253">
        <f>ROUND($D17*E17,2)</f>
        <v>-1703.96</v>
      </c>
      <c r="G17" s="500">
        <f>G10</f>
        <v>0</v>
      </c>
      <c r="H17" s="253">
        <f>ROUND($D17*G17,2)</f>
        <v>0</v>
      </c>
      <c r="I17" s="443">
        <f>I10</f>
        <v>0.21690000000000001</v>
      </c>
      <c r="J17" s="253">
        <f>ROUND($D17*I17,2)</f>
        <v>1261.4000000000001</v>
      </c>
      <c r="K17" s="460">
        <f>K10</f>
        <v>2.657</v>
      </c>
      <c r="L17" s="253">
        <f>ROUND($D17*K17,2)</f>
        <v>15451.98</v>
      </c>
      <c r="M17" s="390"/>
      <c r="N17" s="415">
        <f>F17+H17+J17+L17</f>
        <v>15009.42</v>
      </c>
      <c r="O17" s="413"/>
      <c r="P17" s="568"/>
      <c r="Q17" s="240"/>
      <c r="R17" s="240"/>
    </row>
    <row r="18" spans="1:18" ht="15" customHeight="1">
      <c r="A18" s="235" t="s">
        <v>180</v>
      </c>
      <c r="B18" s="239"/>
      <c r="C18" s="239" t="s">
        <v>378</v>
      </c>
      <c r="D18" s="488">
        <f>SUM(D16:D17)</f>
        <v>2334934.2705000001</v>
      </c>
      <c r="E18" s="456"/>
      <c r="F18" s="333">
        <f>SUM(F16:F17)</f>
        <v>-684135.74</v>
      </c>
      <c r="G18" s="457"/>
      <c r="H18" s="333">
        <f>H16+H17</f>
        <v>0</v>
      </c>
      <c r="I18" s="460"/>
      <c r="J18" s="333">
        <f>SUM(J16:J17)</f>
        <v>506447.25</v>
      </c>
      <c r="K18" s="461"/>
      <c r="L18" s="333">
        <f>SUM(L16:L17)</f>
        <v>9122771.9000000004</v>
      </c>
      <c r="M18" s="333"/>
      <c r="N18" s="333">
        <f>SUM(N16:N17)</f>
        <v>8945083.4100000001</v>
      </c>
      <c r="O18" s="413"/>
      <c r="P18" s="568"/>
      <c r="Q18" s="240"/>
      <c r="R18" s="240"/>
    </row>
    <row r="19" spans="1:18" ht="15" customHeight="1">
      <c r="A19" s="235" t="s">
        <v>178</v>
      </c>
      <c r="B19" s="239"/>
      <c r="C19" s="239" t="s">
        <v>377</v>
      </c>
      <c r="D19" s="554">
        <v>0</v>
      </c>
      <c r="E19" s="456"/>
      <c r="F19" s="555">
        <v>-955.08</v>
      </c>
      <c r="G19" s="457"/>
      <c r="H19" s="555">
        <v>0</v>
      </c>
      <c r="I19" s="461"/>
      <c r="J19" s="555">
        <v>17052.960000000025</v>
      </c>
      <c r="K19" s="461"/>
      <c r="L19" s="556">
        <v>187368.03000000125</v>
      </c>
      <c r="M19" s="390"/>
      <c r="N19" s="415">
        <f>F19+H19+J19+L19</f>
        <v>203465.91000000128</v>
      </c>
      <c r="O19" s="413"/>
      <c r="P19" s="499"/>
      <c r="Q19" s="240"/>
      <c r="R19" s="240"/>
    </row>
    <row r="20" spans="1:18" ht="15" customHeight="1">
      <c r="A20" s="235" t="s">
        <v>176</v>
      </c>
      <c r="B20" s="239"/>
      <c r="C20" s="234" t="s">
        <v>114</v>
      </c>
      <c r="D20" s="488">
        <f>D18+D19</f>
        <v>2334934.2705000001</v>
      </c>
      <c r="E20" s="456"/>
      <c r="F20" s="333">
        <f>F18+F19</f>
        <v>-685090.82</v>
      </c>
      <c r="G20" s="457"/>
      <c r="H20" s="333">
        <f>H18+H19</f>
        <v>0</v>
      </c>
      <c r="I20" s="460"/>
      <c r="J20" s="333">
        <f>J18+J19</f>
        <v>523500.21</v>
      </c>
      <c r="K20" s="461"/>
      <c r="L20" s="333">
        <f>L18+L19</f>
        <v>9310139.9300000016</v>
      </c>
      <c r="M20" s="333"/>
      <c r="N20" s="333">
        <f>N18+N19</f>
        <v>9148549.3200000022</v>
      </c>
      <c r="O20" s="413">
        <f>F20+L20</f>
        <v>8625049.1100000013</v>
      </c>
      <c r="P20" s="568"/>
      <c r="Q20" s="240"/>
      <c r="R20" s="240"/>
    </row>
    <row r="21" spans="1:18" ht="15" customHeight="1">
      <c r="A21" s="235" t="s">
        <v>173</v>
      </c>
      <c r="B21" s="239"/>
      <c r="D21" s="490"/>
      <c r="E21" s="456"/>
      <c r="F21" s="391"/>
      <c r="G21" s="458"/>
      <c r="H21" s="391"/>
      <c r="I21" s="461"/>
      <c r="J21" s="391"/>
      <c r="K21" s="461"/>
      <c r="L21" s="391"/>
      <c r="M21" s="390"/>
      <c r="N21" s="413"/>
      <c r="O21" s="413"/>
      <c r="P21" s="499"/>
      <c r="Q21" s="240"/>
      <c r="R21" s="240"/>
    </row>
    <row r="22" spans="1:18" ht="15" customHeight="1">
      <c r="A22" s="235" t="s">
        <v>172</v>
      </c>
      <c r="D22" s="489"/>
      <c r="E22" s="456"/>
      <c r="F22" s="326"/>
      <c r="G22" s="459"/>
      <c r="H22" s="326"/>
      <c r="I22" s="460"/>
      <c r="J22" s="416"/>
      <c r="K22" s="461"/>
      <c r="L22" s="326"/>
      <c r="M22" s="390"/>
      <c r="N22" s="413"/>
      <c r="O22" s="413"/>
      <c r="P22" s="568"/>
      <c r="Q22" s="240"/>
      <c r="R22" s="240"/>
    </row>
    <row r="23" spans="1:18" ht="15" customHeight="1">
      <c r="A23" s="235" t="s">
        <v>171</v>
      </c>
      <c r="B23" s="325">
        <v>43922</v>
      </c>
      <c r="C23" s="239" t="s">
        <v>380</v>
      </c>
      <c r="D23" s="553">
        <v>1287502.0441999999</v>
      </c>
      <c r="E23" s="500">
        <f>E9</f>
        <v>-0.29299999999999998</v>
      </c>
      <c r="F23" s="333">
        <f>ROUND($D23*E23,2)</f>
        <v>-377238.1</v>
      </c>
      <c r="G23" s="500">
        <f>G9</f>
        <v>0</v>
      </c>
      <c r="H23" s="333">
        <f>ROUND($D23*G23,2)</f>
        <v>0</v>
      </c>
      <c r="I23" s="443">
        <f>+I9</f>
        <v>0.21690000000000001</v>
      </c>
      <c r="J23" s="333">
        <f>ROUND($D23*I23,2)</f>
        <v>279259.19</v>
      </c>
      <c r="K23" s="460">
        <f>K9</f>
        <v>3.9102000000000001</v>
      </c>
      <c r="L23" s="333">
        <f>ROUND($D23*K23,2)</f>
        <v>5034390.49</v>
      </c>
      <c r="M23" s="390"/>
      <c r="N23" s="413">
        <f>F23+H23+J23+L23</f>
        <v>4936411.58</v>
      </c>
      <c r="O23" s="413"/>
      <c r="P23" s="568"/>
      <c r="Q23" s="240"/>
      <c r="R23" s="240"/>
    </row>
    <row r="24" spans="1:18" ht="15" customHeight="1">
      <c r="A24" s="235" t="s">
        <v>170</v>
      </c>
      <c r="B24" s="239"/>
      <c r="C24" s="239" t="s">
        <v>379</v>
      </c>
      <c r="D24" s="554">
        <v>11278.873299999999</v>
      </c>
      <c r="E24" s="500">
        <f>E10</f>
        <v>-0.29299999999999998</v>
      </c>
      <c r="F24" s="253">
        <f>ROUND($D24*E24,2)</f>
        <v>-3304.71</v>
      </c>
      <c r="G24" s="500">
        <f>G10</f>
        <v>0</v>
      </c>
      <c r="H24" s="253">
        <f>ROUND($D24*G24,2)</f>
        <v>0</v>
      </c>
      <c r="I24" s="443">
        <f>I10</f>
        <v>0.21690000000000001</v>
      </c>
      <c r="J24" s="253">
        <f>ROUND($D24*I24,2)</f>
        <v>2446.39</v>
      </c>
      <c r="K24" s="460">
        <f>K10</f>
        <v>2.657</v>
      </c>
      <c r="L24" s="253">
        <f>ROUND($D24*K24,2)</f>
        <v>29967.97</v>
      </c>
      <c r="M24" s="390"/>
      <c r="N24" s="415">
        <f>F24+H24+J24+L24</f>
        <v>29109.65</v>
      </c>
      <c r="O24" s="413"/>
      <c r="P24" s="568"/>
      <c r="Q24" s="240"/>
      <c r="R24" s="240"/>
    </row>
    <row r="25" spans="1:18" ht="15" customHeight="1">
      <c r="A25" s="235" t="s">
        <v>165</v>
      </c>
      <c r="B25" s="239"/>
      <c r="C25" s="239" t="s">
        <v>378</v>
      </c>
      <c r="D25" s="488">
        <f>SUM(D23:D24)</f>
        <v>1298780.9175</v>
      </c>
      <c r="E25" s="443"/>
      <c r="F25" s="333">
        <f>SUM(F23:F24)</f>
        <v>-380542.81</v>
      </c>
      <c r="G25" s="457"/>
      <c r="H25" s="333">
        <f>H23+H24</f>
        <v>0</v>
      </c>
      <c r="I25" s="460"/>
      <c r="J25" s="333">
        <f>SUM(J23:J24)</f>
        <v>281705.58</v>
      </c>
      <c r="K25" s="461"/>
      <c r="L25" s="333">
        <f>SUM(L23:L24)</f>
        <v>5064358.46</v>
      </c>
      <c r="M25" s="333"/>
      <c r="N25" s="333">
        <f>SUM(N23:N24)</f>
        <v>4965521.2300000004</v>
      </c>
      <c r="O25" s="413"/>
      <c r="P25" s="568"/>
      <c r="Q25" s="240"/>
      <c r="R25" s="240"/>
    </row>
    <row r="26" spans="1:18" ht="15" customHeight="1">
      <c r="A26" s="235" t="s">
        <v>164</v>
      </c>
      <c r="C26" s="239" t="s">
        <v>377</v>
      </c>
      <c r="D26" s="554">
        <v>0</v>
      </c>
      <c r="E26" s="460"/>
      <c r="F26" s="555">
        <v>-837.06</v>
      </c>
      <c r="G26" s="457"/>
      <c r="H26" s="555">
        <v>0</v>
      </c>
      <c r="I26" s="461"/>
      <c r="J26" s="555">
        <v>14002.869999999988</v>
      </c>
      <c r="K26" s="461"/>
      <c r="L26" s="556">
        <v>153697.68999999989</v>
      </c>
      <c r="M26" s="390"/>
      <c r="N26" s="415">
        <f>F26+H26+J26+L26</f>
        <v>166863.49999999988</v>
      </c>
      <c r="O26" s="413"/>
      <c r="P26" s="568"/>
      <c r="Q26" s="240"/>
      <c r="R26" s="240"/>
    </row>
    <row r="27" spans="1:18" ht="15" customHeight="1">
      <c r="A27" s="235" t="s">
        <v>162</v>
      </c>
      <c r="B27" s="280"/>
      <c r="C27" s="234" t="s">
        <v>114</v>
      </c>
      <c r="D27" s="488">
        <f>D25+D26</f>
        <v>1298780.9175</v>
      </c>
      <c r="E27" s="443"/>
      <c r="F27" s="333">
        <f>F25+F26</f>
        <v>-381379.87</v>
      </c>
      <c r="G27" s="457"/>
      <c r="H27" s="333">
        <f>H25+H26</f>
        <v>0</v>
      </c>
      <c r="I27" s="283"/>
      <c r="J27" s="333">
        <f>J25+J26</f>
        <v>295708.45</v>
      </c>
      <c r="K27" s="459"/>
      <c r="L27" s="333">
        <f>L25+L26</f>
        <v>5218056.1499999994</v>
      </c>
      <c r="M27" s="333"/>
      <c r="N27" s="333">
        <f>N25+N26</f>
        <v>5132384.7300000004</v>
      </c>
      <c r="O27" s="413">
        <f>F27+L27</f>
        <v>4836676.2799999993</v>
      </c>
      <c r="P27" s="568"/>
      <c r="Q27" s="240"/>
      <c r="R27" s="498"/>
    </row>
    <row r="28" spans="1:18" ht="15" customHeight="1">
      <c r="A28" s="235" t="s">
        <v>158</v>
      </c>
      <c r="B28" s="280"/>
      <c r="C28" s="280"/>
      <c r="D28" s="390"/>
      <c r="E28" s="570"/>
      <c r="F28" s="391"/>
      <c r="G28" s="458"/>
      <c r="H28" s="391"/>
      <c r="I28" s="326"/>
      <c r="J28" s="391"/>
      <c r="K28" s="459"/>
      <c r="L28" s="391"/>
      <c r="M28" s="390"/>
      <c r="N28" s="413"/>
      <c r="O28" s="413"/>
      <c r="P28" s="538"/>
      <c r="Q28" s="240"/>
      <c r="R28" s="240"/>
    </row>
    <row r="29" spans="1:18" ht="15" customHeight="1">
      <c r="A29" s="235" t="s">
        <v>153</v>
      </c>
      <c r="B29" s="280"/>
      <c r="C29" s="280"/>
      <c r="D29" s="571"/>
      <c r="E29" s="570"/>
      <c r="F29" s="390"/>
      <c r="G29" s="458"/>
      <c r="H29" s="390"/>
      <c r="I29" s="326"/>
      <c r="J29" s="416"/>
      <c r="K29" s="459"/>
      <c r="L29" s="482"/>
      <c r="M29" s="390"/>
      <c r="N29" s="326"/>
      <c r="O29" s="413"/>
      <c r="P29" s="538"/>
      <c r="Q29" s="240"/>
      <c r="R29" s="240"/>
    </row>
    <row r="30" spans="1:18" ht="15" customHeight="1" thickBot="1">
      <c r="A30" s="235" t="s">
        <v>152</v>
      </c>
      <c r="B30" s="239" t="s">
        <v>376</v>
      </c>
      <c r="C30" s="239"/>
      <c r="D30" s="283"/>
      <c r="E30" s="443"/>
      <c r="F30" s="572">
        <f>F13+F20+F27</f>
        <v>-1913626.7600000002</v>
      </c>
      <c r="G30" s="540"/>
      <c r="H30" s="540"/>
      <c r="I30" s="326"/>
      <c r="J30" s="416"/>
      <c r="K30" s="459"/>
      <c r="L30" s="482"/>
      <c r="M30" s="390"/>
      <c r="N30" s="413"/>
      <c r="O30" s="413"/>
      <c r="P30" s="538"/>
      <c r="Q30" s="240"/>
      <c r="R30" s="240"/>
    </row>
    <row r="31" spans="1:18" ht="15" customHeight="1" thickTop="1" thickBot="1">
      <c r="A31" s="235" t="s">
        <v>151</v>
      </c>
      <c r="B31" s="239" t="s">
        <v>375</v>
      </c>
      <c r="C31" s="239"/>
      <c r="D31" s="283"/>
      <c r="E31" s="283"/>
      <c r="F31" s="540"/>
      <c r="G31" s="540"/>
      <c r="H31" s="572">
        <f>H13+H20+H27</f>
        <v>0</v>
      </c>
      <c r="I31" s="326"/>
      <c r="J31" s="416"/>
      <c r="K31" s="326"/>
      <c r="L31" s="482"/>
      <c r="M31" s="390"/>
      <c r="N31" s="413"/>
      <c r="O31" s="413"/>
      <c r="P31" s="573"/>
      <c r="Q31" s="240"/>
      <c r="R31" s="240"/>
    </row>
    <row r="32" spans="1:18" ht="15" customHeight="1" thickTop="1" thickBot="1">
      <c r="A32" s="235" t="s">
        <v>149</v>
      </c>
      <c r="B32" s="239" t="s">
        <v>374</v>
      </c>
      <c r="C32" s="239"/>
      <c r="D32" s="283"/>
      <c r="E32" s="283"/>
      <c r="F32" s="283"/>
      <c r="G32" s="283"/>
      <c r="H32" s="283"/>
      <c r="I32" s="326"/>
      <c r="J32" s="574">
        <f>J13+J20+J27</f>
        <v>1456288.68</v>
      </c>
      <c r="K32" s="326"/>
      <c r="L32" s="326"/>
      <c r="M32" s="390"/>
      <c r="N32" s="326"/>
      <c r="O32" s="413"/>
      <c r="P32" s="573"/>
      <c r="Q32" s="240"/>
      <c r="R32" s="240"/>
    </row>
    <row r="33" spans="1:18" ht="15" customHeight="1" thickTop="1" thickBot="1">
      <c r="A33" s="235" t="s">
        <v>148</v>
      </c>
      <c r="B33" s="283" t="s">
        <v>373</v>
      </c>
      <c r="C33" s="283"/>
      <c r="D33" s="283"/>
      <c r="E33" s="283"/>
      <c r="F33" s="283"/>
      <c r="G33" s="283"/>
      <c r="H33" s="283"/>
      <c r="I33" s="326"/>
      <c r="J33" s="416"/>
      <c r="K33" s="326"/>
      <c r="L33" s="574">
        <f>L13+L20+L27</f>
        <v>25903879.68</v>
      </c>
      <c r="M33" s="390"/>
      <c r="N33" s="326"/>
      <c r="O33" s="413"/>
      <c r="P33" s="573"/>
      <c r="Q33" s="240"/>
      <c r="R33" s="240"/>
    </row>
    <row r="34" spans="1:18" ht="15" customHeight="1" thickTop="1" thickBot="1">
      <c r="A34" s="235" t="s">
        <v>147</v>
      </c>
      <c r="B34" s="326" t="s">
        <v>372</v>
      </c>
      <c r="C34" s="326"/>
      <c r="D34" s="326"/>
      <c r="E34" s="326"/>
      <c r="F34" s="326"/>
      <c r="G34" s="326"/>
      <c r="H34" s="326"/>
      <c r="I34" s="326"/>
      <c r="J34" s="416"/>
      <c r="K34" s="326"/>
      <c r="L34" s="326"/>
      <c r="M34" s="390"/>
      <c r="N34" s="574">
        <f>N13+N20+N27</f>
        <v>25446541.599999998</v>
      </c>
      <c r="O34" s="326"/>
      <c r="P34" s="575"/>
      <c r="Q34" s="497"/>
      <c r="R34" s="497"/>
    </row>
    <row r="35" spans="1:18" ht="15" customHeight="1" thickTop="1">
      <c r="A35" s="235" t="s">
        <v>146</v>
      </c>
      <c r="D35" s="326"/>
      <c r="E35" s="326"/>
      <c r="F35" s="326"/>
      <c r="G35" s="326"/>
      <c r="H35" s="326"/>
      <c r="I35" s="326"/>
      <c r="J35" s="416"/>
      <c r="K35" s="326"/>
      <c r="L35" s="326"/>
      <c r="M35" s="390"/>
      <c r="N35" s="326"/>
      <c r="O35" s="326"/>
      <c r="P35" s="538"/>
      <c r="Q35" s="240"/>
      <c r="R35" s="240"/>
    </row>
    <row r="36" spans="1:18" ht="15" customHeight="1" thickBot="1">
      <c r="A36" s="235" t="s">
        <v>144</v>
      </c>
      <c r="B36" s="239"/>
      <c r="C36" s="239"/>
      <c r="D36" s="283"/>
      <c r="E36" s="283"/>
      <c r="F36" s="283"/>
      <c r="G36" s="283"/>
      <c r="H36" s="283"/>
      <c r="I36" s="326"/>
      <c r="J36" s="416"/>
      <c r="K36" s="413"/>
      <c r="L36" s="326"/>
      <c r="M36" s="390"/>
      <c r="N36" s="326"/>
      <c r="O36" s="576">
        <f>+SUM(O13:O33)</f>
        <v>23990252.920000002</v>
      </c>
      <c r="P36" s="577"/>
      <c r="Q36" s="498"/>
      <c r="R36" s="498"/>
    </row>
    <row r="37" spans="1:18" ht="15" customHeight="1" thickTop="1">
      <c r="A37" s="235" t="s">
        <v>143</v>
      </c>
      <c r="B37" s="322" t="s">
        <v>371</v>
      </c>
      <c r="C37" s="322"/>
      <c r="D37" s="322"/>
      <c r="E37" s="322"/>
      <c r="F37" s="322"/>
      <c r="G37" s="322"/>
      <c r="H37" s="322"/>
    </row>
    <row r="38" spans="1:18" ht="15" customHeight="1">
      <c r="A38" s="235" t="s">
        <v>142</v>
      </c>
      <c r="B38" s="322" t="s">
        <v>370</v>
      </c>
      <c r="C38" s="322"/>
      <c r="D38" s="322"/>
      <c r="E38" s="322"/>
      <c r="F38" s="322"/>
      <c r="G38" s="322"/>
      <c r="H38" s="322"/>
    </row>
    <row r="39" spans="1:18" ht="15" customHeight="1">
      <c r="A39" s="235"/>
    </row>
    <row r="40" spans="1:18" ht="15" customHeight="1">
      <c r="A40" s="235"/>
      <c r="B40" s="322"/>
    </row>
    <row r="41" spans="1:18" ht="15" customHeight="1">
      <c r="A41" s="235"/>
      <c r="B41" s="239"/>
      <c r="C41" s="239"/>
      <c r="D41" s="320"/>
      <c r="E41" s="319"/>
      <c r="F41" s="257"/>
      <c r="G41" s="257"/>
      <c r="H41" s="257"/>
    </row>
    <row r="42" spans="1:18" ht="15" customHeight="1">
      <c r="A42" s="235"/>
      <c r="B42" s="239"/>
      <c r="C42" s="239"/>
      <c r="D42" s="320"/>
      <c r="E42" s="319"/>
      <c r="F42" s="257"/>
      <c r="G42" s="257"/>
      <c r="H42" s="257"/>
    </row>
    <row r="43" spans="1:18" ht="15" customHeight="1">
      <c r="A43" s="235"/>
      <c r="B43" s="239"/>
      <c r="C43" s="239"/>
      <c r="D43" s="318"/>
      <c r="E43" s="239"/>
      <c r="F43" s="257"/>
      <c r="G43" s="257"/>
      <c r="H43" s="257"/>
    </row>
    <row r="44" spans="1:18" ht="15" customHeight="1">
      <c r="A44" s="235"/>
    </row>
    <row r="45" spans="1:18" ht="15" customHeight="1">
      <c r="A45" s="235"/>
      <c r="B45" s="321"/>
      <c r="C45" s="239"/>
      <c r="D45" s="320"/>
      <c r="E45" s="261"/>
      <c r="F45" s="259"/>
      <c r="G45" s="259"/>
      <c r="H45" s="259"/>
    </row>
    <row r="46" spans="1:18" ht="15" customHeight="1">
      <c r="A46" s="235"/>
      <c r="C46" s="239"/>
      <c r="D46" s="320"/>
      <c r="E46" s="319"/>
      <c r="F46" s="257"/>
      <c r="G46" s="257"/>
      <c r="H46" s="257"/>
    </row>
    <row r="47" spans="1:18" ht="15" customHeight="1">
      <c r="A47" s="235"/>
      <c r="B47" s="239"/>
      <c r="C47" s="239"/>
      <c r="D47" s="320"/>
      <c r="E47" s="319"/>
      <c r="F47" s="257"/>
      <c r="G47" s="257"/>
      <c r="H47" s="257"/>
    </row>
    <row r="48" spans="1:18" ht="15" customHeight="1">
      <c r="A48" s="235"/>
      <c r="B48" s="239"/>
      <c r="C48" s="239"/>
      <c r="D48" s="320"/>
      <c r="E48" s="319"/>
      <c r="F48" s="257"/>
      <c r="G48" s="257"/>
      <c r="H48" s="257"/>
    </row>
    <row r="49" spans="1:8" ht="15" customHeight="1">
      <c r="A49" s="235"/>
      <c r="B49" s="239"/>
      <c r="C49" s="239"/>
      <c r="D49" s="320"/>
      <c r="E49" s="319"/>
      <c r="F49" s="257"/>
      <c r="G49" s="257"/>
      <c r="H49" s="257"/>
    </row>
    <row r="50" spans="1:8" ht="15" customHeight="1">
      <c r="A50" s="235"/>
      <c r="B50" s="239"/>
      <c r="C50" s="239"/>
      <c r="D50" s="320"/>
      <c r="E50" s="319"/>
      <c r="F50" s="257"/>
      <c r="G50" s="257"/>
      <c r="H50" s="257"/>
    </row>
    <row r="51" spans="1:8" ht="15" customHeight="1">
      <c r="A51" s="235"/>
      <c r="B51" s="239"/>
      <c r="C51" s="239"/>
      <c r="D51" s="320"/>
      <c r="E51" s="319"/>
      <c r="F51" s="257"/>
      <c r="G51" s="257"/>
      <c r="H51" s="257"/>
    </row>
    <row r="52" spans="1:8" ht="15" customHeight="1">
      <c r="A52" s="235"/>
      <c r="B52" s="239"/>
      <c r="C52" s="239"/>
      <c r="D52" s="320"/>
      <c r="E52" s="319"/>
      <c r="F52" s="257"/>
      <c r="G52" s="257"/>
      <c r="H52" s="257"/>
    </row>
    <row r="53" spans="1:8" ht="15" customHeight="1">
      <c r="A53" s="235"/>
      <c r="B53" s="239"/>
      <c r="C53" s="239"/>
      <c r="D53" s="318"/>
      <c r="E53" s="239"/>
      <c r="F53" s="257"/>
      <c r="G53" s="257"/>
      <c r="H53" s="257"/>
    </row>
    <row r="54" spans="1:8" ht="15" customHeight="1">
      <c r="A54" s="235"/>
    </row>
    <row r="55" spans="1:8" ht="15" customHeight="1">
      <c r="A55" s="235"/>
    </row>
    <row r="56" spans="1:8" ht="15" customHeight="1">
      <c r="A56" s="235"/>
    </row>
    <row r="57" spans="1:8" ht="15" customHeight="1">
      <c r="A57" s="235"/>
    </row>
    <row r="58" spans="1:8" ht="15" customHeight="1">
      <c r="A58" s="235"/>
    </row>
    <row r="59" spans="1:8" ht="15" customHeight="1">
      <c r="A59" s="235"/>
    </row>
    <row r="60" spans="1:8" ht="15" customHeight="1">
      <c r="A60" s="235"/>
    </row>
    <row r="61" spans="1:8" ht="15" customHeight="1">
      <c r="A61" s="235"/>
      <c r="B61" s="239"/>
      <c r="C61" s="239"/>
      <c r="D61" s="320"/>
      <c r="E61" s="319"/>
      <c r="F61" s="257"/>
      <c r="G61" s="257"/>
      <c r="H61" s="257"/>
    </row>
    <row r="62" spans="1:8" ht="15" customHeight="1">
      <c r="A62" s="235"/>
      <c r="B62" s="239"/>
      <c r="C62" s="239"/>
      <c r="D62" s="320"/>
      <c r="E62" s="319"/>
      <c r="F62" s="257"/>
      <c r="G62" s="257"/>
      <c r="H62" s="257"/>
    </row>
    <row r="63" spans="1:8" ht="15" customHeight="1">
      <c r="A63" s="235"/>
      <c r="B63" s="239"/>
      <c r="C63" s="239"/>
      <c r="D63" s="318"/>
      <c r="E63" s="239"/>
      <c r="F63" s="257"/>
      <c r="G63" s="257"/>
      <c r="H63" s="257"/>
    </row>
    <row r="64" spans="1:8" ht="15" customHeight="1">
      <c r="A64" s="235"/>
    </row>
    <row r="65" spans="1:8" ht="15" customHeight="1">
      <c r="A65" s="235"/>
    </row>
    <row r="66" spans="1:8" ht="15" customHeight="1">
      <c r="A66" s="235"/>
    </row>
    <row r="67" spans="1:8" ht="15" customHeight="1">
      <c r="A67" s="235"/>
    </row>
    <row r="68" spans="1:8" ht="15" customHeight="1">
      <c r="A68" s="235"/>
    </row>
    <row r="69" spans="1:8" ht="15" customHeight="1">
      <c r="A69" s="235"/>
    </row>
    <row r="70" spans="1:8" ht="15" customHeight="1">
      <c r="A70" s="235"/>
    </row>
    <row r="71" spans="1:8" ht="15" customHeight="1">
      <c r="A71" s="235"/>
    </row>
    <row r="72" spans="1:8" ht="15" customHeight="1">
      <c r="A72" s="235"/>
      <c r="B72" s="239"/>
      <c r="C72" s="239"/>
      <c r="D72" s="239"/>
      <c r="E72" s="239"/>
      <c r="F72" s="239"/>
      <c r="G72" s="239"/>
      <c r="H72" s="239"/>
    </row>
    <row r="73" spans="1:8">
      <c r="A73" s="235"/>
      <c r="B73" s="239"/>
      <c r="C73" s="239"/>
      <c r="D73" s="239"/>
      <c r="E73" s="239"/>
      <c r="F73" s="239"/>
      <c r="G73" s="239"/>
      <c r="H73" s="239"/>
    </row>
    <row r="74" spans="1:8">
      <c r="A74" s="235"/>
      <c r="B74" s="239"/>
      <c r="C74" s="239"/>
      <c r="D74" s="239"/>
      <c r="E74" s="239"/>
      <c r="F74" s="239"/>
      <c r="G74" s="239"/>
      <c r="H74" s="239"/>
    </row>
    <row r="75" spans="1:8">
      <c r="A75" s="235"/>
    </row>
    <row r="76" spans="1:8">
      <c r="A76" s="235"/>
    </row>
    <row r="77" spans="1:8">
      <c r="A77" s="235"/>
    </row>
    <row r="78" spans="1:8">
      <c r="A78" s="235"/>
    </row>
    <row r="79" spans="1:8">
      <c r="A79" s="235"/>
    </row>
    <row r="80" spans="1:8">
      <c r="A80" s="235"/>
    </row>
    <row r="81" spans="1:1">
      <c r="A81" s="235"/>
    </row>
    <row r="82" spans="1:1">
      <c r="A82" s="235"/>
    </row>
    <row r="83" spans="1:1">
      <c r="A83" s="235"/>
    </row>
    <row r="84" spans="1:1">
      <c r="A84" s="235"/>
    </row>
    <row r="85" spans="1:1">
      <c r="A85" s="235"/>
    </row>
    <row r="86" spans="1:1">
      <c r="A86" s="235"/>
    </row>
    <row r="87" spans="1:1">
      <c r="A87" s="235"/>
    </row>
    <row r="88" spans="1:1">
      <c r="A88" s="235"/>
    </row>
    <row r="89" spans="1:1">
      <c r="A89" s="235"/>
    </row>
    <row r="90" spans="1:1">
      <c r="A90" s="235"/>
    </row>
    <row r="91" spans="1:1">
      <c r="A91" s="235"/>
    </row>
    <row r="92" spans="1:1">
      <c r="A92" s="235"/>
    </row>
    <row r="93" spans="1:1">
      <c r="A93" s="235"/>
    </row>
    <row r="94" spans="1:1">
      <c r="A94" s="235"/>
    </row>
    <row r="95" spans="1:1">
      <c r="A95" s="235"/>
    </row>
    <row r="96" spans="1:1">
      <c r="A96" s="235"/>
    </row>
    <row r="97" spans="1:1">
      <c r="A97" s="235"/>
    </row>
    <row r="98" spans="1:1">
      <c r="A98" s="235"/>
    </row>
    <row r="99" spans="1:1">
      <c r="A99" s="235"/>
    </row>
    <row r="100" spans="1:1">
      <c r="A100" s="235"/>
    </row>
    <row r="101" spans="1:1">
      <c r="A101" s="235"/>
    </row>
    <row r="102" spans="1:1">
      <c r="A102" s="235"/>
    </row>
    <row r="103" spans="1:1">
      <c r="A103" s="235"/>
    </row>
    <row r="104" spans="1:1">
      <c r="A104" s="235"/>
    </row>
    <row r="105" spans="1:1">
      <c r="A105" s="235"/>
    </row>
    <row r="106" spans="1:1">
      <c r="A106" s="235"/>
    </row>
    <row r="107" spans="1:1">
      <c r="A107" s="235"/>
    </row>
    <row r="108" spans="1:1">
      <c r="A108" s="235"/>
    </row>
  </sheetData>
  <mergeCells count="1">
    <mergeCell ref="A3:D3"/>
  </mergeCells>
  <printOptions horizontalCentered="1"/>
  <pageMargins left="0" right="0" top="0.75" bottom="0.25" header="0.5" footer="0.5"/>
  <pageSetup scale="60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2"/>
  <sheetViews>
    <sheetView showGridLines="0" view="pageBreakPreview" zoomScale="60" zoomScaleNormal="80" workbookViewId="0">
      <pane ySplit="7" topLeftCell="A8" activePane="bottomLeft" state="frozen"/>
      <selection activeCell="B43" sqref="B43"/>
      <selection pane="bottomLeft"/>
    </sheetView>
  </sheetViews>
  <sheetFormatPr defaultColWidth="12.5703125" defaultRowHeight="14.25"/>
  <cols>
    <col min="1" max="1" width="4.85546875" style="284" customWidth="1"/>
    <col min="2" max="2" width="2.28515625" style="234" customWidth="1"/>
    <col min="3" max="3" width="30.5703125" style="234" customWidth="1"/>
    <col min="4" max="4" width="17" style="234" customWidth="1"/>
    <col min="5" max="5" width="2.28515625" style="326" customWidth="1"/>
    <col min="6" max="6" width="17.42578125" style="234" customWidth="1"/>
    <col min="7" max="7" width="2.28515625" style="326" customWidth="1"/>
    <col min="8" max="8" width="12.42578125" style="234" bestFit="1" customWidth="1"/>
    <col min="9" max="9" width="2.28515625" style="326" customWidth="1"/>
    <col min="10" max="10" width="18.140625" style="234" customWidth="1"/>
    <col min="11" max="11" width="2.28515625" style="326" customWidth="1"/>
    <col min="12" max="12" width="12.42578125" style="234" customWidth="1"/>
    <col min="13" max="13" width="2.28515625" style="326" customWidth="1"/>
    <col min="14" max="14" width="21.28515625" style="234" customWidth="1"/>
    <col min="15" max="15" width="2.28515625" style="234" customWidth="1"/>
    <col min="16" max="16" width="14.28515625" style="234" bestFit="1" customWidth="1"/>
    <col min="17" max="17" width="2.28515625" style="234" customWidth="1"/>
    <col min="18" max="18" width="16.28515625" style="234" bestFit="1" customWidth="1"/>
    <col min="19" max="19" width="13.5703125" style="234" bestFit="1" customWidth="1"/>
    <col min="20" max="16384" width="12.5703125" style="234"/>
  </cols>
  <sheetData>
    <row r="1" spans="1:20" ht="15">
      <c r="A1" s="274" t="s">
        <v>32</v>
      </c>
      <c r="C1" s="274"/>
      <c r="D1" s="239"/>
      <c r="E1" s="283"/>
      <c r="F1" s="239"/>
      <c r="G1" s="283"/>
      <c r="H1" s="332"/>
      <c r="I1" s="414"/>
      <c r="J1" s="239"/>
      <c r="K1" s="283"/>
      <c r="L1" s="332"/>
      <c r="M1" s="414"/>
      <c r="N1" s="239" t="s">
        <v>329</v>
      </c>
      <c r="O1" s="239"/>
      <c r="P1" s="332"/>
      <c r="Q1" s="332"/>
      <c r="S1" s="239"/>
      <c r="T1" s="239"/>
    </row>
    <row r="2" spans="1:20">
      <c r="A2" s="271" t="s">
        <v>408</v>
      </c>
      <c r="C2" s="271"/>
      <c r="D2" s="239"/>
      <c r="E2" s="283"/>
      <c r="F2" s="239"/>
      <c r="G2" s="283"/>
      <c r="H2" s="332"/>
      <c r="I2" s="283"/>
      <c r="J2" s="239"/>
      <c r="K2" s="283"/>
      <c r="L2" s="332"/>
      <c r="M2" s="414"/>
      <c r="N2" s="239" t="s">
        <v>407</v>
      </c>
      <c r="O2" s="239"/>
      <c r="P2" s="332"/>
      <c r="Q2" s="332"/>
      <c r="S2" s="239"/>
      <c r="T2" s="239"/>
    </row>
    <row r="3" spans="1:20">
      <c r="A3" s="271" t="s">
        <v>406</v>
      </c>
      <c r="C3" s="271"/>
      <c r="D3" s="239"/>
      <c r="E3" s="283"/>
      <c r="F3" s="239"/>
      <c r="G3" s="283"/>
      <c r="H3" s="239"/>
      <c r="I3" s="283"/>
      <c r="J3" s="239"/>
      <c r="K3" s="283"/>
      <c r="L3" s="332"/>
      <c r="M3" s="414"/>
      <c r="N3" s="239"/>
      <c r="O3" s="239"/>
      <c r="P3" s="332"/>
      <c r="Q3" s="332"/>
      <c r="S3" s="239"/>
      <c r="T3" s="239"/>
    </row>
    <row r="4" spans="1:20">
      <c r="A4" s="271"/>
      <c r="C4" s="271"/>
      <c r="D4" s="260" t="s">
        <v>27</v>
      </c>
      <c r="F4" s="235" t="s">
        <v>26</v>
      </c>
      <c r="G4" s="313"/>
      <c r="H4" s="260" t="s">
        <v>25</v>
      </c>
      <c r="J4" s="235" t="s">
        <v>121</v>
      </c>
      <c r="L4" s="260" t="s">
        <v>120</v>
      </c>
      <c r="N4" s="235" t="s">
        <v>204</v>
      </c>
      <c r="O4" s="235"/>
      <c r="P4" s="332"/>
      <c r="Q4" s="332"/>
      <c r="S4" s="239"/>
      <c r="T4" s="239"/>
    </row>
    <row r="5" spans="1:20" ht="15">
      <c r="B5" s="239"/>
      <c r="C5" s="260" t="s">
        <v>355</v>
      </c>
      <c r="D5" s="336">
        <v>43891</v>
      </c>
      <c r="E5" s="535"/>
      <c r="F5" s="299"/>
      <c r="G5" s="539"/>
      <c r="H5" s="336">
        <v>43922</v>
      </c>
      <c r="I5" s="535"/>
      <c r="J5" s="299"/>
      <c r="K5" s="539"/>
      <c r="L5" s="336">
        <v>43952</v>
      </c>
      <c r="M5" s="535"/>
      <c r="N5" s="299"/>
      <c r="O5" s="239"/>
      <c r="P5" s="280"/>
      <c r="Q5" s="280"/>
      <c r="R5" s="280"/>
      <c r="S5" s="239"/>
      <c r="T5" s="239"/>
    </row>
    <row r="6" spans="1:20" ht="15">
      <c r="B6" s="239"/>
      <c r="C6" s="239"/>
      <c r="D6" s="336">
        <v>43862</v>
      </c>
      <c r="E6" s="535"/>
      <c r="F6" s="299"/>
      <c r="G6" s="539"/>
      <c r="H6" s="336">
        <v>43891</v>
      </c>
      <c r="I6" s="535"/>
      <c r="J6" s="299"/>
      <c r="K6" s="539"/>
      <c r="L6" s="336">
        <v>43922</v>
      </c>
      <c r="M6" s="535"/>
      <c r="N6" s="299"/>
      <c r="O6" s="335"/>
      <c r="P6" s="280"/>
      <c r="Q6" s="280"/>
      <c r="R6" s="280"/>
      <c r="S6" s="239"/>
      <c r="T6" s="239"/>
    </row>
    <row r="7" spans="1:20" ht="15">
      <c r="B7" s="271" t="s">
        <v>22</v>
      </c>
      <c r="C7" s="235"/>
      <c r="D7" s="235" t="s">
        <v>282</v>
      </c>
      <c r="E7" s="383"/>
      <c r="F7" s="235" t="s">
        <v>304</v>
      </c>
      <c r="G7" s="383"/>
      <c r="H7" s="235" t="s">
        <v>282</v>
      </c>
      <c r="I7" s="383"/>
      <c r="J7" s="235" t="s">
        <v>304</v>
      </c>
      <c r="K7" s="383"/>
      <c r="L7" s="235" t="s">
        <v>282</v>
      </c>
      <c r="M7" s="383"/>
      <c r="N7" s="235" t="s">
        <v>304</v>
      </c>
      <c r="O7" s="235"/>
      <c r="P7" s="280"/>
      <c r="Q7" s="280"/>
      <c r="R7" s="280"/>
      <c r="S7" s="239"/>
      <c r="T7" s="239"/>
    </row>
    <row r="8" spans="1:20" ht="15.75">
      <c r="A8" s="284">
        <v>1</v>
      </c>
      <c r="B8" s="237" t="s">
        <v>405</v>
      </c>
      <c r="C8" s="239"/>
      <c r="D8" s="239"/>
      <c r="E8" s="283"/>
      <c r="F8" s="239"/>
      <c r="G8" s="283"/>
      <c r="H8" s="239"/>
      <c r="I8" s="283"/>
      <c r="J8" s="239"/>
      <c r="K8" s="283"/>
      <c r="L8" s="239"/>
      <c r="M8" s="283"/>
      <c r="N8" s="239"/>
      <c r="O8" s="239"/>
      <c r="P8" s="280"/>
      <c r="Q8" s="280"/>
      <c r="R8" s="280"/>
      <c r="S8" s="239"/>
      <c r="T8" s="239"/>
    </row>
    <row r="9" spans="1:20" ht="15">
      <c r="A9" s="284">
        <v>2</v>
      </c>
      <c r="C9" s="239" t="s">
        <v>399</v>
      </c>
      <c r="D9" s="246"/>
      <c r="E9" s="334"/>
      <c r="F9" s="257"/>
      <c r="G9" s="314"/>
      <c r="H9" s="246"/>
      <c r="I9" s="334"/>
      <c r="J9" s="257"/>
      <c r="K9" s="314"/>
      <c r="L9" s="246"/>
      <c r="M9" s="334"/>
      <c r="N9" s="257"/>
      <c r="O9" s="257"/>
      <c r="P9" s="280"/>
      <c r="Q9" s="280"/>
      <c r="R9" s="280"/>
      <c r="S9" s="239"/>
      <c r="T9" s="239"/>
    </row>
    <row r="10" spans="1:20" ht="15">
      <c r="A10" s="284">
        <v>3</v>
      </c>
      <c r="C10" s="239" t="s">
        <v>418</v>
      </c>
      <c r="D10" s="246"/>
      <c r="E10" s="334"/>
      <c r="F10" s="257"/>
      <c r="G10" s="314"/>
      <c r="H10" s="246"/>
      <c r="I10" s="334"/>
      <c r="J10" s="257"/>
      <c r="K10" s="314"/>
      <c r="L10" s="246"/>
      <c r="M10" s="334"/>
      <c r="N10" s="257"/>
      <c r="O10" s="257"/>
      <c r="P10" s="280"/>
      <c r="Q10" s="280"/>
      <c r="R10" s="280"/>
      <c r="S10" s="239"/>
      <c r="T10" s="239"/>
    </row>
    <row r="11" spans="1:20" ht="15">
      <c r="A11" s="284">
        <v>4</v>
      </c>
      <c r="C11" s="239" t="s">
        <v>417</v>
      </c>
      <c r="D11" s="246"/>
      <c r="E11" s="334"/>
      <c r="F11" s="257"/>
      <c r="G11" s="314"/>
      <c r="H11" s="246"/>
      <c r="I11" s="334"/>
      <c r="J11" s="257"/>
      <c r="K11" s="314"/>
      <c r="L11" s="246"/>
      <c r="M11" s="334"/>
      <c r="N11" s="257"/>
      <c r="O11" s="257"/>
      <c r="P11" s="280"/>
      <c r="Q11" s="280"/>
      <c r="R11" s="280"/>
      <c r="S11" s="239"/>
      <c r="T11" s="239"/>
    </row>
    <row r="12" spans="1:20" ht="15">
      <c r="A12" s="284">
        <v>5</v>
      </c>
      <c r="C12" s="239" t="s">
        <v>412</v>
      </c>
      <c r="D12" s="246"/>
      <c r="E12" s="334"/>
      <c r="F12" s="257"/>
      <c r="G12" s="314"/>
      <c r="H12" s="246"/>
      <c r="I12" s="334"/>
      <c r="J12" s="257"/>
      <c r="K12" s="314"/>
      <c r="L12" s="246"/>
      <c r="M12" s="334"/>
      <c r="N12" s="257"/>
      <c r="O12" s="257"/>
      <c r="P12" s="280"/>
      <c r="Q12" s="280"/>
      <c r="R12" s="280"/>
      <c r="S12" s="239"/>
      <c r="T12" s="239"/>
    </row>
    <row r="13" spans="1:20" ht="15">
      <c r="A13" s="284">
        <v>6</v>
      </c>
      <c r="C13" s="239" t="s">
        <v>416</v>
      </c>
      <c r="D13" s="246"/>
      <c r="E13" s="334"/>
      <c r="F13" s="257"/>
      <c r="G13" s="314"/>
      <c r="H13" s="246"/>
      <c r="I13" s="334"/>
      <c r="J13" s="257"/>
      <c r="K13" s="314"/>
      <c r="L13" s="246"/>
      <c r="M13" s="334"/>
      <c r="N13" s="257"/>
      <c r="O13" s="257"/>
      <c r="P13" s="280"/>
      <c r="Q13" s="280"/>
      <c r="R13" s="280"/>
      <c r="S13" s="239"/>
      <c r="T13" s="239"/>
    </row>
    <row r="14" spans="1:20" ht="15">
      <c r="A14" s="284">
        <v>7</v>
      </c>
      <c r="C14" s="239" t="s">
        <v>415</v>
      </c>
      <c r="D14" s="246"/>
      <c r="E14" s="334"/>
      <c r="F14" s="257"/>
      <c r="G14" s="314"/>
      <c r="H14" s="246"/>
      <c r="I14" s="334"/>
      <c r="J14" s="257"/>
      <c r="K14" s="314"/>
      <c r="L14" s="246"/>
      <c r="M14" s="334"/>
      <c r="N14" s="257"/>
      <c r="O14" s="257"/>
      <c r="P14" s="280"/>
      <c r="Q14" s="280"/>
      <c r="R14" s="280"/>
      <c r="S14" s="239"/>
      <c r="T14" s="239"/>
    </row>
    <row r="15" spans="1:20" ht="15">
      <c r="A15" s="284">
        <v>8</v>
      </c>
      <c r="C15" s="239" t="s">
        <v>400</v>
      </c>
      <c r="D15" s="246"/>
      <c r="E15" s="334"/>
      <c r="F15" s="257"/>
      <c r="G15" s="314"/>
      <c r="H15" s="246"/>
      <c r="I15" s="334"/>
      <c r="J15" s="257"/>
      <c r="K15" s="314"/>
      <c r="L15" s="246"/>
      <c r="M15" s="334"/>
      <c r="N15" s="257"/>
      <c r="O15" s="257"/>
      <c r="P15" s="280"/>
      <c r="Q15" s="280"/>
      <c r="R15" s="280"/>
      <c r="S15" s="239"/>
      <c r="T15" s="239"/>
    </row>
    <row r="16" spans="1:20" ht="15">
      <c r="A16" s="284">
        <v>9</v>
      </c>
      <c r="C16" s="239" t="s">
        <v>411</v>
      </c>
      <c r="D16" s="246"/>
      <c r="E16" s="334"/>
      <c r="F16" s="257"/>
      <c r="G16" s="314"/>
      <c r="H16" s="246"/>
      <c r="I16" s="334"/>
      <c r="J16" s="257"/>
      <c r="K16" s="314"/>
      <c r="L16" s="246"/>
      <c r="M16" s="334"/>
      <c r="N16" s="257"/>
      <c r="O16" s="257"/>
      <c r="P16" s="280"/>
      <c r="Q16" s="280"/>
      <c r="R16" s="280"/>
      <c r="S16" s="239"/>
      <c r="T16" s="239"/>
    </row>
    <row r="17" spans="1:20" ht="15">
      <c r="A17" s="284">
        <v>10</v>
      </c>
      <c r="C17" s="239" t="s">
        <v>414</v>
      </c>
      <c r="D17" s="246"/>
      <c r="E17" s="334"/>
      <c r="F17" s="257"/>
      <c r="G17" s="314"/>
      <c r="H17" s="246"/>
      <c r="I17" s="334"/>
      <c r="J17" s="257"/>
      <c r="K17" s="314"/>
      <c r="L17" s="246"/>
      <c r="M17" s="334"/>
      <c r="N17" s="257"/>
      <c r="O17" s="257"/>
      <c r="P17" s="280"/>
      <c r="Q17" s="280"/>
      <c r="R17" s="280"/>
      <c r="S17" s="239"/>
      <c r="T17" s="239"/>
    </row>
    <row r="18" spans="1:20" ht="15">
      <c r="A18" s="284">
        <v>11</v>
      </c>
      <c r="C18" s="239" t="s">
        <v>397</v>
      </c>
      <c r="D18" s="246"/>
      <c r="E18" s="283"/>
      <c r="F18" s="257"/>
      <c r="G18" s="314"/>
      <c r="H18" s="246"/>
      <c r="I18" s="283"/>
      <c r="J18" s="257"/>
      <c r="K18" s="314"/>
      <c r="L18" s="246"/>
      <c r="M18" s="283"/>
      <c r="N18" s="257"/>
      <c r="O18" s="257"/>
      <c r="P18" s="280"/>
      <c r="Q18" s="280"/>
      <c r="R18" s="280"/>
      <c r="S18" s="239"/>
      <c r="T18" s="239"/>
    </row>
    <row r="19" spans="1:20" ht="15">
      <c r="A19" s="284">
        <v>12</v>
      </c>
      <c r="C19" s="239" t="s">
        <v>396</v>
      </c>
      <c r="D19" s="246"/>
      <c r="E19" s="283"/>
      <c r="F19" s="257"/>
      <c r="G19" s="314"/>
      <c r="H19" s="246"/>
      <c r="I19" s="283"/>
      <c r="J19" s="257"/>
      <c r="K19" s="314"/>
      <c r="L19" s="246"/>
      <c r="M19" s="283"/>
      <c r="N19" s="257"/>
      <c r="O19" s="257"/>
      <c r="P19" s="280"/>
      <c r="Q19" s="280"/>
      <c r="R19" s="280"/>
      <c r="S19" s="239"/>
      <c r="T19" s="239"/>
    </row>
    <row r="20" spans="1:20" ht="15">
      <c r="A20" s="284">
        <v>13</v>
      </c>
      <c r="C20" s="239" t="s">
        <v>413</v>
      </c>
      <c r="D20" s="330"/>
      <c r="E20" s="283"/>
      <c r="F20" s="296"/>
      <c r="G20" s="484"/>
      <c r="H20" s="330"/>
      <c r="I20" s="283"/>
      <c r="J20" s="296"/>
      <c r="K20" s="484"/>
      <c r="L20" s="330"/>
      <c r="M20" s="283"/>
      <c r="N20" s="296"/>
      <c r="O20" s="244"/>
      <c r="P20" s="280"/>
      <c r="Q20" s="280"/>
      <c r="R20" s="280"/>
      <c r="S20" s="239"/>
      <c r="T20" s="239"/>
    </row>
    <row r="21" spans="1:20" ht="15">
      <c r="A21" s="284">
        <v>14</v>
      </c>
      <c r="B21" s="239"/>
      <c r="C21" s="239"/>
      <c r="D21" s="246"/>
      <c r="E21" s="334"/>
      <c r="F21" s="257"/>
      <c r="G21" s="314"/>
      <c r="H21" s="246"/>
      <c r="I21" s="334"/>
      <c r="J21" s="257"/>
      <c r="K21" s="314"/>
      <c r="L21" s="246"/>
      <c r="M21" s="334"/>
      <c r="N21" s="257"/>
      <c r="O21" s="257"/>
      <c r="P21" s="280"/>
      <c r="Q21" s="280"/>
      <c r="R21" s="280"/>
      <c r="S21" s="239"/>
      <c r="T21" s="239"/>
    </row>
    <row r="22" spans="1:20" ht="15.75">
      <c r="A22" s="284">
        <v>15</v>
      </c>
      <c r="B22" s="237" t="s">
        <v>404</v>
      </c>
      <c r="C22" s="239"/>
      <c r="D22" s="246">
        <v>151259</v>
      </c>
      <c r="E22" s="283"/>
      <c r="F22" s="259">
        <v>247561.37</v>
      </c>
      <c r="G22" s="333"/>
      <c r="H22" s="246">
        <v>260010</v>
      </c>
      <c r="I22" s="283"/>
      <c r="J22" s="259">
        <v>414164.16</v>
      </c>
      <c r="K22" s="333"/>
      <c r="L22" s="246">
        <v>1619555</v>
      </c>
      <c r="M22" s="283"/>
      <c r="N22" s="259">
        <v>2239356.96</v>
      </c>
      <c r="O22" s="259"/>
      <c r="P22" s="280"/>
      <c r="Q22" s="280"/>
      <c r="R22" s="280"/>
      <c r="S22" s="239"/>
      <c r="T22" s="239"/>
    </row>
    <row r="23" spans="1:20" ht="15.75">
      <c r="A23" s="284">
        <v>16</v>
      </c>
      <c r="B23" s="237"/>
      <c r="C23" s="239"/>
      <c r="D23" s="246"/>
      <c r="E23" s="313"/>
      <c r="F23" s="246"/>
      <c r="G23" s="313"/>
      <c r="H23" s="246"/>
      <c r="I23" s="313"/>
      <c r="J23" s="246"/>
      <c r="K23" s="313"/>
      <c r="L23" s="246"/>
      <c r="M23" s="313"/>
      <c r="N23" s="246"/>
      <c r="O23" s="246"/>
      <c r="P23" s="280"/>
      <c r="Q23" s="280"/>
      <c r="R23" s="280"/>
      <c r="S23" s="239"/>
      <c r="T23" s="239"/>
    </row>
    <row r="24" spans="1:20" ht="15">
      <c r="A24" s="284">
        <v>17</v>
      </c>
      <c r="B24" s="239"/>
      <c r="C24" s="239"/>
      <c r="D24" s="246"/>
      <c r="E24" s="283"/>
      <c r="F24" s="257"/>
      <c r="G24" s="314"/>
      <c r="H24" s="246"/>
      <c r="I24" s="283"/>
      <c r="J24" s="257"/>
      <c r="K24" s="283"/>
      <c r="L24" s="246"/>
      <c r="M24" s="283"/>
      <c r="N24" s="257"/>
      <c r="O24" s="239"/>
      <c r="P24" s="280"/>
      <c r="Q24" s="280"/>
      <c r="R24" s="280"/>
      <c r="S24" s="239"/>
      <c r="T24" s="239"/>
    </row>
    <row r="25" spans="1:20" ht="15.75">
      <c r="A25" s="284">
        <v>18</v>
      </c>
      <c r="B25" s="237" t="s">
        <v>403</v>
      </c>
      <c r="C25" s="239"/>
      <c r="D25" s="239"/>
      <c r="E25" s="283"/>
      <c r="F25" s="239"/>
      <c r="G25" s="283"/>
      <c r="H25" s="239"/>
      <c r="I25" s="283"/>
      <c r="J25" s="239"/>
      <c r="K25" s="283"/>
      <c r="L25" s="239"/>
      <c r="M25" s="283"/>
      <c r="N25" s="239"/>
      <c r="O25" s="239"/>
      <c r="P25" s="280"/>
      <c r="Q25" s="280"/>
      <c r="R25" s="280"/>
      <c r="S25" s="239"/>
      <c r="T25" s="239"/>
    </row>
    <row r="26" spans="1:20" ht="15">
      <c r="A26" s="284">
        <v>19</v>
      </c>
      <c r="C26" s="239" t="s">
        <v>529</v>
      </c>
      <c r="D26" s="246"/>
      <c r="E26" s="334"/>
      <c r="F26" s="257"/>
      <c r="G26" s="314"/>
      <c r="H26" s="246"/>
      <c r="I26" s="334"/>
      <c r="J26" s="257"/>
      <c r="K26" s="314"/>
      <c r="L26" s="246"/>
      <c r="M26" s="334"/>
      <c r="N26" s="257"/>
      <c r="O26" s="257"/>
      <c r="P26" s="280"/>
      <c r="Q26" s="280"/>
      <c r="R26" s="280"/>
      <c r="S26" s="239"/>
      <c r="T26" s="239"/>
    </row>
    <row r="27" spans="1:20" ht="15">
      <c r="A27" s="284">
        <v>20</v>
      </c>
      <c r="C27" s="239" t="s">
        <v>400</v>
      </c>
      <c r="D27" s="246"/>
      <c r="E27" s="334"/>
      <c r="F27" s="257"/>
      <c r="G27" s="283"/>
      <c r="H27" s="246"/>
      <c r="I27" s="334"/>
      <c r="J27" s="257"/>
      <c r="K27" s="283"/>
      <c r="L27" s="246"/>
      <c r="M27" s="334"/>
      <c r="N27" s="257"/>
      <c r="O27" s="239"/>
      <c r="P27" s="280"/>
      <c r="Q27" s="280"/>
      <c r="R27" s="280"/>
      <c r="S27" s="239"/>
      <c r="T27" s="239"/>
    </row>
    <row r="28" spans="1:20" ht="15">
      <c r="A28" s="284">
        <v>21</v>
      </c>
      <c r="C28" s="239" t="s">
        <v>412</v>
      </c>
      <c r="D28" s="246"/>
      <c r="E28" s="334"/>
      <c r="F28" s="257"/>
      <c r="G28" s="314"/>
      <c r="H28" s="246"/>
      <c r="I28" s="334"/>
      <c r="J28" s="257"/>
      <c r="K28" s="314"/>
      <c r="L28" s="246"/>
      <c r="M28" s="334"/>
      <c r="N28" s="257"/>
      <c r="O28" s="257"/>
      <c r="P28" s="280"/>
      <c r="Q28" s="280"/>
      <c r="R28" s="280"/>
      <c r="S28" s="239"/>
      <c r="T28" s="239"/>
    </row>
    <row r="29" spans="1:20" ht="15">
      <c r="A29" s="284">
        <v>22</v>
      </c>
      <c r="C29" s="239" t="s">
        <v>397</v>
      </c>
      <c r="D29" s="246"/>
      <c r="E29" s="334"/>
      <c r="F29" s="257"/>
      <c r="G29" s="314"/>
      <c r="H29" s="246"/>
      <c r="I29" s="334"/>
      <c r="J29" s="257"/>
      <c r="K29" s="314"/>
      <c r="L29" s="246"/>
      <c r="M29" s="334"/>
      <c r="N29" s="257"/>
      <c r="O29" s="257"/>
      <c r="P29" s="280"/>
      <c r="Q29" s="280"/>
      <c r="R29" s="280"/>
      <c r="S29" s="239"/>
      <c r="T29" s="239"/>
    </row>
    <row r="30" spans="1:20" ht="15">
      <c r="A30" s="284">
        <v>23</v>
      </c>
      <c r="C30" s="239" t="s">
        <v>396</v>
      </c>
      <c r="D30" s="239"/>
      <c r="E30" s="283"/>
      <c r="F30" s="257"/>
      <c r="G30" s="314"/>
      <c r="H30" s="239"/>
      <c r="I30" s="283"/>
      <c r="J30" s="257"/>
      <c r="K30" s="314"/>
      <c r="L30" s="239"/>
      <c r="M30" s="283"/>
      <c r="N30" s="257"/>
      <c r="O30" s="257"/>
      <c r="P30" s="280"/>
      <c r="Q30" s="280"/>
      <c r="R30" s="280"/>
      <c r="S30" s="239"/>
      <c r="T30" s="239"/>
    </row>
    <row r="31" spans="1:20" ht="15">
      <c r="A31" s="284">
        <v>24</v>
      </c>
      <c r="C31" s="239" t="s">
        <v>409</v>
      </c>
      <c r="D31" s="330"/>
      <c r="E31" s="283"/>
      <c r="F31" s="296"/>
      <c r="G31" s="283"/>
      <c r="H31" s="330"/>
      <c r="I31" s="283"/>
      <c r="J31" s="296"/>
      <c r="K31" s="283"/>
      <c r="L31" s="330"/>
      <c r="M31" s="283"/>
      <c r="N31" s="296"/>
      <c r="O31" s="239"/>
      <c r="P31" s="280"/>
      <c r="Q31" s="280"/>
      <c r="R31" s="280"/>
      <c r="S31" s="239"/>
      <c r="T31" s="239"/>
    </row>
    <row r="32" spans="1:20" ht="15">
      <c r="A32" s="284">
        <v>25</v>
      </c>
      <c r="B32" s="239"/>
      <c r="C32" s="239"/>
      <c r="D32" s="246"/>
      <c r="E32" s="334"/>
      <c r="F32" s="257"/>
      <c r="G32" s="314"/>
      <c r="H32" s="246"/>
      <c r="I32" s="334"/>
      <c r="J32" s="257"/>
      <c r="K32" s="314"/>
      <c r="L32" s="246"/>
      <c r="M32" s="334"/>
      <c r="N32" s="257"/>
      <c r="O32" s="257"/>
      <c r="P32" s="280"/>
      <c r="Q32" s="280"/>
      <c r="R32" s="280"/>
      <c r="S32" s="239"/>
      <c r="T32" s="239"/>
    </row>
    <row r="33" spans="1:20" ht="15.75">
      <c r="A33" s="284">
        <v>26</v>
      </c>
      <c r="B33" s="237" t="s">
        <v>114</v>
      </c>
      <c r="C33" s="239"/>
      <c r="D33" s="246">
        <v>69366</v>
      </c>
      <c r="E33" s="283"/>
      <c r="F33" s="259">
        <v>138058.55000000005</v>
      </c>
      <c r="G33" s="313"/>
      <c r="H33" s="246">
        <v>73862</v>
      </c>
      <c r="I33" s="283"/>
      <c r="J33" s="259">
        <v>140335.27000000002</v>
      </c>
      <c r="K33" s="333"/>
      <c r="L33" s="246">
        <v>242736</v>
      </c>
      <c r="M33" s="283"/>
      <c r="N33" s="259">
        <v>402068.15</v>
      </c>
      <c r="O33" s="259"/>
      <c r="P33" s="280"/>
      <c r="Q33" s="280"/>
      <c r="R33" s="280"/>
      <c r="S33" s="239"/>
    </row>
    <row r="34" spans="1:20" ht="15.75">
      <c r="A34" s="284">
        <v>27</v>
      </c>
      <c r="B34" s="237"/>
      <c r="C34" s="239"/>
      <c r="D34" s="246"/>
      <c r="E34" s="283"/>
      <c r="F34" s="239"/>
      <c r="G34" s="283"/>
      <c r="H34" s="246"/>
      <c r="I34" s="283"/>
      <c r="J34" s="239"/>
      <c r="K34" s="283"/>
      <c r="L34" s="246"/>
      <c r="M34" s="283"/>
      <c r="N34" s="239"/>
      <c r="O34" s="239"/>
      <c r="P34" s="280"/>
      <c r="Q34" s="280"/>
      <c r="R34" s="280"/>
      <c r="S34" s="239"/>
    </row>
    <row r="35" spans="1:20" ht="15.75">
      <c r="A35" s="284">
        <v>28</v>
      </c>
      <c r="B35" s="237"/>
      <c r="C35" s="239"/>
      <c r="D35" s="257"/>
      <c r="E35" s="314"/>
      <c r="F35" s="239"/>
      <c r="G35" s="283"/>
      <c r="H35" s="257"/>
      <c r="I35" s="314"/>
      <c r="J35" s="239"/>
      <c r="K35" s="283"/>
      <c r="L35" s="257"/>
      <c r="M35" s="314"/>
      <c r="N35" s="239"/>
      <c r="O35" s="239"/>
      <c r="P35" s="280"/>
      <c r="Q35" s="280"/>
      <c r="R35" s="280"/>
      <c r="S35" s="239"/>
    </row>
    <row r="36" spans="1:20" ht="15.75">
      <c r="A36" s="284">
        <v>29</v>
      </c>
      <c r="B36" s="237" t="s">
        <v>227</v>
      </c>
      <c r="C36" s="239"/>
      <c r="D36" s="239"/>
      <c r="E36" s="283"/>
      <c r="F36" s="239"/>
      <c r="G36" s="283"/>
      <c r="H36" s="239"/>
      <c r="I36" s="283"/>
      <c r="J36" s="239"/>
      <c r="K36" s="283"/>
      <c r="L36" s="239"/>
      <c r="M36" s="283"/>
      <c r="N36" s="239"/>
      <c r="O36" s="239"/>
      <c r="P36" s="280"/>
      <c r="Q36" s="280"/>
      <c r="R36" s="280"/>
      <c r="S36" s="239"/>
      <c r="T36" s="239"/>
    </row>
    <row r="37" spans="1:20" ht="15">
      <c r="A37" s="284">
        <v>30</v>
      </c>
      <c r="C37" s="239" t="s">
        <v>400</v>
      </c>
      <c r="D37" s="246"/>
      <c r="E37" s="334"/>
      <c r="F37" s="257"/>
      <c r="G37" s="314"/>
      <c r="H37" s="246"/>
      <c r="I37" s="334"/>
      <c r="J37" s="257"/>
      <c r="K37" s="314"/>
      <c r="L37" s="246"/>
      <c r="M37" s="334"/>
      <c r="N37" s="257"/>
      <c r="O37" s="257"/>
      <c r="P37" s="280"/>
      <c r="Q37" s="280"/>
      <c r="R37" s="280"/>
      <c r="S37" s="239"/>
      <c r="T37" s="239"/>
    </row>
    <row r="38" spans="1:20" ht="15">
      <c r="A38" s="284">
        <v>31</v>
      </c>
      <c r="C38" s="239" t="s">
        <v>411</v>
      </c>
      <c r="D38" s="246"/>
      <c r="E38" s="334"/>
      <c r="F38" s="257"/>
      <c r="G38" s="314"/>
      <c r="H38" s="246"/>
      <c r="I38" s="334"/>
      <c r="J38" s="257"/>
      <c r="K38" s="314"/>
      <c r="L38" s="246"/>
      <c r="M38" s="334"/>
      <c r="N38" s="257"/>
      <c r="O38" s="257"/>
      <c r="P38" s="280"/>
      <c r="Q38" s="280"/>
      <c r="R38" s="280"/>
      <c r="S38" s="239"/>
      <c r="T38" s="239"/>
    </row>
    <row r="39" spans="1:20" ht="15">
      <c r="A39" s="284">
        <v>32</v>
      </c>
      <c r="C39" s="239" t="s">
        <v>397</v>
      </c>
      <c r="D39" s="246"/>
      <c r="E39" s="334"/>
      <c r="F39" s="257"/>
      <c r="G39" s="314"/>
      <c r="H39" s="246"/>
      <c r="I39" s="334"/>
      <c r="J39" s="257"/>
      <c r="K39" s="314"/>
      <c r="L39" s="246"/>
      <c r="M39" s="334"/>
      <c r="N39" s="257"/>
      <c r="O39" s="257"/>
      <c r="P39" s="280"/>
      <c r="Q39" s="280"/>
      <c r="R39" s="280"/>
      <c r="S39" s="239"/>
      <c r="T39" s="239"/>
    </row>
    <row r="40" spans="1:20" ht="15">
      <c r="A40" s="284">
        <v>33</v>
      </c>
      <c r="C40" s="239" t="s">
        <v>396</v>
      </c>
      <c r="D40" s="239"/>
      <c r="E40" s="283"/>
      <c r="F40" s="257"/>
      <c r="G40" s="314"/>
      <c r="H40" s="239"/>
      <c r="I40" s="283"/>
      <c r="J40" s="257"/>
      <c r="K40" s="314"/>
      <c r="L40" s="239"/>
      <c r="M40" s="283"/>
      <c r="N40" s="257"/>
      <c r="O40" s="257"/>
      <c r="P40" s="280"/>
      <c r="Q40" s="280"/>
      <c r="R40" s="280"/>
      <c r="S40" s="239"/>
      <c r="T40" s="239"/>
    </row>
    <row r="41" spans="1:20" ht="15">
      <c r="A41" s="284">
        <v>34</v>
      </c>
      <c r="C41" s="239" t="s">
        <v>409</v>
      </c>
      <c r="D41" s="330"/>
      <c r="E41" s="283"/>
      <c r="F41" s="296"/>
      <c r="G41" s="283"/>
      <c r="H41" s="330"/>
      <c r="I41" s="283"/>
      <c r="J41" s="296"/>
      <c r="K41" s="283"/>
      <c r="L41" s="330"/>
      <c r="M41" s="283"/>
      <c r="N41" s="296"/>
      <c r="O41" s="239"/>
      <c r="P41" s="280"/>
      <c r="Q41" s="280"/>
      <c r="R41" s="280"/>
      <c r="S41" s="239"/>
      <c r="T41" s="239"/>
    </row>
    <row r="42" spans="1:20" ht="15">
      <c r="A42" s="284">
        <v>35</v>
      </c>
      <c r="B42" s="239"/>
      <c r="C42" s="239"/>
      <c r="D42" s="246"/>
      <c r="E42" s="334"/>
      <c r="F42" s="257"/>
      <c r="G42" s="314"/>
      <c r="H42" s="246"/>
      <c r="I42" s="334"/>
      <c r="J42" s="257"/>
      <c r="K42" s="314"/>
      <c r="L42" s="246"/>
      <c r="M42" s="334"/>
      <c r="N42" s="257"/>
      <c r="O42" s="257"/>
      <c r="P42" s="280"/>
      <c r="Q42" s="280"/>
      <c r="R42" s="280"/>
      <c r="S42" s="239"/>
      <c r="T42" s="239"/>
    </row>
    <row r="43" spans="1:20" ht="15.75">
      <c r="A43" s="284">
        <v>36</v>
      </c>
      <c r="B43" s="237" t="s">
        <v>114</v>
      </c>
      <c r="C43" s="239"/>
      <c r="D43" s="246">
        <v>-9</v>
      </c>
      <c r="E43" s="283"/>
      <c r="F43" s="259">
        <v>-15.42</v>
      </c>
      <c r="G43" s="313"/>
      <c r="H43" s="246">
        <v>-92</v>
      </c>
      <c r="I43" s="283"/>
      <c r="J43" s="259">
        <v>-138.62</v>
      </c>
      <c r="K43" s="333"/>
      <c r="L43" s="246">
        <v>11</v>
      </c>
      <c r="M43" s="283"/>
      <c r="N43" s="259">
        <v>19.18</v>
      </c>
      <c r="O43" s="259"/>
      <c r="P43" s="280"/>
      <c r="Q43" s="280"/>
      <c r="R43" s="280"/>
      <c r="S43" s="239"/>
    </row>
    <row r="44" spans="1:20" ht="15.75">
      <c r="A44" s="284">
        <v>37</v>
      </c>
      <c r="B44" s="237"/>
      <c r="C44" s="239"/>
      <c r="D44" s="246"/>
      <c r="E44" s="283"/>
      <c r="F44" s="239"/>
      <c r="G44" s="283"/>
      <c r="H44" s="246"/>
      <c r="I44" s="283"/>
      <c r="J44" s="239"/>
      <c r="K44" s="283"/>
      <c r="L44" s="246"/>
      <c r="M44" s="283"/>
      <c r="N44" s="239"/>
      <c r="O44" s="239"/>
      <c r="P44" s="280"/>
      <c r="Q44" s="280"/>
      <c r="R44" s="280"/>
      <c r="S44" s="239"/>
    </row>
    <row r="45" spans="1:20" ht="15.75">
      <c r="A45" s="284">
        <v>38</v>
      </c>
      <c r="B45" s="237"/>
      <c r="C45" s="239"/>
      <c r="D45" s="257"/>
      <c r="E45" s="314"/>
      <c r="F45" s="239"/>
      <c r="G45" s="283"/>
      <c r="H45" s="257"/>
      <c r="I45" s="314"/>
      <c r="J45" s="239"/>
      <c r="K45" s="283"/>
      <c r="L45" s="257"/>
      <c r="M45" s="314"/>
      <c r="N45" s="239"/>
      <c r="O45" s="239"/>
      <c r="P45" s="280"/>
      <c r="Q45" s="280"/>
      <c r="R45" s="280"/>
      <c r="S45" s="239"/>
    </row>
    <row r="46" spans="1:20" ht="15.75">
      <c r="A46" s="284">
        <v>39</v>
      </c>
      <c r="B46" s="237" t="s">
        <v>402</v>
      </c>
      <c r="C46" s="239"/>
      <c r="D46" s="239"/>
      <c r="E46" s="283"/>
      <c r="F46" s="239"/>
      <c r="G46" s="283"/>
      <c r="H46" s="239"/>
      <c r="I46" s="283"/>
      <c r="J46" s="239"/>
      <c r="K46" s="283"/>
      <c r="L46" s="239"/>
      <c r="M46" s="283"/>
      <c r="N46" s="239"/>
      <c r="O46" s="239"/>
      <c r="P46" s="280"/>
      <c r="Q46" s="280"/>
      <c r="R46" s="280"/>
      <c r="S46" s="239"/>
      <c r="T46" s="239"/>
    </row>
    <row r="47" spans="1:20" ht="15">
      <c r="A47" s="284">
        <v>40</v>
      </c>
      <c r="C47" s="239" t="s">
        <v>400</v>
      </c>
      <c r="D47" s="246"/>
      <c r="E47" s="334"/>
      <c r="F47" s="257"/>
      <c r="G47" s="314"/>
      <c r="H47" s="246"/>
      <c r="I47" s="334"/>
      <c r="J47" s="257"/>
      <c r="K47" s="314"/>
      <c r="L47" s="246"/>
      <c r="M47" s="334"/>
      <c r="N47" s="257"/>
      <c r="O47" s="257"/>
      <c r="P47" s="280"/>
      <c r="Q47" s="280"/>
      <c r="R47" s="280"/>
      <c r="S47" s="239"/>
      <c r="T47" s="239"/>
    </row>
    <row r="48" spans="1:20" ht="15">
      <c r="A48" s="284">
        <v>41</v>
      </c>
      <c r="C48" s="239" t="s">
        <v>410</v>
      </c>
      <c r="D48" s="246"/>
      <c r="E48" s="334"/>
      <c r="F48" s="257"/>
      <c r="G48" s="314"/>
      <c r="H48" s="246"/>
      <c r="I48" s="334"/>
      <c r="J48" s="257"/>
      <c r="K48" s="314"/>
      <c r="L48" s="246"/>
      <c r="M48" s="334"/>
      <c r="N48" s="257"/>
      <c r="O48" s="257"/>
      <c r="P48" s="280"/>
      <c r="Q48" s="280"/>
      <c r="R48" s="280"/>
      <c r="S48" s="239"/>
      <c r="T48" s="239"/>
    </row>
    <row r="49" spans="1:20" ht="15">
      <c r="A49" s="284">
        <v>42</v>
      </c>
      <c r="C49" s="239" t="s">
        <v>398</v>
      </c>
      <c r="D49" s="246"/>
      <c r="E49" s="334"/>
      <c r="F49" s="257"/>
      <c r="G49" s="314"/>
      <c r="H49" s="246"/>
      <c r="I49" s="334"/>
      <c r="J49" s="257"/>
      <c r="K49" s="314"/>
      <c r="L49" s="246"/>
      <c r="M49" s="334"/>
      <c r="N49" s="257"/>
      <c r="O49" s="257"/>
      <c r="P49" s="280"/>
      <c r="Q49" s="280"/>
      <c r="R49" s="280"/>
      <c r="S49" s="239"/>
      <c r="T49" s="239"/>
    </row>
    <row r="50" spans="1:20" ht="15">
      <c r="A50" s="284">
        <v>43</v>
      </c>
      <c r="C50" s="239" t="s">
        <v>397</v>
      </c>
      <c r="D50" s="246"/>
      <c r="E50" s="334"/>
      <c r="F50" s="257"/>
      <c r="G50" s="314"/>
      <c r="H50" s="246"/>
      <c r="I50" s="334"/>
      <c r="J50" s="257"/>
      <c r="K50" s="314"/>
      <c r="L50" s="246"/>
      <c r="M50" s="334"/>
      <c r="N50" s="257"/>
      <c r="O50" s="257"/>
      <c r="P50" s="280"/>
      <c r="Q50" s="280"/>
      <c r="R50" s="280"/>
      <c r="S50" s="239"/>
      <c r="T50" s="239"/>
    </row>
    <row r="51" spans="1:20" ht="15">
      <c r="A51" s="284">
        <v>44</v>
      </c>
      <c r="C51" s="239" t="s">
        <v>396</v>
      </c>
      <c r="D51" s="239"/>
      <c r="E51" s="283"/>
      <c r="F51" s="257"/>
      <c r="G51" s="314"/>
      <c r="H51" s="239"/>
      <c r="I51" s="283"/>
      <c r="J51" s="257"/>
      <c r="K51" s="314"/>
      <c r="L51" s="239"/>
      <c r="M51" s="283"/>
      <c r="N51" s="257"/>
      <c r="O51" s="257"/>
      <c r="P51" s="280"/>
      <c r="Q51" s="280"/>
      <c r="R51" s="280"/>
      <c r="S51" s="239"/>
      <c r="T51" s="239"/>
    </row>
    <row r="52" spans="1:20" ht="15">
      <c r="A52" s="284">
        <v>45</v>
      </c>
      <c r="C52" s="239" t="s">
        <v>409</v>
      </c>
      <c r="D52" s="330"/>
      <c r="E52" s="283"/>
      <c r="F52" s="296"/>
      <c r="G52" s="283"/>
      <c r="H52" s="330"/>
      <c r="I52" s="283"/>
      <c r="J52" s="296"/>
      <c r="K52" s="283"/>
      <c r="L52" s="330"/>
      <c r="M52" s="283"/>
      <c r="N52" s="296"/>
      <c r="O52" s="239"/>
      <c r="P52" s="280"/>
      <c r="Q52" s="280"/>
      <c r="R52" s="280"/>
      <c r="S52" s="239"/>
      <c r="T52" s="239"/>
    </row>
    <row r="53" spans="1:20" ht="15">
      <c r="A53" s="284">
        <v>46</v>
      </c>
      <c r="B53" s="239"/>
      <c r="C53" s="239"/>
      <c r="D53" s="246"/>
      <c r="E53" s="334"/>
      <c r="F53" s="257"/>
      <c r="G53" s="314"/>
      <c r="H53" s="246"/>
      <c r="I53" s="334"/>
      <c r="J53" s="257"/>
      <c r="K53" s="314"/>
      <c r="L53" s="246"/>
      <c r="M53" s="334"/>
      <c r="N53" s="257"/>
      <c r="O53" s="257"/>
      <c r="P53" s="280"/>
      <c r="Q53" s="280"/>
      <c r="R53" s="280"/>
      <c r="S53" s="239"/>
      <c r="T53" s="239"/>
    </row>
    <row r="54" spans="1:20" ht="15.75">
      <c r="A54" s="284">
        <v>47</v>
      </c>
      <c r="B54" s="237" t="s">
        <v>114</v>
      </c>
      <c r="C54" s="239"/>
      <c r="D54" s="246">
        <v>295</v>
      </c>
      <c r="E54" s="283"/>
      <c r="F54" s="259">
        <v>570.91</v>
      </c>
      <c r="G54" s="313"/>
      <c r="H54" s="246">
        <v>145</v>
      </c>
      <c r="I54" s="283"/>
      <c r="J54" s="259">
        <v>264.29000000000002</v>
      </c>
      <c r="K54" s="333"/>
      <c r="L54" s="246">
        <v>143</v>
      </c>
      <c r="M54" s="283"/>
      <c r="N54" s="259">
        <v>248.2</v>
      </c>
      <c r="O54" s="259"/>
      <c r="P54" s="280"/>
      <c r="Q54" s="280"/>
      <c r="R54" s="280"/>
      <c r="S54" s="239"/>
    </row>
    <row r="55" spans="1:20" ht="15.75">
      <c r="A55" s="284">
        <v>48</v>
      </c>
      <c r="B55" s="237"/>
      <c r="C55" s="239"/>
      <c r="D55" s="246"/>
      <c r="E55" s="283"/>
      <c r="F55" s="239"/>
      <c r="G55" s="283"/>
      <c r="H55" s="246"/>
      <c r="I55" s="283"/>
      <c r="J55" s="239"/>
      <c r="K55" s="283"/>
      <c r="L55" s="246"/>
      <c r="M55" s="283"/>
      <c r="N55" s="239"/>
      <c r="O55" s="239"/>
      <c r="P55" s="280"/>
      <c r="Q55" s="280"/>
      <c r="R55" s="280"/>
      <c r="S55" s="239"/>
    </row>
    <row r="56" spans="1:20" ht="15.75">
      <c r="A56" s="284">
        <v>49</v>
      </c>
      <c r="B56" s="237"/>
      <c r="C56" s="239"/>
      <c r="D56" s="257"/>
      <c r="E56" s="314"/>
      <c r="F56" s="239"/>
      <c r="G56" s="283"/>
      <c r="H56" s="257"/>
      <c r="I56" s="314"/>
      <c r="J56" s="239"/>
      <c r="K56" s="283"/>
      <c r="L56" s="257"/>
      <c r="M56" s="314"/>
      <c r="N56" s="239"/>
      <c r="O56" s="239"/>
      <c r="P56" s="280"/>
      <c r="Q56" s="280"/>
      <c r="R56" s="280"/>
      <c r="S56" s="239"/>
    </row>
    <row r="57" spans="1:20" ht="15.75">
      <c r="A57" s="284">
        <v>50</v>
      </c>
      <c r="B57" s="237" t="s">
        <v>401</v>
      </c>
      <c r="C57" s="239"/>
      <c r="D57" s="257"/>
      <c r="E57" s="314"/>
      <c r="F57" s="239"/>
      <c r="G57" s="283"/>
      <c r="H57" s="257"/>
      <c r="I57" s="314"/>
      <c r="J57" s="239"/>
      <c r="K57" s="283"/>
      <c r="L57" s="257"/>
      <c r="M57" s="314"/>
      <c r="N57" s="239"/>
      <c r="O57" s="239"/>
      <c r="P57" s="280"/>
      <c r="Q57" s="280"/>
      <c r="R57" s="280"/>
      <c r="S57" s="239"/>
    </row>
    <row r="58" spans="1:20" ht="15">
      <c r="A58" s="284">
        <v>51</v>
      </c>
      <c r="C58" s="239" t="s">
        <v>400</v>
      </c>
      <c r="D58" s="257"/>
      <c r="E58" s="314"/>
      <c r="F58" s="239"/>
      <c r="G58" s="283"/>
      <c r="H58" s="257"/>
      <c r="I58" s="314"/>
      <c r="J58" s="239"/>
      <c r="K58" s="283"/>
      <c r="L58" s="257"/>
      <c r="M58" s="314"/>
      <c r="N58" s="239"/>
      <c r="O58" s="239"/>
      <c r="P58" s="280"/>
      <c r="Q58" s="280"/>
      <c r="R58" s="280"/>
      <c r="S58" s="239"/>
    </row>
    <row r="59" spans="1:20" ht="15.75">
      <c r="A59" s="284">
        <v>52</v>
      </c>
      <c r="B59" s="237"/>
      <c r="C59" s="239" t="s">
        <v>399</v>
      </c>
      <c r="D59" s="257"/>
      <c r="E59" s="314"/>
      <c r="F59" s="239"/>
      <c r="G59" s="283"/>
      <c r="H59" s="257"/>
      <c r="I59" s="314"/>
      <c r="J59" s="239"/>
      <c r="K59" s="283"/>
      <c r="L59" s="257"/>
      <c r="M59" s="314"/>
      <c r="N59" s="239"/>
      <c r="O59" s="239"/>
      <c r="P59" s="280"/>
      <c r="Q59" s="280"/>
      <c r="R59" s="280"/>
      <c r="S59" s="239"/>
    </row>
    <row r="60" spans="1:20" ht="15.75">
      <c r="A60" s="284">
        <v>53</v>
      </c>
      <c r="B60" s="237"/>
      <c r="C60" s="239" t="s">
        <v>398</v>
      </c>
      <c r="D60" s="257"/>
      <c r="E60" s="314"/>
      <c r="F60" s="239"/>
      <c r="G60" s="283"/>
      <c r="H60" s="257"/>
      <c r="I60" s="314"/>
      <c r="J60" s="239"/>
      <c r="K60" s="283"/>
      <c r="L60" s="257"/>
      <c r="M60" s="314"/>
      <c r="N60" s="239"/>
      <c r="O60" s="239"/>
      <c r="P60" s="280"/>
      <c r="Q60" s="280"/>
      <c r="R60" s="280"/>
      <c r="S60" s="239"/>
    </row>
    <row r="61" spans="1:20" ht="15.75">
      <c r="A61" s="284">
        <v>54</v>
      </c>
      <c r="B61" s="237"/>
      <c r="C61" s="239" t="s">
        <v>397</v>
      </c>
      <c r="D61" s="257"/>
      <c r="E61" s="314"/>
      <c r="F61" s="239"/>
      <c r="G61" s="283"/>
      <c r="H61" s="257"/>
      <c r="I61" s="314"/>
      <c r="J61" s="239"/>
      <c r="K61" s="283"/>
      <c r="L61" s="257"/>
      <c r="M61" s="314"/>
      <c r="N61" s="239"/>
      <c r="O61" s="239"/>
      <c r="P61" s="280"/>
      <c r="Q61" s="280"/>
      <c r="R61" s="280"/>
      <c r="S61" s="239"/>
    </row>
    <row r="62" spans="1:20" ht="15.75">
      <c r="A62" s="284">
        <v>55</v>
      </c>
      <c r="B62" s="237"/>
      <c r="C62" s="239" t="s">
        <v>396</v>
      </c>
      <c r="D62" s="257"/>
      <c r="E62" s="314"/>
      <c r="F62" s="239"/>
      <c r="G62" s="283"/>
      <c r="H62" s="257"/>
      <c r="I62" s="314"/>
      <c r="J62" s="239"/>
      <c r="K62" s="283"/>
      <c r="L62" s="257"/>
      <c r="M62" s="314"/>
      <c r="N62" s="239"/>
      <c r="O62" s="239"/>
      <c r="P62" s="280"/>
      <c r="Q62" s="280"/>
      <c r="R62" s="280"/>
      <c r="S62" s="239"/>
    </row>
    <row r="63" spans="1:20" ht="15">
      <c r="A63" s="284">
        <v>56</v>
      </c>
      <c r="C63" s="239" t="s">
        <v>409</v>
      </c>
      <c r="D63" s="330"/>
      <c r="E63" s="283"/>
      <c r="F63" s="296"/>
      <c r="G63" s="283"/>
      <c r="H63" s="330"/>
      <c r="I63" s="283"/>
      <c r="J63" s="296"/>
      <c r="K63" s="283"/>
      <c r="L63" s="330"/>
      <c r="M63" s="283"/>
      <c r="N63" s="296"/>
      <c r="O63" s="239"/>
      <c r="P63" s="280"/>
      <c r="Q63" s="280"/>
      <c r="R63" s="280"/>
      <c r="S63" s="239"/>
      <c r="T63" s="239"/>
    </row>
    <row r="64" spans="1:20" ht="15.75">
      <c r="A64" s="284">
        <v>57</v>
      </c>
      <c r="B64" s="237"/>
      <c r="C64" s="239"/>
      <c r="D64" s="257"/>
      <c r="E64" s="314"/>
      <c r="F64" s="239"/>
      <c r="G64" s="283"/>
      <c r="H64" s="257"/>
      <c r="I64" s="314"/>
      <c r="J64" s="239"/>
      <c r="K64" s="283"/>
      <c r="L64" s="257"/>
      <c r="M64" s="314"/>
      <c r="N64" s="239"/>
      <c r="O64" s="239"/>
      <c r="P64" s="280"/>
      <c r="Q64" s="280"/>
      <c r="R64" s="280"/>
      <c r="S64" s="239"/>
    </row>
    <row r="65" spans="1:19" ht="15.75">
      <c r="A65" s="284">
        <v>58</v>
      </c>
      <c r="B65" s="237" t="s">
        <v>114</v>
      </c>
      <c r="C65" s="239"/>
      <c r="D65" s="246">
        <v>0</v>
      </c>
      <c r="E65" s="314"/>
      <c r="F65" s="259">
        <v>-31.81</v>
      </c>
      <c r="G65" s="283"/>
      <c r="H65" s="246">
        <v>0</v>
      </c>
      <c r="I65" s="314"/>
      <c r="J65" s="259">
        <v>-58.41</v>
      </c>
      <c r="K65" s="283"/>
      <c r="L65" s="246">
        <v>0</v>
      </c>
      <c r="M65" s="314"/>
      <c r="N65" s="259">
        <v>-40.799999999999997</v>
      </c>
      <c r="O65" s="239"/>
      <c r="P65" s="280"/>
      <c r="Q65" s="280"/>
      <c r="R65" s="280"/>
      <c r="S65" s="239"/>
    </row>
    <row r="66" spans="1:19" ht="15.75">
      <c r="A66" s="284">
        <v>59</v>
      </c>
      <c r="B66" s="237"/>
      <c r="C66" s="239"/>
      <c r="D66" s="257"/>
      <c r="E66" s="314"/>
      <c r="F66" s="239"/>
      <c r="G66" s="283"/>
      <c r="H66" s="257"/>
      <c r="I66" s="314"/>
      <c r="J66" s="239"/>
      <c r="K66" s="283"/>
      <c r="L66" s="257"/>
      <c r="M66" s="314"/>
      <c r="N66" s="239"/>
      <c r="O66" s="239"/>
      <c r="P66" s="280"/>
      <c r="Q66" s="280"/>
      <c r="R66" s="280"/>
      <c r="S66" s="239"/>
    </row>
    <row r="67" spans="1:19" ht="15.75">
      <c r="A67" s="284">
        <v>60</v>
      </c>
      <c r="B67" s="237"/>
      <c r="C67" s="239"/>
      <c r="D67" s="257"/>
      <c r="E67" s="314"/>
      <c r="F67" s="239"/>
      <c r="G67" s="283"/>
      <c r="H67" s="257"/>
      <c r="I67" s="314"/>
      <c r="J67" s="239"/>
      <c r="K67" s="283"/>
      <c r="L67" s="257"/>
      <c r="M67" s="314"/>
      <c r="N67" s="239"/>
      <c r="O67" s="239"/>
      <c r="P67" s="280"/>
      <c r="Q67" s="280"/>
      <c r="R67" s="280"/>
      <c r="S67" s="239"/>
    </row>
    <row r="68" spans="1:19" ht="15.75">
      <c r="A68" s="284">
        <v>61</v>
      </c>
      <c r="B68" s="274" t="s">
        <v>395</v>
      </c>
      <c r="C68" s="235"/>
      <c r="D68" s="257"/>
      <c r="E68" s="314"/>
      <c r="F68" s="239"/>
      <c r="G68" s="283"/>
      <c r="H68" s="257"/>
      <c r="I68" s="314"/>
      <c r="J68" s="239"/>
      <c r="K68" s="283"/>
      <c r="L68" s="257"/>
      <c r="M68" s="314"/>
      <c r="N68" s="239"/>
      <c r="O68" s="239"/>
      <c r="P68" s="280"/>
      <c r="Q68" s="280"/>
      <c r="R68" s="280"/>
      <c r="S68" s="239"/>
    </row>
    <row r="69" spans="1:19" ht="15">
      <c r="A69" s="284">
        <v>62</v>
      </c>
      <c r="C69" s="239" t="s">
        <v>114</v>
      </c>
      <c r="D69" s="246">
        <f>D22+D33+D43+D54+D65</f>
        <v>220911</v>
      </c>
      <c r="E69" s="283"/>
      <c r="F69" s="259">
        <f>F22+F33+F43+F54+F65</f>
        <v>386143.60000000003</v>
      </c>
      <c r="G69" s="333"/>
      <c r="H69" s="246">
        <f>H22+H33+H43+H54+H65</f>
        <v>333925</v>
      </c>
      <c r="I69" s="283"/>
      <c r="J69" s="259">
        <f>J22+J33+J43+J54+J65</f>
        <v>554566.68999999994</v>
      </c>
      <c r="K69" s="333"/>
      <c r="L69" s="246">
        <f>L22+L33+L43+L54+L65</f>
        <v>1862445</v>
      </c>
      <c r="M69" s="283"/>
      <c r="N69" s="259">
        <f>N22+N33+N43+N54+N65</f>
        <v>2641651.6900000004</v>
      </c>
      <c r="O69" s="259"/>
      <c r="P69" s="280"/>
      <c r="Q69" s="280"/>
      <c r="R69" s="394"/>
      <c r="S69" s="239"/>
    </row>
    <row r="70" spans="1:19" ht="15">
      <c r="A70" s="284">
        <v>63</v>
      </c>
      <c r="C70" s="239"/>
      <c r="D70" s="246"/>
      <c r="E70" s="283"/>
      <c r="F70" s="246"/>
      <c r="G70" s="313"/>
      <c r="H70" s="246"/>
      <c r="I70" s="283"/>
      <c r="J70" s="246"/>
      <c r="K70" s="313"/>
      <c r="L70" s="246"/>
      <c r="M70" s="283"/>
      <c r="N70" s="246"/>
      <c r="O70" s="246"/>
      <c r="P70" s="280"/>
      <c r="Q70" s="280"/>
      <c r="R70" s="280"/>
      <c r="S70" s="239"/>
    </row>
    <row r="71" spans="1:19" ht="15">
      <c r="A71" s="284">
        <v>64</v>
      </c>
      <c r="B71" s="239"/>
      <c r="C71" s="239"/>
      <c r="D71" s="239"/>
      <c r="E71" s="283"/>
      <c r="F71" s="239"/>
      <c r="G71" s="283"/>
      <c r="H71" s="246"/>
      <c r="I71" s="283"/>
      <c r="J71" s="239" t="s">
        <v>394</v>
      </c>
      <c r="K71" s="283"/>
      <c r="L71" s="239"/>
      <c r="M71" s="283"/>
      <c r="N71" s="239"/>
      <c r="O71" s="239"/>
      <c r="P71" s="280"/>
      <c r="Q71" s="280"/>
      <c r="R71" s="280"/>
      <c r="S71" s="239"/>
    </row>
    <row r="72" spans="1:19" ht="15">
      <c r="A72" s="284">
        <v>65</v>
      </c>
      <c r="B72" s="239"/>
      <c r="C72" s="239"/>
      <c r="D72" s="239" t="s">
        <v>393</v>
      </c>
      <c r="E72" s="283"/>
      <c r="F72" s="239"/>
      <c r="G72" s="283"/>
      <c r="H72" s="239"/>
      <c r="I72" s="283"/>
      <c r="J72" s="239"/>
      <c r="K72" s="283"/>
      <c r="L72" s="239"/>
      <c r="M72" s="283"/>
      <c r="N72" s="239"/>
      <c r="O72" s="239"/>
      <c r="P72" s="280"/>
      <c r="Q72" s="280"/>
      <c r="R72" s="280"/>
      <c r="S72" s="239"/>
    </row>
    <row r="73" spans="1:19" ht="15">
      <c r="P73" s="280"/>
      <c r="Q73" s="280"/>
      <c r="R73" s="280"/>
    </row>
    <row r="74" spans="1:19" ht="15">
      <c r="C74" s="239"/>
      <c r="D74" s="246"/>
      <c r="E74" s="334"/>
      <c r="F74" s="257"/>
      <c r="G74" s="314"/>
      <c r="H74" s="246"/>
      <c r="I74" s="334"/>
      <c r="J74" s="257"/>
      <c r="K74" s="314"/>
      <c r="L74" s="246"/>
      <c r="M74" s="334"/>
      <c r="N74" s="257"/>
      <c r="O74" s="257"/>
      <c r="P74" s="280"/>
      <c r="Q74" s="280"/>
      <c r="R74" s="280"/>
      <c r="S74" s="239"/>
    </row>
    <row r="75" spans="1:19" ht="15">
      <c r="C75" s="239"/>
      <c r="D75" s="239"/>
      <c r="E75" s="283"/>
      <c r="F75" s="257"/>
      <c r="G75" s="314"/>
      <c r="H75" s="239"/>
      <c r="I75" s="283"/>
      <c r="J75" s="257"/>
      <c r="K75" s="314"/>
      <c r="L75" s="239"/>
      <c r="M75" s="283"/>
      <c r="N75" s="257"/>
      <c r="O75" s="257"/>
      <c r="P75" s="280"/>
      <c r="Q75" s="280"/>
      <c r="R75" s="280"/>
      <c r="S75" s="239"/>
    </row>
    <row r="76" spans="1:19" ht="15">
      <c r="C76" s="239"/>
      <c r="D76" s="292"/>
      <c r="E76" s="484"/>
      <c r="F76" s="244"/>
      <c r="G76" s="484"/>
      <c r="H76" s="292"/>
      <c r="I76" s="484"/>
      <c r="J76" s="244"/>
      <c r="K76" s="484"/>
      <c r="L76" s="292"/>
      <c r="M76" s="484"/>
      <c r="N76" s="244"/>
      <c r="O76" s="244"/>
      <c r="P76" s="280"/>
      <c r="Q76" s="280"/>
      <c r="R76" s="280"/>
      <c r="S76" s="244"/>
    </row>
    <row r="77" spans="1:19" ht="15">
      <c r="B77" s="239"/>
      <c r="C77" s="239"/>
      <c r="D77" s="292"/>
      <c r="E77" s="536"/>
      <c r="F77" s="324"/>
      <c r="G77" s="386"/>
      <c r="H77" s="292"/>
      <c r="I77" s="536"/>
      <c r="J77" s="324"/>
      <c r="K77" s="386"/>
      <c r="L77" s="292"/>
      <c r="M77" s="536"/>
      <c r="N77" s="324"/>
      <c r="O77" s="324"/>
      <c r="P77" s="280"/>
      <c r="Q77" s="280"/>
      <c r="R77" s="280"/>
      <c r="S77" s="244"/>
    </row>
    <row r="78" spans="1:19" ht="15.75">
      <c r="B78" s="237"/>
      <c r="C78" s="239"/>
      <c r="D78" s="292"/>
      <c r="E78" s="484"/>
      <c r="F78" s="323"/>
      <c r="G78" s="540"/>
      <c r="H78" s="292"/>
      <c r="I78" s="484"/>
      <c r="J78" s="323"/>
      <c r="K78" s="540"/>
      <c r="L78" s="292"/>
      <c r="M78" s="484"/>
      <c r="N78" s="323"/>
      <c r="O78" s="323"/>
      <c r="P78" s="280"/>
      <c r="Q78" s="280"/>
      <c r="R78" s="280"/>
      <c r="S78" s="244"/>
    </row>
    <row r="79" spans="1:19" ht="15.75">
      <c r="B79" s="237"/>
      <c r="C79" s="239"/>
      <c r="D79" s="292"/>
      <c r="E79" s="537"/>
      <c r="F79" s="292"/>
      <c r="G79" s="537"/>
      <c r="H79" s="292"/>
      <c r="I79" s="537"/>
      <c r="J79" s="292"/>
      <c r="K79" s="537"/>
      <c r="L79" s="292"/>
      <c r="M79" s="537"/>
      <c r="N79" s="292"/>
      <c r="O79" s="292"/>
      <c r="P79" s="280"/>
      <c r="Q79" s="280"/>
      <c r="R79" s="280"/>
      <c r="S79" s="244"/>
    </row>
    <row r="80" spans="1:19" ht="15.75">
      <c r="B80" s="237"/>
      <c r="C80" s="239"/>
      <c r="D80" s="324"/>
      <c r="E80" s="386"/>
      <c r="F80" s="244"/>
      <c r="G80" s="484"/>
      <c r="H80" s="324"/>
      <c r="I80" s="386"/>
      <c r="J80" s="244"/>
      <c r="K80" s="484"/>
      <c r="L80" s="324"/>
      <c r="M80" s="386"/>
      <c r="N80" s="244"/>
      <c r="O80" s="244"/>
      <c r="P80" s="280"/>
      <c r="Q80" s="280"/>
      <c r="R80" s="280"/>
      <c r="S80" s="244"/>
    </row>
    <row r="81" spans="2:19" ht="15.75">
      <c r="B81" s="274"/>
      <c r="C81" s="235"/>
      <c r="D81" s="324"/>
      <c r="E81" s="386"/>
      <c r="F81" s="244"/>
      <c r="G81" s="484"/>
      <c r="H81" s="324"/>
      <c r="I81" s="386"/>
      <c r="J81" s="244"/>
      <c r="K81" s="484"/>
      <c r="L81" s="324"/>
      <c r="M81" s="386"/>
      <c r="N81" s="244"/>
      <c r="O81" s="244"/>
      <c r="P81" s="280"/>
      <c r="Q81" s="280"/>
      <c r="R81" s="280"/>
      <c r="S81" s="244"/>
    </row>
    <row r="82" spans="2:19" ht="15">
      <c r="C82" s="239"/>
      <c r="D82" s="292"/>
      <c r="E82" s="484"/>
      <c r="F82" s="323"/>
      <c r="G82" s="540"/>
      <c r="H82" s="292"/>
      <c r="I82" s="484"/>
      <c r="J82" s="323"/>
      <c r="K82" s="540"/>
      <c r="L82" s="292"/>
      <c r="M82" s="484"/>
      <c r="N82" s="323"/>
      <c r="O82" s="323"/>
      <c r="P82" s="280"/>
      <c r="Q82" s="280"/>
      <c r="R82" s="280"/>
      <c r="S82" s="244"/>
    </row>
    <row r="83" spans="2:19" ht="15">
      <c r="C83" s="239"/>
      <c r="D83" s="292"/>
      <c r="E83" s="484"/>
      <c r="F83" s="292"/>
      <c r="G83" s="537"/>
      <c r="H83" s="292"/>
      <c r="I83" s="484"/>
      <c r="J83" s="292"/>
      <c r="K83" s="537"/>
      <c r="L83" s="292"/>
      <c r="M83" s="484"/>
      <c r="N83" s="292"/>
      <c r="O83" s="292"/>
      <c r="P83" s="280"/>
      <c r="Q83" s="280"/>
      <c r="R83" s="280"/>
      <c r="S83" s="244"/>
    </row>
    <row r="84" spans="2:19" ht="15">
      <c r="B84" s="239"/>
      <c r="C84" s="239"/>
      <c r="D84" s="244"/>
      <c r="E84" s="484"/>
      <c r="F84" s="244"/>
      <c r="G84" s="484"/>
      <c r="H84" s="244"/>
      <c r="I84" s="484"/>
      <c r="J84" s="244"/>
      <c r="K84" s="484"/>
      <c r="L84" s="244"/>
      <c r="M84" s="484"/>
      <c r="N84" s="244"/>
      <c r="O84" s="244"/>
      <c r="P84" s="280"/>
      <c r="Q84" s="280"/>
      <c r="R84" s="280"/>
      <c r="S84" s="244"/>
    </row>
    <row r="85" spans="2:19" ht="15">
      <c r="B85" s="239"/>
      <c r="C85" s="239"/>
      <c r="D85" s="244"/>
      <c r="E85" s="484"/>
      <c r="F85" s="244"/>
      <c r="G85" s="484"/>
      <c r="H85" s="244"/>
      <c r="I85" s="484"/>
      <c r="J85" s="244"/>
      <c r="K85" s="484"/>
      <c r="L85" s="244"/>
      <c r="M85" s="484"/>
      <c r="N85" s="244"/>
      <c r="O85" s="244"/>
      <c r="P85" s="280"/>
      <c r="Q85" s="280"/>
      <c r="R85" s="280"/>
      <c r="S85" s="244"/>
    </row>
    <row r="86" spans="2:19" ht="15">
      <c r="D86" s="240"/>
      <c r="E86" s="538"/>
      <c r="F86" s="240"/>
      <c r="G86" s="538"/>
      <c r="H86" s="240"/>
      <c r="I86" s="538"/>
      <c r="J86" s="240"/>
      <c r="K86" s="538"/>
      <c r="L86" s="240"/>
      <c r="M86" s="538"/>
      <c r="N86" s="240"/>
      <c r="O86" s="240"/>
      <c r="P86" s="280"/>
      <c r="Q86" s="280"/>
      <c r="R86" s="280"/>
      <c r="S86" s="240"/>
    </row>
    <row r="87" spans="2:19" ht="15">
      <c r="B87" s="239"/>
      <c r="C87" s="239"/>
      <c r="D87" s="244"/>
      <c r="E87" s="484"/>
      <c r="F87" s="244"/>
      <c r="G87" s="484"/>
      <c r="H87" s="244"/>
      <c r="I87" s="484"/>
      <c r="J87" s="244"/>
      <c r="K87" s="484"/>
      <c r="L87" s="244"/>
      <c r="M87" s="484"/>
      <c r="N87" s="244"/>
      <c r="O87" s="244"/>
      <c r="P87" s="280"/>
      <c r="Q87" s="280"/>
      <c r="R87" s="280"/>
      <c r="S87" s="244"/>
    </row>
    <row r="88" spans="2:19" ht="15">
      <c r="D88" s="240"/>
      <c r="E88" s="538"/>
      <c r="F88" s="240"/>
      <c r="G88" s="538"/>
      <c r="H88" s="240"/>
      <c r="I88" s="538"/>
      <c r="J88" s="240"/>
      <c r="K88" s="538"/>
      <c r="L88" s="240"/>
      <c r="M88" s="538"/>
      <c r="N88" s="240"/>
      <c r="O88" s="240"/>
      <c r="P88" s="280"/>
      <c r="Q88" s="280"/>
      <c r="R88" s="280"/>
      <c r="S88" s="240"/>
    </row>
    <row r="89" spans="2:19" ht="15">
      <c r="D89" s="240"/>
      <c r="E89" s="538"/>
      <c r="F89" s="240"/>
      <c r="G89" s="538"/>
      <c r="H89" s="240"/>
      <c r="I89" s="538"/>
      <c r="J89" s="240"/>
      <c r="K89" s="538"/>
      <c r="L89" s="240"/>
      <c r="M89" s="538"/>
      <c r="N89" s="240"/>
      <c r="O89" s="240"/>
      <c r="P89" s="280"/>
      <c r="Q89" s="280"/>
      <c r="R89" s="280"/>
      <c r="S89" s="240"/>
    </row>
    <row r="90" spans="2:19" ht="15">
      <c r="D90" s="240"/>
      <c r="E90" s="538"/>
      <c r="F90" s="240"/>
      <c r="G90" s="538"/>
      <c r="H90" s="240"/>
      <c r="I90" s="538"/>
      <c r="J90" s="240"/>
      <c r="K90" s="538"/>
      <c r="L90" s="240"/>
      <c r="M90" s="538"/>
      <c r="N90" s="240"/>
      <c r="O90" s="240"/>
      <c r="P90" s="280"/>
      <c r="Q90" s="280"/>
      <c r="R90" s="280"/>
      <c r="S90" s="240"/>
    </row>
    <row r="91" spans="2:19" ht="15">
      <c r="D91" s="240"/>
      <c r="E91" s="538"/>
      <c r="F91" s="240"/>
      <c r="G91" s="538"/>
      <c r="H91" s="240"/>
      <c r="I91" s="538"/>
      <c r="J91" s="240"/>
      <c r="K91" s="538"/>
      <c r="L91" s="240"/>
      <c r="M91" s="538"/>
      <c r="N91" s="240"/>
      <c r="O91" s="240"/>
      <c r="P91" s="280"/>
      <c r="Q91" s="280"/>
      <c r="R91" s="280"/>
      <c r="S91" s="240"/>
    </row>
    <row r="92" spans="2:19" ht="15">
      <c r="D92" s="240"/>
      <c r="E92" s="538"/>
      <c r="F92" s="240"/>
      <c r="G92" s="538"/>
      <c r="H92" s="240"/>
      <c r="I92" s="538"/>
      <c r="J92" s="240"/>
      <c r="K92" s="538"/>
      <c r="L92" s="240"/>
      <c r="M92" s="538"/>
      <c r="N92" s="240"/>
      <c r="O92" s="240"/>
      <c r="P92" s="280"/>
      <c r="Q92" s="280"/>
      <c r="R92" s="280"/>
      <c r="S92" s="240"/>
    </row>
    <row r="93" spans="2:19" ht="15">
      <c r="D93" s="240"/>
      <c r="E93" s="538"/>
      <c r="F93" s="240"/>
      <c r="G93" s="538"/>
      <c r="H93" s="240"/>
      <c r="I93" s="538"/>
      <c r="J93" s="240"/>
      <c r="K93" s="538"/>
      <c r="L93" s="240"/>
      <c r="M93" s="538"/>
      <c r="N93" s="240"/>
      <c r="O93" s="240"/>
      <c r="P93" s="280"/>
      <c r="Q93" s="280"/>
      <c r="R93" s="280"/>
      <c r="S93" s="240"/>
    </row>
    <row r="94" spans="2:19" ht="15">
      <c r="D94" s="240"/>
      <c r="E94" s="538"/>
      <c r="F94" s="240"/>
      <c r="G94" s="538"/>
      <c r="H94" s="240"/>
      <c r="I94" s="538"/>
      <c r="J94" s="240"/>
      <c r="K94" s="538"/>
      <c r="L94" s="240"/>
      <c r="M94" s="538"/>
      <c r="N94" s="240"/>
      <c r="O94" s="240"/>
      <c r="P94" s="280"/>
      <c r="Q94" s="280"/>
      <c r="R94" s="280"/>
      <c r="S94" s="240"/>
    </row>
    <row r="95" spans="2:19" ht="15">
      <c r="D95" s="240"/>
      <c r="E95" s="538"/>
      <c r="F95" s="240"/>
      <c r="G95" s="538"/>
      <c r="H95" s="240"/>
      <c r="I95" s="538"/>
      <c r="J95" s="240"/>
      <c r="K95" s="538"/>
      <c r="L95" s="240"/>
      <c r="M95" s="538"/>
      <c r="N95" s="240"/>
      <c r="O95" s="240"/>
      <c r="P95" s="280"/>
      <c r="Q95" s="280"/>
      <c r="R95" s="280"/>
      <c r="S95" s="240"/>
    </row>
    <row r="96" spans="2:19" ht="15">
      <c r="D96" s="240"/>
      <c r="E96" s="538"/>
      <c r="F96" s="240"/>
      <c r="G96" s="538"/>
      <c r="H96" s="240"/>
      <c r="I96" s="538"/>
      <c r="J96" s="240"/>
      <c r="K96" s="538"/>
      <c r="L96" s="240"/>
      <c r="M96" s="538"/>
      <c r="N96" s="240"/>
      <c r="O96" s="240"/>
      <c r="P96" s="280"/>
      <c r="Q96" s="280"/>
      <c r="R96" s="280"/>
      <c r="S96" s="240"/>
    </row>
    <row r="97" spans="4:19" ht="15">
      <c r="D97" s="240"/>
      <c r="E97" s="538"/>
      <c r="F97" s="240"/>
      <c r="G97" s="538"/>
      <c r="H97" s="240"/>
      <c r="I97" s="538"/>
      <c r="J97" s="240"/>
      <c r="K97" s="538"/>
      <c r="L97" s="240"/>
      <c r="M97" s="538"/>
      <c r="N97" s="240"/>
      <c r="O97" s="240"/>
      <c r="P97" s="280"/>
      <c r="Q97" s="280"/>
      <c r="R97" s="280"/>
      <c r="S97" s="240"/>
    </row>
    <row r="98" spans="4:19" ht="15">
      <c r="D98" s="240"/>
      <c r="E98" s="538"/>
      <c r="F98" s="240"/>
      <c r="G98" s="538"/>
      <c r="H98" s="240"/>
      <c r="I98" s="538"/>
      <c r="J98" s="240"/>
      <c r="K98" s="538"/>
      <c r="L98" s="240"/>
      <c r="M98" s="538"/>
      <c r="N98" s="240"/>
      <c r="O98" s="240"/>
      <c r="P98" s="280"/>
      <c r="Q98" s="280"/>
      <c r="R98" s="280"/>
      <c r="S98" s="240"/>
    </row>
    <row r="99" spans="4:19" ht="15">
      <c r="D99" s="240"/>
      <c r="E99" s="538"/>
      <c r="F99" s="240"/>
      <c r="G99" s="538"/>
      <c r="H99" s="240"/>
      <c r="I99" s="538"/>
      <c r="J99" s="240"/>
      <c r="K99" s="538"/>
      <c r="L99" s="240"/>
      <c r="M99" s="538"/>
      <c r="N99" s="240"/>
      <c r="O99" s="240"/>
      <c r="P99" s="280"/>
      <c r="Q99" s="280"/>
      <c r="R99" s="280"/>
      <c r="S99" s="240"/>
    </row>
    <row r="100" spans="4:19" ht="15">
      <c r="D100" s="240"/>
      <c r="E100" s="538"/>
      <c r="F100" s="240"/>
      <c r="G100" s="538"/>
      <c r="H100" s="240"/>
      <c r="I100" s="538"/>
      <c r="J100" s="240"/>
      <c r="K100" s="538"/>
      <c r="L100" s="240"/>
      <c r="M100" s="538"/>
      <c r="N100" s="240"/>
      <c r="O100" s="240"/>
      <c r="P100" s="280"/>
      <c r="Q100" s="280"/>
      <c r="R100" s="280"/>
      <c r="S100" s="240"/>
    </row>
    <row r="101" spans="4:19" ht="15">
      <c r="D101" s="240"/>
      <c r="E101" s="538"/>
      <c r="F101" s="240"/>
      <c r="G101" s="538"/>
      <c r="H101" s="240"/>
      <c r="I101" s="538"/>
      <c r="J101" s="240"/>
      <c r="K101" s="538"/>
      <c r="L101" s="240"/>
      <c r="M101" s="538"/>
      <c r="N101" s="240"/>
      <c r="O101" s="240"/>
      <c r="P101" s="280"/>
      <c r="Q101" s="280"/>
      <c r="R101" s="280"/>
      <c r="S101" s="240"/>
    </row>
    <row r="102" spans="4:19" ht="15">
      <c r="D102" s="240"/>
      <c r="E102" s="538"/>
      <c r="F102" s="240"/>
      <c r="G102" s="538"/>
      <c r="H102" s="240"/>
      <c r="I102" s="538"/>
      <c r="J102" s="240"/>
      <c r="K102" s="538"/>
      <c r="L102" s="240"/>
      <c r="M102" s="538"/>
      <c r="N102" s="240"/>
      <c r="O102" s="240"/>
      <c r="P102" s="280"/>
      <c r="Q102" s="280"/>
      <c r="R102" s="280"/>
      <c r="S102" s="240"/>
    </row>
    <row r="103" spans="4:19" ht="15">
      <c r="D103" s="240"/>
      <c r="E103" s="538"/>
      <c r="F103" s="240"/>
      <c r="G103" s="538"/>
      <c r="H103" s="240"/>
      <c r="I103" s="538"/>
      <c r="J103" s="240"/>
      <c r="K103" s="538"/>
      <c r="L103" s="240"/>
      <c r="M103" s="538"/>
      <c r="N103" s="240"/>
      <c r="O103" s="240"/>
      <c r="P103" s="280"/>
      <c r="Q103" s="280"/>
      <c r="R103" s="280"/>
      <c r="S103" s="240"/>
    </row>
    <row r="104" spans="4:19" ht="15">
      <c r="D104" s="240"/>
      <c r="E104" s="538"/>
      <c r="F104" s="240"/>
      <c r="G104" s="538"/>
      <c r="H104" s="240"/>
      <c r="I104" s="538"/>
      <c r="J104" s="240"/>
      <c r="K104" s="538"/>
      <c r="L104" s="240"/>
      <c r="M104" s="538"/>
      <c r="N104" s="240"/>
      <c r="O104" s="240"/>
      <c r="P104" s="280"/>
      <c r="Q104" s="280"/>
      <c r="R104" s="280"/>
      <c r="S104" s="240"/>
    </row>
    <row r="105" spans="4:19" ht="15">
      <c r="D105" s="240"/>
      <c r="E105" s="538"/>
      <c r="F105" s="240"/>
      <c r="G105" s="538"/>
      <c r="H105" s="240"/>
      <c r="I105" s="538"/>
      <c r="J105" s="240"/>
      <c r="K105" s="538"/>
      <c r="L105" s="240"/>
      <c r="M105" s="538"/>
      <c r="N105" s="240"/>
      <c r="O105" s="240"/>
      <c r="P105" s="280"/>
      <c r="Q105" s="280"/>
      <c r="R105" s="280"/>
      <c r="S105" s="240"/>
    </row>
    <row r="106" spans="4:19">
      <c r="D106" s="240"/>
      <c r="E106" s="538"/>
      <c r="F106" s="240"/>
      <c r="G106" s="538"/>
      <c r="H106" s="240"/>
      <c r="I106" s="538"/>
      <c r="J106" s="240"/>
      <c r="K106" s="538"/>
      <c r="L106" s="240"/>
      <c r="M106" s="538"/>
      <c r="N106" s="240"/>
      <c r="O106" s="240"/>
      <c r="P106" s="240"/>
      <c r="Q106" s="240"/>
      <c r="R106" s="240"/>
      <c r="S106" s="240"/>
    </row>
    <row r="107" spans="4:19">
      <c r="D107" s="240"/>
      <c r="E107" s="538"/>
      <c r="F107" s="240"/>
      <c r="G107" s="538"/>
      <c r="H107" s="240"/>
      <c r="I107" s="538"/>
      <c r="J107" s="240"/>
      <c r="K107" s="538"/>
      <c r="L107" s="240"/>
      <c r="M107" s="538"/>
      <c r="N107" s="240"/>
      <c r="O107" s="240"/>
      <c r="P107" s="240"/>
      <c r="Q107" s="240"/>
      <c r="R107" s="240"/>
      <c r="S107" s="240"/>
    </row>
    <row r="108" spans="4:19">
      <c r="D108" s="240"/>
      <c r="E108" s="538"/>
      <c r="F108" s="240"/>
      <c r="G108" s="538"/>
      <c r="H108" s="240"/>
      <c r="I108" s="538"/>
      <c r="J108" s="240"/>
      <c r="K108" s="538"/>
      <c r="L108" s="240"/>
      <c r="M108" s="538"/>
      <c r="N108" s="240"/>
      <c r="O108" s="240"/>
      <c r="P108" s="240"/>
      <c r="Q108" s="240"/>
      <c r="R108" s="240"/>
      <c r="S108" s="240"/>
    </row>
    <row r="109" spans="4:19">
      <c r="D109" s="240"/>
      <c r="E109" s="538"/>
      <c r="F109" s="240"/>
      <c r="G109" s="538"/>
      <c r="H109" s="240"/>
      <c r="I109" s="538"/>
      <c r="J109" s="240"/>
      <c r="K109" s="538"/>
      <c r="L109" s="240"/>
      <c r="M109" s="538"/>
      <c r="N109" s="240"/>
      <c r="O109" s="240"/>
      <c r="P109" s="240"/>
      <c r="Q109" s="240"/>
      <c r="R109" s="240"/>
      <c r="S109" s="240"/>
    </row>
    <row r="110" spans="4:19">
      <c r="D110" s="240"/>
      <c r="E110" s="538"/>
      <c r="F110" s="240"/>
      <c r="G110" s="538"/>
      <c r="H110" s="240"/>
      <c r="I110" s="538"/>
      <c r="J110" s="240"/>
      <c r="K110" s="538"/>
      <c r="L110" s="240"/>
      <c r="M110" s="538"/>
      <c r="N110" s="240"/>
      <c r="O110" s="240"/>
      <c r="P110" s="240"/>
      <c r="Q110" s="240"/>
      <c r="R110" s="240"/>
      <c r="S110" s="240"/>
    </row>
    <row r="111" spans="4:19">
      <c r="D111" s="240"/>
      <c r="E111" s="538"/>
      <c r="F111" s="240"/>
      <c r="G111" s="538"/>
      <c r="H111" s="240"/>
      <c r="I111" s="538"/>
      <c r="J111" s="240"/>
      <c r="K111" s="538"/>
      <c r="L111" s="240"/>
      <c r="M111" s="538"/>
      <c r="N111" s="240"/>
      <c r="O111" s="240"/>
      <c r="P111" s="240"/>
      <c r="Q111" s="240"/>
      <c r="R111" s="240"/>
      <c r="S111" s="240"/>
    </row>
    <row r="112" spans="4:19">
      <c r="D112" s="240"/>
      <c r="E112" s="538"/>
      <c r="F112" s="240"/>
      <c r="G112" s="538"/>
      <c r="H112" s="240"/>
      <c r="I112" s="538"/>
      <c r="J112" s="240"/>
      <c r="K112" s="538"/>
      <c r="L112" s="240"/>
      <c r="M112" s="538"/>
      <c r="N112" s="240"/>
      <c r="O112" s="240"/>
      <c r="P112" s="240"/>
      <c r="Q112" s="240"/>
      <c r="R112" s="240"/>
      <c r="S112" s="240"/>
    </row>
  </sheetData>
  <sortState xmlns:xlrd2="http://schemas.microsoft.com/office/spreadsheetml/2017/richdata2" ref="J69">
    <sortCondition ref="J69"/>
  </sortState>
  <printOptions horizontalCentered="1"/>
  <pageMargins left="0.5" right="0.5" top="0.5" bottom="0.5" header="0.5" footer="0.5"/>
  <pageSetup scale="63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J28"/>
  <sheetViews>
    <sheetView view="pageBreakPreview" zoomScale="115" zoomScaleNormal="80" zoomScaleSheetLayoutView="115" workbookViewId="0">
      <pane ySplit="4" topLeftCell="A5" activePane="bottomLeft" state="frozen"/>
      <selection activeCell="B43" sqref="B43"/>
      <selection pane="bottomLeft"/>
    </sheetView>
  </sheetViews>
  <sheetFormatPr defaultColWidth="9.140625" defaultRowHeight="12.75"/>
  <cols>
    <col min="1" max="1" width="6.28515625" style="337" customWidth="1"/>
    <col min="2" max="2" width="7.7109375" style="337" bestFit="1" customWidth="1"/>
    <col min="3" max="3" width="14.42578125" style="337" customWidth="1"/>
    <col min="4" max="4" width="14.5703125" style="337" bestFit="1" customWidth="1"/>
    <col min="5" max="6" width="14" style="337" bestFit="1" customWidth="1"/>
    <col min="7" max="8" width="12.28515625" style="337" bestFit="1" customWidth="1"/>
    <col min="9" max="9" width="17.7109375" style="337" bestFit="1" customWidth="1"/>
    <col min="10" max="10" width="15" style="337" bestFit="1" customWidth="1"/>
    <col min="11" max="16384" width="9.140625" style="337"/>
  </cols>
  <sheetData>
    <row r="1" spans="1:10" ht="15">
      <c r="A1" s="515" t="s">
        <v>32</v>
      </c>
      <c r="B1" s="516"/>
      <c r="C1" s="516"/>
      <c r="D1" s="516"/>
      <c r="E1" s="516"/>
      <c r="F1" s="516"/>
      <c r="G1" s="516"/>
      <c r="H1" s="516"/>
      <c r="I1" s="516"/>
      <c r="J1" s="283" t="s">
        <v>329</v>
      </c>
    </row>
    <row r="2" spans="1:10" ht="14.25">
      <c r="A2" s="517" t="s">
        <v>420</v>
      </c>
      <c r="B2" s="516"/>
      <c r="C2" s="516"/>
      <c r="D2" s="516"/>
      <c r="E2" s="516"/>
      <c r="F2" s="516"/>
      <c r="G2" s="516"/>
      <c r="H2" s="516"/>
      <c r="I2" s="516"/>
      <c r="J2" s="283" t="s">
        <v>428</v>
      </c>
    </row>
    <row r="3" spans="1:10" ht="14.25">
      <c r="A3" s="517" t="str">
        <f>"Twelve Months Ended "&amp;TEXT(B18,"MMMM, YYYY")</f>
        <v>Twelve Months Ended November, 2019</v>
      </c>
      <c r="B3" s="516"/>
      <c r="C3" s="516"/>
      <c r="D3" s="516"/>
      <c r="E3" s="516"/>
      <c r="F3" s="516"/>
      <c r="G3" s="516"/>
      <c r="H3" s="516"/>
      <c r="I3" s="518"/>
      <c r="J3" s="518"/>
    </row>
    <row r="4" spans="1:10">
      <c r="A4" s="516"/>
      <c r="B4" s="516"/>
      <c r="C4" s="516"/>
      <c r="D4" s="516"/>
      <c r="E4" s="516"/>
      <c r="F4" s="516"/>
      <c r="G4" s="516"/>
      <c r="H4" s="516"/>
      <c r="I4" s="518"/>
      <c r="J4" s="518"/>
    </row>
    <row r="5" spans="1:10" ht="38.25">
      <c r="A5" s="519" t="s">
        <v>427</v>
      </c>
      <c r="B5" s="519" t="s">
        <v>40</v>
      </c>
      <c r="C5" s="519" t="s">
        <v>426</v>
      </c>
      <c r="D5" s="519" t="s">
        <v>425</v>
      </c>
      <c r="E5" s="519" t="s">
        <v>424</v>
      </c>
      <c r="F5" s="519" t="s">
        <v>423</v>
      </c>
      <c r="G5" s="519" t="s">
        <v>422</v>
      </c>
      <c r="H5" s="519" t="s">
        <v>421</v>
      </c>
      <c r="I5" s="519" t="s">
        <v>420</v>
      </c>
      <c r="J5" s="519" t="s">
        <v>419</v>
      </c>
    </row>
    <row r="6" spans="1:10">
      <c r="A6" s="516"/>
      <c r="B6" s="520" t="s">
        <v>27</v>
      </c>
      <c r="C6" s="520" t="s">
        <v>26</v>
      </c>
      <c r="D6" s="520" t="s">
        <v>25</v>
      </c>
      <c r="E6" s="520" t="s">
        <v>121</v>
      </c>
      <c r="F6" s="520" t="s">
        <v>120</v>
      </c>
      <c r="G6" s="520" t="s">
        <v>204</v>
      </c>
      <c r="H6" s="520" t="s">
        <v>326</v>
      </c>
      <c r="I6" s="520" t="s">
        <v>390</v>
      </c>
      <c r="J6" s="520" t="s">
        <v>389</v>
      </c>
    </row>
    <row r="7" spans="1:10" ht="18" customHeight="1">
      <c r="A7" s="521">
        <v>1</v>
      </c>
      <c r="B7" s="557">
        <v>43435</v>
      </c>
      <c r="C7" s="559">
        <f>-72218.61</f>
        <v>-72218.61</v>
      </c>
      <c r="D7" s="559">
        <v>-103994.44</v>
      </c>
      <c r="E7" s="559">
        <v>-6617.39</v>
      </c>
      <c r="F7" s="522">
        <f>+C7+D7+E7</f>
        <v>-182830.44</v>
      </c>
      <c r="G7" s="559">
        <v>18409.59</v>
      </c>
      <c r="H7" s="559">
        <v>19023.54</v>
      </c>
      <c r="I7" s="523">
        <f t="shared" ref="I7:I18" si="0">-C7-G7</f>
        <v>53809.020000000004</v>
      </c>
      <c r="J7" s="523">
        <f>SUM(I$7:I7)</f>
        <v>53809.020000000004</v>
      </c>
    </row>
    <row r="8" spans="1:10">
      <c r="A8" s="521">
        <v>2</v>
      </c>
      <c r="B8" s="558">
        <f>EDATE(B7,1)</f>
        <v>43466</v>
      </c>
      <c r="C8" s="559">
        <v>-15699.74</v>
      </c>
      <c r="D8" s="559">
        <v>-53523.05</v>
      </c>
      <c r="E8" s="559">
        <v>-2404.06</v>
      </c>
      <c r="F8" s="522">
        <f t="shared" ref="F8:F18" si="1">+C8+D8+E8</f>
        <v>-71626.850000000006</v>
      </c>
      <c r="G8" s="559">
        <v>13616.19</v>
      </c>
      <c r="H8" s="559">
        <v>17771.400000000001</v>
      </c>
      <c r="I8" s="523">
        <f t="shared" si="0"/>
        <v>2083.5499999999993</v>
      </c>
      <c r="J8" s="523">
        <f>SUM(I$7:I8)</f>
        <v>55892.570000000007</v>
      </c>
    </row>
    <row r="9" spans="1:10">
      <c r="A9" s="521">
        <v>3</v>
      </c>
      <c r="B9" s="558">
        <f t="shared" ref="B9:B18" si="2">EDATE(B8,1)</f>
        <v>43497</v>
      </c>
      <c r="C9" s="559">
        <v>-9494.4500000000007</v>
      </c>
      <c r="D9" s="559">
        <v>-38816.43</v>
      </c>
      <c r="E9" s="559">
        <v>-1767.06</v>
      </c>
      <c r="F9" s="522">
        <f t="shared" si="1"/>
        <v>-50077.94</v>
      </c>
      <c r="G9" s="559">
        <v>15025.21</v>
      </c>
      <c r="H9" s="559">
        <v>14656.9</v>
      </c>
      <c r="I9" s="523">
        <f t="shared" si="0"/>
        <v>-5530.7599999999984</v>
      </c>
      <c r="J9" s="523">
        <f>SUM(I$7:I9)</f>
        <v>50361.810000000012</v>
      </c>
    </row>
    <row r="10" spans="1:10">
      <c r="A10" s="521">
        <v>4</v>
      </c>
      <c r="B10" s="558">
        <f t="shared" si="2"/>
        <v>43525</v>
      </c>
      <c r="C10" s="559">
        <v>-11331.62</v>
      </c>
      <c r="D10" s="559">
        <v>-49649.03</v>
      </c>
      <c r="E10" s="559">
        <v>-2281.6</v>
      </c>
      <c r="F10" s="522">
        <f t="shared" si="1"/>
        <v>-63262.25</v>
      </c>
      <c r="G10" s="559">
        <v>11494.51</v>
      </c>
      <c r="H10" s="559">
        <v>14632.04</v>
      </c>
      <c r="I10" s="523">
        <f t="shared" si="0"/>
        <v>-162.88999999999942</v>
      </c>
      <c r="J10" s="523">
        <f>SUM(I$7:I10)</f>
        <v>50198.920000000013</v>
      </c>
    </row>
    <row r="11" spans="1:10">
      <c r="A11" s="521">
        <v>5</v>
      </c>
      <c r="B11" s="558">
        <f t="shared" si="2"/>
        <v>43556</v>
      </c>
      <c r="C11" s="559">
        <v>-15829.08</v>
      </c>
      <c r="D11" s="559">
        <v>-49476.18</v>
      </c>
      <c r="E11" s="559">
        <v>-2547.0500000000002</v>
      </c>
      <c r="F11" s="522">
        <f t="shared" si="1"/>
        <v>-67852.31</v>
      </c>
      <c r="G11" s="559">
        <v>5963.23</v>
      </c>
      <c r="H11" s="559">
        <v>7531.27</v>
      </c>
      <c r="I11" s="523">
        <f t="shared" si="0"/>
        <v>9865.85</v>
      </c>
      <c r="J11" s="523">
        <f>SUM(I$7:I11)</f>
        <v>60064.770000000011</v>
      </c>
    </row>
    <row r="12" spans="1:10">
      <c r="A12" s="521">
        <v>6</v>
      </c>
      <c r="B12" s="558">
        <f t="shared" si="2"/>
        <v>43586</v>
      </c>
      <c r="C12" s="559">
        <v>-25777.22</v>
      </c>
      <c r="D12" s="559">
        <v>-45389.21</v>
      </c>
      <c r="E12" s="559">
        <v>-3187.26</v>
      </c>
      <c r="F12" s="522">
        <f t="shared" si="1"/>
        <v>-74353.689999999988</v>
      </c>
      <c r="G12" s="559">
        <v>5191.05</v>
      </c>
      <c r="H12" s="559">
        <v>7607.63</v>
      </c>
      <c r="I12" s="523">
        <f t="shared" si="0"/>
        <v>20586.170000000002</v>
      </c>
      <c r="J12" s="523">
        <f>SUM(I$7:I12)</f>
        <v>80650.940000000017</v>
      </c>
    </row>
    <row r="13" spans="1:10">
      <c r="A13" s="521">
        <v>7</v>
      </c>
      <c r="B13" s="558">
        <f t="shared" si="2"/>
        <v>43617</v>
      </c>
      <c r="C13" s="559">
        <v>-85705.37</v>
      </c>
      <c r="D13" s="559">
        <v>-150600.5</v>
      </c>
      <c r="E13" s="559">
        <v>-8371.5400000000009</v>
      </c>
      <c r="F13" s="522">
        <f t="shared" si="1"/>
        <v>-244677.41</v>
      </c>
      <c r="G13" s="559">
        <v>5489.85</v>
      </c>
      <c r="H13" s="559">
        <v>5817.9</v>
      </c>
      <c r="I13" s="523">
        <f t="shared" si="0"/>
        <v>80215.51999999999</v>
      </c>
      <c r="J13" s="523">
        <f>SUM(I$7:I13)</f>
        <v>160866.46000000002</v>
      </c>
    </row>
    <row r="14" spans="1:10">
      <c r="A14" s="521">
        <v>8</v>
      </c>
      <c r="B14" s="558">
        <f t="shared" si="2"/>
        <v>43647</v>
      </c>
      <c r="C14" s="559">
        <v>-22621.5</v>
      </c>
      <c r="D14" s="559">
        <v>-107040.94</v>
      </c>
      <c r="E14" s="559">
        <v>-4936.1400000000003</v>
      </c>
      <c r="F14" s="522">
        <f t="shared" si="1"/>
        <v>-134598.58000000002</v>
      </c>
      <c r="G14" s="559">
        <v>2997.64</v>
      </c>
      <c r="H14" s="559">
        <v>6770.46</v>
      </c>
      <c r="I14" s="523">
        <f t="shared" si="0"/>
        <v>19623.86</v>
      </c>
      <c r="J14" s="523">
        <f>SUM(I$7:I14)</f>
        <v>180490.32</v>
      </c>
    </row>
    <row r="15" spans="1:10">
      <c r="A15" s="521">
        <v>9</v>
      </c>
      <c r="B15" s="558">
        <f t="shared" si="2"/>
        <v>43678</v>
      </c>
      <c r="C15" s="559">
        <v>7248.86</v>
      </c>
      <c r="D15" s="559">
        <v>-151085.85999999999</v>
      </c>
      <c r="E15" s="559">
        <v>-5528.26</v>
      </c>
      <c r="F15" s="522">
        <f t="shared" si="1"/>
        <v>-149365.26</v>
      </c>
      <c r="G15" s="559">
        <v>268.85000000000002</v>
      </c>
      <c r="H15" s="559">
        <v>8629.7999999999993</v>
      </c>
      <c r="I15" s="523">
        <f t="shared" si="0"/>
        <v>-7517.71</v>
      </c>
      <c r="J15" s="523">
        <f>SUM(I$7:I15)</f>
        <v>172972.61000000002</v>
      </c>
    </row>
    <row r="16" spans="1:10">
      <c r="A16" s="521">
        <v>10</v>
      </c>
      <c r="B16" s="558">
        <f t="shared" si="2"/>
        <v>43709</v>
      </c>
      <c r="C16" s="559">
        <v>-5094.6499999999996</v>
      </c>
      <c r="D16" s="559">
        <v>-169604.49</v>
      </c>
      <c r="E16" s="559">
        <v>-7585.84</v>
      </c>
      <c r="F16" s="522">
        <f t="shared" si="1"/>
        <v>-182284.97999999998</v>
      </c>
      <c r="G16" s="559">
        <v>157.5</v>
      </c>
      <c r="H16" s="559">
        <v>15549.58</v>
      </c>
      <c r="I16" s="523">
        <f t="shared" si="0"/>
        <v>4937.1499999999996</v>
      </c>
      <c r="J16" s="523">
        <f>SUM(I$7:I16)</f>
        <v>177909.76000000001</v>
      </c>
    </row>
    <row r="17" spans="1:10">
      <c r="A17" s="521">
        <v>11</v>
      </c>
      <c r="B17" s="558">
        <f t="shared" si="2"/>
        <v>43739</v>
      </c>
      <c r="C17" s="559">
        <v>-2525.21</v>
      </c>
      <c r="D17" s="559">
        <v>-207166.04</v>
      </c>
      <c r="E17" s="559">
        <v>-8325</v>
      </c>
      <c r="F17" s="522">
        <f t="shared" si="1"/>
        <v>-218016.25</v>
      </c>
      <c r="G17" s="559">
        <v>603.51</v>
      </c>
      <c r="H17" s="559">
        <v>50288.1</v>
      </c>
      <c r="I17" s="523">
        <f t="shared" si="0"/>
        <v>1921.7</v>
      </c>
      <c r="J17" s="523">
        <f>SUM(I$7:I17)</f>
        <v>179831.46000000002</v>
      </c>
    </row>
    <row r="18" spans="1:10">
      <c r="A18" s="521">
        <v>12</v>
      </c>
      <c r="B18" s="558">
        <f t="shared" si="2"/>
        <v>43770</v>
      </c>
      <c r="C18" s="559">
        <v>-25670.27</v>
      </c>
      <c r="D18" s="559">
        <v>-113238.48</v>
      </c>
      <c r="E18" s="559">
        <v>-7952.16</v>
      </c>
      <c r="F18" s="522">
        <f t="shared" si="1"/>
        <v>-146860.91</v>
      </c>
      <c r="G18" s="559">
        <v>4376.7</v>
      </c>
      <c r="H18" s="559">
        <v>55018.6</v>
      </c>
      <c r="I18" s="523">
        <f t="shared" si="0"/>
        <v>21293.57</v>
      </c>
      <c r="J18" s="523">
        <f>SUM(I$7:I18)</f>
        <v>201125.03000000003</v>
      </c>
    </row>
    <row r="19" spans="1:10">
      <c r="A19" s="339"/>
      <c r="C19" s="338"/>
      <c r="D19" s="338"/>
      <c r="E19" s="338"/>
      <c r="F19" s="338"/>
      <c r="G19" s="338"/>
      <c r="H19" s="338"/>
      <c r="I19" s="338"/>
      <c r="J19" s="338"/>
    </row>
    <row r="20" spans="1:10">
      <c r="A20" s="339"/>
      <c r="C20" s="338"/>
      <c r="D20" s="338"/>
      <c r="E20" s="338"/>
      <c r="F20" s="338"/>
      <c r="G20" s="338"/>
      <c r="H20" s="338"/>
      <c r="I20" s="338"/>
      <c r="J20" s="338"/>
    </row>
    <row r="21" spans="1:10">
      <c r="A21" s="339"/>
      <c r="C21" s="338"/>
      <c r="D21" s="338"/>
      <c r="E21" s="338"/>
      <c r="F21" s="338"/>
      <c r="G21" s="338"/>
      <c r="H21" s="338"/>
      <c r="I21" s="338"/>
      <c r="J21" s="338"/>
    </row>
    <row r="22" spans="1:10">
      <c r="A22" s="339"/>
      <c r="C22" s="338"/>
      <c r="D22" s="338"/>
      <c r="E22" s="338"/>
      <c r="F22" s="338"/>
      <c r="G22" s="338"/>
      <c r="H22" s="338"/>
      <c r="I22" s="338"/>
      <c r="J22" s="338"/>
    </row>
    <row r="23" spans="1:10">
      <c r="C23" s="338"/>
      <c r="D23" s="338"/>
      <c r="E23" s="338"/>
      <c r="F23" s="338"/>
      <c r="G23" s="338"/>
      <c r="H23" s="338"/>
      <c r="I23" s="338"/>
      <c r="J23" s="338"/>
    </row>
    <row r="24" spans="1:10">
      <c r="C24" s="338"/>
      <c r="D24" s="338"/>
      <c r="E24" s="338"/>
      <c r="F24" s="338"/>
      <c r="G24" s="338"/>
      <c r="H24" s="338"/>
      <c r="I24" s="338"/>
      <c r="J24" s="338"/>
    </row>
    <row r="25" spans="1:10">
      <c r="F25" s="479" t="s">
        <v>528</v>
      </c>
    </row>
    <row r="26" spans="1:10">
      <c r="D26" s="502"/>
    </row>
    <row r="27" spans="1:10">
      <c r="D27" s="503"/>
    </row>
    <row r="28" spans="1:10">
      <c r="D28" s="504"/>
    </row>
  </sheetData>
  <pageMargins left="0.75" right="0.5" top="0.75" bottom="0.5" header="0.75" footer="0.5"/>
  <pageSetup scale="97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54"/>
    <col min="7" max="7" width="12.28515625" style="354" bestFit="1" customWidth="1"/>
    <col min="8" max="8" width="10" style="354" bestFit="1" customWidth="1"/>
    <col min="9" max="9" width="12.140625" style="354" customWidth="1"/>
    <col min="10" max="10" width="10.28515625" style="354" customWidth="1"/>
    <col min="11" max="11" width="14" style="354" bestFit="1" customWidth="1"/>
    <col min="12" max="14" width="8.85546875" style="354"/>
    <col min="15" max="15" width="10.85546875" style="354" customWidth="1"/>
    <col min="16" max="16" width="10.28515625" style="354" bestFit="1" customWidth="1"/>
    <col min="17" max="27" width="8.85546875" style="354"/>
    <col min="28" max="28" width="4.140625" style="354" bestFit="1" customWidth="1"/>
    <col min="29" max="262" width="8.85546875" style="354"/>
    <col min="263" max="263" width="11.28515625" style="354" bestFit="1" customWidth="1"/>
    <col min="264" max="264" width="9.42578125" style="354" bestFit="1" customWidth="1"/>
    <col min="265" max="265" width="12.140625" style="354" bestFit="1" customWidth="1"/>
    <col min="266" max="266" width="10.28515625" style="354" bestFit="1" customWidth="1"/>
    <col min="267" max="267" width="14" style="354" bestFit="1" customWidth="1"/>
    <col min="268" max="270" width="8.85546875" style="354"/>
    <col min="271" max="271" width="10.85546875" style="354" customWidth="1"/>
    <col min="272" max="272" width="10.28515625" style="354" bestFit="1" customWidth="1"/>
    <col min="273" max="518" width="8.85546875" style="354"/>
    <col min="519" max="519" width="11.28515625" style="354" bestFit="1" customWidth="1"/>
    <col min="520" max="520" width="9.42578125" style="354" bestFit="1" customWidth="1"/>
    <col min="521" max="521" width="12.140625" style="354" bestFit="1" customWidth="1"/>
    <col min="522" max="522" width="10.28515625" style="354" bestFit="1" customWidth="1"/>
    <col min="523" max="523" width="14" style="354" bestFit="1" customWidth="1"/>
    <col min="524" max="526" width="8.85546875" style="354"/>
    <col min="527" max="527" width="10.85546875" style="354" customWidth="1"/>
    <col min="528" max="528" width="10.28515625" style="354" bestFit="1" customWidth="1"/>
    <col min="529" max="774" width="8.85546875" style="354"/>
    <col min="775" max="775" width="11.28515625" style="354" bestFit="1" customWidth="1"/>
    <col min="776" max="776" width="9.42578125" style="354" bestFit="1" customWidth="1"/>
    <col min="777" max="777" width="12.140625" style="354" bestFit="1" customWidth="1"/>
    <col min="778" max="778" width="10.28515625" style="354" bestFit="1" customWidth="1"/>
    <col min="779" max="779" width="14" style="354" bestFit="1" customWidth="1"/>
    <col min="780" max="782" width="8.85546875" style="354"/>
    <col min="783" max="783" width="10.85546875" style="354" customWidth="1"/>
    <col min="784" max="784" width="10.28515625" style="354" bestFit="1" customWidth="1"/>
    <col min="785" max="1030" width="8.85546875" style="354"/>
    <col min="1031" max="1031" width="11.28515625" style="354" bestFit="1" customWidth="1"/>
    <col min="1032" max="1032" width="9.42578125" style="354" bestFit="1" customWidth="1"/>
    <col min="1033" max="1033" width="12.140625" style="354" bestFit="1" customWidth="1"/>
    <col min="1034" max="1034" width="10.28515625" style="354" bestFit="1" customWidth="1"/>
    <col min="1035" max="1035" width="14" style="354" bestFit="1" customWidth="1"/>
    <col min="1036" max="1038" width="8.85546875" style="354"/>
    <col min="1039" max="1039" width="10.85546875" style="354" customWidth="1"/>
    <col min="1040" max="1040" width="10.28515625" style="354" bestFit="1" customWidth="1"/>
    <col min="1041" max="1286" width="8.85546875" style="354"/>
    <col min="1287" max="1287" width="11.28515625" style="354" bestFit="1" customWidth="1"/>
    <col min="1288" max="1288" width="9.42578125" style="354" bestFit="1" customWidth="1"/>
    <col min="1289" max="1289" width="12.140625" style="354" bestFit="1" customWidth="1"/>
    <col min="1290" max="1290" width="10.28515625" style="354" bestFit="1" customWidth="1"/>
    <col min="1291" max="1291" width="14" style="354" bestFit="1" customWidth="1"/>
    <col min="1292" max="1294" width="8.85546875" style="354"/>
    <col min="1295" max="1295" width="10.85546875" style="354" customWidth="1"/>
    <col min="1296" max="1296" width="10.28515625" style="354" bestFit="1" customWidth="1"/>
    <col min="1297" max="1542" width="8.85546875" style="354"/>
    <col min="1543" max="1543" width="11.28515625" style="354" bestFit="1" customWidth="1"/>
    <col min="1544" max="1544" width="9.42578125" style="354" bestFit="1" customWidth="1"/>
    <col min="1545" max="1545" width="12.140625" style="354" bestFit="1" customWidth="1"/>
    <col min="1546" max="1546" width="10.28515625" style="354" bestFit="1" customWidth="1"/>
    <col min="1547" max="1547" width="14" style="354" bestFit="1" customWidth="1"/>
    <col min="1548" max="1550" width="8.85546875" style="354"/>
    <col min="1551" max="1551" width="10.85546875" style="354" customWidth="1"/>
    <col min="1552" max="1552" width="10.28515625" style="354" bestFit="1" customWidth="1"/>
    <col min="1553" max="1798" width="8.85546875" style="354"/>
    <col min="1799" max="1799" width="11.28515625" style="354" bestFit="1" customWidth="1"/>
    <col min="1800" max="1800" width="9.42578125" style="354" bestFit="1" customWidth="1"/>
    <col min="1801" max="1801" width="12.140625" style="354" bestFit="1" customWidth="1"/>
    <col min="1802" max="1802" width="10.28515625" style="354" bestFit="1" customWidth="1"/>
    <col min="1803" max="1803" width="14" style="354" bestFit="1" customWidth="1"/>
    <col min="1804" max="1806" width="8.85546875" style="354"/>
    <col min="1807" max="1807" width="10.85546875" style="354" customWidth="1"/>
    <col min="1808" max="1808" width="10.28515625" style="354" bestFit="1" customWidth="1"/>
    <col min="1809" max="2054" width="8.85546875" style="354"/>
    <col min="2055" max="2055" width="11.28515625" style="354" bestFit="1" customWidth="1"/>
    <col min="2056" max="2056" width="9.42578125" style="354" bestFit="1" customWidth="1"/>
    <col min="2057" max="2057" width="12.140625" style="354" bestFit="1" customWidth="1"/>
    <col min="2058" max="2058" width="10.28515625" style="354" bestFit="1" customWidth="1"/>
    <col min="2059" max="2059" width="14" style="354" bestFit="1" customWidth="1"/>
    <col min="2060" max="2062" width="8.85546875" style="354"/>
    <col min="2063" max="2063" width="10.85546875" style="354" customWidth="1"/>
    <col min="2064" max="2064" width="10.28515625" style="354" bestFit="1" customWidth="1"/>
    <col min="2065" max="2310" width="8.85546875" style="354"/>
    <col min="2311" max="2311" width="11.28515625" style="354" bestFit="1" customWidth="1"/>
    <col min="2312" max="2312" width="9.42578125" style="354" bestFit="1" customWidth="1"/>
    <col min="2313" max="2313" width="12.140625" style="354" bestFit="1" customWidth="1"/>
    <col min="2314" max="2314" width="10.28515625" style="354" bestFit="1" customWidth="1"/>
    <col min="2315" max="2315" width="14" style="354" bestFit="1" customWidth="1"/>
    <col min="2316" max="2318" width="8.85546875" style="354"/>
    <col min="2319" max="2319" width="10.85546875" style="354" customWidth="1"/>
    <col min="2320" max="2320" width="10.28515625" style="354" bestFit="1" customWidth="1"/>
    <col min="2321" max="2566" width="8.85546875" style="354"/>
    <col min="2567" max="2567" width="11.28515625" style="354" bestFit="1" customWidth="1"/>
    <col min="2568" max="2568" width="9.42578125" style="354" bestFit="1" customWidth="1"/>
    <col min="2569" max="2569" width="12.140625" style="354" bestFit="1" customWidth="1"/>
    <col min="2570" max="2570" width="10.28515625" style="354" bestFit="1" customWidth="1"/>
    <col min="2571" max="2571" width="14" style="354" bestFit="1" customWidth="1"/>
    <col min="2572" max="2574" width="8.85546875" style="354"/>
    <col min="2575" max="2575" width="10.85546875" style="354" customWidth="1"/>
    <col min="2576" max="2576" width="10.28515625" style="354" bestFit="1" customWidth="1"/>
    <col min="2577" max="2822" width="8.85546875" style="354"/>
    <col min="2823" max="2823" width="11.28515625" style="354" bestFit="1" customWidth="1"/>
    <col min="2824" max="2824" width="9.42578125" style="354" bestFit="1" customWidth="1"/>
    <col min="2825" max="2825" width="12.140625" style="354" bestFit="1" customWidth="1"/>
    <col min="2826" max="2826" width="10.28515625" style="354" bestFit="1" customWidth="1"/>
    <col min="2827" max="2827" width="14" style="354" bestFit="1" customWidth="1"/>
    <col min="2828" max="2830" width="8.85546875" style="354"/>
    <col min="2831" max="2831" width="10.85546875" style="354" customWidth="1"/>
    <col min="2832" max="2832" width="10.28515625" style="354" bestFit="1" customWidth="1"/>
    <col min="2833" max="3078" width="8.85546875" style="354"/>
    <col min="3079" max="3079" width="11.28515625" style="354" bestFit="1" customWidth="1"/>
    <col min="3080" max="3080" width="9.42578125" style="354" bestFit="1" customWidth="1"/>
    <col min="3081" max="3081" width="12.140625" style="354" bestFit="1" customWidth="1"/>
    <col min="3082" max="3082" width="10.28515625" style="354" bestFit="1" customWidth="1"/>
    <col min="3083" max="3083" width="14" style="354" bestFit="1" customWidth="1"/>
    <col min="3084" max="3086" width="8.85546875" style="354"/>
    <col min="3087" max="3087" width="10.85546875" style="354" customWidth="1"/>
    <col min="3088" max="3088" width="10.28515625" style="354" bestFit="1" customWidth="1"/>
    <col min="3089" max="3334" width="8.85546875" style="354"/>
    <col min="3335" max="3335" width="11.28515625" style="354" bestFit="1" customWidth="1"/>
    <col min="3336" max="3336" width="9.42578125" style="354" bestFit="1" customWidth="1"/>
    <col min="3337" max="3337" width="12.140625" style="354" bestFit="1" customWidth="1"/>
    <col min="3338" max="3338" width="10.28515625" style="354" bestFit="1" customWidth="1"/>
    <col min="3339" max="3339" width="14" style="354" bestFit="1" customWidth="1"/>
    <col min="3340" max="3342" width="8.85546875" style="354"/>
    <col min="3343" max="3343" width="10.85546875" style="354" customWidth="1"/>
    <col min="3344" max="3344" width="10.28515625" style="354" bestFit="1" customWidth="1"/>
    <col min="3345" max="3590" width="8.85546875" style="354"/>
    <col min="3591" max="3591" width="11.28515625" style="354" bestFit="1" customWidth="1"/>
    <col min="3592" max="3592" width="9.42578125" style="354" bestFit="1" customWidth="1"/>
    <col min="3593" max="3593" width="12.140625" style="354" bestFit="1" customWidth="1"/>
    <col min="3594" max="3594" width="10.28515625" style="354" bestFit="1" customWidth="1"/>
    <col min="3595" max="3595" width="14" style="354" bestFit="1" customWidth="1"/>
    <col min="3596" max="3598" width="8.85546875" style="354"/>
    <col min="3599" max="3599" width="10.85546875" style="354" customWidth="1"/>
    <col min="3600" max="3600" width="10.28515625" style="354" bestFit="1" customWidth="1"/>
    <col min="3601" max="3846" width="8.85546875" style="354"/>
    <col min="3847" max="3847" width="11.28515625" style="354" bestFit="1" customWidth="1"/>
    <col min="3848" max="3848" width="9.42578125" style="354" bestFit="1" customWidth="1"/>
    <col min="3849" max="3849" width="12.140625" style="354" bestFit="1" customWidth="1"/>
    <col min="3850" max="3850" width="10.28515625" style="354" bestFit="1" customWidth="1"/>
    <col min="3851" max="3851" width="14" style="354" bestFit="1" customWidth="1"/>
    <col min="3852" max="3854" width="8.85546875" style="354"/>
    <col min="3855" max="3855" width="10.85546875" style="354" customWidth="1"/>
    <col min="3856" max="3856" width="10.28515625" style="354" bestFit="1" customWidth="1"/>
    <col min="3857" max="4102" width="8.85546875" style="354"/>
    <col min="4103" max="4103" width="11.28515625" style="354" bestFit="1" customWidth="1"/>
    <col min="4104" max="4104" width="9.42578125" style="354" bestFit="1" customWidth="1"/>
    <col min="4105" max="4105" width="12.140625" style="354" bestFit="1" customWidth="1"/>
    <col min="4106" max="4106" width="10.28515625" style="354" bestFit="1" customWidth="1"/>
    <col min="4107" max="4107" width="14" style="354" bestFit="1" customWidth="1"/>
    <col min="4108" max="4110" width="8.85546875" style="354"/>
    <col min="4111" max="4111" width="10.85546875" style="354" customWidth="1"/>
    <col min="4112" max="4112" width="10.28515625" style="354" bestFit="1" customWidth="1"/>
    <col min="4113" max="4358" width="8.85546875" style="354"/>
    <col min="4359" max="4359" width="11.28515625" style="354" bestFit="1" customWidth="1"/>
    <col min="4360" max="4360" width="9.42578125" style="354" bestFit="1" customWidth="1"/>
    <col min="4361" max="4361" width="12.140625" style="354" bestFit="1" customWidth="1"/>
    <col min="4362" max="4362" width="10.28515625" style="354" bestFit="1" customWidth="1"/>
    <col min="4363" max="4363" width="14" style="354" bestFit="1" customWidth="1"/>
    <col min="4364" max="4366" width="8.85546875" style="354"/>
    <col min="4367" max="4367" width="10.85546875" style="354" customWidth="1"/>
    <col min="4368" max="4368" width="10.28515625" style="354" bestFit="1" customWidth="1"/>
    <col min="4369" max="4614" width="8.85546875" style="354"/>
    <col min="4615" max="4615" width="11.28515625" style="354" bestFit="1" customWidth="1"/>
    <col min="4616" max="4616" width="9.42578125" style="354" bestFit="1" customWidth="1"/>
    <col min="4617" max="4617" width="12.140625" style="354" bestFit="1" customWidth="1"/>
    <col min="4618" max="4618" width="10.28515625" style="354" bestFit="1" customWidth="1"/>
    <col min="4619" max="4619" width="14" style="354" bestFit="1" customWidth="1"/>
    <col min="4620" max="4622" width="8.85546875" style="354"/>
    <col min="4623" max="4623" width="10.85546875" style="354" customWidth="1"/>
    <col min="4624" max="4624" width="10.28515625" style="354" bestFit="1" customWidth="1"/>
    <col min="4625" max="4870" width="8.85546875" style="354"/>
    <col min="4871" max="4871" width="11.28515625" style="354" bestFit="1" customWidth="1"/>
    <col min="4872" max="4872" width="9.42578125" style="354" bestFit="1" customWidth="1"/>
    <col min="4873" max="4873" width="12.140625" style="354" bestFit="1" customWidth="1"/>
    <col min="4874" max="4874" width="10.28515625" style="354" bestFit="1" customWidth="1"/>
    <col min="4875" max="4875" width="14" style="354" bestFit="1" customWidth="1"/>
    <col min="4876" max="4878" width="8.85546875" style="354"/>
    <col min="4879" max="4879" width="10.85546875" style="354" customWidth="1"/>
    <col min="4880" max="4880" width="10.28515625" style="354" bestFit="1" customWidth="1"/>
    <col min="4881" max="5126" width="8.85546875" style="354"/>
    <col min="5127" max="5127" width="11.28515625" style="354" bestFit="1" customWidth="1"/>
    <col min="5128" max="5128" width="9.42578125" style="354" bestFit="1" customWidth="1"/>
    <col min="5129" max="5129" width="12.140625" style="354" bestFit="1" customWidth="1"/>
    <col min="5130" max="5130" width="10.28515625" style="354" bestFit="1" customWidth="1"/>
    <col min="5131" max="5131" width="14" style="354" bestFit="1" customWidth="1"/>
    <col min="5132" max="5134" width="8.85546875" style="354"/>
    <col min="5135" max="5135" width="10.85546875" style="354" customWidth="1"/>
    <col min="5136" max="5136" width="10.28515625" style="354" bestFit="1" customWidth="1"/>
    <col min="5137" max="5382" width="8.85546875" style="354"/>
    <col min="5383" max="5383" width="11.28515625" style="354" bestFit="1" customWidth="1"/>
    <col min="5384" max="5384" width="9.42578125" style="354" bestFit="1" customWidth="1"/>
    <col min="5385" max="5385" width="12.140625" style="354" bestFit="1" customWidth="1"/>
    <col min="5386" max="5386" width="10.28515625" style="354" bestFit="1" customWidth="1"/>
    <col min="5387" max="5387" width="14" style="354" bestFit="1" customWidth="1"/>
    <col min="5388" max="5390" width="8.85546875" style="354"/>
    <col min="5391" max="5391" width="10.85546875" style="354" customWidth="1"/>
    <col min="5392" max="5392" width="10.28515625" style="354" bestFit="1" customWidth="1"/>
    <col min="5393" max="5638" width="8.85546875" style="354"/>
    <col min="5639" max="5639" width="11.28515625" style="354" bestFit="1" customWidth="1"/>
    <col min="5640" max="5640" width="9.42578125" style="354" bestFit="1" customWidth="1"/>
    <col min="5641" max="5641" width="12.140625" style="354" bestFit="1" customWidth="1"/>
    <col min="5642" max="5642" width="10.28515625" style="354" bestFit="1" customWidth="1"/>
    <col min="5643" max="5643" width="14" style="354" bestFit="1" customWidth="1"/>
    <col min="5644" max="5646" width="8.85546875" style="354"/>
    <col min="5647" max="5647" width="10.85546875" style="354" customWidth="1"/>
    <col min="5648" max="5648" width="10.28515625" style="354" bestFit="1" customWidth="1"/>
    <col min="5649" max="5894" width="8.85546875" style="354"/>
    <col min="5895" max="5895" width="11.28515625" style="354" bestFit="1" customWidth="1"/>
    <col min="5896" max="5896" width="9.42578125" style="354" bestFit="1" customWidth="1"/>
    <col min="5897" max="5897" width="12.140625" style="354" bestFit="1" customWidth="1"/>
    <col min="5898" max="5898" width="10.28515625" style="354" bestFit="1" customWidth="1"/>
    <col min="5899" max="5899" width="14" style="354" bestFit="1" customWidth="1"/>
    <col min="5900" max="5902" width="8.85546875" style="354"/>
    <col min="5903" max="5903" width="10.85546875" style="354" customWidth="1"/>
    <col min="5904" max="5904" width="10.28515625" style="354" bestFit="1" customWidth="1"/>
    <col min="5905" max="6150" width="8.85546875" style="354"/>
    <col min="6151" max="6151" width="11.28515625" style="354" bestFit="1" customWidth="1"/>
    <col min="6152" max="6152" width="9.42578125" style="354" bestFit="1" customWidth="1"/>
    <col min="6153" max="6153" width="12.140625" style="354" bestFit="1" customWidth="1"/>
    <col min="6154" max="6154" width="10.28515625" style="354" bestFit="1" customWidth="1"/>
    <col min="6155" max="6155" width="14" style="354" bestFit="1" customWidth="1"/>
    <col min="6156" max="6158" width="8.85546875" style="354"/>
    <col min="6159" max="6159" width="10.85546875" style="354" customWidth="1"/>
    <col min="6160" max="6160" width="10.28515625" style="354" bestFit="1" customWidth="1"/>
    <col min="6161" max="6406" width="8.85546875" style="354"/>
    <col min="6407" max="6407" width="11.28515625" style="354" bestFit="1" customWidth="1"/>
    <col min="6408" max="6408" width="9.42578125" style="354" bestFit="1" customWidth="1"/>
    <col min="6409" max="6409" width="12.140625" style="354" bestFit="1" customWidth="1"/>
    <col min="6410" max="6410" width="10.28515625" style="354" bestFit="1" customWidth="1"/>
    <col min="6411" max="6411" width="14" style="354" bestFit="1" customWidth="1"/>
    <col min="6412" max="6414" width="8.85546875" style="354"/>
    <col min="6415" max="6415" width="10.85546875" style="354" customWidth="1"/>
    <col min="6416" max="6416" width="10.28515625" style="354" bestFit="1" customWidth="1"/>
    <col min="6417" max="6662" width="8.85546875" style="354"/>
    <col min="6663" max="6663" width="11.28515625" style="354" bestFit="1" customWidth="1"/>
    <col min="6664" max="6664" width="9.42578125" style="354" bestFit="1" customWidth="1"/>
    <col min="6665" max="6665" width="12.140625" style="354" bestFit="1" customWidth="1"/>
    <col min="6666" max="6666" width="10.28515625" style="354" bestFit="1" customWidth="1"/>
    <col min="6667" max="6667" width="14" style="354" bestFit="1" customWidth="1"/>
    <col min="6668" max="6670" width="8.85546875" style="354"/>
    <col min="6671" max="6671" width="10.85546875" style="354" customWidth="1"/>
    <col min="6672" max="6672" width="10.28515625" style="354" bestFit="1" customWidth="1"/>
    <col min="6673" max="6918" width="8.85546875" style="354"/>
    <col min="6919" max="6919" width="11.28515625" style="354" bestFit="1" customWidth="1"/>
    <col min="6920" max="6920" width="9.42578125" style="354" bestFit="1" customWidth="1"/>
    <col min="6921" max="6921" width="12.140625" style="354" bestFit="1" customWidth="1"/>
    <col min="6922" max="6922" width="10.28515625" style="354" bestFit="1" customWidth="1"/>
    <col min="6923" max="6923" width="14" style="354" bestFit="1" customWidth="1"/>
    <col min="6924" max="6926" width="8.85546875" style="354"/>
    <col min="6927" max="6927" width="10.85546875" style="354" customWidth="1"/>
    <col min="6928" max="6928" width="10.28515625" style="354" bestFit="1" customWidth="1"/>
    <col min="6929" max="7174" width="8.85546875" style="354"/>
    <col min="7175" max="7175" width="11.28515625" style="354" bestFit="1" customWidth="1"/>
    <col min="7176" max="7176" width="9.42578125" style="354" bestFit="1" customWidth="1"/>
    <col min="7177" max="7177" width="12.140625" style="354" bestFit="1" customWidth="1"/>
    <col min="7178" max="7178" width="10.28515625" style="354" bestFit="1" customWidth="1"/>
    <col min="7179" max="7179" width="14" style="354" bestFit="1" customWidth="1"/>
    <col min="7180" max="7182" width="8.85546875" style="354"/>
    <col min="7183" max="7183" width="10.85546875" style="354" customWidth="1"/>
    <col min="7184" max="7184" width="10.28515625" style="354" bestFit="1" customWidth="1"/>
    <col min="7185" max="7430" width="8.85546875" style="354"/>
    <col min="7431" max="7431" width="11.28515625" style="354" bestFit="1" customWidth="1"/>
    <col min="7432" max="7432" width="9.42578125" style="354" bestFit="1" customWidth="1"/>
    <col min="7433" max="7433" width="12.140625" style="354" bestFit="1" customWidth="1"/>
    <col min="7434" max="7434" width="10.28515625" style="354" bestFit="1" customWidth="1"/>
    <col min="7435" max="7435" width="14" style="354" bestFit="1" customWidth="1"/>
    <col min="7436" max="7438" width="8.85546875" style="354"/>
    <col min="7439" max="7439" width="10.85546875" style="354" customWidth="1"/>
    <col min="7440" max="7440" width="10.28515625" style="354" bestFit="1" customWidth="1"/>
    <col min="7441" max="7686" width="8.85546875" style="354"/>
    <col min="7687" max="7687" width="11.28515625" style="354" bestFit="1" customWidth="1"/>
    <col min="7688" max="7688" width="9.42578125" style="354" bestFit="1" customWidth="1"/>
    <col min="7689" max="7689" width="12.140625" style="354" bestFit="1" customWidth="1"/>
    <col min="7690" max="7690" width="10.28515625" style="354" bestFit="1" customWidth="1"/>
    <col min="7691" max="7691" width="14" style="354" bestFit="1" customWidth="1"/>
    <col min="7692" max="7694" width="8.85546875" style="354"/>
    <col min="7695" max="7695" width="10.85546875" style="354" customWidth="1"/>
    <col min="7696" max="7696" width="10.28515625" style="354" bestFit="1" customWidth="1"/>
    <col min="7697" max="7942" width="8.85546875" style="354"/>
    <col min="7943" max="7943" width="11.28515625" style="354" bestFit="1" customWidth="1"/>
    <col min="7944" max="7944" width="9.42578125" style="354" bestFit="1" customWidth="1"/>
    <col min="7945" max="7945" width="12.140625" style="354" bestFit="1" customWidth="1"/>
    <col min="7946" max="7946" width="10.28515625" style="354" bestFit="1" customWidth="1"/>
    <col min="7947" max="7947" width="14" style="354" bestFit="1" customWidth="1"/>
    <col min="7948" max="7950" width="8.85546875" style="354"/>
    <col min="7951" max="7951" width="10.85546875" style="354" customWidth="1"/>
    <col min="7952" max="7952" width="10.28515625" style="354" bestFit="1" customWidth="1"/>
    <col min="7953" max="8198" width="8.85546875" style="354"/>
    <col min="8199" max="8199" width="11.28515625" style="354" bestFit="1" customWidth="1"/>
    <col min="8200" max="8200" width="9.42578125" style="354" bestFit="1" customWidth="1"/>
    <col min="8201" max="8201" width="12.140625" style="354" bestFit="1" customWidth="1"/>
    <col min="8202" max="8202" width="10.28515625" style="354" bestFit="1" customWidth="1"/>
    <col min="8203" max="8203" width="14" style="354" bestFit="1" customWidth="1"/>
    <col min="8204" max="8206" width="8.85546875" style="354"/>
    <col min="8207" max="8207" width="10.85546875" style="354" customWidth="1"/>
    <col min="8208" max="8208" width="10.28515625" style="354" bestFit="1" customWidth="1"/>
    <col min="8209" max="8454" width="8.85546875" style="354"/>
    <col min="8455" max="8455" width="11.28515625" style="354" bestFit="1" customWidth="1"/>
    <col min="8456" max="8456" width="9.42578125" style="354" bestFit="1" customWidth="1"/>
    <col min="8457" max="8457" width="12.140625" style="354" bestFit="1" customWidth="1"/>
    <col min="8458" max="8458" width="10.28515625" style="354" bestFit="1" customWidth="1"/>
    <col min="8459" max="8459" width="14" style="354" bestFit="1" customWidth="1"/>
    <col min="8460" max="8462" width="8.85546875" style="354"/>
    <col min="8463" max="8463" width="10.85546875" style="354" customWidth="1"/>
    <col min="8464" max="8464" width="10.28515625" style="354" bestFit="1" customWidth="1"/>
    <col min="8465" max="8710" width="8.85546875" style="354"/>
    <col min="8711" max="8711" width="11.28515625" style="354" bestFit="1" customWidth="1"/>
    <col min="8712" max="8712" width="9.42578125" style="354" bestFit="1" customWidth="1"/>
    <col min="8713" max="8713" width="12.140625" style="354" bestFit="1" customWidth="1"/>
    <col min="8714" max="8714" width="10.28515625" style="354" bestFit="1" customWidth="1"/>
    <col min="8715" max="8715" width="14" style="354" bestFit="1" customWidth="1"/>
    <col min="8716" max="8718" width="8.85546875" style="354"/>
    <col min="8719" max="8719" width="10.85546875" style="354" customWidth="1"/>
    <col min="8720" max="8720" width="10.28515625" style="354" bestFit="1" customWidth="1"/>
    <col min="8721" max="8966" width="8.85546875" style="354"/>
    <col min="8967" max="8967" width="11.28515625" style="354" bestFit="1" customWidth="1"/>
    <col min="8968" max="8968" width="9.42578125" style="354" bestFit="1" customWidth="1"/>
    <col min="8969" max="8969" width="12.140625" style="354" bestFit="1" customWidth="1"/>
    <col min="8970" max="8970" width="10.28515625" style="354" bestFit="1" customWidth="1"/>
    <col min="8971" max="8971" width="14" style="354" bestFit="1" customWidth="1"/>
    <col min="8972" max="8974" width="8.85546875" style="354"/>
    <col min="8975" max="8975" width="10.85546875" style="354" customWidth="1"/>
    <col min="8976" max="8976" width="10.28515625" style="354" bestFit="1" customWidth="1"/>
    <col min="8977" max="9222" width="8.85546875" style="354"/>
    <col min="9223" max="9223" width="11.28515625" style="354" bestFit="1" customWidth="1"/>
    <col min="9224" max="9224" width="9.42578125" style="354" bestFit="1" customWidth="1"/>
    <col min="9225" max="9225" width="12.140625" style="354" bestFit="1" customWidth="1"/>
    <col min="9226" max="9226" width="10.28515625" style="354" bestFit="1" customWidth="1"/>
    <col min="9227" max="9227" width="14" style="354" bestFit="1" customWidth="1"/>
    <col min="9228" max="9230" width="8.85546875" style="354"/>
    <col min="9231" max="9231" width="10.85546875" style="354" customWidth="1"/>
    <col min="9232" max="9232" width="10.28515625" style="354" bestFit="1" customWidth="1"/>
    <col min="9233" max="9478" width="8.85546875" style="354"/>
    <col min="9479" max="9479" width="11.28515625" style="354" bestFit="1" customWidth="1"/>
    <col min="9480" max="9480" width="9.42578125" style="354" bestFit="1" customWidth="1"/>
    <col min="9481" max="9481" width="12.140625" style="354" bestFit="1" customWidth="1"/>
    <col min="9482" max="9482" width="10.28515625" style="354" bestFit="1" customWidth="1"/>
    <col min="9483" max="9483" width="14" style="354" bestFit="1" customWidth="1"/>
    <col min="9484" max="9486" width="8.85546875" style="354"/>
    <col min="9487" max="9487" width="10.85546875" style="354" customWidth="1"/>
    <col min="9488" max="9488" width="10.28515625" style="354" bestFit="1" customWidth="1"/>
    <col min="9489" max="9734" width="8.85546875" style="354"/>
    <col min="9735" max="9735" width="11.28515625" style="354" bestFit="1" customWidth="1"/>
    <col min="9736" max="9736" width="9.42578125" style="354" bestFit="1" customWidth="1"/>
    <col min="9737" max="9737" width="12.140625" style="354" bestFit="1" customWidth="1"/>
    <col min="9738" max="9738" width="10.28515625" style="354" bestFit="1" customWidth="1"/>
    <col min="9739" max="9739" width="14" style="354" bestFit="1" customWidth="1"/>
    <col min="9740" max="9742" width="8.85546875" style="354"/>
    <col min="9743" max="9743" width="10.85546875" style="354" customWidth="1"/>
    <col min="9744" max="9744" width="10.28515625" style="354" bestFit="1" customWidth="1"/>
    <col min="9745" max="9990" width="8.85546875" style="354"/>
    <col min="9991" max="9991" width="11.28515625" style="354" bestFit="1" customWidth="1"/>
    <col min="9992" max="9992" width="9.42578125" style="354" bestFit="1" customWidth="1"/>
    <col min="9993" max="9993" width="12.140625" style="354" bestFit="1" customWidth="1"/>
    <col min="9994" max="9994" width="10.28515625" style="354" bestFit="1" customWidth="1"/>
    <col min="9995" max="9995" width="14" style="354" bestFit="1" customWidth="1"/>
    <col min="9996" max="9998" width="8.85546875" style="354"/>
    <col min="9999" max="9999" width="10.85546875" style="354" customWidth="1"/>
    <col min="10000" max="10000" width="10.28515625" style="354" bestFit="1" customWidth="1"/>
    <col min="10001" max="10246" width="8.85546875" style="354"/>
    <col min="10247" max="10247" width="11.28515625" style="354" bestFit="1" customWidth="1"/>
    <col min="10248" max="10248" width="9.42578125" style="354" bestFit="1" customWidth="1"/>
    <col min="10249" max="10249" width="12.140625" style="354" bestFit="1" customWidth="1"/>
    <col min="10250" max="10250" width="10.28515625" style="354" bestFit="1" customWidth="1"/>
    <col min="10251" max="10251" width="14" style="354" bestFit="1" customWidth="1"/>
    <col min="10252" max="10254" width="8.85546875" style="354"/>
    <col min="10255" max="10255" width="10.85546875" style="354" customWidth="1"/>
    <col min="10256" max="10256" width="10.28515625" style="354" bestFit="1" customWidth="1"/>
    <col min="10257" max="10502" width="8.85546875" style="354"/>
    <col min="10503" max="10503" width="11.28515625" style="354" bestFit="1" customWidth="1"/>
    <col min="10504" max="10504" width="9.42578125" style="354" bestFit="1" customWidth="1"/>
    <col min="10505" max="10505" width="12.140625" style="354" bestFit="1" customWidth="1"/>
    <col min="10506" max="10506" width="10.28515625" style="354" bestFit="1" customWidth="1"/>
    <col min="10507" max="10507" width="14" style="354" bestFit="1" customWidth="1"/>
    <col min="10508" max="10510" width="8.85546875" style="354"/>
    <col min="10511" max="10511" width="10.85546875" style="354" customWidth="1"/>
    <col min="10512" max="10512" width="10.28515625" style="354" bestFit="1" customWidth="1"/>
    <col min="10513" max="10758" width="8.85546875" style="354"/>
    <col min="10759" max="10759" width="11.28515625" style="354" bestFit="1" customWidth="1"/>
    <col min="10760" max="10760" width="9.42578125" style="354" bestFit="1" customWidth="1"/>
    <col min="10761" max="10761" width="12.140625" style="354" bestFit="1" customWidth="1"/>
    <col min="10762" max="10762" width="10.28515625" style="354" bestFit="1" customWidth="1"/>
    <col min="10763" max="10763" width="14" style="354" bestFit="1" customWidth="1"/>
    <col min="10764" max="10766" width="8.85546875" style="354"/>
    <col min="10767" max="10767" width="10.85546875" style="354" customWidth="1"/>
    <col min="10768" max="10768" width="10.28515625" style="354" bestFit="1" customWidth="1"/>
    <col min="10769" max="11014" width="8.85546875" style="354"/>
    <col min="11015" max="11015" width="11.28515625" style="354" bestFit="1" customWidth="1"/>
    <col min="11016" max="11016" width="9.42578125" style="354" bestFit="1" customWidth="1"/>
    <col min="11017" max="11017" width="12.140625" style="354" bestFit="1" customWidth="1"/>
    <col min="11018" max="11018" width="10.28515625" style="354" bestFit="1" customWidth="1"/>
    <col min="11019" max="11019" width="14" style="354" bestFit="1" customWidth="1"/>
    <col min="11020" max="11022" width="8.85546875" style="354"/>
    <col min="11023" max="11023" width="10.85546875" style="354" customWidth="1"/>
    <col min="11024" max="11024" width="10.28515625" style="354" bestFit="1" customWidth="1"/>
    <col min="11025" max="11270" width="8.85546875" style="354"/>
    <col min="11271" max="11271" width="11.28515625" style="354" bestFit="1" customWidth="1"/>
    <col min="11272" max="11272" width="9.42578125" style="354" bestFit="1" customWidth="1"/>
    <col min="11273" max="11273" width="12.140625" style="354" bestFit="1" customWidth="1"/>
    <col min="11274" max="11274" width="10.28515625" style="354" bestFit="1" customWidth="1"/>
    <col min="11275" max="11275" width="14" style="354" bestFit="1" customWidth="1"/>
    <col min="11276" max="11278" width="8.85546875" style="354"/>
    <col min="11279" max="11279" width="10.85546875" style="354" customWidth="1"/>
    <col min="11280" max="11280" width="10.28515625" style="354" bestFit="1" customWidth="1"/>
    <col min="11281" max="11526" width="8.85546875" style="354"/>
    <col min="11527" max="11527" width="11.28515625" style="354" bestFit="1" customWidth="1"/>
    <col min="11528" max="11528" width="9.42578125" style="354" bestFit="1" customWidth="1"/>
    <col min="11529" max="11529" width="12.140625" style="354" bestFit="1" customWidth="1"/>
    <col min="11530" max="11530" width="10.28515625" style="354" bestFit="1" customWidth="1"/>
    <col min="11531" max="11531" width="14" style="354" bestFit="1" customWidth="1"/>
    <col min="11532" max="11534" width="8.85546875" style="354"/>
    <col min="11535" max="11535" width="10.85546875" style="354" customWidth="1"/>
    <col min="11536" max="11536" width="10.28515625" style="354" bestFit="1" customWidth="1"/>
    <col min="11537" max="11782" width="8.85546875" style="354"/>
    <col min="11783" max="11783" width="11.28515625" style="354" bestFit="1" customWidth="1"/>
    <col min="11784" max="11784" width="9.42578125" style="354" bestFit="1" customWidth="1"/>
    <col min="11785" max="11785" width="12.140625" style="354" bestFit="1" customWidth="1"/>
    <col min="11786" max="11786" width="10.28515625" style="354" bestFit="1" customWidth="1"/>
    <col min="11787" max="11787" width="14" style="354" bestFit="1" customWidth="1"/>
    <col min="11788" max="11790" width="8.85546875" style="354"/>
    <col min="11791" max="11791" width="10.85546875" style="354" customWidth="1"/>
    <col min="11792" max="11792" width="10.28515625" style="354" bestFit="1" customWidth="1"/>
    <col min="11793" max="12038" width="8.85546875" style="354"/>
    <col min="12039" max="12039" width="11.28515625" style="354" bestFit="1" customWidth="1"/>
    <col min="12040" max="12040" width="9.42578125" style="354" bestFit="1" customWidth="1"/>
    <col min="12041" max="12041" width="12.140625" style="354" bestFit="1" customWidth="1"/>
    <col min="12042" max="12042" width="10.28515625" style="354" bestFit="1" customWidth="1"/>
    <col min="12043" max="12043" width="14" style="354" bestFit="1" customWidth="1"/>
    <col min="12044" max="12046" width="8.85546875" style="354"/>
    <col min="12047" max="12047" width="10.85546875" style="354" customWidth="1"/>
    <col min="12048" max="12048" width="10.28515625" style="354" bestFit="1" customWidth="1"/>
    <col min="12049" max="12294" width="8.85546875" style="354"/>
    <col min="12295" max="12295" width="11.28515625" style="354" bestFit="1" customWidth="1"/>
    <col min="12296" max="12296" width="9.42578125" style="354" bestFit="1" customWidth="1"/>
    <col min="12297" max="12297" width="12.140625" style="354" bestFit="1" customWidth="1"/>
    <col min="12298" max="12298" width="10.28515625" style="354" bestFit="1" customWidth="1"/>
    <col min="12299" max="12299" width="14" style="354" bestFit="1" customWidth="1"/>
    <col min="12300" max="12302" width="8.85546875" style="354"/>
    <col min="12303" max="12303" width="10.85546875" style="354" customWidth="1"/>
    <col min="12304" max="12304" width="10.28515625" style="354" bestFit="1" customWidth="1"/>
    <col min="12305" max="12550" width="8.85546875" style="354"/>
    <col min="12551" max="12551" width="11.28515625" style="354" bestFit="1" customWidth="1"/>
    <col min="12552" max="12552" width="9.42578125" style="354" bestFit="1" customWidth="1"/>
    <col min="12553" max="12553" width="12.140625" style="354" bestFit="1" customWidth="1"/>
    <col min="12554" max="12554" width="10.28515625" style="354" bestFit="1" customWidth="1"/>
    <col min="12555" max="12555" width="14" style="354" bestFit="1" customWidth="1"/>
    <col min="12556" max="12558" width="8.85546875" style="354"/>
    <col min="12559" max="12559" width="10.85546875" style="354" customWidth="1"/>
    <col min="12560" max="12560" width="10.28515625" style="354" bestFit="1" customWidth="1"/>
    <col min="12561" max="12806" width="8.85546875" style="354"/>
    <col min="12807" max="12807" width="11.28515625" style="354" bestFit="1" customWidth="1"/>
    <col min="12808" max="12808" width="9.42578125" style="354" bestFit="1" customWidth="1"/>
    <col min="12809" max="12809" width="12.140625" style="354" bestFit="1" customWidth="1"/>
    <col min="12810" max="12810" width="10.28515625" style="354" bestFit="1" customWidth="1"/>
    <col min="12811" max="12811" width="14" style="354" bestFit="1" customWidth="1"/>
    <col min="12812" max="12814" width="8.85546875" style="354"/>
    <col min="12815" max="12815" width="10.85546875" style="354" customWidth="1"/>
    <col min="12816" max="12816" width="10.28515625" style="354" bestFit="1" customWidth="1"/>
    <col min="12817" max="13062" width="8.85546875" style="354"/>
    <col min="13063" max="13063" width="11.28515625" style="354" bestFit="1" customWidth="1"/>
    <col min="13064" max="13064" width="9.42578125" style="354" bestFit="1" customWidth="1"/>
    <col min="13065" max="13065" width="12.140625" style="354" bestFit="1" customWidth="1"/>
    <col min="13066" max="13066" width="10.28515625" style="354" bestFit="1" customWidth="1"/>
    <col min="13067" max="13067" width="14" style="354" bestFit="1" customWidth="1"/>
    <col min="13068" max="13070" width="8.85546875" style="354"/>
    <col min="13071" max="13071" width="10.85546875" style="354" customWidth="1"/>
    <col min="13072" max="13072" width="10.28515625" style="354" bestFit="1" customWidth="1"/>
    <col min="13073" max="13318" width="8.85546875" style="354"/>
    <col min="13319" max="13319" width="11.28515625" style="354" bestFit="1" customWidth="1"/>
    <col min="13320" max="13320" width="9.42578125" style="354" bestFit="1" customWidth="1"/>
    <col min="13321" max="13321" width="12.140625" style="354" bestFit="1" customWidth="1"/>
    <col min="13322" max="13322" width="10.28515625" style="354" bestFit="1" customWidth="1"/>
    <col min="13323" max="13323" width="14" style="354" bestFit="1" customWidth="1"/>
    <col min="13324" max="13326" width="8.85546875" style="354"/>
    <col min="13327" max="13327" width="10.85546875" style="354" customWidth="1"/>
    <col min="13328" max="13328" width="10.28515625" style="354" bestFit="1" customWidth="1"/>
    <col min="13329" max="13574" width="8.85546875" style="354"/>
    <col min="13575" max="13575" width="11.28515625" style="354" bestFit="1" customWidth="1"/>
    <col min="13576" max="13576" width="9.42578125" style="354" bestFit="1" customWidth="1"/>
    <col min="13577" max="13577" width="12.140625" style="354" bestFit="1" customWidth="1"/>
    <col min="13578" max="13578" width="10.28515625" style="354" bestFit="1" customWidth="1"/>
    <col min="13579" max="13579" width="14" style="354" bestFit="1" customWidth="1"/>
    <col min="13580" max="13582" width="8.85546875" style="354"/>
    <col min="13583" max="13583" width="10.85546875" style="354" customWidth="1"/>
    <col min="13584" max="13584" width="10.28515625" style="354" bestFit="1" customWidth="1"/>
    <col min="13585" max="13830" width="8.85546875" style="354"/>
    <col min="13831" max="13831" width="11.28515625" style="354" bestFit="1" customWidth="1"/>
    <col min="13832" max="13832" width="9.42578125" style="354" bestFit="1" customWidth="1"/>
    <col min="13833" max="13833" width="12.140625" style="354" bestFit="1" customWidth="1"/>
    <col min="13834" max="13834" width="10.28515625" style="354" bestFit="1" customWidth="1"/>
    <col min="13835" max="13835" width="14" style="354" bestFit="1" customWidth="1"/>
    <col min="13836" max="13838" width="8.85546875" style="354"/>
    <col min="13839" max="13839" width="10.85546875" style="354" customWidth="1"/>
    <col min="13840" max="13840" width="10.28515625" style="354" bestFit="1" customWidth="1"/>
    <col min="13841" max="14086" width="8.85546875" style="354"/>
    <col min="14087" max="14087" width="11.28515625" style="354" bestFit="1" customWidth="1"/>
    <col min="14088" max="14088" width="9.42578125" style="354" bestFit="1" customWidth="1"/>
    <col min="14089" max="14089" width="12.140625" style="354" bestFit="1" customWidth="1"/>
    <col min="14090" max="14090" width="10.28515625" style="354" bestFit="1" customWidth="1"/>
    <col min="14091" max="14091" width="14" style="354" bestFit="1" customWidth="1"/>
    <col min="14092" max="14094" width="8.85546875" style="354"/>
    <col min="14095" max="14095" width="10.85546875" style="354" customWidth="1"/>
    <col min="14096" max="14096" width="10.28515625" style="354" bestFit="1" customWidth="1"/>
    <col min="14097" max="14342" width="8.85546875" style="354"/>
    <col min="14343" max="14343" width="11.28515625" style="354" bestFit="1" customWidth="1"/>
    <col min="14344" max="14344" width="9.42578125" style="354" bestFit="1" customWidth="1"/>
    <col min="14345" max="14345" width="12.140625" style="354" bestFit="1" customWidth="1"/>
    <col min="14346" max="14346" width="10.28515625" style="354" bestFit="1" customWidth="1"/>
    <col min="14347" max="14347" width="14" style="354" bestFit="1" customWidth="1"/>
    <col min="14348" max="14350" width="8.85546875" style="354"/>
    <col min="14351" max="14351" width="10.85546875" style="354" customWidth="1"/>
    <col min="14352" max="14352" width="10.28515625" style="354" bestFit="1" customWidth="1"/>
    <col min="14353" max="14598" width="8.85546875" style="354"/>
    <col min="14599" max="14599" width="11.28515625" style="354" bestFit="1" customWidth="1"/>
    <col min="14600" max="14600" width="9.42578125" style="354" bestFit="1" customWidth="1"/>
    <col min="14601" max="14601" width="12.140625" style="354" bestFit="1" customWidth="1"/>
    <col min="14602" max="14602" width="10.28515625" style="354" bestFit="1" customWidth="1"/>
    <col min="14603" max="14603" width="14" style="354" bestFit="1" customWidth="1"/>
    <col min="14604" max="14606" width="8.85546875" style="354"/>
    <col min="14607" max="14607" width="10.85546875" style="354" customWidth="1"/>
    <col min="14608" max="14608" width="10.28515625" style="354" bestFit="1" customWidth="1"/>
    <col min="14609" max="14854" width="8.85546875" style="354"/>
    <col min="14855" max="14855" width="11.28515625" style="354" bestFit="1" customWidth="1"/>
    <col min="14856" max="14856" width="9.42578125" style="354" bestFit="1" customWidth="1"/>
    <col min="14857" max="14857" width="12.140625" style="354" bestFit="1" customWidth="1"/>
    <col min="14858" max="14858" width="10.28515625" style="354" bestFit="1" customWidth="1"/>
    <col min="14859" max="14859" width="14" style="354" bestFit="1" customWidth="1"/>
    <col min="14860" max="14862" width="8.85546875" style="354"/>
    <col min="14863" max="14863" width="10.85546875" style="354" customWidth="1"/>
    <col min="14864" max="14864" width="10.28515625" style="354" bestFit="1" customWidth="1"/>
    <col min="14865" max="15110" width="8.85546875" style="354"/>
    <col min="15111" max="15111" width="11.28515625" style="354" bestFit="1" customWidth="1"/>
    <col min="15112" max="15112" width="9.42578125" style="354" bestFit="1" customWidth="1"/>
    <col min="15113" max="15113" width="12.140625" style="354" bestFit="1" customWidth="1"/>
    <col min="15114" max="15114" width="10.28515625" style="354" bestFit="1" customWidth="1"/>
    <col min="15115" max="15115" width="14" style="354" bestFit="1" customWidth="1"/>
    <col min="15116" max="15118" width="8.85546875" style="354"/>
    <col min="15119" max="15119" width="10.85546875" style="354" customWidth="1"/>
    <col min="15120" max="15120" width="10.28515625" style="354" bestFit="1" customWidth="1"/>
    <col min="15121" max="15366" width="8.85546875" style="354"/>
    <col min="15367" max="15367" width="11.28515625" style="354" bestFit="1" customWidth="1"/>
    <col min="15368" max="15368" width="9.42578125" style="354" bestFit="1" customWidth="1"/>
    <col min="15369" max="15369" width="12.140625" style="354" bestFit="1" customWidth="1"/>
    <col min="15370" max="15370" width="10.28515625" style="354" bestFit="1" customWidth="1"/>
    <col min="15371" max="15371" width="14" style="354" bestFit="1" customWidth="1"/>
    <col min="15372" max="15374" width="8.85546875" style="354"/>
    <col min="15375" max="15375" width="10.85546875" style="354" customWidth="1"/>
    <col min="15376" max="15376" width="10.28515625" style="354" bestFit="1" customWidth="1"/>
    <col min="15377" max="15622" width="8.85546875" style="354"/>
    <col min="15623" max="15623" width="11.28515625" style="354" bestFit="1" customWidth="1"/>
    <col min="15624" max="15624" width="9.42578125" style="354" bestFit="1" customWidth="1"/>
    <col min="15625" max="15625" width="12.140625" style="354" bestFit="1" customWidth="1"/>
    <col min="15626" max="15626" width="10.28515625" style="354" bestFit="1" customWidth="1"/>
    <col min="15627" max="15627" width="14" style="354" bestFit="1" customWidth="1"/>
    <col min="15628" max="15630" width="8.85546875" style="354"/>
    <col min="15631" max="15631" width="10.85546875" style="354" customWidth="1"/>
    <col min="15632" max="15632" width="10.28515625" style="354" bestFit="1" customWidth="1"/>
    <col min="15633" max="15878" width="8.85546875" style="354"/>
    <col min="15879" max="15879" width="11.28515625" style="354" bestFit="1" customWidth="1"/>
    <col min="15880" max="15880" width="9.42578125" style="354" bestFit="1" customWidth="1"/>
    <col min="15881" max="15881" width="12.140625" style="354" bestFit="1" customWidth="1"/>
    <col min="15882" max="15882" width="10.28515625" style="354" bestFit="1" customWidth="1"/>
    <col min="15883" max="15883" width="14" style="354" bestFit="1" customWidth="1"/>
    <col min="15884" max="15886" width="8.85546875" style="354"/>
    <col min="15887" max="15887" width="10.85546875" style="354" customWidth="1"/>
    <col min="15888" max="15888" width="10.28515625" style="354" bestFit="1" customWidth="1"/>
    <col min="15889" max="16134" width="8.85546875" style="354"/>
    <col min="16135" max="16135" width="11.28515625" style="354" bestFit="1" customWidth="1"/>
    <col min="16136" max="16136" width="9.42578125" style="354" bestFit="1" customWidth="1"/>
    <col min="16137" max="16137" width="12.140625" style="354" bestFit="1" customWidth="1"/>
    <col min="16138" max="16138" width="10.28515625" style="354" bestFit="1" customWidth="1"/>
    <col min="16139" max="16139" width="14" style="354" bestFit="1" customWidth="1"/>
    <col min="16140" max="16142" width="8.85546875" style="354"/>
    <col min="16143" max="16143" width="10.85546875" style="354" customWidth="1"/>
    <col min="16144" max="16144" width="10.28515625" style="354" bestFit="1" customWidth="1"/>
    <col min="16145" max="16384" width="8.85546875" style="354"/>
  </cols>
  <sheetData>
    <row r="1" spans="1:16" ht="15">
      <c r="A1" s="381" t="s">
        <v>32</v>
      </c>
      <c r="B1" s="380"/>
      <c r="C1" s="380"/>
      <c r="D1" s="380"/>
      <c r="E1" s="380"/>
      <c r="F1" s="380"/>
      <c r="G1" s="380"/>
      <c r="H1" s="380"/>
      <c r="I1" s="380"/>
      <c r="J1" s="379"/>
      <c r="K1" s="378" t="s">
        <v>444</v>
      </c>
      <c r="O1" s="423" t="s">
        <v>522</v>
      </c>
    </row>
    <row r="2" spans="1:16" ht="15">
      <c r="A2" s="381" t="s">
        <v>1</v>
      </c>
      <c r="B2" s="380"/>
      <c r="C2" s="380"/>
      <c r="D2" s="380"/>
      <c r="E2" s="380"/>
      <c r="F2" s="380"/>
      <c r="G2" s="380"/>
      <c r="H2" s="380"/>
      <c r="I2" s="380"/>
      <c r="J2" s="379"/>
      <c r="K2" s="378" t="s">
        <v>29</v>
      </c>
      <c r="O2" s="354" t="s">
        <v>516</v>
      </c>
    </row>
    <row r="3" spans="1:16" ht="15">
      <c r="A3" s="377" t="s">
        <v>535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O3" s="357">
        <v>40664</v>
      </c>
      <c r="P3" s="425">
        <v>1.6000000000000001E-3</v>
      </c>
    </row>
    <row r="4" spans="1:16" ht="15">
      <c r="A4" s="376" t="s">
        <v>515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O4" s="357">
        <v>40695</v>
      </c>
      <c r="P4" s="424">
        <v>1.5E-3</v>
      </c>
    </row>
    <row r="5" spans="1:16" ht="14.25">
      <c r="A5" s="410"/>
      <c r="B5" s="410"/>
      <c r="C5" s="410"/>
      <c r="D5" s="410"/>
      <c r="E5" s="410"/>
      <c r="F5" s="410"/>
      <c r="G5" s="410"/>
      <c r="H5" s="410"/>
      <c r="I5" s="410"/>
      <c r="J5" s="410"/>
      <c r="K5" s="410"/>
      <c r="O5" s="357">
        <v>40725</v>
      </c>
      <c r="P5" s="424">
        <v>1.4E-3</v>
      </c>
    </row>
    <row r="6" spans="1:16" ht="14.25">
      <c r="A6" s="410"/>
      <c r="B6" s="410"/>
      <c r="C6" s="410"/>
      <c r="D6" s="410"/>
      <c r="E6" s="410"/>
      <c r="F6" s="410"/>
      <c r="G6" s="410"/>
      <c r="H6" s="410"/>
      <c r="I6" s="410"/>
      <c r="J6" s="410"/>
      <c r="K6" s="410"/>
      <c r="O6" s="357">
        <v>40756</v>
      </c>
      <c r="P6" s="425">
        <v>1.6000000000000001E-3</v>
      </c>
    </row>
    <row r="7" spans="1:16" ht="15">
      <c r="A7" s="375" t="s">
        <v>24</v>
      </c>
      <c r="B7" s="374"/>
      <c r="C7" s="374"/>
      <c r="D7" s="374"/>
      <c r="E7" s="374"/>
      <c r="F7" s="374"/>
      <c r="G7" s="410"/>
      <c r="H7" s="410"/>
      <c r="I7" s="410"/>
      <c r="J7" s="410"/>
      <c r="K7" s="410"/>
      <c r="O7" s="357">
        <v>40787</v>
      </c>
      <c r="P7" s="424">
        <v>1.4E-3</v>
      </c>
    </row>
    <row r="8" spans="1:16" ht="15">
      <c r="A8" s="371" t="s">
        <v>23</v>
      </c>
      <c r="B8" s="373" t="s">
        <v>514</v>
      </c>
      <c r="C8" s="372"/>
      <c r="D8" s="372"/>
      <c r="E8" s="372"/>
      <c r="F8" s="365"/>
      <c r="G8" s="365"/>
      <c r="H8" s="365"/>
      <c r="I8" s="365"/>
      <c r="J8" s="410"/>
      <c r="K8" s="371" t="s">
        <v>513</v>
      </c>
      <c r="O8" s="357">
        <v>40817</v>
      </c>
      <c r="P8" s="424">
        <v>1.5E-3</v>
      </c>
    </row>
    <row r="9" spans="1:16" ht="14.25">
      <c r="A9" s="410"/>
      <c r="B9" s="410"/>
      <c r="C9" s="410"/>
      <c r="D9" s="410"/>
      <c r="E9" s="410"/>
      <c r="F9" s="410"/>
      <c r="G9" s="410"/>
      <c r="H9" s="410"/>
      <c r="I9" s="410"/>
      <c r="J9" s="410"/>
      <c r="K9" s="410"/>
      <c r="O9" s="357">
        <v>40848</v>
      </c>
      <c r="P9" s="424">
        <v>1.4E-3</v>
      </c>
    </row>
    <row r="10" spans="1:16" ht="14.25">
      <c r="A10" s="358">
        <v>1</v>
      </c>
      <c r="B10" s="410" t="s">
        <v>525</v>
      </c>
      <c r="C10" s="410"/>
      <c r="D10" s="410"/>
      <c r="E10" s="410"/>
      <c r="F10" s="410"/>
      <c r="G10" s="410"/>
      <c r="H10" s="410"/>
      <c r="I10" s="410"/>
      <c r="J10" s="410"/>
      <c r="K10" s="467">
        <v>0</v>
      </c>
      <c r="O10" s="357">
        <v>40878</v>
      </c>
      <c r="P10" s="424">
        <v>1.4E-3</v>
      </c>
    </row>
    <row r="11" spans="1:16" ht="14.25">
      <c r="A11" s="358">
        <v>2</v>
      </c>
      <c r="C11" s="410"/>
      <c r="D11" s="410"/>
      <c r="E11" s="410"/>
      <c r="F11" s="410"/>
      <c r="G11" s="410"/>
      <c r="H11" s="410"/>
      <c r="I11" s="410"/>
      <c r="J11" s="410"/>
      <c r="K11" s="468"/>
      <c r="O11" s="357">
        <v>40909</v>
      </c>
      <c r="P11" s="424">
        <v>1.4E-3</v>
      </c>
    </row>
    <row r="12" spans="1:16" ht="14.25">
      <c r="A12" s="358">
        <v>3</v>
      </c>
      <c r="B12" s="410" t="s">
        <v>534</v>
      </c>
      <c r="C12" s="410"/>
      <c r="D12" s="410"/>
      <c r="E12" s="410"/>
      <c r="F12" s="410"/>
      <c r="G12" s="410"/>
      <c r="H12" s="410"/>
      <c r="I12" s="410"/>
      <c r="J12" s="410"/>
      <c r="K12" s="469">
        <v>0</v>
      </c>
      <c r="O12" s="357">
        <v>40940</v>
      </c>
      <c r="P12" s="424">
        <v>1.6999999999999999E-3</v>
      </c>
    </row>
    <row r="13" spans="1:16" ht="14.25">
      <c r="A13" s="358">
        <v>4</v>
      </c>
      <c r="B13" s="410" t="s">
        <v>512</v>
      </c>
      <c r="C13" s="410"/>
      <c r="D13" s="410"/>
      <c r="E13" s="410"/>
      <c r="F13" s="410"/>
      <c r="G13" s="410"/>
      <c r="H13" s="410"/>
      <c r="I13" s="363"/>
      <c r="J13" s="410"/>
      <c r="K13" s="470">
        <v>0</v>
      </c>
      <c r="O13" s="357">
        <v>40969</v>
      </c>
      <c r="P13" s="424">
        <v>1.8E-3</v>
      </c>
    </row>
    <row r="14" spans="1:16" ht="15" thickBot="1">
      <c r="A14" s="358">
        <v>5</v>
      </c>
      <c r="B14" s="410" t="s">
        <v>511</v>
      </c>
      <c r="C14" s="410"/>
      <c r="D14" s="410"/>
      <c r="E14" s="410"/>
      <c r="F14" s="410"/>
      <c r="G14" s="410"/>
      <c r="H14" s="410"/>
      <c r="I14" s="410"/>
      <c r="J14" s="410"/>
      <c r="K14" s="407">
        <f>SUM(K10:K13)</f>
        <v>0</v>
      </c>
      <c r="O14" s="357">
        <v>41000</v>
      </c>
      <c r="P14" s="424">
        <v>2E-3</v>
      </c>
    </row>
    <row r="15" spans="1:16" ht="17.25" thickTop="1" thickBot="1">
      <c r="A15" s="358">
        <v>6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O15" s="367" t="s">
        <v>154</v>
      </c>
      <c r="P15" s="424">
        <f>AVERAGE(P3:P14)</f>
        <v>1.5583333333333334E-3</v>
      </c>
    </row>
    <row r="16" spans="1:16" ht="16.5" thickBot="1">
      <c r="A16" s="358">
        <v>7</v>
      </c>
      <c r="B16" s="410" t="s">
        <v>510</v>
      </c>
      <c r="C16" s="410"/>
      <c r="D16" s="410"/>
      <c r="E16" s="410"/>
      <c r="F16" s="410"/>
      <c r="G16" s="410"/>
      <c r="H16" s="410"/>
      <c r="I16" s="410"/>
      <c r="J16" s="410"/>
      <c r="K16" s="471">
        <v>0</v>
      </c>
      <c r="O16" s="367" t="s">
        <v>508</v>
      </c>
      <c r="P16" s="426">
        <v>5.0000000000000001E-3</v>
      </c>
    </row>
    <row r="17" spans="1:17" ht="15.75">
      <c r="A17" s="358">
        <v>8</v>
      </c>
      <c r="B17" s="410" t="s">
        <v>509</v>
      </c>
      <c r="C17" s="410"/>
      <c r="D17" s="410"/>
      <c r="E17" s="410"/>
      <c r="F17" s="410"/>
      <c r="G17" s="410"/>
      <c r="H17" s="410"/>
      <c r="I17" s="410"/>
      <c r="J17" s="410"/>
      <c r="K17" s="410"/>
      <c r="O17" s="367" t="s">
        <v>115</v>
      </c>
      <c r="P17" s="424">
        <f>P15-P16</f>
        <v>-3.4416666666666667E-3</v>
      </c>
    </row>
    <row r="18" spans="1:17" ht="15.75">
      <c r="A18" s="358">
        <v>9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O18" s="367"/>
    </row>
    <row r="19" spans="1:17" ht="15">
      <c r="A19" s="358">
        <v>10</v>
      </c>
      <c r="B19" s="410"/>
      <c r="C19" s="410"/>
      <c r="D19" s="410"/>
      <c r="E19" s="410"/>
      <c r="F19" s="410"/>
      <c r="G19" s="410"/>
      <c r="H19" s="370" t="s">
        <v>507</v>
      </c>
      <c r="I19" s="370" t="s">
        <v>506</v>
      </c>
      <c r="J19" s="370" t="s">
        <v>505</v>
      </c>
      <c r="K19" s="410"/>
      <c r="O19" s="354" t="s">
        <v>504</v>
      </c>
    </row>
    <row r="20" spans="1:17" ht="15">
      <c r="A20" s="358">
        <v>11</v>
      </c>
      <c r="B20" s="366" t="s">
        <v>155</v>
      </c>
      <c r="C20" s="365"/>
      <c r="D20" s="365"/>
      <c r="E20" s="365"/>
      <c r="F20" s="365"/>
      <c r="G20" s="410"/>
      <c r="H20" s="369" t="s">
        <v>13</v>
      </c>
      <c r="I20" s="369" t="s">
        <v>14</v>
      </c>
      <c r="J20" s="369" t="s">
        <v>114</v>
      </c>
      <c r="K20" s="410"/>
    </row>
    <row r="21" spans="1:17" ht="14.25">
      <c r="A21" s="358">
        <v>12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</row>
    <row r="22" spans="1:17" ht="14.25">
      <c r="A22" s="358">
        <v>13</v>
      </c>
      <c r="B22" s="410" t="s">
        <v>503</v>
      </c>
      <c r="C22" s="410"/>
      <c r="D22" s="410"/>
      <c r="E22" s="410"/>
      <c r="F22" s="410"/>
      <c r="G22" s="410"/>
      <c r="H22" s="472">
        <v>0</v>
      </c>
      <c r="I22" s="473">
        <f>K14</f>
        <v>0</v>
      </c>
      <c r="J22" s="427">
        <f>SUM(H22:I22)</f>
        <v>0</v>
      </c>
      <c r="K22" s="410"/>
    </row>
    <row r="23" spans="1:17" ht="14.25">
      <c r="A23" s="358">
        <v>14</v>
      </c>
      <c r="B23" s="410"/>
      <c r="C23" s="410"/>
      <c r="D23" s="410"/>
      <c r="E23" s="410"/>
      <c r="F23" s="410"/>
      <c r="G23" s="410"/>
      <c r="H23" s="474">
        <v>0</v>
      </c>
      <c r="I23" s="475">
        <v>0</v>
      </c>
      <c r="J23" s="428">
        <f>SUM(H23:I23)</f>
        <v>0</v>
      </c>
      <c r="K23" s="410"/>
      <c r="P23" s="424"/>
    </row>
    <row r="24" spans="1:17" ht="14.25">
      <c r="A24" s="358">
        <v>15</v>
      </c>
      <c r="B24" s="410"/>
      <c r="C24" s="410"/>
      <c r="D24" s="410"/>
      <c r="E24" s="410"/>
      <c r="F24" s="410"/>
      <c r="G24" s="410"/>
      <c r="H24" s="368"/>
      <c r="I24" s="429"/>
      <c r="J24" s="429"/>
      <c r="K24" s="410"/>
    </row>
    <row r="25" spans="1:17" ht="14.25">
      <c r="A25" s="358">
        <v>16</v>
      </c>
      <c r="B25" s="410" t="s">
        <v>502</v>
      </c>
      <c r="C25" s="410"/>
      <c r="D25" s="410"/>
      <c r="E25" s="410"/>
      <c r="F25" s="410"/>
      <c r="G25" s="410"/>
      <c r="H25" s="428">
        <f>SUM(H22:H24)</f>
        <v>0</v>
      </c>
      <c r="I25" s="428">
        <f>SUM(I22:I24)</f>
        <v>0</v>
      </c>
      <c r="J25" s="430">
        <f>SUM(J22:J24)</f>
        <v>0</v>
      </c>
      <c r="K25" s="410"/>
    </row>
    <row r="26" spans="1:17" ht="14.25">
      <c r="A26" s="358">
        <v>17</v>
      </c>
      <c r="B26" s="410" t="s">
        <v>501</v>
      </c>
      <c r="C26" s="410"/>
      <c r="D26" s="410"/>
      <c r="E26" s="410"/>
      <c r="F26" s="410"/>
      <c r="G26" s="410"/>
      <c r="H26" s="368">
        <f>H25*K16</f>
        <v>0</v>
      </c>
      <c r="I26" s="368">
        <f>I25*K16</f>
        <v>0</v>
      </c>
      <c r="J26" s="429">
        <f>SUM(H26:I26)</f>
        <v>0</v>
      </c>
      <c r="K26" s="410"/>
      <c r="Q26" s="424"/>
    </row>
    <row r="27" spans="1:17" ht="16.5" thickBot="1">
      <c r="A27" s="358">
        <v>18</v>
      </c>
      <c r="B27" s="410" t="s">
        <v>114</v>
      </c>
      <c r="C27" s="410"/>
      <c r="D27" s="410"/>
      <c r="E27" s="410"/>
      <c r="F27" s="410"/>
      <c r="G27" s="410"/>
      <c r="H27" s="431">
        <f>SUM(H25:H26)</f>
        <v>0</v>
      </c>
      <c r="I27" s="431">
        <f>SUM(I25:I26)</f>
        <v>0</v>
      </c>
      <c r="J27" s="431">
        <f>SUM(J25:J26)</f>
        <v>0</v>
      </c>
      <c r="K27" s="410"/>
      <c r="O27" s="367" t="s">
        <v>500</v>
      </c>
      <c r="Q27" s="424"/>
    </row>
    <row r="28" spans="1:17" ht="15" thickTop="1">
      <c r="A28" s="358">
        <v>19</v>
      </c>
      <c r="B28" s="410"/>
      <c r="C28" s="410"/>
      <c r="D28" s="410"/>
      <c r="E28" s="410"/>
      <c r="F28" s="410"/>
      <c r="G28" s="410"/>
      <c r="H28" s="432"/>
      <c r="I28" s="432"/>
      <c r="J28" s="432"/>
      <c r="K28" s="410"/>
      <c r="O28" s="354" t="s">
        <v>498</v>
      </c>
      <c r="Q28" s="424"/>
    </row>
    <row r="29" spans="1:17" ht="15">
      <c r="A29" s="358">
        <v>20</v>
      </c>
      <c r="B29" s="366" t="s">
        <v>499</v>
      </c>
      <c r="C29" s="365"/>
      <c r="D29" s="365"/>
      <c r="E29" s="365"/>
      <c r="F29" s="365"/>
      <c r="G29" s="410"/>
      <c r="H29" s="410"/>
      <c r="I29" s="410"/>
      <c r="J29" s="410"/>
      <c r="K29" s="410"/>
      <c r="O29" s="354" t="s">
        <v>497</v>
      </c>
      <c r="Q29" s="424"/>
    </row>
    <row r="30" spans="1:17" ht="15">
      <c r="A30" s="358">
        <v>21</v>
      </c>
      <c r="B30" s="364"/>
      <c r="C30" s="363"/>
      <c r="D30" s="363"/>
      <c r="E30" s="363"/>
      <c r="F30" s="363"/>
      <c r="G30" s="410"/>
      <c r="H30" s="410"/>
      <c r="I30" s="410"/>
      <c r="J30" s="410"/>
      <c r="K30" s="410"/>
      <c r="O30" s="354" t="s">
        <v>495</v>
      </c>
      <c r="Q30" s="424"/>
    </row>
    <row r="31" spans="1:17" ht="14.25">
      <c r="A31" s="358">
        <v>22</v>
      </c>
      <c r="B31" s="410" t="s">
        <v>496</v>
      </c>
      <c r="C31" s="410"/>
      <c r="D31" s="410"/>
      <c r="E31" s="410"/>
      <c r="F31" s="410"/>
      <c r="G31" s="410"/>
      <c r="H31" s="410"/>
      <c r="I31" s="410"/>
      <c r="J31" s="410"/>
      <c r="K31" s="410"/>
      <c r="O31" s="354" t="s">
        <v>493</v>
      </c>
      <c r="Q31" s="424"/>
    </row>
    <row r="32" spans="1:17" ht="14.25">
      <c r="A32" s="358">
        <v>23</v>
      </c>
      <c r="B32" s="410" t="s">
        <v>494</v>
      </c>
      <c r="C32" s="410"/>
      <c r="D32" s="410"/>
      <c r="E32" s="410"/>
      <c r="F32" s="410"/>
      <c r="G32" s="433">
        <f>+B.8!F22</f>
        <v>0.14949999999999999</v>
      </c>
      <c r="H32" s="410"/>
      <c r="I32" s="410"/>
      <c r="J32" s="410"/>
      <c r="K32" s="410"/>
      <c r="O32" s="354" t="s">
        <v>491</v>
      </c>
      <c r="Q32" s="424"/>
    </row>
    <row r="33" spans="1:17" ht="14.25">
      <c r="A33" s="358">
        <v>24</v>
      </c>
      <c r="B33" s="410" t="s">
        <v>492</v>
      </c>
      <c r="C33" s="410"/>
      <c r="D33" s="410"/>
      <c r="E33" s="410"/>
      <c r="F33" s="410"/>
      <c r="G33" s="434"/>
      <c r="H33" s="410"/>
      <c r="I33" s="410"/>
      <c r="J33" s="410"/>
      <c r="K33" s="410"/>
      <c r="Q33" s="424"/>
    </row>
    <row r="34" spans="1:17" ht="14.25">
      <c r="A34" s="358">
        <v>25</v>
      </c>
      <c r="B34" s="410" t="s">
        <v>490</v>
      </c>
      <c r="C34" s="410"/>
      <c r="D34" s="410"/>
      <c r="E34" s="410"/>
      <c r="F34" s="410"/>
      <c r="G34" s="433">
        <f>1-G32</f>
        <v>0.85050000000000003</v>
      </c>
      <c r="H34" s="410"/>
      <c r="I34" s="410"/>
      <c r="J34" s="410"/>
      <c r="K34" s="410"/>
      <c r="O34" s="354" t="s">
        <v>488</v>
      </c>
      <c r="Q34" s="424"/>
    </row>
    <row r="35" spans="1:17" ht="14.25">
      <c r="A35" s="358">
        <v>26</v>
      </c>
      <c r="B35" s="410" t="s">
        <v>489</v>
      </c>
      <c r="C35" s="410"/>
      <c r="D35" s="410"/>
      <c r="E35" s="410"/>
      <c r="F35" s="410"/>
      <c r="G35" s="434"/>
      <c r="H35" s="410"/>
      <c r="I35" s="410"/>
      <c r="J35" s="410"/>
      <c r="K35" s="410"/>
      <c r="O35" s="354" t="s">
        <v>486</v>
      </c>
      <c r="Q35" s="424"/>
    </row>
    <row r="36" spans="1:17" ht="14.25">
      <c r="A36" s="358">
        <v>27</v>
      </c>
      <c r="B36" s="410" t="s">
        <v>487</v>
      </c>
      <c r="C36" s="410"/>
      <c r="D36" s="410"/>
      <c r="E36" s="410"/>
      <c r="F36" s="410"/>
      <c r="G36" s="434">
        <f>+B.6!G35</f>
        <v>16713758.702238854</v>
      </c>
      <c r="H36" s="410"/>
      <c r="I36" s="410"/>
      <c r="J36" s="410"/>
      <c r="K36" s="410"/>
      <c r="O36" s="354" t="s">
        <v>484</v>
      </c>
      <c r="Q36" s="424"/>
    </row>
    <row r="37" spans="1:17" ht="14.25">
      <c r="A37" s="358">
        <v>28</v>
      </c>
      <c r="B37" s="410" t="s">
        <v>485</v>
      </c>
      <c r="C37" s="410"/>
      <c r="D37" s="410"/>
      <c r="E37" s="410"/>
      <c r="F37" s="410"/>
      <c r="G37" s="434"/>
      <c r="H37" s="410"/>
      <c r="I37" s="410"/>
      <c r="J37" s="410"/>
      <c r="K37" s="410"/>
      <c r="O37" s="354" t="s">
        <v>482</v>
      </c>
      <c r="Q37" s="424"/>
    </row>
    <row r="38" spans="1:17" ht="14.25">
      <c r="A38" s="358">
        <v>29</v>
      </c>
      <c r="B38" s="410" t="s">
        <v>483</v>
      </c>
      <c r="C38" s="410"/>
      <c r="D38" s="410"/>
      <c r="E38" s="410"/>
      <c r="F38" s="410"/>
      <c r="G38" s="434">
        <f>+B.6!F35</f>
        <v>16941089.02600522</v>
      </c>
      <c r="H38" s="410"/>
      <c r="I38" s="410"/>
      <c r="J38" s="410"/>
      <c r="K38" s="410"/>
      <c r="O38" s="354" t="s">
        <v>481</v>
      </c>
    </row>
    <row r="39" spans="1:17" ht="14.25">
      <c r="A39" s="358">
        <v>30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O39" s="354" t="s">
        <v>479</v>
      </c>
    </row>
    <row r="40" spans="1:17" ht="14.25">
      <c r="A40" s="358">
        <v>31</v>
      </c>
      <c r="B40" s="410" t="s">
        <v>480</v>
      </c>
      <c r="C40" s="410"/>
      <c r="D40" s="410"/>
      <c r="E40" s="410"/>
      <c r="F40" s="410"/>
      <c r="G40" s="427">
        <f>H27</f>
        <v>0</v>
      </c>
      <c r="H40" s="435">
        <f>ROUND(G40/$G$38,4)</f>
        <v>0</v>
      </c>
      <c r="I40" s="361" t="s">
        <v>462</v>
      </c>
      <c r="J40" s="410"/>
      <c r="K40" s="410"/>
      <c r="O40" s="354" t="s">
        <v>477</v>
      </c>
    </row>
    <row r="41" spans="1:17" ht="14.25">
      <c r="A41" s="358">
        <v>32</v>
      </c>
      <c r="B41" s="410" t="s">
        <v>478</v>
      </c>
      <c r="C41" s="410"/>
      <c r="D41" s="410"/>
      <c r="E41" s="410"/>
      <c r="F41" s="410"/>
      <c r="G41" s="427">
        <f>H27</f>
        <v>0</v>
      </c>
      <c r="H41" s="435">
        <f>ROUND(G41/$G$36,4)</f>
        <v>0</v>
      </c>
      <c r="I41" s="361" t="s">
        <v>462</v>
      </c>
      <c r="J41" s="410"/>
      <c r="K41" s="410"/>
      <c r="O41" s="354" t="s">
        <v>475</v>
      </c>
    </row>
    <row r="42" spans="1:17" ht="14.25">
      <c r="A42" s="358">
        <v>33</v>
      </c>
      <c r="B42" s="410" t="s">
        <v>476</v>
      </c>
      <c r="C42" s="410"/>
      <c r="D42" s="410"/>
      <c r="E42" s="410"/>
      <c r="F42" s="410"/>
      <c r="G42" s="362">
        <f>I27</f>
        <v>0</v>
      </c>
      <c r="H42" s="410"/>
      <c r="I42" s="436">
        <f>ROUND(I27/G38,4)</f>
        <v>0</v>
      </c>
      <c r="J42" s="361" t="s">
        <v>462</v>
      </c>
      <c r="K42" s="410"/>
      <c r="O42" s="354" t="s">
        <v>473</v>
      </c>
    </row>
    <row r="43" spans="1:17" ht="15" thickBot="1">
      <c r="A43" s="358">
        <v>34</v>
      </c>
      <c r="B43" s="410" t="s">
        <v>474</v>
      </c>
      <c r="C43" s="410"/>
      <c r="D43" s="410"/>
      <c r="E43" s="410"/>
      <c r="F43" s="410"/>
      <c r="G43" s="410"/>
      <c r="H43" s="410"/>
      <c r="I43" s="410"/>
      <c r="J43" s="410"/>
      <c r="K43" s="361"/>
      <c r="O43" s="354" t="s">
        <v>471</v>
      </c>
    </row>
    <row r="44" spans="1:17" ht="15.75" thickBot="1">
      <c r="A44" s="358">
        <v>35</v>
      </c>
      <c r="B44" s="410" t="s">
        <v>472</v>
      </c>
      <c r="C44" s="410"/>
      <c r="D44" s="410"/>
      <c r="E44" s="410"/>
      <c r="F44" s="410"/>
      <c r="G44" s="410"/>
      <c r="H44" s="437">
        <f>SUM(H40:H41)</f>
        <v>0</v>
      </c>
      <c r="I44" s="359" t="s">
        <v>462</v>
      </c>
      <c r="J44" s="410"/>
      <c r="K44" s="410"/>
    </row>
    <row r="45" spans="1:17" ht="15.75" thickBot="1">
      <c r="A45" s="358">
        <v>36</v>
      </c>
      <c r="B45" s="410" t="s">
        <v>470</v>
      </c>
      <c r="C45" s="410"/>
      <c r="D45" s="410"/>
      <c r="E45" s="410"/>
      <c r="F45" s="410"/>
      <c r="G45" s="410"/>
      <c r="H45" s="438"/>
      <c r="I45" s="360"/>
      <c r="J45" s="410"/>
      <c r="K45" s="410"/>
      <c r="M45" s="354" t="s">
        <v>528</v>
      </c>
    </row>
    <row r="46" spans="1:17" ht="15.75" thickBot="1">
      <c r="A46" s="358">
        <v>37</v>
      </c>
      <c r="B46" s="410" t="s">
        <v>469</v>
      </c>
      <c r="C46" s="410"/>
      <c r="D46" s="410"/>
      <c r="E46" s="410"/>
      <c r="F46" s="410"/>
      <c r="G46" s="410"/>
      <c r="H46" s="437">
        <f>SUM(H40:H40)</f>
        <v>0</v>
      </c>
      <c r="I46" s="359" t="s">
        <v>462</v>
      </c>
      <c r="J46" s="410"/>
      <c r="K46" s="410"/>
      <c r="O46" s="354" t="s">
        <v>467</v>
      </c>
    </row>
    <row r="47" spans="1:17" ht="15" thickBot="1">
      <c r="A47" s="358">
        <v>38</v>
      </c>
      <c r="B47" s="410" t="s">
        <v>468</v>
      </c>
      <c r="C47" s="410"/>
      <c r="D47" s="410"/>
      <c r="E47" s="410"/>
      <c r="F47" s="410"/>
      <c r="G47" s="410"/>
      <c r="H47" s="410"/>
      <c r="I47" s="410"/>
      <c r="J47" s="410"/>
      <c r="K47" s="410"/>
      <c r="O47" s="354" t="s">
        <v>465</v>
      </c>
    </row>
    <row r="48" spans="1:17" ht="15.75" thickBot="1">
      <c r="A48" s="358">
        <v>39</v>
      </c>
      <c r="B48" s="410" t="s">
        <v>466</v>
      </c>
      <c r="C48" s="410"/>
      <c r="D48" s="410"/>
      <c r="E48" s="410"/>
      <c r="F48" s="410"/>
      <c r="G48" s="410"/>
      <c r="H48" s="410"/>
      <c r="I48" s="439">
        <f>I42+H44</f>
        <v>0</v>
      </c>
      <c r="J48" s="359" t="s">
        <v>462</v>
      </c>
      <c r="K48" s="410"/>
    </row>
    <row r="49" spans="1:20" ht="15.75" thickBot="1">
      <c r="A49" s="358">
        <v>40</v>
      </c>
      <c r="B49" s="410" t="s">
        <v>464</v>
      </c>
      <c r="C49" s="410"/>
      <c r="D49" s="410"/>
      <c r="E49" s="410"/>
      <c r="F49" s="410"/>
      <c r="G49" s="410"/>
      <c r="H49" s="410"/>
      <c r="I49" s="440"/>
      <c r="J49" s="360"/>
      <c r="K49" s="410"/>
    </row>
    <row r="50" spans="1:20" ht="15.75" thickBot="1">
      <c r="A50" s="358">
        <v>41</v>
      </c>
      <c r="B50" s="410" t="s">
        <v>463</v>
      </c>
      <c r="C50" s="410"/>
      <c r="D50" s="410"/>
      <c r="E50" s="410"/>
      <c r="F50" s="410"/>
      <c r="G50" s="410"/>
      <c r="H50" s="410"/>
      <c r="I50" s="439">
        <f>I42+H46</f>
        <v>0</v>
      </c>
      <c r="J50" s="359" t="s">
        <v>462</v>
      </c>
      <c r="K50" s="410"/>
      <c r="O50" s="354" t="s">
        <v>461</v>
      </c>
    </row>
    <row r="51" spans="1:20">
      <c r="O51" s="354" t="s">
        <v>460</v>
      </c>
    </row>
    <row r="52" spans="1:20">
      <c r="O52" s="354" t="s">
        <v>459</v>
      </c>
    </row>
    <row r="53" spans="1:20">
      <c r="O53" s="354" t="s">
        <v>458</v>
      </c>
    </row>
    <row r="54" spans="1:20">
      <c r="O54" s="354" t="s">
        <v>457</v>
      </c>
    </row>
    <row r="55" spans="1:20">
      <c r="O55" s="354" t="s">
        <v>456</v>
      </c>
    </row>
    <row r="56" spans="1:20" ht="92.25" customHeight="1">
      <c r="O56" s="601" t="s">
        <v>526</v>
      </c>
      <c r="P56" s="602"/>
      <c r="Q56" s="602"/>
      <c r="R56" s="602"/>
      <c r="S56" s="602"/>
      <c r="T56" s="602"/>
    </row>
    <row r="57" spans="1:20" ht="141.75" customHeight="1">
      <c r="O57" s="601" t="s">
        <v>527</v>
      </c>
      <c r="P57" s="602"/>
      <c r="Q57" s="602"/>
      <c r="R57" s="602"/>
      <c r="S57" s="602"/>
      <c r="T57" s="602"/>
    </row>
    <row r="58" spans="1:20">
      <c r="O58" s="354" t="s">
        <v>455</v>
      </c>
    </row>
    <row r="59" spans="1:20">
      <c r="O59" s="354" t="s">
        <v>454</v>
      </c>
    </row>
    <row r="60" spans="1:20">
      <c r="O60" s="354" t="s">
        <v>453</v>
      </c>
    </row>
    <row r="61" spans="1:20">
      <c r="O61" s="354" t="s">
        <v>452</v>
      </c>
    </row>
    <row r="62" spans="1:20">
      <c r="O62" s="354" t="s">
        <v>451</v>
      </c>
    </row>
    <row r="63" spans="1:20">
      <c r="O63" s="354" t="s">
        <v>450</v>
      </c>
    </row>
    <row r="65" spans="15:15">
      <c r="O65" s="354" t="s">
        <v>449</v>
      </c>
    </row>
    <row r="67" spans="15:15">
      <c r="O67" s="354" t="s">
        <v>448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36"/>
  <sheetViews>
    <sheetView view="pageBreakPreview" topLeftCell="A4" zoomScale="130" zoomScaleNormal="80" zoomScaleSheetLayoutView="130" workbookViewId="0">
      <selection activeCell="A4" sqref="A4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3" width="9.140625" style="1"/>
    <col min="14" max="14" width="10.85546875" style="3" bestFit="1" customWidth="1"/>
    <col min="15" max="16384" width="9.140625" style="1"/>
  </cols>
  <sheetData>
    <row r="1" spans="1:15">
      <c r="A1" s="22" t="s">
        <v>32</v>
      </c>
      <c r="K1" s="24" t="s">
        <v>31</v>
      </c>
    </row>
    <row r="2" spans="1:15">
      <c r="A2" s="1" t="str">
        <f>A.1!A2</f>
        <v>Comparison of Current and Previous Cases</v>
      </c>
      <c r="K2" s="24" t="s">
        <v>36</v>
      </c>
    </row>
    <row r="3" spans="1:15">
      <c r="A3" s="1" t="s">
        <v>35</v>
      </c>
    </row>
    <row r="5" spans="1:15">
      <c r="G5" s="4" t="s">
        <v>27</v>
      </c>
      <c r="I5" s="4" t="s">
        <v>26</v>
      </c>
      <c r="K5" s="4" t="s">
        <v>25</v>
      </c>
    </row>
    <row r="6" spans="1:15">
      <c r="A6" s="23" t="s">
        <v>24</v>
      </c>
      <c r="B6" s="22"/>
      <c r="C6" s="22"/>
      <c r="D6" s="22"/>
      <c r="E6" s="22"/>
      <c r="F6" s="22"/>
      <c r="G6" s="594" t="s">
        <v>3</v>
      </c>
      <c r="H6" s="594"/>
      <c r="I6" s="594"/>
      <c r="J6" s="22"/>
      <c r="K6" s="22"/>
    </row>
    <row r="7" spans="1:15">
      <c r="A7" s="21" t="s">
        <v>23</v>
      </c>
      <c r="B7" s="19" t="s">
        <v>22</v>
      </c>
      <c r="C7" s="19"/>
      <c r="D7" s="19"/>
      <c r="E7" s="19"/>
      <c r="F7" s="19"/>
      <c r="G7" s="25" t="str">
        <f>A.1!G7</f>
        <v>2020-00111</v>
      </c>
      <c r="H7" s="26"/>
      <c r="I7" s="25" t="str">
        <f>A.1!I7</f>
        <v>2020-00000</v>
      </c>
      <c r="J7" s="19"/>
      <c r="K7" s="19" t="s">
        <v>21</v>
      </c>
    </row>
    <row r="8" spans="1:15">
      <c r="G8" s="4" t="s">
        <v>20</v>
      </c>
      <c r="I8" s="4" t="s">
        <v>20</v>
      </c>
      <c r="K8" s="4" t="s">
        <v>20</v>
      </c>
    </row>
    <row r="9" spans="1:15">
      <c r="A9" s="5">
        <v>1</v>
      </c>
      <c r="B9" s="17" t="s">
        <v>34</v>
      </c>
      <c r="N9" s="582"/>
      <c r="O9" s="27"/>
    </row>
    <row r="10" spans="1:15">
      <c r="A10" s="5">
        <v>2</v>
      </c>
      <c r="G10" s="2"/>
      <c r="I10" s="2"/>
      <c r="N10" s="582"/>
      <c r="O10" s="27"/>
    </row>
    <row r="11" spans="1:15">
      <c r="A11" s="5">
        <v>3</v>
      </c>
      <c r="B11" s="585" t="s">
        <v>537</v>
      </c>
      <c r="C11" s="2"/>
      <c r="D11" s="2"/>
      <c r="E11" s="2"/>
      <c r="F11" s="2"/>
      <c r="G11" s="2"/>
      <c r="H11" s="2"/>
      <c r="I11" s="2"/>
      <c r="J11" s="2"/>
      <c r="K11" s="2"/>
      <c r="N11" s="583"/>
      <c r="O11" s="27"/>
    </row>
    <row r="12" spans="1:15">
      <c r="A12" s="5">
        <v>4</v>
      </c>
      <c r="B12" s="586" t="s">
        <v>6</v>
      </c>
      <c r="C12" s="587">
        <v>300</v>
      </c>
      <c r="D12" s="2" t="s">
        <v>4</v>
      </c>
      <c r="E12" s="2"/>
      <c r="F12" s="2"/>
      <c r="G12" s="462">
        <v>1.2713999999999999</v>
      </c>
      <c r="H12" s="588"/>
      <c r="I12" s="487">
        <f>1.3855</f>
        <v>1.3855</v>
      </c>
      <c r="J12" s="2"/>
      <c r="K12" s="14">
        <f>I12-G12</f>
        <v>0.11410000000000009</v>
      </c>
      <c r="N12" s="584"/>
      <c r="O12" s="27"/>
    </row>
    <row r="13" spans="1:15">
      <c r="A13" s="5">
        <v>5</v>
      </c>
      <c r="B13" s="586" t="s">
        <v>18</v>
      </c>
      <c r="C13" s="587">
        <v>14700</v>
      </c>
      <c r="D13" s="2" t="s">
        <v>4</v>
      </c>
      <c r="E13" s="2"/>
      <c r="F13" s="2"/>
      <c r="G13" s="462">
        <v>0.89429999999999998</v>
      </c>
      <c r="H13" s="588"/>
      <c r="I13" s="487">
        <f>0.9578</f>
        <v>0.95779999999999998</v>
      </c>
      <c r="J13" s="2"/>
      <c r="K13" s="14">
        <f>I13-G13</f>
        <v>6.3500000000000001E-2</v>
      </c>
      <c r="N13" s="584"/>
      <c r="O13" s="27"/>
    </row>
    <row r="14" spans="1:15">
      <c r="A14" s="5">
        <v>6</v>
      </c>
      <c r="B14" s="586" t="s">
        <v>5</v>
      </c>
      <c r="C14" s="587">
        <v>15000</v>
      </c>
      <c r="D14" s="2" t="s">
        <v>4</v>
      </c>
      <c r="E14" s="2"/>
      <c r="F14" s="2"/>
      <c r="G14" s="462">
        <v>0.71409999999999996</v>
      </c>
      <c r="H14" s="2"/>
      <c r="I14" s="487">
        <f>0.7651</f>
        <v>0.7651</v>
      </c>
      <c r="J14" s="2"/>
      <c r="K14" s="14">
        <f>I14-G14</f>
        <v>5.1000000000000045E-2</v>
      </c>
      <c r="N14" s="584"/>
      <c r="O14" s="27"/>
    </row>
    <row r="15" spans="1:15">
      <c r="A15" s="5">
        <v>7</v>
      </c>
      <c r="G15" s="2"/>
      <c r="I15" s="418"/>
      <c r="N15" s="583"/>
      <c r="O15" s="27"/>
    </row>
    <row r="16" spans="1:15">
      <c r="A16" s="5">
        <v>8</v>
      </c>
      <c r="G16" s="2"/>
      <c r="I16" s="418"/>
      <c r="N16" s="583"/>
      <c r="O16" s="27"/>
    </row>
    <row r="17" spans="1:15">
      <c r="A17" s="5">
        <v>9</v>
      </c>
      <c r="B17" s="17" t="s">
        <v>33</v>
      </c>
      <c r="G17" s="2"/>
      <c r="I17" s="418"/>
      <c r="N17" s="583"/>
      <c r="O17" s="27"/>
    </row>
    <row r="18" spans="1:15">
      <c r="A18" s="5">
        <v>10</v>
      </c>
      <c r="G18" s="2"/>
      <c r="I18" s="418"/>
      <c r="N18" s="583"/>
      <c r="O18" s="27"/>
    </row>
    <row r="19" spans="1:15">
      <c r="A19" s="5">
        <v>11</v>
      </c>
      <c r="B19" s="585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418"/>
      <c r="J19" s="2"/>
      <c r="K19" s="2"/>
      <c r="N19" s="583"/>
      <c r="O19" s="27"/>
    </row>
    <row r="20" spans="1:15">
      <c r="A20" s="5">
        <v>12</v>
      </c>
      <c r="B20" s="586" t="s">
        <v>6</v>
      </c>
      <c r="C20" s="587">
        <v>15000</v>
      </c>
      <c r="D20" s="2" t="s">
        <v>4</v>
      </c>
      <c r="E20" s="2"/>
      <c r="F20" s="2"/>
      <c r="G20" s="462">
        <v>0.77080000000000004</v>
      </c>
      <c r="H20" s="588"/>
      <c r="I20" s="487">
        <f>0.8327</f>
        <v>0.8327</v>
      </c>
      <c r="J20" s="2"/>
      <c r="K20" s="14">
        <f>I20-G20</f>
        <v>6.1899999999999955E-2</v>
      </c>
      <c r="N20" s="583"/>
      <c r="O20" s="27"/>
    </row>
    <row r="21" spans="1:15">
      <c r="A21" s="5">
        <v>13</v>
      </c>
      <c r="B21" s="586" t="s">
        <v>5</v>
      </c>
      <c r="C21" s="587">
        <v>15000</v>
      </c>
      <c r="D21" s="2" t="s">
        <v>4</v>
      </c>
      <c r="E21" s="2"/>
      <c r="F21" s="2"/>
      <c r="G21" s="462">
        <v>0.5927</v>
      </c>
      <c r="H21" s="588"/>
      <c r="I21" s="487">
        <f>0.6387</f>
        <v>0.63870000000000005</v>
      </c>
      <c r="J21" s="2"/>
      <c r="K21" s="14">
        <f>I21-G21</f>
        <v>4.6000000000000041E-2</v>
      </c>
      <c r="N21" s="583"/>
      <c r="O21" s="27"/>
    </row>
    <row r="22" spans="1:15">
      <c r="A22" s="5">
        <v>14</v>
      </c>
      <c r="G22" s="2"/>
      <c r="I22" s="2"/>
    </row>
    <row r="23" spans="1:15">
      <c r="A23" s="5"/>
      <c r="G23" s="2"/>
    </row>
    <row r="24" spans="1:15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5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5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5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40" customWidth="1"/>
    <col min="3" max="4" width="2.85546875" style="340" customWidth="1"/>
    <col min="5" max="8" width="9.28515625" style="340" customWidth="1"/>
    <col min="9" max="9" width="24" style="340" customWidth="1"/>
    <col min="10" max="10" width="9.28515625" style="340" customWidth="1"/>
    <col min="11" max="11" width="11.5703125" style="340" customWidth="1"/>
    <col min="12" max="16384" width="9.28515625" style="340"/>
  </cols>
  <sheetData>
    <row r="1" spans="1:12">
      <c r="A1" s="353" t="s">
        <v>445</v>
      </c>
      <c r="B1" s="353"/>
      <c r="C1" s="352"/>
      <c r="D1" s="352"/>
      <c r="E1" s="352"/>
      <c r="F1" s="352"/>
      <c r="G1" s="352"/>
      <c r="H1" s="352"/>
      <c r="I1" s="352"/>
      <c r="J1" s="352"/>
      <c r="K1" s="340" t="s">
        <v>444</v>
      </c>
    </row>
    <row r="2" spans="1:12">
      <c r="A2" s="353" t="s">
        <v>443</v>
      </c>
      <c r="B2" s="353"/>
      <c r="C2" s="352"/>
      <c r="D2" s="352"/>
      <c r="E2" s="352"/>
      <c r="F2" s="352"/>
      <c r="G2" s="352"/>
      <c r="H2" s="352"/>
      <c r="I2" s="352"/>
      <c r="J2" s="352"/>
      <c r="K2" s="340" t="s">
        <v>36</v>
      </c>
    </row>
    <row r="3" spans="1:12">
      <c r="A3" s="353" t="s">
        <v>442</v>
      </c>
      <c r="B3" s="353"/>
      <c r="C3" s="352"/>
      <c r="D3" s="352"/>
      <c r="E3" s="352"/>
      <c r="F3" s="352"/>
      <c r="G3" s="352"/>
      <c r="H3" s="352"/>
      <c r="I3" s="352"/>
      <c r="J3" s="352"/>
    </row>
    <row r="6" spans="1:12">
      <c r="A6" s="340" t="s">
        <v>441</v>
      </c>
    </row>
    <row r="8" spans="1:12">
      <c r="A8" s="340" t="s">
        <v>440</v>
      </c>
      <c r="J8" s="340" t="str">
        <f>+E.1!A3</f>
        <v>Case No. 2016-00129</v>
      </c>
      <c r="K8" s="476"/>
      <c r="L8" s="351"/>
    </row>
    <row r="9" spans="1:12">
      <c r="A9" s="340" t="s">
        <v>524</v>
      </c>
      <c r="F9" s="441"/>
    </row>
    <row r="12" spans="1:12">
      <c r="A12" s="340" t="s">
        <v>439</v>
      </c>
    </row>
    <row r="14" spans="1:12">
      <c r="A14" s="340" t="s">
        <v>533</v>
      </c>
    </row>
    <row r="15" spans="1:12">
      <c r="A15" s="340" t="s">
        <v>438</v>
      </c>
    </row>
    <row r="17" spans="3:9">
      <c r="I17" s="343"/>
    </row>
    <row r="19" spans="3:9">
      <c r="C19" s="340" t="s">
        <v>437</v>
      </c>
    </row>
    <row r="21" spans="3:9">
      <c r="C21" s="340" t="s">
        <v>436</v>
      </c>
      <c r="I21" s="442">
        <f>-E.1!K14</f>
        <v>0</v>
      </c>
    </row>
    <row r="22" spans="3:9">
      <c r="C22" s="340" t="s">
        <v>435</v>
      </c>
      <c r="I22" s="343">
        <v>0</v>
      </c>
    </row>
    <row r="23" spans="3:9">
      <c r="C23" s="340" t="s">
        <v>434</v>
      </c>
      <c r="I23" s="345">
        <f>I24-I21-I22</f>
        <v>0</v>
      </c>
    </row>
    <row r="24" spans="3:9" ht="16.5" thickBot="1">
      <c r="E24" s="340" t="s">
        <v>114</v>
      </c>
      <c r="I24" s="350">
        <f>-I35</f>
        <v>0</v>
      </c>
    </row>
    <row r="25" spans="3:9" ht="16.5" thickTop="1">
      <c r="I25" s="349"/>
    </row>
    <row r="27" spans="3:9">
      <c r="C27" s="340" t="s">
        <v>433</v>
      </c>
    </row>
    <row r="29" spans="3:9">
      <c r="C29" s="340" t="s">
        <v>231</v>
      </c>
    </row>
    <row r="30" spans="3:9">
      <c r="D30" s="340" t="s">
        <v>432</v>
      </c>
      <c r="I30" s="348">
        <f>'WP-E.1'!B23</f>
        <v>0</v>
      </c>
    </row>
    <row r="31" spans="3:9">
      <c r="D31" s="340" t="s">
        <v>431</v>
      </c>
      <c r="I31" s="347">
        <f>'WP-E.1'!C23</f>
        <v>0</v>
      </c>
    </row>
    <row r="32" spans="3:9">
      <c r="D32" s="340" t="s">
        <v>430</v>
      </c>
      <c r="I32" s="347">
        <f>'WP-E.1'!D23</f>
        <v>0</v>
      </c>
    </row>
    <row r="33" spans="3:9">
      <c r="D33" s="340" t="s">
        <v>429</v>
      </c>
      <c r="I33" s="347">
        <f>'WP-E.1'!E23</f>
        <v>0</v>
      </c>
    </row>
    <row r="34" spans="3:9">
      <c r="C34" s="346" t="s">
        <v>279</v>
      </c>
      <c r="I34" s="345"/>
    </row>
    <row r="35" spans="3:9" ht="16.5" thickBot="1">
      <c r="E35" s="340" t="s">
        <v>114</v>
      </c>
      <c r="I35" s="344">
        <f>SUM(I30:I34)</f>
        <v>0</v>
      </c>
    </row>
    <row r="36" spans="3:9" ht="16.5" thickTop="1">
      <c r="I36" s="343"/>
    </row>
    <row r="39" spans="3:9">
      <c r="E39" s="342"/>
    </row>
    <row r="47" spans="3:9">
      <c r="I47" s="341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54"/>
    <col min="2" max="2" width="10.7109375" style="354" bestFit="1" customWidth="1"/>
    <col min="3" max="3" width="11" style="354" bestFit="1" customWidth="1"/>
    <col min="4" max="4" width="10.85546875" style="354" bestFit="1" customWidth="1"/>
    <col min="5" max="5" width="14.42578125" style="354" bestFit="1" customWidth="1"/>
    <col min="6" max="6" width="10.7109375" style="354" bestFit="1" customWidth="1"/>
    <col min="7" max="16384" width="9.140625" style="354"/>
  </cols>
  <sheetData>
    <row r="1" spans="1:15">
      <c r="F1" s="354" t="s">
        <v>523</v>
      </c>
    </row>
    <row r="5" spans="1:15">
      <c r="A5" s="354" t="s">
        <v>447</v>
      </c>
    </row>
    <row r="8" spans="1:15">
      <c r="A8" s="354" t="s">
        <v>40</v>
      </c>
      <c r="B8" s="354" t="s">
        <v>432</v>
      </c>
      <c r="C8" s="354" t="s">
        <v>431</v>
      </c>
      <c r="D8" s="354" t="s">
        <v>430</v>
      </c>
      <c r="E8" s="354" t="s">
        <v>429</v>
      </c>
      <c r="F8" s="354" t="s">
        <v>114</v>
      </c>
    </row>
    <row r="9" spans="1:15">
      <c r="A9" s="357">
        <v>41852</v>
      </c>
      <c r="B9" s="501">
        <v>158961.51319999999</v>
      </c>
      <c r="C9" s="501">
        <v>141504.38870000001</v>
      </c>
      <c r="D9" s="501">
        <v>21718.821400000001</v>
      </c>
      <c r="E9" s="501">
        <v>30639.5383</v>
      </c>
      <c r="F9" s="354">
        <f>SUM(B9:E9)</f>
        <v>352824.26160000003</v>
      </c>
      <c r="H9" s="417"/>
      <c r="L9" s="408"/>
      <c r="M9" s="408"/>
      <c r="N9" s="408"/>
      <c r="O9" s="408"/>
    </row>
    <row r="10" spans="1:15">
      <c r="A10" s="357">
        <v>41883</v>
      </c>
      <c r="B10" s="501">
        <v>173004.0906</v>
      </c>
      <c r="C10" s="501">
        <v>182628.03279999999</v>
      </c>
      <c r="D10" s="501">
        <v>15995.840399999999</v>
      </c>
      <c r="E10" s="501">
        <v>34244.456899999997</v>
      </c>
      <c r="F10" s="354">
        <f>SUM(B10:E10)</f>
        <v>405872.42069999996</v>
      </c>
      <c r="H10" s="417"/>
      <c r="L10" s="408"/>
      <c r="M10" s="408"/>
      <c r="N10" s="408"/>
      <c r="O10" s="408"/>
    </row>
    <row r="11" spans="1:15">
      <c r="A11" s="357">
        <v>41913</v>
      </c>
      <c r="B11" s="501">
        <v>238493.9026</v>
      </c>
      <c r="C11" s="501">
        <v>239355.46410000001</v>
      </c>
      <c r="D11" s="501">
        <v>35722.877899999999</v>
      </c>
      <c r="E11" s="501">
        <v>43775.160799999998</v>
      </c>
      <c r="F11" s="354">
        <f>SUM(B11:E11)</f>
        <v>557347.40540000005</v>
      </c>
      <c r="H11" s="417"/>
      <c r="L11" s="408"/>
      <c r="M11" s="408"/>
      <c r="N11" s="408"/>
      <c r="O11" s="408"/>
    </row>
    <row r="12" spans="1:15">
      <c r="A12" s="357">
        <v>41944</v>
      </c>
      <c r="B12" s="501">
        <v>872654.14540000004</v>
      </c>
      <c r="C12" s="501">
        <v>390726.05829999998</v>
      </c>
      <c r="D12" s="501">
        <v>43805.2762</v>
      </c>
      <c r="E12" s="501">
        <v>85802.631299999994</v>
      </c>
      <c r="F12" s="354">
        <f t="shared" ref="F12:F20" si="0">SUM(B12:E12)</f>
        <v>1392988.1111999999</v>
      </c>
      <c r="H12" s="417"/>
      <c r="L12" s="408"/>
      <c r="M12" s="408"/>
      <c r="N12" s="408"/>
      <c r="O12" s="408"/>
    </row>
    <row r="13" spans="1:15">
      <c r="A13" s="357">
        <v>41974</v>
      </c>
      <c r="B13" s="501">
        <v>1632491.5681</v>
      </c>
      <c r="C13" s="501">
        <v>705077.81050000002</v>
      </c>
      <c r="D13" s="501">
        <v>89855.670800000007</v>
      </c>
      <c r="E13" s="501">
        <v>153903.71170000001</v>
      </c>
      <c r="F13" s="354">
        <f t="shared" si="0"/>
        <v>2581328.7610999998</v>
      </c>
      <c r="H13" s="417"/>
      <c r="L13" s="408"/>
      <c r="M13" s="408"/>
      <c r="N13" s="408"/>
      <c r="O13" s="408"/>
    </row>
    <row r="14" spans="1:15">
      <c r="A14" s="357">
        <v>42005</v>
      </c>
      <c r="B14" s="501">
        <v>2213741.1485000001</v>
      </c>
      <c r="C14" s="501">
        <v>975517.43790000002</v>
      </c>
      <c r="D14" s="501">
        <v>121881.40949999999</v>
      </c>
      <c r="E14" s="501">
        <v>209593.76930000001</v>
      </c>
      <c r="F14" s="354">
        <f t="shared" si="0"/>
        <v>3520733.7652000003</v>
      </c>
      <c r="H14" s="417"/>
      <c r="L14" s="408"/>
      <c r="M14" s="408"/>
      <c r="N14" s="408"/>
      <c r="O14" s="408"/>
    </row>
    <row r="15" spans="1:15">
      <c r="A15" s="357">
        <v>42036</v>
      </c>
      <c r="B15" s="501">
        <v>1817597.5035000001</v>
      </c>
      <c r="C15" s="501">
        <v>844546.01450000005</v>
      </c>
      <c r="D15" s="501">
        <v>94906.321500000005</v>
      </c>
      <c r="E15" s="501">
        <v>176706.0387</v>
      </c>
      <c r="F15" s="354">
        <f t="shared" si="0"/>
        <v>2933755.8782000002</v>
      </c>
      <c r="H15" s="417"/>
      <c r="L15" s="408"/>
      <c r="M15" s="408"/>
      <c r="N15" s="408"/>
      <c r="O15" s="408"/>
    </row>
    <row r="16" spans="1:15">
      <c r="A16" s="357">
        <v>42064</v>
      </c>
      <c r="B16" s="501">
        <v>2409789.2143999999</v>
      </c>
      <c r="C16" s="501">
        <v>1007671.9408</v>
      </c>
      <c r="D16" s="501">
        <v>169506.30910000001</v>
      </c>
      <c r="E16" s="501">
        <v>226828.78779999999</v>
      </c>
      <c r="F16" s="354">
        <f t="shared" si="0"/>
        <v>3813796.2521000002</v>
      </c>
      <c r="H16" s="417"/>
      <c r="L16" s="408"/>
      <c r="M16" s="408"/>
      <c r="N16" s="408"/>
      <c r="O16" s="408"/>
    </row>
    <row r="17" spans="1:15">
      <c r="A17" s="357">
        <v>42095</v>
      </c>
      <c r="B17" s="501">
        <v>840910.45070000004</v>
      </c>
      <c r="C17" s="501">
        <v>401850.52179999999</v>
      </c>
      <c r="D17" s="501">
        <v>53596.465850000001</v>
      </c>
      <c r="E17" s="501">
        <v>87909.298200000005</v>
      </c>
      <c r="F17" s="354">
        <f t="shared" si="0"/>
        <v>1384266.7365500003</v>
      </c>
      <c r="H17" s="417"/>
      <c r="L17" s="408"/>
      <c r="M17" s="408"/>
      <c r="N17" s="408"/>
      <c r="O17" s="408"/>
    </row>
    <row r="18" spans="1:15">
      <c r="A18" s="357">
        <v>42125</v>
      </c>
      <c r="B18" s="501">
        <v>329075.9436</v>
      </c>
      <c r="C18" s="501">
        <v>198011.92790000001</v>
      </c>
      <c r="D18" s="501">
        <v>41289.269999999997</v>
      </c>
      <c r="E18" s="501">
        <v>50030.712800000001</v>
      </c>
      <c r="F18" s="354">
        <f t="shared" si="0"/>
        <v>618407.85430000001</v>
      </c>
      <c r="H18" s="417"/>
      <c r="L18" s="408"/>
      <c r="M18" s="408"/>
      <c r="N18" s="408"/>
      <c r="O18" s="408"/>
    </row>
    <row r="19" spans="1:15">
      <c r="A19" s="357">
        <v>42156</v>
      </c>
      <c r="B19" s="501">
        <v>196516.9406</v>
      </c>
      <c r="C19" s="501">
        <v>149991.2708</v>
      </c>
      <c r="D19" s="501">
        <v>35203.321900000003</v>
      </c>
      <c r="E19" s="501">
        <v>30772.874400000001</v>
      </c>
      <c r="F19" s="354">
        <f t="shared" si="0"/>
        <v>412484.40769999998</v>
      </c>
      <c r="H19" s="417"/>
      <c r="L19" s="408"/>
      <c r="M19" s="408"/>
      <c r="N19" s="408"/>
      <c r="O19" s="408"/>
    </row>
    <row r="20" spans="1:15">
      <c r="A20" s="357">
        <v>42186</v>
      </c>
      <c r="B20" s="501">
        <v>158183.5889</v>
      </c>
      <c r="C20" s="501">
        <v>140989.4682</v>
      </c>
      <c r="D20" s="501">
        <v>14840.625899999999</v>
      </c>
      <c r="E20" s="501">
        <v>25864.262200000001</v>
      </c>
      <c r="F20" s="354">
        <f t="shared" si="0"/>
        <v>339877.94519999996</v>
      </c>
      <c r="H20" s="417"/>
      <c r="L20" s="408"/>
      <c r="M20" s="408"/>
      <c r="N20" s="408"/>
      <c r="O20" s="408"/>
    </row>
    <row r="21" spans="1:15">
      <c r="A21" s="354" t="s">
        <v>114</v>
      </c>
      <c r="B21" s="354">
        <f>SUM(B9:B20)</f>
        <v>11041420.010100001</v>
      </c>
      <c r="C21" s="354">
        <f>SUM(C9:C20)</f>
        <v>5377870.3363000005</v>
      </c>
      <c r="D21" s="354">
        <f>SUM(D9:D20)</f>
        <v>738322.21045000013</v>
      </c>
      <c r="E21" s="354">
        <f>SUM(E9:E20)</f>
        <v>1156071.2424000003</v>
      </c>
      <c r="F21" s="354">
        <f>SUM(F9:F20)</f>
        <v>18313683.799249999</v>
      </c>
      <c r="L21" s="408"/>
      <c r="M21" s="408"/>
      <c r="N21" s="408"/>
      <c r="O21" s="408"/>
    </row>
    <row r="22" spans="1:15">
      <c r="A22" s="354" t="s">
        <v>446</v>
      </c>
      <c r="B22" s="477">
        <f>+E.1!I50</f>
        <v>0</v>
      </c>
      <c r="C22" s="356">
        <f>B22</f>
        <v>0</v>
      </c>
      <c r="D22" s="356">
        <f>C22</f>
        <v>0</v>
      </c>
      <c r="E22" s="356">
        <f>D22</f>
        <v>0</v>
      </c>
      <c r="F22" s="356">
        <f>E22</f>
        <v>0</v>
      </c>
      <c r="L22" s="408"/>
      <c r="M22" s="408"/>
      <c r="N22" s="408"/>
      <c r="O22" s="408"/>
    </row>
    <row r="23" spans="1:15">
      <c r="B23" s="355">
        <f>ROUND(B21*B22,2)</f>
        <v>0</v>
      </c>
      <c r="C23" s="355">
        <f>ROUND(C21*C22,2)</f>
        <v>0</v>
      </c>
      <c r="D23" s="355">
        <f>ROUND(D21*D22,2)</f>
        <v>0</v>
      </c>
      <c r="E23" s="355">
        <f>ROUND(E21*E22,2)</f>
        <v>0</v>
      </c>
      <c r="F23" s="355">
        <f>ROUND(F21*F22,2)</f>
        <v>0</v>
      </c>
      <c r="L23" s="409"/>
      <c r="M23" s="409"/>
      <c r="N23" s="409"/>
      <c r="O23" s="409"/>
    </row>
    <row r="27" spans="1:15">
      <c r="D27" s="417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2" t="s">
        <v>93</v>
      </c>
      <c r="B1" s="52" t="s">
        <v>92</v>
      </c>
      <c r="C1" s="52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51" t="s">
        <v>46</v>
      </c>
      <c r="B2" s="51" t="s">
        <v>80</v>
      </c>
      <c r="C2" s="51" t="s">
        <v>52</v>
      </c>
      <c r="D2" s="42" t="e">
        <f t="shared" ref="D2:D33" si="0">EffectiveDate</f>
        <v>#REF!</v>
      </c>
      <c r="E2" s="49" t="s">
        <v>83</v>
      </c>
      <c r="F2" s="49" t="s">
        <v>42</v>
      </c>
      <c r="G2" s="49" t="e">
        <f>#REF!</f>
        <v>#REF!</v>
      </c>
      <c r="H2" s="49">
        <v>1</v>
      </c>
      <c r="I2" s="49">
        <v>1</v>
      </c>
      <c r="J2" s="49" t="s">
        <v>41</v>
      </c>
      <c r="K2" s="49">
        <v>9</v>
      </c>
    </row>
    <row r="3" spans="1:13">
      <c r="A3" s="51" t="s">
        <v>46</v>
      </c>
      <c r="B3" s="51" t="s">
        <v>80</v>
      </c>
      <c r="C3" s="51" t="s">
        <v>50</v>
      </c>
      <c r="D3" s="42" t="e">
        <f t="shared" si="0"/>
        <v>#REF!</v>
      </c>
      <c r="E3" s="49" t="s">
        <v>82</v>
      </c>
      <c r="F3" s="49" t="s">
        <v>42</v>
      </c>
      <c r="G3" s="50" t="e">
        <f>#REF!</f>
        <v>#REF!</v>
      </c>
      <c r="H3" s="49">
        <v>1</v>
      </c>
      <c r="I3" s="49">
        <v>1</v>
      </c>
      <c r="J3" s="49" t="s">
        <v>41</v>
      </c>
      <c r="K3" s="49">
        <v>9</v>
      </c>
    </row>
    <row r="4" spans="1:13">
      <c r="A4" s="51" t="s">
        <v>46</v>
      </c>
      <c r="B4" s="51" t="s">
        <v>80</v>
      </c>
      <c r="C4" s="51" t="s">
        <v>48</v>
      </c>
      <c r="D4" s="42" t="e">
        <f t="shared" si="0"/>
        <v>#REF!</v>
      </c>
      <c r="E4" s="49" t="s">
        <v>81</v>
      </c>
      <c r="F4" s="49" t="s">
        <v>42</v>
      </c>
      <c r="G4" s="50" t="e">
        <f>#REF!</f>
        <v>#REF!</v>
      </c>
      <c r="H4" s="49">
        <v>1</v>
      </c>
      <c r="I4" s="49">
        <v>1</v>
      </c>
      <c r="J4" s="49" t="s">
        <v>41</v>
      </c>
      <c r="K4" s="49">
        <v>9</v>
      </c>
    </row>
    <row r="5" spans="1:13">
      <c r="A5" s="39" t="s">
        <v>46</v>
      </c>
      <c r="B5" s="39" t="s">
        <v>80</v>
      </c>
      <c r="C5" s="39" t="s">
        <v>44</v>
      </c>
      <c r="D5" s="38" t="e">
        <f t="shared" si="0"/>
        <v>#REF!</v>
      </c>
      <c r="E5" s="37" t="s">
        <v>79</v>
      </c>
      <c r="F5" s="37" t="s">
        <v>42</v>
      </c>
      <c r="G5" s="37" t="e">
        <f>#REF!</f>
        <v>#REF!</v>
      </c>
      <c r="H5" s="37">
        <v>1</v>
      </c>
      <c r="I5" s="37">
        <v>1</v>
      </c>
      <c r="J5" s="37" t="s">
        <v>41</v>
      </c>
      <c r="K5" s="37">
        <v>9</v>
      </c>
      <c r="M5" s="1" t="e">
        <f>SUM(G2:G5)</f>
        <v>#REF!</v>
      </c>
    </row>
    <row r="6" spans="1:13">
      <c r="A6" s="48" t="s">
        <v>46</v>
      </c>
      <c r="B6" s="48" t="s">
        <v>78</v>
      </c>
      <c r="C6" s="48" t="s">
        <v>52</v>
      </c>
      <c r="D6" s="33" t="e">
        <f t="shared" si="0"/>
        <v>#REF!</v>
      </c>
      <c r="E6" s="46" t="s">
        <v>72</v>
      </c>
      <c r="F6" s="46" t="s">
        <v>42</v>
      </c>
      <c r="G6" s="46" t="e">
        <f>G2</f>
        <v>#REF!</v>
      </c>
      <c r="H6" s="46">
        <v>1</v>
      </c>
      <c r="I6" s="46">
        <v>1</v>
      </c>
      <c r="J6" s="46" t="s">
        <v>41</v>
      </c>
      <c r="K6" s="46">
        <v>9</v>
      </c>
    </row>
    <row r="7" spans="1:13">
      <c r="A7" s="48" t="s">
        <v>46</v>
      </c>
      <c r="B7" s="48" t="s">
        <v>78</v>
      </c>
      <c r="C7" s="48" t="s">
        <v>50</v>
      </c>
      <c r="D7" s="33" t="e">
        <f t="shared" si="0"/>
        <v>#REF!</v>
      </c>
      <c r="E7" s="46" t="s">
        <v>71</v>
      </c>
      <c r="F7" s="46" t="s">
        <v>42</v>
      </c>
      <c r="G7" s="46" t="e">
        <f>G3</f>
        <v>#REF!</v>
      </c>
      <c r="H7" s="46">
        <v>1</v>
      </c>
      <c r="I7" s="46">
        <v>1</v>
      </c>
      <c r="J7" s="46" t="s">
        <v>41</v>
      </c>
      <c r="K7" s="46">
        <v>9</v>
      </c>
    </row>
    <row r="8" spans="1:13">
      <c r="A8" s="48" t="s">
        <v>46</v>
      </c>
      <c r="B8" s="48" t="s">
        <v>78</v>
      </c>
      <c r="C8" s="48" t="s">
        <v>48</v>
      </c>
      <c r="D8" s="33" t="e">
        <f t="shared" si="0"/>
        <v>#REF!</v>
      </c>
      <c r="E8" s="46" t="s">
        <v>70</v>
      </c>
      <c r="F8" s="46" t="s">
        <v>42</v>
      </c>
      <c r="G8" s="47" t="e">
        <f>G4</f>
        <v>#REF!</v>
      </c>
      <c r="H8" s="46">
        <v>1</v>
      </c>
      <c r="I8" s="46">
        <v>1</v>
      </c>
      <c r="J8" s="46" t="s">
        <v>41</v>
      </c>
      <c r="K8" s="46">
        <v>9</v>
      </c>
    </row>
    <row r="9" spans="1:13">
      <c r="A9" s="30" t="s">
        <v>46</v>
      </c>
      <c r="B9" s="30" t="s">
        <v>78</v>
      </c>
      <c r="C9" s="30" t="s">
        <v>44</v>
      </c>
      <c r="D9" s="29" t="e">
        <f t="shared" si="0"/>
        <v>#REF!</v>
      </c>
      <c r="E9" s="28" t="s">
        <v>68</v>
      </c>
      <c r="F9" s="28" t="s">
        <v>42</v>
      </c>
      <c r="G9" s="28" t="e">
        <f>G5</f>
        <v>#REF!</v>
      </c>
      <c r="H9" s="28">
        <v>1</v>
      </c>
      <c r="I9" s="28">
        <v>1</v>
      </c>
      <c r="J9" s="28" t="s">
        <v>41</v>
      </c>
      <c r="K9" s="28">
        <v>9</v>
      </c>
      <c r="M9" s="1" t="e">
        <f>SUM(G6:G9)</f>
        <v>#REF!</v>
      </c>
    </row>
    <row r="10" spans="1:13">
      <c r="A10" s="51" t="s">
        <v>46</v>
      </c>
      <c r="B10" s="51" t="s">
        <v>74</v>
      </c>
      <c r="C10" s="51" t="s">
        <v>52</v>
      </c>
      <c r="D10" s="42" t="e">
        <f t="shared" si="0"/>
        <v>#REF!</v>
      </c>
      <c r="E10" s="49" t="s">
        <v>77</v>
      </c>
      <c r="F10" s="49" t="s">
        <v>42</v>
      </c>
      <c r="G10" s="49" t="e">
        <f>#REF!</f>
        <v>#REF!</v>
      </c>
      <c r="H10" s="49">
        <v>1</v>
      </c>
      <c r="I10" s="49">
        <v>1</v>
      </c>
      <c r="J10" s="49" t="s">
        <v>41</v>
      </c>
      <c r="K10" s="49">
        <v>9</v>
      </c>
    </row>
    <row r="11" spans="1:13">
      <c r="A11" s="51" t="s">
        <v>46</v>
      </c>
      <c r="B11" s="51" t="s">
        <v>74</v>
      </c>
      <c r="C11" s="51" t="s">
        <v>50</v>
      </c>
      <c r="D11" s="42" t="e">
        <f t="shared" si="0"/>
        <v>#REF!</v>
      </c>
      <c r="E11" s="49" t="s">
        <v>76</v>
      </c>
      <c r="F11" s="49" t="s">
        <v>42</v>
      </c>
      <c r="G11" s="50" t="e">
        <f>G3</f>
        <v>#REF!</v>
      </c>
      <c r="H11" s="49">
        <v>1</v>
      </c>
      <c r="I11" s="49">
        <v>1</v>
      </c>
      <c r="J11" s="49" t="s">
        <v>41</v>
      </c>
      <c r="K11" s="49">
        <v>9</v>
      </c>
    </row>
    <row r="12" spans="1:13">
      <c r="A12" s="51" t="s">
        <v>46</v>
      </c>
      <c r="B12" s="51" t="s">
        <v>74</v>
      </c>
      <c r="C12" s="51" t="s">
        <v>48</v>
      </c>
      <c r="D12" s="42" t="e">
        <f t="shared" si="0"/>
        <v>#REF!</v>
      </c>
      <c r="E12" s="49" t="s">
        <v>75</v>
      </c>
      <c r="F12" s="49" t="s">
        <v>42</v>
      </c>
      <c r="G12" s="50" t="e">
        <f>#REF!</f>
        <v>#REF!</v>
      </c>
      <c r="H12" s="49">
        <v>1</v>
      </c>
      <c r="I12" s="49">
        <v>1</v>
      </c>
      <c r="J12" s="49" t="s">
        <v>41</v>
      </c>
      <c r="K12" s="49">
        <v>9</v>
      </c>
      <c r="M12" s="27"/>
    </row>
    <row r="13" spans="1:13">
      <c r="A13" s="39" t="s">
        <v>46</v>
      </c>
      <c r="B13" s="39" t="s">
        <v>74</v>
      </c>
      <c r="C13" s="39" t="s">
        <v>44</v>
      </c>
      <c r="D13" s="38" t="e">
        <f t="shared" si="0"/>
        <v>#REF!</v>
      </c>
      <c r="E13" s="37" t="s">
        <v>73</v>
      </c>
      <c r="F13" s="37" t="s">
        <v>42</v>
      </c>
      <c r="G13" s="37" t="e">
        <f>#REF!</f>
        <v>#REF!</v>
      </c>
      <c r="H13" s="37">
        <v>1</v>
      </c>
      <c r="I13" s="37">
        <v>1</v>
      </c>
      <c r="J13" s="37" t="s">
        <v>41</v>
      </c>
      <c r="K13" s="37">
        <v>9</v>
      </c>
      <c r="M13" s="1" t="e">
        <f>SUM(G10:G13)</f>
        <v>#REF!</v>
      </c>
    </row>
    <row r="14" spans="1:13">
      <c r="A14" s="48" t="s">
        <v>46</v>
      </c>
      <c r="B14" s="48" t="s">
        <v>69</v>
      </c>
      <c r="C14" s="48" t="s">
        <v>52</v>
      </c>
      <c r="D14" s="33" t="e">
        <f t="shared" si="0"/>
        <v>#REF!</v>
      </c>
      <c r="E14" s="46" t="s">
        <v>72</v>
      </c>
      <c r="F14" s="46" t="s">
        <v>42</v>
      </c>
      <c r="G14" s="46" t="e">
        <f>G2</f>
        <v>#REF!</v>
      </c>
      <c r="H14" s="46">
        <v>1</v>
      </c>
      <c r="I14" s="46">
        <v>1</v>
      </c>
      <c r="J14" s="46" t="s">
        <v>41</v>
      </c>
      <c r="K14" s="46">
        <v>9</v>
      </c>
    </row>
    <row r="15" spans="1:13">
      <c r="A15" s="48" t="s">
        <v>46</v>
      </c>
      <c r="B15" s="48" t="s">
        <v>69</v>
      </c>
      <c r="C15" s="48" t="s">
        <v>50</v>
      </c>
      <c r="D15" s="33" t="e">
        <f t="shared" si="0"/>
        <v>#REF!</v>
      </c>
      <c r="E15" s="46" t="s">
        <v>71</v>
      </c>
      <c r="F15" s="46" t="s">
        <v>42</v>
      </c>
      <c r="G15" s="46" t="e">
        <f>G3</f>
        <v>#REF!</v>
      </c>
      <c r="H15" s="46">
        <v>1</v>
      </c>
      <c r="I15" s="46">
        <v>1</v>
      </c>
      <c r="J15" s="46" t="s">
        <v>41</v>
      </c>
      <c r="K15" s="46">
        <v>9</v>
      </c>
    </row>
    <row r="16" spans="1:13">
      <c r="A16" s="48" t="s">
        <v>46</v>
      </c>
      <c r="B16" s="48" t="s">
        <v>69</v>
      </c>
      <c r="C16" s="48" t="s">
        <v>48</v>
      </c>
      <c r="D16" s="33" t="e">
        <f t="shared" si="0"/>
        <v>#REF!</v>
      </c>
      <c r="E16" s="46" t="s">
        <v>70</v>
      </c>
      <c r="F16" s="46" t="s">
        <v>42</v>
      </c>
      <c r="G16" s="47" t="e">
        <f>G4</f>
        <v>#REF!</v>
      </c>
      <c r="H16" s="46">
        <v>1</v>
      </c>
      <c r="I16" s="46">
        <v>1</v>
      </c>
      <c r="J16" s="46" t="s">
        <v>41</v>
      </c>
      <c r="K16" s="46">
        <v>9</v>
      </c>
    </row>
    <row r="17" spans="1:13">
      <c r="A17" s="30" t="s">
        <v>46</v>
      </c>
      <c r="B17" s="30" t="s">
        <v>69</v>
      </c>
      <c r="C17" s="30" t="s">
        <v>44</v>
      </c>
      <c r="D17" s="29" t="e">
        <f t="shared" si="0"/>
        <v>#REF!</v>
      </c>
      <c r="E17" s="28" t="s">
        <v>68</v>
      </c>
      <c r="F17" s="28" t="s">
        <v>42</v>
      </c>
      <c r="G17" s="28" t="e">
        <f>G5</f>
        <v>#REF!</v>
      </c>
      <c r="H17" s="28">
        <v>1</v>
      </c>
      <c r="I17" s="28">
        <v>1</v>
      </c>
      <c r="J17" s="28" t="s">
        <v>41</v>
      </c>
      <c r="K17" s="28">
        <v>9</v>
      </c>
      <c r="M17" s="1" t="e">
        <f>SUM(G14:G17)</f>
        <v>#REF!</v>
      </c>
    </row>
    <row r="18" spans="1:13">
      <c r="A18" s="45" t="s">
        <v>46</v>
      </c>
      <c r="B18" s="45" t="s">
        <v>64</v>
      </c>
      <c r="C18" s="45" t="s">
        <v>52</v>
      </c>
      <c r="D18" s="42" t="e">
        <f t="shared" si="0"/>
        <v>#REF!</v>
      </c>
      <c r="E18" s="44" t="s">
        <v>67</v>
      </c>
      <c r="F18" s="44" t="s">
        <v>42</v>
      </c>
      <c r="G18" s="40" t="e">
        <f>G2</f>
        <v>#REF!</v>
      </c>
      <c r="H18" s="44">
        <v>1</v>
      </c>
      <c r="I18" s="44">
        <v>1</v>
      </c>
      <c r="J18" s="44" t="s">
        <v>41</v>
      </c>
      <c r="K18" s="44">
        <v>9</v>
      </c>
    </row>
    <row r="19" spans="1:13">
      <c r="A19" s="43" t="s">
        <v>46</v>
      </c>
      <c r="B19" s="43" t="s">
        <v>64</v>
      </c>
      <c r="C19" s="43" t="s">
        <v>50</v>
      </c>
      <c r="D19" s="42" t="e">
        <f t="shared" si="0"/>
        <v>#REF!</v>
      </c>
      <c r="E19" s="40" t="s">
        <v>66</v>
      </c>
      <c r="F19" s="40" t="s">
        <v>42</v>
      </c>
      <c r="G19" s="40" t="e">
        <f>G3</f>
        <v>#REF!</v>
      </c>
      <c r="H19" s="40">
        <v>1</v>
      </c>
      <c r="I19" s="40">
        <v>1</v>
      </c>
      <c r="J19" s="40" t="s">
        <v>41</v>
      </c>
      <c r="K19" s="40">
        <v>9</v>
      </c>
    </row>
    <row r="20" spans="1:13">
      <c r="A20" s="43" t="s">
        <v>46</v>
      </c>
      <c r="B20" s="43" t="s">
        <v>64</v>
      </c>
      <c r="C20" s="43" t="s">
        <v>48</v>
      </c>
      <c r="D20" s="42" t="e">
        <f t="shared" si="0"/>
        <v>#REF!</v>
      </c>
      <c r="E20" s="40" t="s">
        <v>65</v>
      </c>
      <c r="F20" s="40" t="s">
        <v>42</v>
      </c>
      <c r="G20" s="41" t="e">
        <f>G4</f>
        <v>#REF!</v>
      </c>
      <c r="H20" s="40">
        <v>1</v>
      </c>
      <c r="I20" s="40">
        <v>1</v>
      </c>
      <c r="J20" s="40" t="s">
        <v>41</v>
      </c>
      <c r="K20" s="40">
        <v>9</v>
      </c>
    </row>
    <row r="21" spans="1:13">
      <c r="A21" s="39" t="s">
        <v>46</v>
      </c>
      <c r="B21" s="39" t="s">
        <v>64</v>
      </c>
      <c r="C21" s="39" t="s">
        <v>44</v>
      </c>
      <c r="D21" s="38" t="e">
        <f t="shared" si="0"/>
        <v>#REF!</v>
      </c>
      <c r="E21" s="37" t="s">
        <v>63</v>
      </c>
      <c r="F21" s="37" t="s">
        <v>42</v>
      </c>
      <c r="G21" s="40" t="e">
        <f>G5</f>
        <v>#REF!</v>
      </c>
      <c r="H21" s="37">
        <v>1</v>
      </c>
      <c r="I21" s="37">
        <v>1</v>
      </c>
      <c r="J21" s="37" t="s">
        <v>41</v>
      </c>
      <c r="K21" s="37">
        <v>9</v>
      </c>
      <c r="M21" s="1" t="e">
        <f>SUM(G18:G21)</f>
        <v>#REF!</v>
      </c>
    </row>
    <row r="22" spans="1:13">
      <c r="A22" s="36" t="s">
        <v>46</v>
      </c>
      <c r="B22" s="36" t="s">
        <v>59</v>
      </c>
      <c r="C22" s="36" t="s">
        <v>52</v>
      </c>
      <c r="D22" s="33" t="e">
        <f t="shared" si="0"/>
        <v>#REF!</v>
      </c>
      <c r="E22" s="35" t="s">
        <v>62</v>
      </c>
      <c r="F22" s="35" t="s">
        <v>42</v>
      </c>
      <c r="G22" s="35" t="e">
        <f>G10</f>
        <v>#REF!</v>
      </c>
      <c r="H22" s="35">
        <v>1</v>
      </c>
      <c r="I22" s="35">
        <v>1</v>
      </c>
      <c r="J22" s="35" t="s">
        <v>41</v>
      </c>
      <c r="K22" s="35">
        <v>9</v>
      </c>
    </row>
    <row r="23" spans="1:13">
      <c r="A23" s="34" t="s">
        <v>46</v>
      </c>
      <c r="B23" s="34" t="s">
        <v>59</v>
      </c>
      <c r="C23" s="34" t="s">
        <v>50</v>
      </c>
      <c r="D23" s="33" t="e">
        <f t="shared" si="0"/>
        <v>#REF!</v>
      </c>
      <c r="E23" s="31" t="s">
        <v>61</v>
      </c>
      <c r="F23" s="31" t="s">
        <v>42</v>
      </c>
      <c r="G23" s="32" t="e">
        <f>G3</f>
        <v>#REF!</v>
      </c>
      <c r="H23" s="31">
        <v>1</v>
      </c>
      <c r="I23" s="31">
        <v>1</v>
      </c>
      <c r="J23" s="31" t="s">
        <v>41</v>
      </c>
      <c r="K23" s="31">
        <v>9</v>
      </c>
    </row>
    <row r="24" spans="1:13">
      <c r="A24" s="34" t="s">
        <v>46</v>
      </c>
      <c r="B24" s="34" t="s">
        <v>59</v>
      </c>
      <c r="C24" s="34" t="s">
        <v>48</v>
      </c>
      <c r="D24" s="33" t="e">
        <f t="shared" si="0"/>
        <v>#REF!</v>
      </c>
      <c r="E24" s="31" t="s">
        <v>60</v>
      </c>
      <c r="F24" s="31" t="s">
        <v>42</v>
      </c>
      <c r="G24" s="32" t="e">
        <f>G12</f>
        <v>#REF!</v>
      </c>
      <c r="H24" s="31">
        <v>1</v>
      </c>
      <c r="I24" s="31">
        <v>1</v>
      </c>
      <c r="J24" s="31" t="s">
        <v>41</v>
      </c>
      <c r="K24" s="31">
        <v>9</v>
      </c>
    </row>
    <row r="25" spans="1:13">
      <c r="A25" s="30" t="s">
        <v>46</v>
      </c>
      <c r="B25" s="30" t="s">
        <v>59</v>
      </c>
      <c r="C25" s="30" t="s">
        <v>44</v>
      </c>
      <c r="D25" s="29" t="e">
        <f t="shared" si="0"/>
        <v>#REF!</v>
      </c>
      <c r="E25" s="28" t="s">
        <v>58</v>
      </c>
      <c r="F25" s="28" t="s">
        <v>42</v>
      </c>
      <c r="G25" s="28" t="e">
        <f>G13</f>
        <v>#REF!</v>
      </c>
      <c r="H25" s="28">
        <v>1</v>
      </c>
      <c r="I25" s="28">
        <v>1</v>
      </c>
      <c r="J25" s="28" t="s">
        <v>41</v>
      </c>
      <c r="K25" s="28">
        <v>9</v>
      </c>
      <c r="M25" s="1" t="e">
        <f>SUM(G22:G25)</f>
        <v>#REF!</v>
      </c>
    </row>
    <row r="26" spans="1:13">
      <c r="A26" s="45" t="s">
        <v>46</v>
      </c>
      <c r="B26" s="45" t="s">
        <v>54</v>
      </c>
      <c r="C26" s="45" t="s">
        <v>52</v>
      </c>
      <c r="D26" s="42" t="e">
        <f t="shared" si="0"/>
        <v>#REF!</v>
      </c>
      <c r="E26" s="44" t="s">
        <v>57</v>
      </c>
      <c r="F26" s="44" t="s">
        <v>42</v>
      </c>
      <c r="G26" s="44" t="e">
        <f>G10</f>
        <v>#REF!</v>
      </c>
      <c r="H26" s="44">
        <v>1</v>
      </c>
      <c r="I26" s="44">
        <v>1</v>
      </c>
      <c r="J26" s="44" t="s">
        <v>41</v>
      </c>
      <c r="K26" s="44">
        <v>9</v>
      </c>
    </row>
    <row r="27" spans="1:13">
      <c r="A27" s="43" t="s">
        <v>46</v>
      </c>
      <c r="B27" s="43" t="s">
        <v>54</v>
      </c>
      <c r="C27" s="43" t="s">
        <v>50</v>
      </c>
      <c r="D27" s="42" t="e">
        <f t="shared" si="0"/>
        <v>#REF!</v>
      </c>
      <c r="E27" s="40" t="s">
        <v>56</v>
      </c>
      <c r="F27" s="40" t="s">
        <v>42</v>
      </c>
      <c r="G27" s="40" t="e">
        <f>G11</f>
        <v>#REF!</v>
      </c>
      <c r="H27" s="40">
        <v>1</v>
      </c>
      <c r="I27" s="40">
        <v>1</v>
      </c>
      <c r="J27" s="40" t="s">
        <v>41</v>
      </c>
      <c r="K27" s="40">
        <v>9</v>
      </c>
    </row>
    <row r="28" spans="1:13">
      <c r="A28" s="43" t="s">
        <v>46</v>
      </c>
      <c r="B28" s="43" t="s">
        <v>54</v>
      </c>
      <c r="C28" s="43" t="s">
        <v>48</v>
      </c>
      <c r="D28" s="42" t="e">
        <f t="shared" si="0"/>
        <v>#REF!</v>
      </c>
      <c r="E28" s="40" t="s">
        <v>55</v>
      </c>
      <c r="F28" s="40" t="s">
        <v>42</v>
      </c>
      <c r="G28" s="41" t="e">
        <f>G12</f>
        <v>#REF!</v>
      </c>
      <c r="H28" s="40">
        <v>1</v>
      </c>
      <c r="I28" s="40">
        <v>1</v>
      </c>
      <c r="J28" s="40" t="s">
        <v>41</v>
      </c>
      <c r="K28" s="40">
        <v>9</v>
      </c>
    </row>
    <row r="29" spans="1:13">
      <c r="A29" s="39" t="s">
        <v>46</v>
      </c>
      <c r="B29" s="39" t="s">
        <v>54</v>
      </c>
      <c r="C29" s="39" t="s">
        <v>44</v>
      </c>
      <c r="D29" s="38" t="e">
        <f t="shared" si="0"/>
        <v>#REF!</v>
      </c>
      <c r="E29" s="37" t="s">
        <v>53</v>
      </c>
      <c r="F29" s="37" t="s">
        <v>42</v>
      </c>
      <c r="G29" s="37" t="e">
        <f>G13</f>
        <v>#REF!</v>
      </c>
      <c r="H29" s="37">
        <v>1</v>
      </c>
      <c r="I29" s="37">
        <v>1</v>
      </c>
      <c r="J29" s="37" t="s">
        <v>41</v>
      </c>
      <c r="K29" s="37">
        <v>9</v>
      </c>
      <c r="M29" s="1" t="e">
        <f>SUM(G26:G29)</f>
        <v>#REF!</v>
      </c>
    </row>
    <row r="30" spans="1:13">
      <c r="A30" s="36" t="s">
        <v>46</v>
      </c>
      <c r="B30" s="36" t="s">
        <v>45</v>
      </c>
      <c r="C30" s="36" t="s">
        <v>52</v>
      </c>
      <c r="D30" s="33" t="e">
        <f t="shared" si="0"/>
        <v>#REF!</v>
      </c>
      <c r="E30" s="35" t="s">
        <v>51</v>
      </c>
      <c r="F30" s="35" t="s">
        <v>42</v>
      </c>
      <c r="G30" s="31" t="e">
        <f>G10</f>
        <v>#REF!</v>
      </c>
      <c r="H30" s="35">
        <v>1</v>
      </c>
      <c r="I30" s="35">
        <v>1</v>
      </c>
      <c r="J30" s="35" t="s">
        <v>41</v>
      </c>
      <c r="K30" s="35">
        <v>9</v>
      </c>
    </row>
    <row r="31" spans="1:13">
      <c r="A31" s="34" t="s">
        <v>46</v>
      </c>
      <c r="B31" s="34" t="s">
        <v>45</v>
      </c>
      <c r="C31" s="34" t="s">
        <v>50</v>
      </c>
      <c r="D31" s="33" t="e">
        <f t="shared" si="0"/>
        <v>#REF!</v>
      </c>
      <c r="E31" s="31" t="s">
        <v>49</v>
      </c>
      <c r="F31" s="31" t="s">
        <v>42</v>
      </c>
      <c r="G31" s="31" t="e">
        <f>G11</f>
        <v>#REF!</v>
      </c>
      <c r="H31" s="31">
        <v>1</v>
      </c>
      <c r="I31" s="31">
        <v>1</v>
      </c>
      <c r="J31" s="31" t="s">
        <v>41</v>
      </c>
      <c r="K31" s="31">
        <v>9</v>
      </c>
    </row>
    <row r="32" spans="1:13">
      <c r="A32" s="34" t="s">
        <v>46</v>
      </c>
      <c r="B32" s="34" t="s">
        <v>45</v>
      </c>
      <c r="C32" s="34" t="s">
        <v>48</v>
      </c>
      <c r="D32" s="33" t="e">
        <f t="shared" si="0"/>
        <v>#REF!</v>
      </c>
      <c r="E32" s="31" t="s">
        <v>47</v>
      </c>
      <c r="F32" s="31" t="s">
        <v>42</v>
      </c>
      <c r="G32" s="32" t="e">
        <f>G16</f>
        <v>#REF!</v>
      </c>
      <c r="H32" s="31">
        <v>1</v>
      </c>
      <c r="I32" s="31">
        <v>1</v>
      </c>
      <c r="J32" s="31" t="s">
        <v>41</v>
      </c>
      <c r="K32" s="31">
        <v>9</v>
      </c>
    </row>
    <row r="33" spans="1:13">
      <c r="A33" s="30" t="s">
        <v>46</v>
      </c>
      <c r="B33" s="30" t="s">
        <v>45</v>
      </c>
      <c r="C33" s="30" t="s">
        <v>44</v>
      </c>
      <c r="D33" s="29" t="e">
        <f t="shared" si="0"/>
        <v>#REF!</v>
      </c>
      <c r="E33" s="28" t="s">
        <v>43</v>
      </c>
      <c r="F33" s="28" t="s">
        <v>42</v>
      </c>
      <c r="G33" s="28" t="e">
        <f>G13</f>
        <v>#REF!</v>
      </c>
      <c r="H33" s="28">
        <v>1</v>
      </c>
      <c r="I33" s="28">
        <v>1</v>
      </c>
      <c r="J33" s="28" t="s">
        <v>41</v>
      </c>
      <c r="K33" s="28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419" bestFit="1" customWidth="1"/>
  </cols>
  <sheetData>
    <row r="1" spans="1:1">
      <c r="A1" s="419">
        <v>41970</v>
      </c>
    </row>
    <row r="2" spans="1:1">
      <c r="A2" s="419">
        <v>41998</v>
      </c>
    </row>
    <row r="3" spans="1:1">
      <c r="A3" s="419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N78"/>
  <sheetViews>
    <sheetView view="pageBreakPreview" zoomScale="85" zoomScaleNormal="85" zoomScaleSheetLayoutView="85" workbookViewId="0">
      <pane xSplit="4" ySplit="9" topLeftCell="E10" activePane="bottomRight" state="frozen"/>
      <selection activeCell="B43" sqref="B43"/>
      <selection pane="topRight" activeCell="B43" sqref="B43"/>
      <selection pane="bottomLeft" activeCell="B43" sqref="B43"/>
      <selection pane="bottomRight" activeCell="E50" sqref="E50"/>
    </sheetView>
  </sheetViews>
  <sheetFormatPr defaultColWidth="9.85546875" defaultRowHeight="14.25"/>
  <cols>
    <col min="1" max="1" width="4.85546875" style="53" customWidth="1"/>
    <col min="2" max="2" width="18" style="53" customWidth="1"/>
    <col min="3" max="3" width="10.28515625" style="53" customWidth="1"/>
    <col min="4" max="4" width="17.85546875" style="53" bestFit="1" customWidth="1"/>
    <col min="5" max="5" width="13.42578125" style="53" customWidth="1"/>
    <col min="6" max="6" width="9.42578125" style="53" customWidth="1"/>
    <col min="7" max="7" width="13.42578125" style="53" customWidth="1"/>
    <col min="8" max="8" width="1.85546875" style="53" customWidth="1"/>
    <col min="9" max="9" width="13.42578125" style="53" customWidth="1"/>
    <col min="10" max="10" width="1.85546875" style="53" customWidth="1"/>
    <col min="11" max="11" width="12.140625" style="53" customWidth="1"/>
    <col min="12" max="12" width="10.85546875" style="53" bestFit="1" customWidth="1"/>
    <col min="13" max="16384" width="9.85546875" style="53"/>
  </cols>
  <sheetData>
    <row r="1" spans="1:14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4">
      <c r="A2" s="70" t="s">
        <v>124</v>
      </c>
      <c r="B2" s="70"/>
      <c r="C2" s="70"/>
      <c r="D2" s="70"/>
      <c r="E2" s="70"/>
      <c r="F2" s="70"/>
      <c r="G2" s="70"/>
      <c r="H2" s="70"/>
      <c r="I2" s="55" t="s">
        <v>123</v>
      </c>
      <c r="J2" s="55"/>
    </row>
    <row r="3" spans="1:14">
      <c r="A3" s="86" t="s">
        <v>122</v>
      </c>
      <c r="B3" s="70"/>
      <c r="C3" s="70"/>
      <c r="D3" s="70"/>
      <c r="E3" s="70"/>
      <c r="F3" s="70"/>
      <c r="G3" s="70"/>
      <c r="H3" s="70"/>
      <c r="I3" s="70"/>
      <c r="J3" s="55"/>
    </row>
    <row r="4" spans="1:14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4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4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4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4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4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  <c r="N9" s="78"/>
    </row>
    <row r="10" spans="1:14" ht="15">
      <c r="A10" s="55">
        <v>1</v>
      </c>
      <c r="B10" s="71" t="s">
        <v>110</v>
      </c>
      <c r="C10" s="55"/>
      <c r="D10" s="55"/>
      <c r="E10" s="55"/>
      <c r="F10" s="55"/>
      <c r="G10" s="61"/>
      <c r="H10" s="55"/>
      <c r="I10" s="61"/>
      <c r="J10" s="55"/>
    </row>
    <row r="11" spans="1:14">
      <c r="A11" s="55">
        <v>2</v>
      </c>
      <c r="B11" s="55" t="s">
        <v>105</v>
      </c>
      <c r="C11" s="79">
        <v>29760</v>
      </c>
      <c r="D11" s="61"/>
      <c r="E11" s="444">
        <v>12340360</v>
      </c>
      <c r="F11" s="77"/>
      <c r="G11" s="61"/>
      <c r="H11" s="55"/>
      <c r="I11" s="61"/>
      <c r="J11" s="55"/>
    </row>
    <row r="12" spans="1:14">
      <c r="A12" s="55">
        <v>3</v>
      </c>
      <c r="B12" s="55" t="s">
        <v>109</v>
      </c>
      <c r="C12" s="79"/>
      <c r="D12" s="66" t="s">
        <v>104</v>
      </c>
      <c r="E12" s="55"/>
      <c r="F12" s="493">
        <v>0.30880000000000002</v>
      </c>
      <c r="G12" s="61">
        <f>ROUND($E$11*$F12,0)</f>
        <v>3810703</v>
      </c>
      <c r="H12" s="55"/>
      <c r="I12" s="61">
        <f>ROUND($E$11*$F12,0)</f>
        <v>3810703</v>
      </c>
      <c r="J12" s="55"/>
    </row>
    <row r="13" spans="1:14">
      <c r="A13" s="55">
        <v>4</v>
      </c>
      <c r="B13" s="55"/>
      <c r="C13" s="79"/>
      <c r="D13" s="55"/>
      <c r="E13" s="75"/>
      <c r="F13" s="76"/>
      <c r="G13" s="75"/>
      <c r="H13" s="74"/>
      <c r="I13" s="75"/>
      <c r="J13" s="74"/>
    </row>
    <row r="14" spans="1:14">
      <c r="A14" s="55">
        <v>5</v>
      </c>
      <c r="B14" s="53" t="s">
        <v>98</v>
      </c>
      <c r="C14" s="144"/>
      <c r="E14" s="72">
        <f>SUM(E11:E13)</f>
        <v>12340360</v>
      </c>
      <c r="G14" s="72">
        <f>SUM(G11:G13)</f>
        <v>3810703</v>
      </c>
      <c r="I14" s="72">
        <f>SUM(I11:I13)</f>
        <v>3810703</v>
      </c>
    </row>
    <row r="15" spans="1:14">
      <c r="A15" s="55">
        <v>6</v>
      </c>
      <c r="C15" s="144"/>
    </row>
    <row r="16" spans="1:14" ht="15">
      <c r="A16" s="55">
        <v>7</v>
      </c>
      <c r="B16" s="71" t="s">
        <v>108</v>
      </c>
      <c r="C16" s="79"/>
      <c r="D16" s="61"/>
      <c r="E16" s="61"/>
      <c r="F16" s="60"/>
      <c r="G16" s="61"/>
      <c r="H16" s="55"/>
      <c r="I16" s="61"/>
      <c r="J16" s="55"/>
    </row>
    <row r="17" spans="1:12">
      <c r="A17" s="55">
        <v>8</v>
      </c>
      <c r="B17" s="55" t="s">
        <v>105</v>
      </c>
      <c r="C17" s="79">
        <v>29762</v>
      </c>
      <c r="D17" s="61"/>
      <c r="E17" s="444">
        <v>27757688</v>
      </c>
      <c r="F17" s="60"/>
      <c r="G17" s="61"/>
      <c r="H17" s="55"/>
      <c r="I17" s="61"/>
      <c r="J17" s="55"/>
    </row>
    <row r="18" spans="1:12">
      <c r="A18" s="55">
        <v>9</v>
      </c>
      <c r="B18" s="55" t="s">
        <v>102</v>
      </c>
      <c r="C18" s="79"/>
      <c r="D18" s="66" t="s">
        <v>104</v>
      </c>
      <c r="E18" s="61"/>
      <c r="F18" s="493">
        <v>0.3543</v>
      </c>
      <c r="G18" s="61">
        <f>ROUND($E$17*$F18,0)</f>
        <v>9834549</v>
      </c>
      <c r="H18" s="55"/>
      <c r="I18" s="61">
        <f>ROUND($E$17*$F18,0)</f>
        <v>9834549</v>
      </c>
      <c r="J18" s="55"/>
    </row>
    <row r="19" spans="1:12">
      <c r="A19" s="55">
        <v>10</v>
      </c>
      <c r="B19" s="55"/>
      <c r="C19" s="79"/>
      <c r="D19" s="61"/>
      <c r="E19" s="61"/>
      <c r="F19" s="60"/>
      <c r="G19" s="61"/>
      <c r="H19" s="55"/>
      <c r="I19" s="61"/>
      <c r="J19" s="55"/>
    </row>
    <row r="20" spans="1:12">
      <c r="A20" s="55">
        <v>11</v>
      </c>
      <c r="B20" s="55" t="s">
        <v>103</v>
      </c>
      <c r="C20" s="131">
        <v>29759</v>
      </c>
      <c r="D20" s="61"/>
      <c r="E20" s="444">
        <v>6022500</v>
      </c>
      <c r="F20" s="60"/>
      <c r="G20" s="61"/>
      <c r="H20" s="55"/>
      <c r="I20" s="61"/>
      <c r="J20" s="55"/>
    </row>
    <row r="21" spans="1:12">
      <c r="A21" s="55">
        <v>12</v>
      </c>
      <c r="B21" s="55" t="s">
        <v>102</v>
      </c>
      <c r="C21" s="492" t="s">
        <v>101</v>
      </c>
      <c r="D21" s="66" t="s">
        <v>100</v>
      </c>
      <c r="E21" s="61"/>
      <c r="F21" s="493">
        <v>0.29389999999999999</v>
      </c>
      <c r="G21" s="61">
        <f>ROUND($E$20*$F21,0)</f>
        <v>1770013</v>
      </c>
      <c r="H21" s="55"/>
      <c r="I21" s="61">
        <f>ROUND($E$20*$F21,0)</f>
        <v>1770013</v>
      </c>
      <c r="J21" s="55"/>
      <c r="L21" s="65"/>
    </row>
    <row r="22" spans="1:12">
      <c r="A22" s="55">
        <v>13</v>
      </c>
      <c r="C22" s="144"/>
      <c r="E22" s="73"/>
      <c r="F22" s="73"/>
      <c r="G22" s="73"/>
      <c r="H22" s="73"/>
      <c r="I22" s="73"/>
      <c r="J22" s="73"/>
    </row>
    <row r="23" spans="1:12">
      <c r="A23" s="55">
        <v>14</v>
      </c>
      <c r="B23" s="55" t="s">
        <v>103</v>
      </c>
      <c r="C23" s="131">
        <v>34380</v>
      </c>
      <c r="D23" s="61"/>
      <c r="E23" s="444">
        <v>3650000</v>
      </c>
      <c r="F23" s="73"/>
      <c r="G23" s="73"/>
      <c r="H23" s="73"/>
      <c r="I23" s="73"/>
      <c r="J23" s="73"/>
    </row>
    <row r="24" spans="1:12">
      <c r="A24" s="55">
        <v>15</v>
      </c>
      <c r="B24" s="55" t="s">
        <v>102</v>
      </c>
      <c r="C24" s="492" t="s">
        <v>101</v>
      </c>
      <c r="D24" s="66" t="s">
        <v>100</v>
      </c>
      <c r="E24" s="73"/>
      <c r="F24" s="493">
        <v>0.29389999999999999</v>
      </c>
      <c r="G24" s="61">
        <f>ROUND($E$23*$F24,0)</f>
        <v>1072735</v>
      </c>
      <c r="H24" s="73"/>
      <c r="I24" s="61">
        <f>ROUND($E$23*$F24,0)</f>
        <v>1072735</v>
      </c>
      <c r="J24" s="73"/>
    </row>
    <row r="25" spans="1:12">
      <c r="A25" s="55">
        <v>16</v>
      </c>
      <c r="C25" s="144"/>
      <c r="E25" s="73"/>
      <c r="F25" s="73"/>
      <c r="G25" s="73"/>
      <c r="H25" s="73"/>
      <c r="I25" s="73"/>
      <c r="J25" s="73"/>
    </row>
    <row r="26" spans="1:12">
      <c r="A26" s="55">
        <v>17</v>
      </c>
      <c r="B26" s="53" t="s">
        <v>97</v>
      </c>
      <c r="C26" s="144"/>
      <c r="E26" s="72">
        <f>SUM(E17:E25)</f>
        <v>37430188</v>
      </c>
      <c r="G26" s="72">
        <f>SUM(G17:G25)</f>
        <v>12677297</v>
      </c>
      <c r="I26" s="72">
        <f>SUM(I17:I25)</f>
        <v>12677297</v>
      </c>
    </row>
    <row r="27" spans="1:12">
      <c r="A27" s="55">
        <v>18</v>
      </c>
      <c r="C27" s="144"/>
    </row>
    <row r="28" spans="1:12" ht="15">
      <c r="A28" s="55">
        <v>19</v>
      </c>
      <c r="B28" s="71" t="s">
        <v>107</v>
      </c>
      <c r="C28" s="79"/>
      <c r="D28" s="55"/>
      <c r="E28" s="55"/>
      <c r="F28" s="60"/>
      <c r="G28" s="55"/>
      <c r="H28" s="55"/>
      <c r="I28" s="55"/>
    </row>
    <row r="29" spans="1:12">
      <c r="A29" s="55">
        <v>20</v>
      </c>
      <c r="B29" s="55" t="s">
        <v>538</v>
      </c>
      <c r="C29" s="79">
        <v>35772</v>
      </c>
      <c r="D29" s="66" t="s">
        <v>541</v>
      </c>
      <c r="E29" s="444">
        <v>323400</v>
      </c>
      <c r="F29" s="60"/>
      <c r="G29" s="61"/>
      <c r="H29" s="55"/>
      <c r="I29" s="61"/>
    </row>
    <row r="30" spans="1:12">
      <c r="A30" s="55">
        <v>21</v>
      </c>
      <c r="B30" s="55" t="s">
        <v>102</v>
      </c>
      <c r="C30" s="79"/>
      <c r="D30" s="66"/>
      <c r="E30" s="61"/>
      <c r="F30" s="493">
        <v>0.32819999999999999</v>
      </c>
      <c r="G30" s="61">
        <f>ROUND($E$29*$F30,0)</f>
        <v>106140</v>
      </c>
      <c r="H30" s="55"/>
      <c r="I30" s="61">
        <f>ROUND($E$29*$F30,0)</f>
        <v>106140</v>
      </c>
      <c r="L30" s="65"/>
    </row>
    <row r="31" spans="1:12">
      <c r="A31" s="55">
        <v>22</v>
      </c>
      <c r="B31" s="55"/>
      <c r="C31" s="79"/>
      <c r="D31" s="66"/>
      <c r="E31" s="61"/>
      <c r="F31" s="493"/>
      <c r="G31" s="61"/>
      <c r="H31" s="55"/>
      <c r="I31" s="61"/>
      <c r="L31" s="65"/>
    </row>
    <row r="32" spans="1:12">
      <c r="A32" s="55">
        <v>23</v>
      </c>
      <c r="B32" s="55"/>
      <c r="C32" s="79"/>
      <c r="D32" s="66"/>
      <c r="E32" s="444"/>
      <c r="F32" s="60"/>
      <c r="G32" s="61"/>
      <c r="H32" s="55"/>
      <c r="I32" s="61"/>
      <c r="L32" s="65"/>
    </row>
    <row r="33" spans="1:12">
      <c r="A33" s="55">
        <v>24</v>
      </c>
      <c r="B33" s="55"/>
      <c r="C33" s="79"/>
      <c r="D33" s="66"/>
      <c r="E33" s="61"/>
      <c r="F33" s="493"/>
      <c r="G33" s="61"/>
      <c r="H33" s="55"/>
      <c r="I33" s="61"/>
      <c r="L33" s="65"/>
    </row>
    <row r="34" spans="1:12">
      <c r="A34" s="55">
        <v>25</v>
      </c>
      <c r="B34" s="55"/>
      <c r="C34" s="79"/>
      <c r="D34" s="61"/>
      <c r="E34" s="61"/>
      <c r="F34" s="60"/>
      <c r="G34" s="61"/>
      <c r="H34" s="55"/>
      <c r="I34" s="61"/>
      <c r="J34" s="55"/>
    </row>
    <row r="35" spans="1:12">
      <c r="A35" s="55">
        <v>26</v>
      </c>
      <c r="B35" s="53" t="s">
        <v>96</v>
      </c>
      <c r="C35" s="144"/>
      <c r="E35" s="72">
        <f>SUM(E29:E34)</f>
        <v>323400</v>
      </c>
      <c r="G35" s="72">
        <f>SUM(G29:G34)</f>
        <v>106140</v>
      </c>
      <c r="I35" s="72">
        <f>SUM(I29:I34)</f>
        <v>106140</v>
      </c>
    </row>
    <row r="36" spans="1:12">
      <c r="A36" s="55">
        <v>27</v>
      </c>
      <c r="C36" s="144"/>
    </row>
    <row r="37" spans="1:12" ht="15">
      <c r="A37" s="55">
        <v>28</v>
      </c>
      <c r="B37" s="71" t="s">
        <v>106</v>
      </c>
      <c r="C37" s="79"/>
      <c r="D37" s="61"/>
      <c r="E37" s="61"/>
      <c r="F37" s="60"/>
      <c r="G37" s="61"/>
      <c r="H37" s="55"/>
      <c r="I37" s="61"/>
    </row>
    <row r="38" spans="1:12">
      <c r="A38" s="55">
        <v>29</v>
      </c>
      <c r="B38" s="55" t="s">
        <v>105</v>
      </c>
      <c r="C38" s="79">
        <v>29763</v>
      </c>
      <c r="D38" s="61"/>
      <c r="E38" s="444">
        <v>3320769</v>
      </c>
      <c r="F38" s="60"/>
      <c r="G38" s="61"/>
      <c r="H38" s="55"/>
      <c r="I38" s="61"/>
    </row>
    <row r="39" spans="1:12">
      <c r="A39" s="55">
        <v>30</v>
      </c>
      <c r="B39" s="55" t="s">
        <v>102</v>
      </c>
      <c r="C39" s="79"/>
      <c r="D39" s="66" t="s">
        <v>104</v>
      </c>
      <c r="E39" s="61"/>
      <c r="F39" s="493">
        <v>0.41899999999999998</v>
      </c>
      <c r="G39" s="61">
        <f>ROUND($E$38*$F39,0)</f>
        <v>1391402</v>
      </c>
      <c r="H39" s="55"/>
      <c r="I39" s="61">
        <f>ROUND($E$38*$F39,0)</f>
        <v>1391402</v>
      </c>
    </row>
    <row r="40" spans="1:12">
      <c r="A40" s="55">
        <v>31</v>
      </c>
      <c r="B40" s="55"/>
      <c r="C40" s="79"/>
      <c r="D40" s="61"/>
      <c r="E40" s="61"/>
      <c r="F40" s="60"/>
      <c r="G40" s="61"/>
      <c r="H40" s="55"/>
      <c r="I40" s="61"/>
    </row>
    <row r="41" spans="1:12">
      <c r="A41" s="55">
        <v>32</v>
      </c>
      <c r="B41" s="55" t="s">
        <v>103</v>
      </c>
      <c r="C41" s="131">
        <v>31097</v>
      </c>
      <c r="D41" s="61"/>
      <c r="E41" s="444">
        <v>1825000</v>
      </c>
      <c r="F41" s="60"/>
      <c r="G41" s="61"/>
      <c r="H41" s="55"/>
      <c r="I41" s="61"/>
    </row>
    <row r="42" spans="1:12">
      <c r="A42" s="55">
        <v>33</v>
      </c>
      <c r="B42" s="55" t="s">
        <v>102</v>
      </c>
      <c r="C42" s="79"/>
      <c r="D42" s="66" t="s">
        <v>100</v>
      </c>
      <c r="E42" s="61"/>
      <c r="F42" s="493">
        <v>0.36699999999999999</v>
      </c>
      <c r="G42" s="61">
        <f>ROUND($E$41*$F42,0)</f>
        <v>669775</v>
      </c>
      <c r="H42" s="55"/>
      <c r="I42" s="61">
        <f>ROUND($E$41*$F42,0)</f>
        <v>669775</v>
      </c>
      <c r="L42" s="65"/>
    </row>
    <row r="43" spans="1:12">
      <c r="A43" s="55">
        <v>34</v>
      </c>
      <c r="B43" s="55"/>
      <c r="C43" s="79"/>
      <c r="D43" s="61"/>
      <c r="E43" s="61"/>
      <c r="F43" s="60"/>
      <c r="G43" s="61"/>
      <c r="H43" s="55"/>
      <c r="I43" s="61"/>
    </row>
    <row r="44" spans="1:12" hidden="1">
      <c r="A44" s="55">
        <v>35</v>
      </c>
      <c r="B44" s="55" t="s">
        <v>103</v>
      </c>
      <c r="C44" s="131"/>
      <c r="D44" s="61"/>
      <c r="E44" s="444"/>
      <c r="F44" s="60"/>
      <c r="G44" s="61"/>
      <c r="H44" s="55"/>
      <c r="I44" s="61"/>
      <c r="J44" s="55"/>
    </row>
    <row r="45" spans="1:12" hidden="1">
      <c r="A45" s="55">
        <v>36</v>
      </c>
      <c r="B45" s="55" t="s">
        <v>102</v>
      </c>
      <c r="C45" s="492" t="s">
        <v>101</v>
      </c>
      <c r="D45" s="66" t="s">
        <v>100</v>
      </c>
      <c r="E45" s="61"/>
      <c r="F45" s="493"/>
      <c r="G45" s="61">
        <f>ROUND($E$44*$F45,0)</f>
        <v>0</v>
      </c>
      <c r="H45" s="55"/>
      <c r="I45" s="61">
        <f>ROUND($E$44*$F45,0)</f>
        <v>0</v>
      </c>
      <c r="J45" s="55"/>
      <c r="L45" s="65"/>
    </row>
    <row r="46" spans="1:12" hidden="1">
      <c r="A46" s="55">
        <v>37</v>
      </c>
      <c r="B46" s="55"/>
      <c r="C46" s="79"/>
      <c r="D46" s="55"/>
      <c r="E46" s="55"/>
      <c r="F46" s="60"/>
      <c r="G46" s="55"/>
      <c r="H46" s="55"/>
      <c r="I46" s="55"/>
    </row>
    <row r="47" spans="1:12">
      <c r="A47" s="55">
        <v>38</v>
      </c>
      <c r="B47" s="55" t="s">
        <v>99</v>
      </c>
      <c r="C47" s="79"/>
      <c r="D47" s="61"/>
      <c r="E47" s="62">
        <f>SUM(E38:E46)</f>
        <v>5145769</v>
      </c>
      <c r="F47" s="60"/>
      <c r="G47" s="62">
        <f>SUM(G38:G46)</f>
        <v>2061177</v>
      </c>
      <c r="H47" s="55"/>
      <c r="I47" s="62">
        <f>SUM(I38:I46)</f>
        <v>2061177</v>
      </c>
    </row>
    <row r="48" spans="1:12">
      <c r="A48" s="55">
        <v>39</v>
      </c>
      <c r="B48" s="55"/>
      <c r="C48" s="79"/>
      <c r="D48" s="61"/>
      <c r="E48" s="75"/>
      <c r="F48" s="60"/>
      <c r="G48" s="75"/>
      <c r="H48" s="55"/>
      <c r="I48" s="75"/>
    </row>
    <row r="49" spans="1:12" ht="15">
      <c r="A49" s="55">
        <v>40</v>
      </c>
      <c r="B49" s="71" t="s">
        <v>518</v>
      </c>
      <c r="C49" s="79"/>
      <c r="D49" s="61"/>
      <c r="E49" s="61"/>
      <c r="F49" s="60"/>
      <c r="G49" s="61"/>
      <c r="H49" s="55"/>
      <c r="I49" s="61"/>
    </row>
    <row r="50" spans="1:12">
      <c r="A50" s="55">
        <v>41</v>
      </c>
      <c r="B50" s="55" t="s">
        <v>103</v>
      </c>
      <c r="C50" s="131">
        <v>34674</v>
      </c>
      <c r="D50" s="61"/>
      <c r="E50" s="444">
        <v>2309720</v>
      </c>
      <c r="F50" s="60"/>
      <c r="G50" s="61"/>
      <c r="H50" s="55"/>
      <c r="I50" s="61"/>
    </row>
    <row r="51" spans="1:12">
      <c r="A51" s="55">
        <v>42</v>
      </c>
      <c r="B51" s="55" t="s">
        <v>102</v>
      </c>
      <c r="C51" s="492" t="s">
        <v>101</v>
      </c>
      <c r="D51" s="66" t="s">
        <v>100</v>
      </c>
      <c r="E51" s="61"/>
      <c r="F51" s="493">
        <v>0.27800000000000002</v>
      </c>
      <c r="G51" s="61">
        <f>ROUND($E$50*$F51,0)</f>
        <v>642102</v>
      </c>
      <c r="H51" s="55"/>
      <c r="I51" s="61">
        <f>ROUND($E$50*$F51,0)</f>
        <v>642102</v>
      </c>
    </row>
    <row r="52" spans="1:12">
      <c r="A52" s="55">
        <v>43</v>
      </c>
      <c r="B52" s="55"/>
      <c r="C52" s="79"/>
      <c r="D52" s="55"/>
      <c r="E52" s="55"/>
      <c r="F52" s="60"/>
      <c r="G52" s="55"/>
      <c r="H52" s="55"/>
      <c r="I52" s="55"/>
    </row>
    <row r="53" spans="1:12">
      <c r="A53" s="55">
        <v>44</v>
      </c>
      <c r="B53" s="55" t="s">
        <v>519</v>
      </c>
      <c r="C53" s="55"/>
      <c r="D53" s="61"/>
      <c r="E53" s="62">
        <f>SUM(E50:E52)</f>
        <v>2309720</v>
      </c>
      <c r="F53" s="60"/>
      <c r="G53" s="62">
        <f>SUM(G50:G52)</f>
        <v>642102</v>
      </c>
      <c r="H53" s="55"/>
      <c r="I53" s="62">
        <f>SUM(I50:I52)</f>
        <v>642102</v>
      </c>
    </row>
    <row r="54" spans="1:12">
      <c r="A54" s="55">
        <v>45</v>
      </c>
      <c r="B54" s="55"/>
      <c r="C54" s="79"/>
      <c r="D54" s="61"/>
      <c r="E54" s="75"/>
      <c r="F54" s="60"/>
      <c r="G54" s="75"/>
      <c r="H54" s="55"/>
      <c r="I54" s="75"/>
    </row>
    <row r="55" spans="1:12" ht="15">
      <c r="A55" s="55">
        <v>46</v>
      </c>
      <c r="B55" s="71" t="s">
        <v>539</v>
      </c>
      <c r="C55" s="79"/>
      <c r="D55" s="61"/>
      <c r="E55" s="61"/>
      <c r="F55" s="60"/>
      <c r="G55" s="61"/>
      <c r="H55" s="55"/>
      <c r="I55" s="61"/>
    </row>
    <row r="56" spans="1:12">
      <c r="A56" s="55">
        <v>47</v>
      </c>
      <c r="B56" s="55" t="s">
        <v>103</v>
      </c>
      <c r="C56" s="131">
        <v>36773</v>
      </c>
      <c r="D56" s="61"/>
      <c r="E56" s="444">
        <v>1070000</v>
      </c>
      <c r="F56" s="60"/>
      <c r="G56" s="61"/>
      <c r="H56" s="55"/>
      <c r="I56" s="61"/>
    </row>
    <row r="57" spans="1:12">
      <c r="A57" s="55">
        <v>48</v>
      </c>
      <c r="B57" s="55" t="s">
        <v>102</v>
      </c>
      <c r="C57" s="492" t="s">
        <v>101</v>
      </c>
      <c r="D57" s="66" t="s">
        <v>100</v>
      </c>
      <c r="E57" s="61"/>
      <c r="F57" s="493">
        <v>0.14929999999999999</v>
      </c>
      <c r="G57" s="61">
        <f>ROUND($E$56*$F57,0)</f>
        <v>159751</v>
      </c>
      <c r="H57" s="55"/>
      <c r="I57" s="61">
        <f>ROUND($E$56*$F57,0)</f>
        <v>159751</v>
      </c>
      <c r="L57" s="65"/>
    </row>
    <row r="58" spans="1:12">
      <c r="A58" s="55">
        <v>49</v>
      </c>
      <c r="B58" s="55"/>
      <c r="C58" s="79"/>
      <c r="D58" s="55"/>
      <c r="E58" s="55"/>
      <c r="F58" s="60"/>
      <c r="G58" s="55"/>
      <c r="H58" s="55"/>
      <c r="I58" s="55"/>
      <c r="L58" s="530"/>
    </row>
    <row r="59" spans="1:12">
      <c r="A59" s="55">
        <v>50</v>
      </c>
      <c r="B59" s="55" t="s">
        <v>540</v>
      </c>
      <c r="C59" s="55"/>
      <c r="D59" s="61"/>
      <c r="E59" s="62">
        <f>SUM(E56:E58)</f>
        <v>1070000</v>
      </c>
      <c r="F59" s="60"/>
      <c r="G59" s="62">
        <f>SUM(G56:G58)</f>
        <v>159751</v>
      </c>
      <c r="H59" s="55"/>
      <c r="I59" s="62">
        <f>SUM(I56:I58)</f>
        <v>159751</v>
      </c>
    </row>
    <row r="60" spans="1:12">
      <c r="A60" s="55">
        <v>51</v>
      </c>
    </row>
    <row r="61" spans="1:12">
      <c r="A61" s="55">
        <v>52</v>
      </c>
      <c r="B61" s="53" t="s">
        <v>98</v>
      </c>
      <c r="E61" s="57">
        <f>E14</f>
        <v>12340360</v>
      </c>
      <c r="F61" s="57"/>
      <c r="G61" s="57">
        <f>G14</f>
        <v>3810703</v>
      </c>
      <c r="H61" s="57"/>
      <c r="I61" s="57">
        <f>I14</f>
        <v>3810703</v>
      </c>
    </row>
    <row r="62" spans="1:12">
      <c r="A62" s="55">
        <v>53</v>
      </c>
      <c r="B62" s="53" t="s">
        <v>97</v>
      </c>
      <c r="E62" s="57">
        <f>E26</f>
        <v>37430188</v>
      </c>
      <c r="F62" s="57"/>
      <c r="G62" s="57">
        <f>G26</f>
        <v>12677297</v>
      </c>
      <c r="H62" s="57"/>
      <c r="I62" s="57">
        <f>I26</f>
        <v>12677297</v>
      </c>
    </row>
    <row r="63" spans="1:12">
      <c r="A63" s="55">
        <v>54</v>
      </c>
      <c r="B63" s="53" t="s">
        <v>96</v>
      </c>
      <c r="E63" s="57">
        <f>E35</f>
        <v>323400</v>
      </c>
      <c r="F63" s="57"/>
      <c r="G63" s="57">
        <f>G35</f>
        <v>106140</v>
      </c>
      <c r="H63" s="57"/>
      <c r="I63" s="57">
        <f>I35</f>
        <v>106140</v>
      </c>
    </row>
    <row r="64" spans="1:12">
      <c r="A64" s="55">
        <v>55</v>
      </c>
      <c r="B64" s="53" t="s">
        <v>99</v>
      </c>
      <c r="E64" s="57">
        <f>E47</f>
        <v>5145769</v>
      </c>
      <c r="F64" s="57"/>
      <c r="G64" s="57">
        <f>G47</f>
        <v>2061177</v>
      </c>
      <c r="H64" s="57"/>
      <c r="I64" s="57">
        <f>I47</f>
        <v>2061177</v>
      </c>
    </row>
    <row r="65" spans="1:9">
      <c r="A65" s="55">
        <v>56</v>
      </c>
      <c r="B65" s="53" t="s">
        <v>519</v>
      </c>
      <c r="E65" s="57">
        <f>E53</f>
        <v>2309720</v>
      </c>
      <c r="F65" s="57"/>
      <c r="G65" s="57">
        <f>G53</f>
        <v>642102</v>
      </c>
      <c r="H65" s="57"/>
      <c r="I65" s="57">
        <f>I53</f>
        <v>642102</v>
      </c>
    </row>
    <row r="66" spans="1:9">
      <c r="A66" s="55">
        <v>57</v>
      </c>
      <c r="B66" s="53" t="s">
        <v>540</v>
      </c>
      <c r="E66" s="57">
        <f>E59</f>
        <v>1070000</v>
      </c>
      <c r="F66" s="57"/>
      <c r="G66" s="57">
        <f>G59</f>
        <v>159751</v>
      </c>
      <c r="H66" s="57"/>
      <c r="I66" s="57">
        <f>I59</f>
        <v>159751</v>
      </c>
    </row>
    <row r="67" spans="1:9">
      <c r="A67" s="55">
        <v>58</v>
      </c>
      <c r="B67" s="55"/>
      <c r="C67" s="55"/>
      <c r="E67" s="64"/>
      <c r="F67" s="54"/>
    </row>
    <row r="68" spans="1:9">
      <c r="A68" s="55">
        <v>59</v>
      </c>
      <c r="B68" s="55" t="s">
        <v>95</v>
      </c>
      <c r="C68" s="55"/>
      <c r="D68" s="61"/>
      <c r="E68" s="62">
        <f>SUM(E61:E66)</f>
        <v>58619437</v>
      </c>
      <c r="F68" s="60"/>
      <c r="G68" s="62">
        <f>SUM(G61:G66)</f>
        <v>19457170</v>
      </c>
      <c r="H68" s="63"/>
      <c r="I68" s="62">
        <f>SUM(I61:J66)</f>
        <v>19457170</v>
      </c>
    </row>
    <row r="69" spans="1:9">
      <c r="A69" s="55">
        <v>60</v>
      </c>
      <c r="B69" s="55"/>
      <c r="C69" s="55"/>
      <c r="D69" s="61"/>
      <c r="E69" s="61"/>
      <c r="F69" s="60"/>
      <c r="G69" s="61"/>
      <c r="H69" s="55"/>
      <c r="I69" s="61"/>
    </row>
    <row r="70" spans="1:9">
      <c r="A70" s="55">
        <v>61</v>
      </c>
      <c r="B70" s="55"/>
      <c r="C70" s="55"/>
      <c r="D70" s="55"/>
      <c r="E70" s="55"/>
      <c r="F70" s="60"/>
      <c r="G70" s="55"/>
      <c r="H70" s="55"/>
      <c r="I70" s="55"/>
    </row>
    <row r="71" spans="1:9" ht="15" thickBot="1">
      <c r="A71" s="55">
        <v>62</v>
      </c>
      <c r="B71" s="55" t="s">
        <v>94</v>
      </c>
      <c r="C71" s="55"/>
      <c r="D71" s="55"/>
      <c r="E71" s="61"/>
      <c r="F71" s="60"/>
      <c r="G71" s="58">
        <f>SUM(G68:G70)</f>
        <v>19457170</v>
      </c>
      <c r="H71" s="59"/>
      <c r="I71" s="58">
        <f>SUM(I68:I70)</f>
        <v>19457170</v>
      </c>
    </row>
    <row r="72" spans="1:9" ht="15" thickTop="1">
      <c r="A72" s="55"/>
      <c r="F72" s="54"/>
    </row>
    <row r="73" spans="1:9">
      <c r="A73" s="55"/>
      <c r="F73" s="54"/>
      <c r="G73" s="57"/>
    </row>
    <row r="74" spans="1:9">
      <c r="A74" s="55"/>
      <c r="F74" s="54"/>
    </row>
    <row r="75" spans="1:9">
      <c r="A75" s="55"/>
      <c r="F75" s="54"/>
    </row>
    <row r="76" spans="1:9">
      <c r="A76" s="55"/>
      <c r="F76" s="54"/>
      <c r="G76" s="56"/>
    </row>
    <row r="77" spans="1:9">
      <c r="A77" s="55"/>
      <c r="F77" s="54"/>
    </row>
    <row r="78" spans="1:9">
      <c r="A78" s="55"/>
      <c r="F78" s="54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L118"/>
  <sheetViews>
    <sheetView view="pageBreakPreview" zoomScaleNormal="80" zoomScaleSheetLayoutView="100" workbookViewId="0">
      <pane xSplit="3" ySplit="9" topLeftCell="D10" activePane="bottomRight" state="frozen"/>
      <selection activeCell="B43" sqref="B43"/>
      <selection pane="topRight" activeCell="B43" sqref="B43"/>
      <selection pane="bottomLeft" activeCell="B43" sqref="B43"/>
      <selection pane="bottomRight"/>
    </sheetView>
  </sheetViews>
  <sheetFormatPr defaultColWidth="9.85546875" defaultRowHeight="14.25"/>
  <cols>
    <col min="1" max="1" width="4.85546875" style="53" customWidth="1"/>
    <col min="2" max="2" width="17.140625" style="53" customWidth="1"/>
    <col min="3" max="3" width="23.42578125" style="53" customWidth="1"/>
    <col min="4" max="4" width="9.85546875" style="53" customWidth="1"/>
    <col min="5" max="5" width="13" style="53" bestFit="1" customWidth="1"/>
    <col min="6" max="6" width="10.85546875" style="53" customWidth="1"/>
    <col min="7" max="7" width="11.7109375" style="53" bestFit="1" customWidth="1"/>
    <col min="8" max="8" width="1.85546875" style="53" customWidth="1"/>
    <col min="9" max="9" width="13.5703125" style="53" customWidth="1"/>
    <col min="10" max="10" width="1.85546875" style="53" customWidth="1"/>
    <col min="11" max="11" width="11.28515625" style="53" customWidth="1"/>
    <col min="12" max="13" width="9.85546875" style="53"/>
    <col min="14" max="14" width="12.7109375" style="53" bestFit="1" customWidth="1"/>
    <col min="15" max="16384" width="9.85546875" style="53"/>
  </cols>
  <sheetData>
    <row r="1" spans="1:10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0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55" t="s">
        <v>141</v>
      </c>
      <c r="J2" s="55"/>
    </row>
    <row r="3" spans="1:10">
      <c r="A3" s="86" t="s">
        <v>140</v>
      </c>
      <c r="B3" s="70"/>
      <c r="C3" s="70"/>
      <c r="D3" s="70"/>
      <c r="E3" s="70"/>
      <c r="F3" s="70"/>
      <c r="G3" s="70"/>
      <c r="H3" s="70"/>
      <c r="I3" s="70"/>
      <c r="J3" s="55"/>
    </row>
    <row r="4" spans="1:10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0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0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0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0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0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</row>
    <row r="10" spans="1:10" ht="15">
      <c r="A10" s="55"/>
      <c r="B10" s="80"/>
      <c r="C10" s="55"/>
      <c r="D10" s="55"/>
      <c r="E10" s="55"/>
      <c r="F10" s="55"/>
      <c r="G10" s="55"/>
      <c r="H10" s="55"/>
      <c r="I10" s="55"/>
      <c r="J10" s="55"/>
    </row>
    <row r="11" spans="1:10" ht="15">
      <c r="A11" s="55">
        <v>1</v>
      </c>
      <c r="B11" s="71" t="s">
        <v>139</v>
      </c>
      <c r="C11" s="55"/>
      <c r="D11" s="61"/>
      <c r="E11" s="61"/>
      <c r="F11" s="77"/>
      <c r="G11" s="61"/>
      <c r="H11" s="55"/>
      <c r="I11" s="61"/>
      <c r="J11" s="55"/>
    </row>
    <row r="12" spans="1:10">
      <c r="A12" s="55">
        <v>2</v>
      </c>
      <c r="B12" s="55" t="s">
        <v>136</v>
      </c>
      <c r="C12" s="70">
        <v>2546</v>
      </c>
      <c r="D12" s="55"/>
      <c r="E12" s="444">
        <v>145000</v>
      </c>
      <c r="F12" s="445"/>
      <c r="G12" s="61"/>
      <c r="H12" s="55"/>
      <c r="I12" s="61"/>
      <c r="J12" s="55"/>
    </row>
    <row r="13" spans="1:10">
      <c r="A13" s="55">
        <v>3</v>
      </c>
      <c r="B13" s="55" t="s">
        <v>102</v>
      </c>
      <c r="C13" s="70"/>
      <c r="D13" s="89" t="s">
        <v>135</v>
      </c>
      <c r="E13" s="444"/>
      <c r="F13" s="445">
        <v>13.9581</v>
      </c>
      <c r="G13" s="61">
        <f>ROUND($E$12*$F$13,0)</f>
        <v>2023925</v>
      </c>
      <c r="H13" s="55"/>
      <c r="I13" s="61">
        <f>ROUND($E$12*$F$13,0)</f>
        <v>2023925</v>
      </c>
      <c r="J13" s="55"/>
    </row>
    <row r="14" spans="1:10">
      <c r="A14" s="55">
        <v>4</v>
      </c>
      <c r="B14" s="55"/>
      <c r="C14" s="70"/>
      <c r="D14" s="55"/>
      <c r="E14" s="444"/>
      <c r="F14" s="445"/>
      <c r="G14" s="61"/>
      <c r="H14" s="55"/>
      <c r="I14" s="61"/>
      <c r="J14" s="55"/>
    </row>
    <row r="15" spans="1:10">
      <c r="A15" s="55">
        <v>5</v>
      </c>
      <c r="B15" s="55" t="s">
        <v>517</v>
      </c>
      <c r="C15" s="70">
        <v>95033</v>
      </c>
      <c r="D15" s="61"/>
      <c r="E15" s="444">
        <v>144000</v>
      </c>
      <c r="F15" s="445"/>
      <c r="G15" s="61"/>
      <c r="H15" s="55"/>
      <c r="I15" s="61"/>
      <c r="J15" s="55"/>
    </row>
    <row r="16" spans="1:10">
      <c r="A16" s="55">
        <v>6</v>
      </c>
      <c r="B16" s="55" t="s">
        <v>102</v>
      </c>
      <c r="C16" s="70"/>
      <c r="D16" s="89">
        <v>14</v>
      </c>
      <c r="E16" s="444"/>
      <c r="F16" s="445">
        <v>13.9581</v>
      </c>
      <c r="G16" s="61">
        <f>ROUND($E$15*$F$16,0)</f>
        <v>2009966</v>
      </c>
      <c r="H16" s="55"/>
      <c r="I16" s="61">
        <f>ROUND($E$15*$F$16,0)</f>
        <v>2009966</v>
      </c>
      <c r="J16" s="55"/>
    </row>
    <row r="17" spans="1:10">
      <c r="A17" s="55">
        <v>7</v>
      </c>
      <c r="B17" s="55"/>
      <c r="C17" s="70"/>
      <c r="D17" s="89"/>
      <c r="E17" s="444"/>
      <c r="F17" s="445"/>
      <c r="G17" s="61"/>
      <c r="H17" s="55"/>
      <c r="I17" s="61"/>
      <c r="J17" s="55"/>
    </row>
    <row r="18" spans="1:10">
      <c r="A18" s="55">
        <v>8</v>
      </c>
      <c r="B18" s="55" t="s">
        <v>138</v>
      </c>
      <c r="C18" s="55"/>
      <c r="D18" s="61"/>
      <c r="E18" s="62">
        <f>SUM(E12:E17)</f>
        <v>289000</v>
      </c>
      <c r="F18" s="60"/>
      <c r="G18" s="62">
        <f>SUM(G12:G17)</f>
        <v>4033891</v>
      </c>
      <c r="H18" s="55"/>
      <c r="I18" s="62">
        <f>SUM(I12:I17)</f>
        <v>4033891</v>
      </c>
      <c r="J18" s="55"/>
    </row>
    <row r="19" spans="1:10">
      <c r="A19" s="55">
        <v>9</v>
      </c>
      <c r="B19" s="55"/>
      <c r="C19" s="55"/>
      <c r="D19" s="61"/>
      <c r="E19" s="75"/>
      <c r="F19" s="60"/>
      <c r="G19" s="75"/>
      <c r="H19" s="55"/>
      <c r="I19" s="75"/>
      <c r="J19" s="55"/>
    </row>
    <row r="20" spans="1:10" ht="15">
      <c r="A20" s="55">
        <v>10</v>
      </c>
      <c r="B20" s="71" t="s">
        <v>137</v>
      </c>
      <c r="C20" s="55"/>
      <c r="D20" s="61"/>
      <c r="E20" s="75"/>
      <c r="F20" s="60"/>
      <c r="G20" s="75"/>
      <c r="H20" s="55"/>
      <c r="I20" s="75"/>
      <c r="J20" s="55"/>
    </row>
    <row r="21" spans="1:10">
      <c r="A21" s="55">
        <v>11</v>
      </c>
      <c r="B21" s="55" t="s">
        <v>517</v>
      </c>
      <c r="C21" s="70">
        <v>300264</v>
      </c>
      <c r="D21" s="61"/>
      <c r="E21" s="444">
        <v>30000</v>
      </c>
      <c r="F21" s="445"/>
      <c r="G21" s="61"/>
      <c r="H21" s="55"/>
      <c r="I21" s="61"/>
      <c r="J21" s="55"/>
    </row>
    <row r="22" spans="1:10">
      <c r="A22" s="55">
        <v>12</v>
      </c>
      <c r="B22" s="55" t="s">
        <v>102</v>
      </c>
      <c r="C22" s="70"/>
      <c r="D22" s="89">
        <v>14</v>
      </c>
      <c r="E22" s="444"/>
      <c r="F22" s="445">
        <v>9.4787999999999997</v>
      </c>
      <c r="G22" s="61">
        <f>ROUND($E$21*$F$22,0)</f>
        <v>284364</v>
      </c>
      <c r="H22" s="55"/>
      <c r="I22" s="61">
        <f>ROUND($E$21*$F$22,0)</f>
        <v>284364</v>
      </c>
      <c r="J22" s="55"/>
    </row>
    <row r="23" spans="1:10">
      <c r="A23" s="55">
        <v>13</v>
      </c>
      <c r="B23" s="55"/>
      <c r="C23" s="55"/>
      <c r="D23" s="61"/>
      <c r="E23" s="75"/>
      <c r="F23" s="60"/>
      <c r="G23" s="75"/>
      <c r="H23" s="55"/>
      <c r="I23" s="75"/>
      <c r="J23" s="55"/>
    </row>
    <row r="24" spans="1:10">
      <c r="A24" s="55">
        <v>14</v>
      </c>
      <c r="B24" s="55" t="s">
        <v>532</v>
      </c>
      <c r="C24" s="55"/>
      <c r="D24" s="61"/>
      <c r="E24" s="62">
        <f>+SUM(E21:E23)</f>
        <v>30000</v>
      </c>
      <c r="F24" s="60"/>
      <c r="G24" s="62">
        <f>+SUM(G21:G23)</f>
        <v>284364</v>
      </c>
      <c r="H24" s="75"/>
      <c r="I24" s="62">
        <f t="shared" ref="I24" si="0">+SUM(I21:I23)</f>
        <v>284364</v>
      </c>
      <c r="J24" s="55"/>
    </row>
    <row r="25" spans="1:10" ht="15">
      <c r="A25" s="55">
        <v>15</v>
      </c>
      <c r="B25" s="80"/>
      <c r="C25" s="55"/>
      <c r="D25" s="55"/>
      <c r="E25" s="55"/>
      <c r="F25" s="55"/>
      <c r="G25" s="55"/>
      <c r="H25" s="55"/>
      <c r="I25" s="55"/>
      <c r="J25" s="55"/>
    </row>
    <row r="26" spans="1:10" ht="15">
      <c r="A26" s="55">
        <v>16</v>
      </c>
      <c r="B26" s="71" t="s">
        <v>134</v>
      </c>
      <c r="C26" s="55"/>
      <c r="D26" s="55"/>
      <c r="E26" s="55"/>
      <c r="F26" s="55"/>
      <c r="G26" s="55"/>
      <c r="H26" s="55"/>
      <c r="I26" s="55"/>
      <c r="J26" s="55"/>
    </row>
    <row r="27" spans="1:10">
      <c r="A27" s="55">
        <v>17</v>
      </c>
      <c r="B27" s="55" t="s">
        <v>133</v>
      </c>
      <c r="C27" s="55"/>
      <c r="D27" s="55"/>
      <c r="E27" s="55"/>
      <c r="F27" s="55"/>
      <c r="G27" s="55"/>
      <c r="H27" s="55"/>
      <c r="I27" s="55"/>
      <c r="J27" s="55"/>
    </row>
    <row r="28" spans="1:10">
      <c r="A28" s="55">
        <v>18</v>
      </c>
      <c r="B28" s="55" t="s">
        <v>129</v>
      </c>
      <c r="C28" s="67" t="s">
        <v>132</v>
      </c>
      <c r="D28" s="79">
        <v>61</v>
      </c>
      <c r="E28" s="444">
        <v>34968</v>
      </c>
      <c r="F28" s="445">
        <v>1.8222</v>
      </c>
      <c r="G28" s="61">
        <f>ROUND($E$28*$F$28,0)</f>
        <v>63719</v>
      </c>
      <c r="H28" s="55"/>
      <c r="I28" s="61">
        <f>ROUND($E$28*$F$28,0)</f>
        <v>63719</v>
      </c>
      <c r="J28" s="55"/>
    </row>
    <row r="29" spans="1:10">
      <c r="A29" s="55">
        <v>19</v>
      </c>
      <c r="B29" s="55" t="s">
        <v>128</v>
      </c>
      <c r="C29" s="67" t="s">
        <v>131</v>
      </c>
      <c r="D29" s="79">
        <v>61</v>
      </c>
      <c r="E29" s="444">
        <v>4916148</v>
      </c>
      <c r="F29" s="445">
        <v>1.8499999999999999E-2</v>
      </c>
      <c r="G29" s="61">
        <f>ROUND($E$29*$F$29,0)</f>
        <v>90949</v>
      </c>
      <c r="H29" s="55"/>
      <c r="I29" s="61">
        <f>ROUND($E$29*$F$29,0)</f>
        <v>90949</v>
      </c>
      <c r="J29" s="55"/>
    </row>
    <row r="30" spans="1:10">
      <c r="A30" s="55">
        <v>20</v>
      </c>
      <c r="B30" s="55" t="s">
        <v>130</v>
      </c>
      <c r="C30" s="55"/>
      <c r="D30" s="55"/>
      <c r="E30" s="444"/>
      <c r="F30" s="446"/>
      <c r="G30" s="61"/>
      <c r="H30" s="55"/>
      <c r="I30" s="61"/>
      <c r="J30" s="55"/>
    </row>
    <row r="31" spans="1:10">
      <c r="A31" s="55">
        <v>21</v>
      </c>
      <c r="B31" s="55" t="s">
        <v>129</v>
      </c>
      <c r="C31" s="55"/>
      <c r="D31" s="79">
        <v>61</v>
      </c>
      <c r="E31" s="444">
        <v>237408</v>
      </c>
      <c r="F31" s="445">
        <v>1.3386</v>
      </c>
      <c r="G31" s="61">
        <f>ROUND($E$31*$F$31,0)</f>
        <v>317794</v>
      </c>
      <c r="H31" s="55"/>
      <c r="I31" s="61">
        <f>ROUND($E$31*$F$31,0)</f>
        <v>317794</v>
      </c>
      <c r="J31" s="55"/>
    </row>
    <row r="32" spans="1:10">
      <c r="A32" s="55">
        <v>22</v>
      </c>
      <c r="B32" s="68" t="s">
        <v>128</v>
      </c>
      <c r="C32" s="55"/>
      <c r="D32" s="79">
        <v>61</v>
      </c>
      <c r="E32" s="514">
        <v>10846308</v>
      </c>
      <c r="F32" s="445">
        <v>1.83E-2</v>
      </c>
      <c r="G32" s="88">
        <f>ROUND($E$32*$F$32,0)</f>
        <v>198487</v>
      </c>
      <c r="H32" s="55"/>
      <c r="I32" s="88">
        <f>ROUND($E$32*$F$32,0)</f>
        <v>198487</v>
      </c>
      <c r="J32" s="55"/>
    </row>
    <row r="33" spans="1:10">
      <c r="A33" s="55">
        <v>23</v>
      </c>
      <c r="B33" s="55" t="s">
        <v>127</v>
      </c>
      <c r="C33" s="55"/>
      <c r="D33" s="55"/>
      <c r="E33" s="61">
        <f>SUM(E28:E32)</f>
        <v>16034832</v>
      </c>
      <c r="F33" s="55"/>
      <c r="G33" s="61">
        <f>SUM(G28:G32)</f>
        <v>670949</v>
      </c>
      <c r="H33" s="55"/>
      <c r="I33" s="61">
        <f>SUM(I28:I32)</f>
        <v>670949</v>
      </c>
      <c r="J33" s="55"/>
    </row>
    <row r="34" spans="1:10">
      <c r="A34" s="55">
        <v>24</v>
      </c>
      <c r="J34" s="55"/>
    </row>
    <row r="35" spans="1:10" ht="15" thickBot="1">
      <c r="A35" s="55">
        <v>25</v>
      </c>
      <c r="B35" s="55" t="s">
        <v>126</v>
      </c>
      <c r="C35" s="55"/>
      <c r="D35" s="55"/>
      <c r="E35" s="55"/>
      <c r="F35" s="55"/>
      <c r="G35" s="58">
        <f>G18+G24+G33</f>
        <v>4989204</v>
      </c>
      <c r="H35" s="55"/>
      <c r="I35" s="58">
        <f>I18+I24+I33</f>
        <v>4989204</v>
      </c>
      <c r="J35" s="55"/>
    </row>
    <row r="36" spans="1:10" ht="15.75" thickTop="1">
      <c r="A36" s="55"/>
      <c r="B36" s="80"/>
      <c r="C36" s="55"/>
      <c r="D36" s="55"/>
      <c r="E36" s="55"/>
      <c r="F36" s="55"/>
      <c r="G36" s="55"/>
      <c r="H36" s="55"/>
      <c r="I36" s="55"/>
      <c r="J36" s="55"/>
    </row>
    <row r="37" spans="1:10" ht="15">
      <c r="A37" s="55"/>
      <c r="B37" s="80"/>
      <c r="C37" s="55"/>
      <c r="D37" s="55"/>
      <c r="E37" s="55"/>
      <c r="F37" s="55"/>
      <c r="G37" s="55"/>
      <c r="H37" s="55"/>
      <c r="I37" s="55"/>
      <c r="J37" s="55"/>
    </row>
    <row r="38" spans="1:10" ht="15">
      <c r="A38" s="55"/>
      <c r="B38" s="80"/>
      <c r="C38" s="55"/>
      <c r="D38" s="55"/>
      <c r="E38" s="55"/>
      <c r="F38" s="55"/>
      <c r="G38" s="55"/>
      <c r="H38" s="55"/>
      <c r="I38" s="61"/>
      <c r="J38" s="55"/>
    </row>
    <row r="39" spans="1:10" ht="15">
      <c r="A39" s="55"/>
      <c r="B39" s="80"/>
      <c r="C39" s="55"/>
      <c r="D39" s="55"/>
      <c r="E39" s="55"/>
      <c r="F39" s="55"/>
      <c r="G39" s="55"/>
      <c r="H39" s="55"/>
      <c r="I39" s="55"/>
      <c r="J39" s="55"/>
    </row>
    <row r="40" spans="1:10" ht="15">
      <c r="A40" s="55"/>
      <c r="B40" s="80"/>
      <c r="C40" s="55"/>
      <c r="D40" s="55"/>
      <c r="E40" s="55"/>
      <c r="F40" s="55"/>
      <c r="G40" s="55"/>
      <c r="H40" s="55"/>
      <c r="I40" s="55"/>
      <c r="J40" s="55"/>
    </row>
    <row r="41" spans="1:10" ht="15">
      <c r="A41" s="55"/>
      <c r="B41" s="80"/>
      <c r="C41" s="55"/>
      <c r="D41" s="55"/>
      <c r="E41" s="55"/>
      <c r="F41" s="55"/>
      <c r="G41" s="55"/>
      <c r="H41" s="55"/>
      <c r="I41" s="55"/>
      <c r="J41" s="55"/>
    </row>
    <row r="42" spans="1:10" ht="15">
      <c r="A42" s="55"/>
      <c r="B42" s="80"/>
      <c r="C42" s="55"/>
      <c r="D42" s="55"/>
      <c r="E42" s="55"/>
      <c r="F42" s="55"/>
      <c r="G42" s="55"/>
      <c r="H42" s="55"/>
      <c r="I42" s="55"/>
      <c r="J42" s="55"/>
    </row>
    <row r="43" spans="1:10" ht="15">
      <c r="A43" s="55"/>
      <c r="B43" s="80"/>
      <c r="C43" s="55"/>
      <c r="D43" s="55"/>
      <c r="E43" s="55"/>
      <c r="F43" s="55"/>
      <c r="G43" s="55"/>
      <c r="H43" s="55"/>
      <c r="I43" s="55"/>
      <c r="J43" s="55"/>
    </row>
    <row r="44" spans="1:10" ht="15">
      <c r="A44" s="55"/>
      <c r="B44" s="80"/>
      <c r="C44" s="55"/>
      <c r="D44" s="55"/>
      <c r="E44" s="55"/>
      <c r="F44" s="55"/>
      <c r="G44" s="55"/>
      <c r="H44" s="55"/>
      <c r="I44" s="55"/>
      <c r="J44" s="55"/>
    </row>
    <row r="45" spans="1:10" ht="15">
      <c r="A45" s="55"/>
      <c r="B45" s="80"/>
      <c r="C45" s="55"/>
      <c r="D45" s="55"/>
      <c r="E45" s="55"/>
      <c r="F45" s="55"/>
      <c r="G45" s="55"/>
      <c r="H45" s="55"/>
      <c r="I45" s="55"/>
      <c r="J45" s="55"/>
    </row>
    <row r="46" spans="1:10" ht="15">
      <c r="A46" s="55"/>
      <c r="B46" s="80"/>
      <c r="C46" s="55"/>
      <c r="D46" s="55"/>
      <c r="E46" s="55"/>
      <c r="F46" s="55"/>
      <c r="G46" s="55"/>
      <c r="H46" s="55"/>
      <c r="I46" s="55"/>
      <c r="J46" s="55"/>
    </row>
    <row r="47" spans="1:10" ht="15">
      <c r="A47" s="55"/>
      <c r="B47" s="80"/>
      <c r="C47" s="55"/>
      <c r="D47" s="55"/>
      <c r="E47" s="55"/>
      <c r="F47" s="55"/>
      <c r="G47" s="55"/>
      <c r="H47" s="55"/>
      <c r="I47" s="55"/>
      <c r="J47" s="55"/>
    </row>
    <row r="48" spans="1:10" ht="15">
      <c r="A48" s="55"/>
      <c r="B48" s="80"/>
      <c r="C48" s="55"/>
      <c r="D48" s="55"/>
      <c r="E48" s="55"/>
      <c r="F48" s="55"/>
      <c r="G48" s="55"/>
      <c r="H48" s="55"/>
      <c r="I48" s="55"/>
      <c r="J48" s="55"/>
    </row>
    <row r="49" spans="1:10" ht="15">
      <c r="A49" s="55"/>
      <c r="B49" s="80"/>
      <c r="C49" s="55"/>
      <c r="D49" s="55"/>
      <c r="E49" s="55"/>
      <c r="F49" s="55"/>
      <c r="G49" s="55"/>
      <c r="H49" s="55"/>
      <c r="I49" s="55"/>
      <c r="J49" s="55"/>
    </row>
    <row r="50" spans="1:10" ht="15">
      <c r="A50" s="55"/>
      <c r="B50" s="80"/>
      <c r="C50" s="55"/>
      <c r="D50" s="55"/>
      <c r="E50" s="55"/>
      <c r="F50" s="55"/>
      <c r="G50" s="55"/>
      <c r="H50" s="55"/>
      <c r="I50" s="55"/>
      <c r="J50" s="55"/>
    </row>
    <row r="51" spans="1:10" ht="15">
      <c r="A51" s="55"/>
      <c r="B51" s="80"/>
      <c r="C51" s="55"/>
      <c r="D51" s="55"/>
      <c r="E51" s="55"/>
      <c r="F51" s="55"/>
      <c r="G51" s="55"/>
      <c r="H51" s="55"/>
      <c r="I51" s="55"/>
      <c r="J51" s="55"/>
    </row>
    <row r="52" spans="1:10" ht="15">
      <c r="A52" s="55"/>
      <c r="B52" s="80"/>
      <c r="C52" s="55"/>
      <c r="D52" s="55"/>
      <c r="E52" s="55"/>
      <c r="F52" s="55"/>
      <c r="G52" s="55"/>
      <c r="H52" s="55"/>
      <c r="I52" s="55"/>
      <c r="J52" s="55"/>
    </row>
    <row r="53" spans="1:10" ht="15">
      <c r="A53" s="55"/>
      <c r="B53" s="80"/>
      <c r="C53" s="55"/>
      <c r="D53" s="55"/>
      <c r="E53" s="55"/>
      <c r="F53" s="55"/>
      <c r="G53" s="55"/>
      <c r="H53" s="55"/>
      <c r="I53" s="55"/>
      <c r="J53" s="55"/>
    </row>
    <row r="54" spans="1:10" ht="15">
      <c r="A54" s="55"/>
      <c r="B54" s="80"/>
      <c r="C54" s="55"/>
      <c r="D54" s="55"/>
      <c r="E54" s="55"/>
      <c r="F54" s="55"/>
      <c r="G54" s="55"/>
      <c r="H54" s="55"/>
      <c r="I54" s="55"/>
      <c r="J54" s="55"/>
    </row>
    <row r="55" spans="1:10" ht="15">
      <c r="A55" s="55"/>
      <c r="B55" s="80"/>
      <c r="C55" s="55"/>
      <c r="D55" s="55"/>
      <c r="E55" s="55"/>
      <c r="F55" s="55"/>
      <c r="G55" s="55"/>
      <c r="H55" s="55"/>
      <c r="I55" s="55"/>
      <c r="J55" s="55"/>
    </row>
    <row r="56" spans="1:10" ht="15">
      <c r="A56" s="55"/>
      <c r="B56" s="80"/>
      <c r="C56" s="55"/>
      <c r="D56" s="55"/>
      <c r="E56" s="55"/>
      <c r="F56" s="55"/>
      <c r="G56" s="55"/>
      <c r="H56" s="55"/>
      <c r="I56" s="55"/>
      <c r="J56" s="55"/>
    </row>
    <row r="57" spans="1:10" ht="15">
      <c r="A57" s="55"/>
      <c r="B57" s="80"/>
      <c r="C57" s="55"/>
      <c r="D57" s="55"/>
      <c r="E57" s="55"/>
      <c r="F57" s="55"/>
      <c r="G57" s="55"/>
      <c r="H57" s="55"/>
      <c r="I57" s="55"/>
      <c r="J57" s="55"/>
    </row>
    <row r="58" spans="1:10" ht="15">
      <c r="A58" s="55"/>
      <c r="B58" s="80"/>
      <c r="C58" s="55"/>
      <c r="D58" s="55"/>
      <c r="E58" s="55"/>
      <c r="F58" s="55"/>
      <c r="G58" s="55"/>
      <c r="H58" s="55"/>
      <c r="I58" s="55"/>
      <c r="J58" s="55"/>
    </row>
    <row r="59" spans="1:10" ht="15">
      <c r="A59" s="55"/>
      <c r="B59" s="80"/>
      <c r="C59" s="55"/>
      <c r="D59" s="55"/>
      <c r="E59" s="55"/>
      <c r="F59" s="55"/>
      <c r="G59" s="55"/>
      <c r="H59" s="55"/>
      <c r="I59" s="55"/>
      <c r="J59" s="55"/>
    </row>
    <row r="60" spans="1:10" ht="15">
      <c r="A60" s="55"/>
      <c r="B60" s="80"/>
      <c r="C60" s="55"/>
      <c r="D60" s="55"/>
      <c r="E60" s="55"/>
      <c r="F60" s="55"/>
      <c r="G60" s="55"/>
      <c r="H60" s="55"/>
      <c r="I60" s="55"/>
      <c r="J60" s="55"/>
    </row>
    <row r="61" spans="1:10" ht="15">
      <c r="A61" s="55"/>
      <c r="B61" s="80"/>
      <c r="C61" s="55"/>
      <c r="D61" s="55"/>
      <c r="E61" s="55"/>
      <c r="F61" s="55"/>
      <c r="G61" s="55"/>
      <c r="H61" s="55"/>
      <c r="I61" s="55"/>
      <c r="J61" s="55"/>
    </row>
    <row r="62" spans="1:10" ht="15">
      <c r="A62" s="55"/>
      <c r="B62" s="80"/>
      <c r="C62" s="55"/>
      <c r="D62" s="55"/>
      <c r="E62" s="55"/>
      <c r="F62" s="55"/>
      <c r="G62" s="55"/>
      <c r="H62" s="55"/>
      <c r="I62" s="55"/>
      <c r="J62" s="55"/>
    </row>
    <row r="63" spans="1:10" ht="15">
      <c r="A63" s="55"/>
      <c r="B63" s="80"/>
      <c r="C63" s="55"/>
      <c r="D63" s="55"/>
      <c r="E63" s="55"/>
      <c r="F63" s="55"/>
      <c r="G63" s="55"/>
      <c r="H63" s="55"/>
      <c r="I63" s="55"/>
      <c r="J63" s="55"/>
    </row>
    <row r="64" spans="1:10" ht="15">
      <c r="A64" s="55"/>
      <c r="B64" s="80"/>
      <c r="C64" s="55"/>
      <c r="D64" s="55"/>
      <c r="E64" s="55"/>
      <c r="F64" s="55"/>
      <c r="G64" s="55"/>
      <c r="H64" s="55"/>
      <c r="I64" s="55"/>
      <c r="J64" s="55"/>
    </row>
    <row r="65" spans="1:12" ht="15">
      <c r="A65" s="55"/>
      <c r="B65" s="80"/>
      <c r="C65" s="55"/>
      <c r="D65" s="55"/>
      <c r="E65" s="55"/>
      <c r="F65" s="55"/>
      <c r="G65" s="55"/>
      <c r="H65" s="55"/>
      <c r="I65" s="55"/>
      <c r="J65" s="55"/>
    </row>
    <row r="66" spans="1:12" ht="15">
      <c r="A66" s="55"/>
      <c r="B66" s="80"/>
      <c r="C66" s="55"/>
      <c r="D66" s="55"/>
      <c r="E66" s="55"/>
      <c r="F66" s="55"/>
      <c r="G66" s="55"/>
      <c r="H66" s="55"/>
      <c r="I66" s="55"/>
      <c r="J66" s="55"/>
    </row>
    <row r="67" spans="1:12">
      <c r="A67" s="55"/>
    </row>
    <row r="68" spans="1:12">
      <c r="A68" s="55"/>
      <c r="B68" s="55"/>
      <c r="C68" s="55"/>
      <c r="D68" s="55"/>
      <c r="E68" s="55"/>
      <c r="F68" s="55"/>
      <c r="G68" s="55"/>
      <c r="H68" s="55"/>
      <c r="I68" s="55"/>
      <c r="J68" s="55"/>
    </row>
    <row r="69" spans="1:12">
      <c r="A69" s="55"/>
    </row>
    <row r="70" spans="1:12">
      <c r="A70" s="55"/>
    </row>
    <row r="71" spans="1:12">
      <c r="A71" s="55"/>
    </row>
    <row r="72" spans="1:12">
      <c r="A72" s="55"/>
    </row>
    <row r="73" spans="1:12">
      <c r="A73" s="55"/>
    </row>
    <row r="74" spans="1:12">
      <c r="A74" s="55"/>
      <c r="B74" s="55"/>
      <c r="C74" s="55"/>
      <c r="D74" s="55"/>
      <c r="E74" s="55"/>
      <c r="F74" s="55"/>
      <c r="G74" s="55"/>
      <c r="H74" s="55"/>
      <c r="I74" s="55"/>
      <c r="J74" s="55"/>
      <c r="L74" s="55"/>
    </row>
    <row r="76" spans="1:12">
      <c r="A76" s="55"/>
      <c r="L76" s="55"/>
    </row>
    <row r="80" spans="1:12">
      <c r="B80" s="55"/>
      <c r="C80" s="55"/>
      <c r="D80" s="55"/>
      <c r="E80" s="55"/>
      <c r="F80" s="55"/>
      <c r="G80" s="55"/>
      <c r="H80" s="55"/>
      <c r="I80" s="55"/>
      <c r="J80" s="55"/>
    </row>
    <row r="82" spans="1:12">
      <c r="A82" s="55"/>
      <c r="L82" s="55"/>
    </row>
    <row r="86" spans="1:12">
      <c r="B86" s="55"/>
      <c r="C86" s="55"/>
      <c r="D86" s="55"/>
      <c r="E86" s="55"/>
      <c r="F86" s="55"/>
      <c r="G86" s="55"/>
      <c r="H86" s="55"/>
      <c r="I86" s="55"/>
      <c r="J86" s="55"/>
    </row>
    <row r="88" spans="1:12">
      <c r="A88" s="55"/>
      <c r="L88" s="55"/>
    </row>
    <row r="94" spans="1:12">
      <c r="A94" s="55"/>
      <c r="L94" s="55"/>
    </row>
    <row r="110" spans="2:7">
      <c r="B110" s="55"/>
      <c r="C110" s="55"/>
      <c r="D110" s="55"/>
      <c r="E110" s="55"/>
      <c r="F110" s="55"/>
      <c r="G110" s="61"/>
    </row>
    <row r="118" spans="1:1">
      <c r="A118" s="55"/>
    </row>
  </sheetData>
  <printOptions horizontalCentered="1"/>
  <pageMargins left="0" right="0" top="0.7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P57"/>
  <sheetViews>
    <sheetView view="pageBreakPreview" zoomScale="85" zoomScaleNormal="80" zoomScaleSheetLayoutView="85" workbookViewId="0">
      <selection activeCell="C16" sqref="C16"/>
    </sheetView>
  </sheetViews>
  <sheetFormatPr defaultColWidth="9.85546875" defaultRowHeight="14.25"/>
  <cols>
    <col min="1" max="1" width="5.85546875" style="90" customWidth="1"/>
    <col min="2" max="2" width="16.85546875" style="90" customWidth="1"/>
    <col min="3" max="3" width="11.28515625" style="90" customWidth="1"/>
    <col min="4" max="4" width="17.85546875" style="90" bestFit="1" customWidth="1"/>
    <col min="5" max="5" width="8.42578125" style="90" bestFit="1" customWidth="1"/>
    <col min="6" max="6" width="13" style="90" bestFit="1" customWidth="1"/>
    <col min="7" max="7" width="16.140625" style="90" bestFit="1" customWidth="1"/>
    <col min="8" max="8" width="11.28515625" style="90" customWidth="1"/>
    <col min="9" max="9" width="14.140625" style="90" customWidth="1"/>
    <col min="10" max="10" width="10.140625" style="90" bestFit="1" customWidth="1"/>
    <col min="11" max="11" width="10.85546875" style="90" bestFit="1" customWidth="1"/>
    <col min="12" max="12" width="17.140625" style="90" bestFit="1" customWidth="1"/>
    <col min="13" max="13" width="11.7109375" style="90" bestFit="1" customWidth="1"/>
    <col min="14" max="16384" width="9.85546875" style="90"/>
  </cols>
  <sheetData>
    <row r="1" spans="1:13" ht="15">
      <c r="A1" s="128" t="s">
        <v>32</v>
      </c>
      <c r="B1" s="126"/>
      <c r="C1" s="126"/>
      <c r="D1" s="126"/>
      <c r="E1" s="70"/>
      <c r="F1" s="70"/>
      <c r="G1" s="70"/>
      <c r="H1" s="70"/>
      <c r="I1" s="106" t="s">
        <v>125</v>
      </c>
    </row>
    <row r="2" spans="1:13">
      <c r="A2" s="126" t="str">
        <f>B.1!A2</f>
        <v>Expected Gas Cost (EGC) Calculation</v>
      </c>
      <c r="B2" s="126"/>
      <c r="C2" s="126"/>
      <c r="D2" s="126"/>
      <c r="E2" s="70"/>
      <c r="F2" s="70"/>
      <c r="G2" s="70"/>
      <c r="H2" s="70"/>
      <c r="I2" s="106" t="s">
        <v>206</v>
      </c>
    </row>
    <row r="3" spans="1:13">
      <c r="A3" s="127" t="s">
        <v>205</v>
      </c>
      <c r="B3" s="126"/>
      <c r="C3" s="126"/>
      <c r="D3" s="126"/>
      <c r="E3" s="70"/>
      <c r="F3" s="70"/>
      <c r="G3" s="70"/>
      <c r="H3" s="70"/>
      <c r="I3" s="106"/>
    </row>
    <row r="4" spans="1:13">
      <c r="A4" s="106"/>
      <c r="B4" s="106"/>
      <c r="C4" s="106"/>
      <c r="D4" s="106"/>
      <c r="E4" s="55"/>
      <c r="F4" s="55"/>
      <c r="G4" s="55"/>
      <c r="H4" s="85"/>
      <c r="I4" s="106"/>
    </row>
    <row r="5" spans="1:13">
      <c r="A5" s="125"/>
      <c r="B5" s="106"/>
      <c r="C5" s="106"/>
      <c r="E5" s="53"/>
      <c r="F5" s="53"/>
      <c r="G5" s="53"/>
      <c r="H5" s="53"/>
    </row>
    <row r="6" spans="1:13" ht="15">
      <c r="A6" s="121"/>
      <c r="B6" s="121"/>
      <c r="C6" s="121"/>
      <c r="D6" s="111" t="s">
        <v>27</v>
      </c>
      <c r="E6" s="79" t="s">
        <v>26</v>
      </c>
      <c r="F6" s="79" t="s">
        <v>25</v>
      </c>
      <c r="G6" s="79" t="s">
        <v>121</v>
      </c>
      <c r="H6" s="79" t="s">
        <v>120</v>
      </c>
      <c r="I6" s="91" t="s">
        <v>204</v>
      </c>
    </row>
    <row r="7" spans="1:13" ht="15">
      <c r="A7" s="124" t="s">
        <v>24</v>
      </c>
      <c r="B7" s="121"/>
      <c r="C7" s="121"/>
      <c r="D7" s="124" t="s">
        <v>0</v>
      </c>
      <c r="E7" s="80"/>
      <c r="F7" s="143"/>
      <c r="G7" s="143"/>
      <c r="H7" s="80"/>
      <c r="I7" s="121"/>
    </row>
    <row r="8" spans="1:13" ht="15">
      <c r="A8" s="122" t="s">
        <v>23</v>
      </c>
      <c r="B8" s="123" t="s">
        <v>22</v>
      </c>
      <c r="C8" s="123"/>
      <c r="D8" s="122" t="s">
        <v>117</v>
      </c>
      <c r="E8" s="81"/>
      <c r="F8" s="84" t="s">
        <v>203</v>
      </c>
      <c r="G8" s="84"/>
      <c r="H8" s="82" t="s">
        <v>115</v>
      </c>
      <c r="I8" s="122" t="s">
        <v>114</v>
      </c>
      <c r="L8" s="422"/>
    </row>
    <row r="9" spans="1:13" ht="15">
      <c r="A9" s="106"/>
      <c r="B9" s="121"/>
      <c r="C9" s="106"/>
      <c r="D9" s="106"/>
      <c r="E9" s="55"/>
      <c r="F9" s="79" t="s">
        <v>4</v>
      </c>
      <c r="G9" s="79" t="s">
        <v>113</v>
      </c>
      <c r="H9" s="79" t="s">
        <v>112</v>
      </c>
      <c r="I9" s="111" t="s">
        <v>111</v>
      </c>
      <c r="L9" s="422"/>
    </row>
    <row r="10" spans="1:13" ht="15">
      <c r="A10" s="106"/>
      <c r="B10" s="120"/>
      <c r="C10" s="106"/>
      <c r="D10" s="55"/>
      <c r="E10" s="55"/>
      <c r="F10" s="55"/>
      <c r="G10" s="119"/>
      <c r="H10" s="55"/>
      <c r="I10" s="55"/>
      <c r="L10" s="422"/>
    </row>
    <row r="11" spans="1:13">
      <c r="A11" s="92" t="s">
        <v>202</v>
      </c>
      <c r="B11" s="115" t="s">
        <v>201</v>
      </c>
      <c r="C11" s="106"/>
      <c r="D11" s="55"/>
      <c r="E11" s="61"/>
      <c r="F11" s="61"/>
      <c r="G11" s="64">
        <v>2627768</v>
      </c>
      <c r="H11" s="55"/>
      <c r="I11" s="55"/>
      <c r="K11" s="53"/>
      <c r="L11" s="422"/>
    </row>
    <row r="12" spans="1:13">
      <c r="A12" s="92" t="s">
        <v>37</v>
      </c>
      <c r="B12" s="106" t="s">
        <v>193</v>
      </c>
      <c r="C12" s="106"/>
      <c r="D12" s="55"/>
      <c r="E12" s="55"/>
      <c r="F12" s="55"/>
      <c r="G12" s="528"/>
      <c r="H12" s="60">
        <v>1.8240000000000001</v>
      </c>
      <c r="I12" s="61">
        <f>ROUND($G$11*$H$12,0)</f>
        <v>4793049</v>
      </c>
      <c r="K12" s="53"/>
      <c r="L12" s="422"/>
      <c r="M12" s="113"/>
    </row>
    <row r="13" spans="1:13">
      <c r="A13" s="92" t="s">
        <v>200</v>
      </c>
      <c r="B13" s="106" t="s">
        <v>177</v>
      </c>
      <c r="C13" s="106"/>
      <c r="D13" s="66" t="s">
        <v>104</v>
      </c>
      <c r="E13" s="55"/>
      <c r="F13" s="55"/>
      <c r="G13" s="529"/>
      <c r="H13" s="493">
        <v>4.9000000000000002E-2</v>
      </c>
      <c r="I13" s="61">
        <f>ROUND($G$11*$H$13,0)</f>
        <v>128761</v>
      </c>
      <c r="K13" s="65"/>
      <c r="L13" s="422"/>
    </row>
    <row r="14" spans="1:13">
      <c r="A14" s="92" t="s">
        <v>199</v>
      </c>
      <c r="B14" s="55" t="s">
        <v>175</v>
      </c>
      <c r="C14" s="55"/>
      <c r="D14" s="79" t="s">
        <v>174</v>
      </c>
      <c r="E14" s="547">
        <v>1.38E-2</v>
      </c>
      <c r="F14" s="55"/>
      <c r="G14" s="528"/>
      <c r="H14" s="116">
        <f>ROUND(H12/(1-E14)-H12,4)</f>
        <v>2.5499999999999998E-2</v>
      </c>
      <c r="I14" s="98">
        <f>ROUND($G$11*$H$14,0)</f>
        <v>67008</v>
      </c>
      <c r="K14" s="65"/>
      <c r="L14" s="422"/>
      <c r="M14" s="113"/>
    </row>
    <row r="15" spans="1:13">
      <c r="A15" s="92" t="s">
        <v>198</v>
      </c>
      <c r="B15" s="106"/>
      <c r="C15" s="106"/>
      <c r="D15" s="79"/>
      <c r="E15" s="446"/>
      <c r="F15" s="55"/>
      <c r="G15" s="528"/>
      <c r="H15" s="60">
        <f>SUM(H12:H14)</f>
        <v>1.8985000000000001</v>
      </c>
      <c r="I15" s="61">
        <f>SUM(I12:I14)</f>
        <v>4988818</v>
      </c>
      <c r="K15" s="53"/>
      <c r="L15" s="422"/>
    </row>
    <row r="16" spans="1:13">
      <c r="A16" s="92" t="s">
        <v>197</v>
      </c>
      <c r="B16" s="106"/>
      <c r="C16" s="106"/>
      <c r="D16" s="79"/>
      <c r="E16" s="446"/>
      <c r="F16" s="55"/>
      <c r="G16" s="528"/>
      <c r="H16" s="60"/>
      <c r="I16" s="61"/>
      <c r="L16" s="422"/>
      <c r="M16" s="113"/>
    </row>
    <row r="17" spans="1:16">
      <c r="A17" s="92" t="s">
        <v>196</v>
      </c>
      <c r="B17" s="115" t="s">
        <v>195</v>
      </c>
      <c r="C17" s="106"/>
      <c r="D17" s="79"/>
      <c r="E17" s="446"/>
      <c r="F17" s="55"/>
      <c r="G17" s="64">
        <v>2149992</v>
      </c>
      <c r="H17" s="60"/>
      <c r="I17" s="61"/>
      <c r="K17" s="113"/>
      <c r="L17" s="422"/>
    </row>
    <row r="18" spans="1:16">
      <c r="A18" s="92" t="s">
        <v>194</v>
      </c>
      <c r="B18" s="106" t="s">
        <v>193</v>
      </c>
      <c r="C18" s="106"/>
      <c r="D18" s="79"/>
      <c r="E18" s="446"/>
      <c r="F18" s="55"/>
      <c r="G18" s="528"/>
      <c r="H18" s="60">
        <v>1.8240000000000001</v>
      </c>
      <c r="I18" s="61">
        <f>ROUND($G$17*$H$18,0)</f>
        <v>3921585</v>
      </c>
      <c r="L18" s="422"/>
    </row>
    <row r="19" spans="1:16">
      <c r="A19" s="92" t="s">
        <v>192</v>
      </c>
      <c r="B19" s="106" t="s">
        <v>191</v>
      </c>
      <c r="C19" s="106"/>
      <c r="D19" s="131"/>
      <c r="E19" s="446"/>
      <c r="F19" s="55"/>
      <c r="G19" s="528"/>
      <c r="H19" s="60">
        <f>I45</f>
        <v>4.4200000000000003E-2</v>
      </c>
      <c r="I19" s="61">
        <f>ROUND($G$17*$H$19,0)</f>
        <v>95030</v>
      </c>
      <c r="L19" s="422"/>
    </row>
    <row r="20" spans="1:16" ht="15">
      <c r="A20" s="92" t="s">
        <v>190</v>
      </c>
      <c r="B20" s="106" t="s">
        <v>189</v>
      </c>
      <c r="C20" s="106"/>
      <c r="D20" s="66" t="s">
        <v>100</v>
      </c>
      <c r="E20" s="446"/>
      <c r="F20" s="55"/>
      <c r="G20" s="528"/>
      <c r="H20" s="493">
        <v>1.2999999999999999E-3</v>
      </c>
      <c r="I20" s="61">
        <f>ROUND($G$17*$H$20,0)</f>
        <v>2795</v>
      </c>
      <c r="J20" s="117"/>
      <c r="L20" s="422"/>
    </row>
    <row r="21" spans="1:16">
      <c r="A21" s="92" t="s">
        <v>188</v>
      </c>
      <c r="B21" s="55" t="s">
        <v>175</v>
      </c>
      <c r="C21" s="55"/>
      <c r="D21" s="79" t="s">
        <v>174</v>
      </c>
      <c r="E21" s="547">
        <v>1.38E-2</v>
      </c>
      <c r="F21" s="55"/>
      <c r="G21" s="528"/>
      <c r="H21" s="116">
        <f>ROUND(H18/(1-E21)-H18,4)</f>
        <v>2.5499999999999998E-2</v>
      </c>
      <c r="I21" s="98">
        <f>ROUND($G$17*$H$21,0)</f>
        <v>54825</v>
      </c>
      <c r="L21" s="422"/>
      <c r="M21" s="113"/>
    </row>
    <row r="22" spans="1:16">
      <c r="A22" s="92" t="s">
        <v>187</v>
      </c>
      <c r="B22" s="106"/>
      <c r="C22" s="106"/>
      <c r="D22" s="79"/>
      <c r="E22" s="446"/>
      <c r="F22" s="55"/>
      <c r="G22" s="528"/>
      <c r="H22" s="60">
        <f>SUM(H18:H21)</f>
        <v>1.8950000000000002</v>
      </c>
      <c r="I22" s="61">
        <f>SUM(I18:I21)</f>
        <v>4074235</v>
      </c>
      <c r="L22" s="422"/>
    </row>
    <row r="23" spans="1:16">
      <c r="A23" s="92" t="s">
        <v>186</v>
      </c>
      <c r="B23" s="115" t="s">
        <v>185</v>
      </c>
      <c r="C23" s="106"/>
      <c r="D23" s="79"/>
      <c r="E23" s="446"/>
      <c r="F23" s="55"/>
      <c r="G23" s="528"/>
      <c r="H23" s="60"/>
      <c r="I23" s="55"/>
      <c r="L23" s="422"/>
      <c r="M23" s="113"/>
    </row>
    <row r="24" spans="1:16">
      <c r="A24" s="92" t="s">
        <v>184</v>
      </c>
      <c r="B24" s="106" t="s">
        <v>183</v>
      </c>
      <c r="C24" s="106"/>
      <c r="D24" s="79"/>
      <c r="E24" s="446"/>
      <c r="F24" s="55"/>
      <c r="G24" s="53"/>
      <c r="H24" s="60"/>
      <c r="I24" s="55"/>
      <c r="L24" s="422"/>
    </row>
    <row r="25" spans="1:16">
      <c r="A25" s="92" t="s">
        <v>182</v>
      </c>
      <c r="B25" s="106" t="s">
        <v>181</v>
      </c>
      <c r="C25" s="106"/>
      <c r="D25" s="79"/>
      <c r="E25" s="446"/>
      <c r="F25" s="55"/>
      <c r="G25" s="65">
        <v>0</v>
      </c>
      <c r="H25" s="60">
        <v>2.2269999999999999</v>
      </c>
      <c r="I25" s="61">
        <f>ROUND($G$25*$H$25,0)</f>
        <v>0</v>
      </c>
      <c r="K25" s="113"/>
      <c r="L25" s="422"/>
      <c r="M25" s="113"/>
      <c r="P25" s="114"/>
    </row>
    <row r="26" spans="1:16">
      <c r="A26" s="92" t="s">
        <v>180</v>
      </c>
      <c r="B26" s="106" t="s">
        <v>179</v>
      </c>
      <c r="D26" s="53"/>
      <c r="E26" s="447"/>
      <c r="F26" s="53"/>
      <c r="G26" s="65">
        <v>-1486168</v>
      </c>
      <c r="H26" s="60">
        <v>1.8240000000000001</v>
      </c>
      <c r="I26" s="65">
        <f>ROUND(G26*$H$26,4)</f>
        <v>-2710770.432</v>
      </c>
      <c r="L26" s="422"/>
    </row>
    <row r="27" spans="1:16">
      <c r="A27" s="92" t="s">
        <v>178</v>
      </c>
      <c r="B27" s="106" t="s">
        <v>177</v>
      </c>
      <c r="C27" s="106"/>
      <c r="D27" s="66" t="s">
        <v>104</v>
      </c>
      <c r="E27" s="446"/>
      <c r="F27" s="55"/>
      <c r="G27" s="61"/>
      <c r="H27" s="493">
        <v>4.9000000000000002E-2</v>
      </c>
      <c r="I27" s="61">
        <f>ROUND(($G$25+$G$26)*$H$27,0)</f>
        <v>-72822</v>
      </c>
      <c r="L27" s="422"/>
    </row>
    <row r="28" spans="1:16">
      <c r="A28" s="92" t="s">
        <v>176</v>
      </c>
      <c r="B28" s="106" t="s">
        <v>175</v>
      </c>
      <c r="C28" s="106"/>
      <c r="D28" s="79" t="s">
        <v>174</v>
      </c>
      <c r="E28" s="547">
        <v>1.38E-2</v>
      </c>
      <c r="F28" s="55"/>
      <c r="G28" s="55"/>
      <c r="H28" s="116">
        <f>ROUND(H26/(1-E28)-H26,4)</f>
        <v>2.5499999999999998E-2</v>
      </c>
      <c r="I28" s="98">
        <f>ROUND(($G$25+$G$26)*$H$28,0)</f>
        <v>-37897</v>
      </c>
      <c r="L28" s="422"/>
    </row>
    <row r="29" spans="1:16">
      <c r="A29" s="92" t="s">
        <v>173</v>
      </c>
      <c r="B29" s="106"/>
      <c r="C29" s="106"/>
      <c r="D29" s="55"/>
      <c r="E29" s="446"/>
      <c r="F29" s="55"/>
      <c r="G29" s="63">
        <f>G25+G26</f>
        <v>-1486168</v>
      </c>
      <c r="H29" s="60">
        <f>I29/G29</f>
        <v>1.8984996527983378</v>
      </c>
      <c r="I29" s="61">
        <f>SUM(I25:I28)</f>
        <v>-2821489.432</v>
      </c>
    </row>
    <row r="30" spans="1:16">
      <c r="A30" s="92" t="s">
        <v>172</v>
      </c>
      <c r="B30" s="106"/>
      <c r="C30" s="106"/>
      <c r="D30" s="55"/>
      <c r="E30" s="55"/>
      <c r="F30" s="55"/>
      <c r="G30" s="55"/>
      <c r="H30" s="60"/>
      <c r="I30" s="55"/>
    </row>
    <row r="31" spans="1:16">
      <c r="A31" s="92" t="s">
        <v>171</v>
      </c>
      <c r="B31" s="106"/>
      <c r="C31" s="106"/>
      <c r="D31" s="55"/>
      <c r="E31" s="55"/>
      <c r="F31" s="55"/>
      <c r="G31" s="55"/>
      <c r="H31" s="60"/>
      <c r="I31" s="55"/>
    </row>
    <row r="32" spans="1:16" ht="15" thickBot="1">
      <c r="A32" s="92" t="s">
        <v>170</v>
      </c>
      <c r="B32" s="106" t="s">
        <v>169</v>
      </c>
      <c r="C32" s="106"/>
      <c r="D32" s="55"/>
      <c r="E32" s="55"/>
      <c r="F32" s="61"/>
      <c r="G32" s="401">
        <f>G11+G17+G29</f>
        <v>3291592</v>
      </c>
      <c r="H32" s="129">
        <f>ROUND(I32/G32,4)</f>
        <v>1.8962000000000001</v>
      </c>
      <c r="I32" s="401">
        <f>I15+I22+I29</f>
        <v>6241563.568</v>
      </c>
      <c r="L32" s="422"/>
    </row>
    <row r="33" spans="1:12" ht="15" thickTop="1">
      <c r="A33" s="92" t="s">
        <v>135</v>
      </c>
      <c r="D33" s="53"/>
      <c r="E33" s="53"/>
      <c r="F33" s="53"/>
      <c r="G33" s="53"/>
      <c r="H33" s="53"/>
      <c r="I33" s="53"/>
      <c r="J33" s="106"/>
      <c r="K33" s="106"/>
      <c r="L33" s="422"/>
    </row>
    <row r="34" spans="1:12">
      <c r="A34" s="92" t="s">
        <v>168</v>
      </c>
      <c r="D34" s="53"/>
      <c r="E34" s="53"/>
      <c r="F34" s="53"/>
      <c r="G34" s="53"/>
      <c r="H34" s="53"/>
      <c r="I34" s="53"/>
      <c r="J34" s="108"/>
      <c r="L34" s="422"/>
    </row>
    <row r="35" spans="1:12" ht="15" thickBot="1">
      <c r="A35" s="92" t="s">
        <v>167</v>
      </c>
      <c r="B35" s="112" t="s">
        <v>166</v>
      </c>
      <c r="C35" s="112"/>
      <c r="D35" s="402"/>
      <c r="E35" s="402"/>
      <c r="F35" s="402"/>
      <c r="G35" s="403"/>
      <c r="H35" s="402"/>
      <c r="I35" s="402"/>
      <c r="J35" s="108"/>
    </row>
    <row r="36" spans="1:12">
      <c r="A36" s="92" t="s">
        <v>165</v>
      </c>
      <c r="B36" s="108"/>
      <c r="C36" s="108"/>
      <c r="D36" s="74"/>
      <c r="E36" s="74"/>
      <c r="F36" s="74"/>
      <c r="G36" s="74"/>
      <c r="H36" s="74"/>
      <c r="I36" s="74"/>
      <c r="J36" s="108"/>
    </row>
    <row r="37" spans="1:12">
      <c r="A37" s="92" t="s">
        <v>164</v>
      </c>
      <c r="B37" s="108"/>
      <c r="C37" s="106"/>
      <c r="D37" s="55"/>
      <c r="E37" s="55"/>
      <c r="F37" s="79" t="s">
        <v>163</v>
      </c>
      <c r="G37" s="55"/>
      <c r="H37" s="79" t="s">
        <v>14</v>
      </c>
      <c r="I37" s="74"/>
      <c r="J37" s="108"/>
    </row>
    <row r="38" spans="1:12">
      <c r="A38" s="92" t="s">
        <v>162</v>
      </c>
      <c r="B38" s="108"/>
      <c r="C38" s="106"/>
      <c r="D38" s="55"/>
      <c r="E38" s="55"/>
      <c r="F38" s="79" t="s">
        <v>161</v>
      </c>
      <c r="G38" s="55"/>
      <c r="H38" s="145" t="s">
        <v>160</v>
      </c>
      <c r="I38" s="100" t="s">
        <v>159</v>
      </c>
      <c r="J38" s="108"/>
    </row>
    <row r="39" spans="1:12">
      <c r="A39" s="92" t="s">
        <v>158</v>
      </c>
      <c r="B39" s="110" t="s">
        <v>157</v>
      </c>
      <c r="C39" s="109" t="s">
        <v>156</v>
      </c>
      <c r="D39" s="100"/>
      <c r="E39" s="55"/>
      <c r="F39" s="150" t="s">
        <v>113</v>
      </c>
      <c r="G39" s="150" t="s">
        <v>155</v>
      </c>
      <c r="H39" s="150" t="s">
        <v>112</v>
      </c>
      <c r="I39" s="150" t="s">
        <v>154</v>
      </c>
      <c r="J39" s="108"/>
    </row>
    <row r="40" spans="1:12" s="53" customFormat="1">
      <c r="A40" s="92" t="s">
        <v>153</v>
      </c>
      <c r="B40" s="108" t="s">
        <v>110</v>
      </c>
      <c r="C40" s="107">
        <v>1</v>
      </c>
      <c r="D40" s="66" t="s">
        <v>100</v>
      </c>
      <c r="E40" s="55"/>
      <c r="F40" s="61">
        <f>B.1!E14</f>
        <v>12340360</v>
      </c>
      <c r="G40" s="104">
        <f>ROUND($F$40/$F$45,4)</f>
        <v>0.21440000000000001</v>
      </c>
      <c r="H40" s="546">
        <v>3.9899999999999998E-2</v>
      </c>
      <c r="I40" s="404">
        <f>ROUND(G40*H40,4)</f>
        <v>8.6E-3</v>
      </c>
      <c r="J40" s="74"/>
    </row>
    <row r="41" spans="1:12" s="53" customFormat="1">
      <c r="A41" s="92" t="s">
        <v>152</v>
      </c>
      <c r="B41" s="74" t="s">
        <v>108</v>
      </c>
      <c r="C41" s="96"/>
      <c r="D41" s="66" t="s">
        <v>100</v>
      </c>
      <c r="E41" s="55"/>
      <c r="F41" s="61">
        <f>B.1!E26</f>
        <v>37430188</v>
      </c>
      <c r="G41" s="104">
        <f>ROUND($F$41/$F$45,4)</f>
        <v>0.65039999999999998</v>
      </c>
      <c r="H41" s="445">
        <v>4.4499999999999998E-2</v>
      </c>
      <c r="I41" s="404">
        <f>ROUND(G41*H41,4)</f>
        <v>2.8899999999999999E-2</v>
      </c>
      <c r="J41" s="74"/>
    </row>
    <row r="42" spans="1:12" s="53" customFormat="1">
      <c r="A42" s="92" t="s">
        <v>151</v>
      </c>
      <c r="B42" s="74" t="s">
        <v>150</v>
      </c>
      <c r="C42" s="96"/>
      <c r="D42" s="66" t="s">
        <v>100</v>
      </c>
      <c r="E42" s="55"/>
      <c r="F42" s="61">
        <f>B.1!E35</f>
        <v>323400</v>
      </c>
      <c r="G42" s="104">
        <f>ROUND($F$42/$F$45,4)</f>
        <v>5.5999999999999999E-3</v>
      </c>
      <c r="H42" s="445">
        <v>4.2200000000000001E-2</v>
      </c>
      <c r="I42" s="404">
        <f>ROUND(G42*H42,4)</f>
        <v>2.0000000000000001E-4</v>
      </c>
      <c r="J42" s="74"/>
    </row>
    <row r="43" spans="1:12" s="53" customFormat="1">
      <c r="A43" s="92" t="s">
        <v>149</v>
      </c>
      <c r="B43" s="74" t="s">
        <v>106</v>
      </c>
      <c r="C43" s="96"/>
      <c r="D43" s="66" t="s">
        <v>100</v>
      </c>
      <c r="E43" s="55"/>
      <c r="F43" s="61">
        <f>B.1!E47</f>
        <v>5145769</v>
      </c>
      <c r="G43" s="104">
        <f>ROUND($F$43/$F$45,4)</f>
        <v>8.9399999999999993E-2</v>
      </c>
      <c r="H43" s="445">
        <v>5.28E-2</v>
      </c>
      <c r="I43" s="404">
        <f>ROUND(G43*H43,4)</f>
        <v>4.7000000000000002E-3</v>
      </c>
      <c r="J43" s="74"/>
    </row>
    <row r="44" spans="1:12" s="53" customFormat="1" ht="16.5">
      <c r="A44" s="92" t="s">
        <v>148</v>
      </c>
      <c r="B44" s="74" t="s">
        <v>520</v>
      </c>
      <c r="C44" s="96"/>
      <c r="D44" s="66" t="s">
        <v>100</v>
      </c>
      <c r="E44" s="55"/>
      <c r="F44" s="98">
        <f>B.1!E53</f>
        <v>2309720</v>
      </c>
      <c r="G44" s="405">
        <f>ROUND($F$44/$F$45,4)</f>
        <v>4.0099999999999997E-2</v>
      </c>
      <c r="H44" s="445">
        <v>4.4600000000000001E-2</v>
      </c>
      <c r="I44" s="406">
        <f>ROUND(G44*H44,4)</f>
        <v>1.8E-3</v>
      </c>
      <c r="J44" s="74"/>
    </row>
    <row r="45" spans="1:12" s="53" customFormat="1" ht="15" thickBot="1">
      <c r="A45" s="92" t="s">
        <v>147</v>
      </c>
      <c r="B45" s="74" t="s">
        <v>114</v>
      </c>
      <c r="C45" s="96"/>
      <c r="D45" s="55"/>
      <c r="E45" s="55"/>
      <c r="F45" s="61">
        <f>SUM(F40:F44)</f>
        <v>57549437</v>
      </c>
      <c r="G45" s="420">
        <f>SUM(G40:G44)</f>
        <v>0.99990000000000012</v>
      </c>
      <c r="H45" s="446"/>
      <c r="I45" s="105">
        <f>SUM(I40:I44)</f>
        <v>4.4200000000000003E-2</v>
      </c>
      <c r="J45" s="74"/>
    </row>
    <row r="46" spans="1:12" s="53" customFormat="1" ht="15" thickTop="1">
      <c r="A46" s="92" t="s">
        <v>146</v>
      </c>
      <c r="B46" s="74"/>
      <c r="C46" s="96"/>
      <c r="D46" s="55"/>
      <c r="E46" s="55"/>
      <c r="F46" s="61"/>
      <c r="G46" s="104"/>
      <c r="H46" s="446"/>
      <c r="I46" s="103"/>
    </row>
    <row r="47" spans="1:12" s="53" customFormat="1">
      <c r="A47" s="92" t="s">
        <v>144</v>
      </c>
      <c r="B47" s="102" t="s">
        <v>145</v>
      </c>
      <c r="C47" s="101"/>
      <c r="D47" s="74"/>
      <c r="E47" s="55"/>
      <c r="F47" s="100"/>
      <c r="G47" s="100"/>
      <c r="H47" s="448"/>
      <c r="I47" s="100"/>
    </row>
    <row r="48" spans="1:12" s="53" customFormat="1">
      <c r="A48" s="92" t="s">
        <v>143</v>
      </c>
      <c r="B48" s="74" t="s">
        <v>139</v>
      </c>
      <c r="C48" s="96"/>
      <c r="D48" s="95">
        <v>24</v>
      </c>
      <c r="E48" s="55"/>
      <c r="F48" s="75">
        <f>B.2!E18</f>
        <v>289000</v>
      </c>
      <c r="G48" s="104">
        <f>ROUND($F$48/$F$50,4)</f>
        <v>0.90600000000000003</v>
      </c>
      <c r="H48" s="548">
        <v>1.67E-2</v>
      </c>
      <c r="I48" s="99">
        <f>G48*H48</f>
        <v>1.51302E-2</v>
      </c>
    </row>
    <row r="49" spans="1:9" s="53" customFormat="1">
      <c r="A49" s="92" t="s">
        <v>142</v>
      </c>
      <c r="B49" s="74" t="s">
        <v>137</v>
      </c>
      <c r="C49" s="96"/>
      <c r="D49" s="95">
        <v>24</v>
      </c>
      <c r="E49" s="55"/>
      <c r="F49" s="98">
        <f>+B.2!E24</f>
        <v>30000</v>
      </c>
      <c r="G49" s="405">
        <f>ROUND($F$49/$F$50,4)</f>
        <v>9.4E-2</v>
      </c>
      <c r="H49" s="549">
        <v>8.6999999999999994E-3</v>
      </c>
      <c r="I49" s="97">
        <f>G49*H49</f>
        <v>8.1779999999999993E-4</v>
      </c>
    </row>
    <row r="50" spans="1:9" s="53" customFormat="1" ht="15" thickBot="1">
      <c r="A50" s="92" t="s">
        <v>46</v>
      </c>
      <c r="B50" s="74" t="s">
        <v>114</v>
      </c>
      <c r="C50" s="96"/>
      <c r="D50" s="95"/>
      <c r="E50" s="55"/>
      <c r="F50" s="61">
        <f>SUM(F48:F49)</f>
        <v>319000</v>
      </c>
      <c r="G50" s="94">
        <f>SUM(G48:G49)</f>
        <v>1</v>
      </c>
      <c r="H50" s="55"/>
      <c r="I50" s="93">
        <f>I48+I49</f>
        <v>1.5948E-2</v>
      </c>
    </row>
    <row r="51" spans="1:9" ht="15" thickTop="1">
      <c r="A51" s="92" t="s">
        <v>521</v>
      </c>
      <c r="B51" s="53"/>
      <c r="C51" s="53"/>
      <c r="D51" s="53"/>
      <c r="E51" s="53"/>
      <c r="F51" s="53"/>
      <c r="G51" s="53"/>
      <c r="H51" s="53"/>
      <c r="I51" s="53"/>
    </row>
    <row r="52" spans="1:9">
      <c r="B52" s="53"/>
      <c r="C52" s="53"/>
      <c r="D52" s="53"/>
      <c r="E52" s="53"/>
      <c r="F52" s="53"/>
      <c r="G52" s="53"/>
      <c r="H52" s="53"/>
      <c r="I52" s="53"/>
    </row>
    <row r="53" spans="1:9">
      <c r="B53" s="53"/>
      <c r="C53" s="53"/>
      <c r="D53" s="53"/>
      <c r="E53" s="53"/>
      <c r="F53" s="53"/>
      <c r="G53" s="53"/>
      <c r="H53" s="53"/>
      <c r="I53" s="53"/>
    </row>
    <row r="54" spans="1:9">
      <c r="A54" s="91"/>
      <c r="B54" s="53"/>
      <c r="C54" s="53"/>
      <c r="D54" s="53"/>
      <c r="E54" s="53"/>
      <c r="F54" s="53"/>
      <c r="G54" s="53"/>
      <c r="H54" s="53"/>
      <c r="I54" s="53"/>
    </row>
    <row r="55" spans="1:9">
      <c r="A55" s="91"/>
      <c r="B55" s="53"/>
      <c r="C55" s="53"/>
      <c r="D55" s="53"/>
      <c r="E55" s="53"/>
      <c r="F55" s="53"/>
      <c r="G55" s="53"/>
      <c r="H55" s="53"/>
      <c r="I55" s="53"/>
    </row>
    <row r="56" spans="1:9">
      <c r="A56" s="91"/>
      <c r="B56" s="53"/>
      <c r="C56" s="53"/>
      <c r="D56" s="53"/>
      <c r="E56" s="53"/>
      <c r="F56" s="53"/>
      <c r="G56" s="53"/>
      <c r="H56" s="53"/>
      <c r="I56" s="53"/>
    </row>
    <row r="57" spans="1:9">
      <c r="A57" s="91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M53"/>
  <sheetViews>
    <sheetView view="pageBreakPreview" zoomScaleNormal="80" zoomScaleSheetLayoutView="100" workbookViewId="0"/>
  </sheetViews>
  <sheetFormatPr defaultColWidth="9.85546875" defaultRowHeight="14.25"/>
  <cols>
    <col min="1" max="1" width="5.85546875" style="53" customWidth="1"/>
    <col min="2" max="2" width="22.85546875" style="53" customWidth="1"/>
    <col min="3" max="3" width="9.85546875" style="53"/>
    <col min="4" max="4" width="4.85546875" style="53" customWidth="1"/>
    <col min="5" max="5" width="10.5703125" style="53" customWidth="1"/>
    <col min="6" max="6" width="8.7109375" style="53" bestFit="1" customWidth="1"/>
    <col min="7" max="7" width="6.140625" style="53" customWidth="1"/>
    <col min="8" max="8" width="12.42578125" style="53" customWidth="1"/>
    <col min="9" max="9" width="9.85546875" style="53"/>
    <col min="10" max="10" width="14" style="53" customWidth="1"/>
    <col min="11" max="11" width="9.85546875" style="53"/>
    <col min="12" max="13" width="11" style="53" bestFit="1" customWidth="1"/>
    <col min="14" max="16384" width="9.85546875" style="53"/>
  </cols>
  <sheetData>
    <row r="1" spans="1:10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0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145"/>
      <c r="J2" s="55" t="s">
        <v>219</v>
      </c>
    </row>
    <row r="3" spans="1:10">
      <c r="A3" s="86" t="s">
        <v>218</v>
      </c>
      <c r="B3" s="70"/>
      <c r="C3" s="70"/>
      <c r="D3" s="70"/>
      <c r="E3" s="70"/>
      <c r="F3" s="70"/>
      <c r="G3" s="70"/>
      <c r="H3" s="70"/>
      <c r="I3" s="145"/>
      <c r="J3" s="55"/>
    </row>
    <row r="4" spans="1:10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0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0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5">
      <c r="A7" s="83" t="s">
        <v>24</v>
      </c>
      <c r="B7" s="80"/>
      <c r="C7" s="80"/>
      <c r="D7" s="80"/>
      <c r="E7" s="83" t="s">
        <v>0</v>
      </c>
      <c r="F7" s="80"/>
      <c r="G7" s="143"/>
      <c r="H7" s="143"/>
      <c r="I7" s="80"/>
      <c r="J7" s="80"/>
    </row>
    <row r="8" spans="1:10" ht="15">
      <c r="A8" s="82" t="s">
        <v>23</v>
      </c>
      <c r="B8" s="81" t="s">
        <v>22</v>
      </c>
      <c r="C8" s="81"/>
      <c r="D8" s="81"/>
      <c r="E8" s="82" t="s">
        <v>117</v>
      </c>
      <c r="F8" s="81"/>
      <c r="G8" s="84" t="s">
        <v>203</v>
      </c>
      <c r="H8" s="84"/>
      <c r="I8" s="82" t="s">
        <v>115</v>
      </c>
      <c r="J8" s="82" t="s">
        <v>114</v>
      </c>
    </row>
    <row r="9" spans="1:10" ht="15">
      <c r="A9" s="55"/>
      <c r="B9" s="80"/>
      <c r="C9" s="55"/>
      <c r="D9" s="55"/>
      <c r="E9" s="55"/>
      <c r="F9" s="55"/>
      <c r="G9" s="79" t="s">
        <v>4</v>
      </c>
      <c r="H9" s="79" t="s">
        <v>113</v>
      </c>
      <c r="I9" s="79" t="s">
        <v>112</v>
      </c>
      <c r="J9" s="79" t="s">
        <v>111</v>
      </c>
    </row>
    <row r="10" spans="1:10" ht="15">
      <c r="A10" s="55"/>
      <c r="B10" s="71"/>
      <c r="C10" s="55"/>
      <c r="D10" s="55"/>
      <c r="E10" s="55"/>
      <c r="F10" s="55"/>
      <c r="G10" s="55"/>
      <c r="H10" s="119"/>
      <c r="I10" s="119"/>
      <c r="J10" s="55"/>
    </row>
    <row r="11" spans="1:10">
      <c r="A11" s="55">
        <v>1</v>
      </c>
      <c r="B11" s="142" t="s">
        <v>217</v>
      </c>
      <c r="C11" s="55"/>
      <c r="D11" s="55"/>
      <c r="E11" s="61"/>
      <c r="F11" s="55"/>
      <c r="G11" s="61"/>
      <c r="H11" s="64">
        <v>683238</v>
      </c>
      <c r="I11" s="77"/>
      <c r="J11" s="55"/>
    </row>
    <row r="12" spans="1:10">
      <c r="A12" s="55">
        <v>2</v>
      </c>
      <c r="B12" s="55" t="s">
        <v>193</v>
      </c>
      <c r="C12" s="55"/>
      <c r="D12" s="55"/>
      <c r="E12" s="55"/>
      <c r="F12" s="55"/>
      <c r="G12" s="55"/>
      <c r="H12" s="55"/>
      <c r="I12" s="60">
        <v>1.8240000000000001</v>
      </c>
      <c r="J12" s="61">
        <f>ROUND($H$11*I12,0)</f>
        <v>1246226</v>
      </c>
    </row>
    <row r="13" spans="1:10">
      <c r="A13" s="55">
        <v>3</v>
      </c>
      <c r="B13" s="55" t="s">
        <v>216</v>
      </c>
      <c r="C13" s="55"/>
      <c r="D13" s="55"/>
      <c r="E13" s="55"/>
      <c r="F13" s="55"/>
      <c r="G13" s="55"/>
      <c r="H13" s="55"/>
      <c r="I13" s="60">
        <f>B.3!I50</f>
        <v>1.5948E-2</v>
      </c>
      <c r="J13" s="61">
        <f>ROUND($H$11*I13,0)</f>
        <v>10896</v>
      </c>
    </row>
    <row r="14" spans="1:10">
      <c r="A14" s="55">
        <v>4</v>
      </c>
      <c r="B14" s="55" t="s">
        <v>189</v>
      </c>
      <c r="C14" s="55"/>
      <c r="D14" s="55"/>
      <c r="E14" s="79">
        <v>24</v>
      </c>
      <c r="F14" s="55"/>
      <c r="G14" s="55"/>
      <c r="H14" s="55"/>
      <c r="I14" s="493">
        <v>1.2999999999999999E-3</v>
      </c>
      <c r="J14" s="61">
        <f>ROUND($H$11*I14,0)</f>
        <v>888</v>
      </c>
    </row>
    <row r="15" spans="1:10">
      <c r="A15" s="55">
        <v>5</v>
      </c>
      <c r="B15" s="55" t="s">
        <v>209</v>
      </c>
      <c r="C15" s="55"/>
      <c r="D15" s="55"/>
      <c r="E15" s="79">
        <v>32</v>
      </c>
      <c r="F15" s="547">
        <v>2.1700000000000001E-2</v>
      </c>
      <c r="G15" s="55"/>
      <c r="H15" s="55"/>
      <c r="I15" s="116">
        <f>ROUND(I12/(1-F15)-I12,4)</f>
        <v>4.0500000000000001E-2</v>
      </c>
      <c r="J15" s="98">
        <f>ROUND($H$11*I15,0)</f>
        <v>27671</v>
      </c>
    </row>
    <row r="16" spans="1:10">
      <c r="A16" s="55">
        <v>6</v>
      </c>
      <c r="B16" s="55"/>
      <c r="C16" s="55"/>
      <c r="D16" s="55"/>
      <c r="E16" s="55"/>
      <c r="F16" s="55"/>
      <c r="G16" s="55"/>
      <c r="H16" s="55"/>
      <c r="I16" s="60">
        <f>SUM(I12:I15)</f>
        <v>1.8817480000000002</v>
      </c>
      <c r="J16" s="61">
        <f>SUM(J12:J15)</f>
        <v>1285681</v>
      </c>
    </row>
    <row r="17" spans="1:13">
      <c r="A17" s="55">
        <v>7</v>
      </c>
      <c r="B17" s="55"/>
      <c r="C17" s="55"/>
      <c r="D17" s="55"/>
      <c r="E17" s="55"/>
      <c r="F17" s="55"/>
      <c r="G17" s="55"/>
      <c r="H17" s="55"/>
      <c r="I17" s="60"/>
      <c r="J17" s="55"/>
    </row>
    <row r="18" spans="1:13">
      <c r="A18" s="55">
        <v>8</v>
      </c>
      <c r="B18" s="142" t="s">
        <v>215</v>
      </c>
      <c r="C18" s="55"/>
      <c r="D18" s="55"/>
      <c r="E18" s="55"/>
      <c r="F18" s="55"/>
      <c r="G18" s="61"/>
      <c r="H18" s="444">
        <v>0</v>
      </c>
      <c r="I18" s="60"/>
      <c r="J18" s="55"/>
    </row>
    <row r="19" spans="1:13">
      <c r="A19" s="55">
        <v>9</v>
      </c>
      <c r="B19" s="55" t="s">
        <v>193</v>
      </c>
      <c r="C19" s="55"/>
      <c r="D19" s="55"/>
      <c r="E19" s="55"/>
      <c r="F19" s="55"/>
      <c r="G19" s="55"/>
      <c r="H19" s="55"/>
      <c r="I19" s="60">
        <f>I12</f>
        <v>1.8240000000000001</v>
      </c>
      <c r="J19" s="61">
        <f>ROUND($H$18*I19,0)</f>
        <v>0</v>
      </c>
    </row>
    <row r="20" spans="1:13">
      <c r="A20" s="55">
        <v>10</v>
      </c>
      <c r="B20" s="55" t="s">
        <v>214</v>
      </c>
      <c r="C20" s="55"/>
      <c r="D20" s="55"/>
      <c r="E20" s="79">
        <v>26</v>
      </c>
      <c r="F20" s="55"/>
      <c r="G20" s="55"/>
      <c r="H20" s="55"/>
      <c r="I20" s="493">
        <v>0.77939999999999998</v>
      </c>
      <c r="J20" s="61">
        <f>ROUND($H$18*I20,0)</f>
        <v>0</v>
      </c>
    </row>
    <row r="21" spans="1:13">
      <c r="A21" s="55">
        <v>11</v>
      </c>
      <c r="B21" s="55" t="s">
        <v>189</v>
      </c>
      <c r="C21" s="55"/>
      <c r="D21" s="55"/>
      <c r="E21" s="131">
        <v>24</v>
      </c>
      <c r="F21" s="55"/>
      <c r="G21" s="55"/>
      <c r="H21" s="55"/>
      <c r="I21" s="60">
        <f>I14</f>
        <v>1.2999999999999999E-3</v>
      </c>
      <c r="J21" s="61">
        <f>ROUND($H$18*I21,0)</f>
        <v>0</v>
      </c>
    </row>
    <row r="22" spans="1:13">
      <c r="A22" s="55">
        <v>12</v>
      </c>
      <c r="B22" s="55" t="s">
        <v>209</v>
      </c>
      <c r="C22" s="55"/>
      <c r="D22" s="55"/>
      <c r="E22" s="79">
        <v>32</v>
      </c>
      <c r="F22" s="550">
        <f>F15</f>
        <v>2.1700000000000001E-2</v>
      </c>
      <c r="G22" s="55"/>
      <c r="H22" s="55"/>
      <c r="I22" s="116">
        <f>ROUND(I19/(1-F22)-I19,4)</f>
        <v>4.0500000000000001E-2</v>
      </c>
      <c r="J22" s="98">
        <f>ROUND($H$18*I22,0)</f>
        <v>0</v>
      </c>
    </row>
    <row r="23" spans="1:13">
      <c r="A23" s="55">
        <v>13</v>
      </c>
      <c r="B23" s="55"/>
      <c r="C23" s="55"/>
      <c r="D23" s="55"/>
      <c r="E23" s="55"/>
      <c r="F23" s="55"/>
      <c r="G23" s="55"/>
      <c r="H23" s="55"/>
      <c r="I23" s="60">
        <f>SUM(I19:I22)</f>
        <v>2.6452000000000004</v>
      </c>
      <c r="J23" s="61">
        <f>SUM(J19:J22)</f>
        <v>0</v>
      </c>
    </row>
    <row r="24" spans="1:13">
      <c r="A24" s="55">
        <v>14</v>
      </c>
      <c r="B24" s="55"/>
      <c r="C24" s="55"/>
      <c r="D24" s="55"/>
      <c r="E24" s="55"/>
      <c r="F24" s="55"/>
      <c r="G24" s="55"/>
      <c r="H24" s="55"/>
      <c r="I24" s="60"/>
      <c r="J24" s="55"/>
    </row>
    <row r="25" spans="1:13">
      <c r="A25" s="55">
        <v>15</v>
      </c>
      <c r="B25" s="142" t="s">
        <v>134</v>
      </c>
      <c r="C25" s="55"/>
      <c r="D25" s="55"/>
      <c r="E25" s="55"/>
      <c r="F25" s="55"/>
      <c r="G25" s="55"/>
      <c r="H25" s="55"/>
      <c r="I25" s="60"/>
      <c r="J25" s="55"/>
    </row>
    <row r="26" spans="1:13">
      <c r="A26" s="55">
        <v>16</v>
      </c>
      <c r="B26" s="55" t="s">
        <v>213</v>
      </c>
      <c r="C26" s="55"/>
      <c r="D26" s="55"/>
      <c r="E26" s="55"/>
      <c r="F26" s="55"/>
      <c r="G26" s="55"/>
      <c r="H26" s="64">
        <v>0</v>
      </c>
      <c r="I26" s="60">
        <v>2.2269999999999999</v>
      </c>
      <c r="J26" s="118">
        <f>H26*I26</f>
        <v>0</v>
      </c>
    </row>
    <row r="27" spans="1:13">
      <c r="A27" s="55">
        <v>17</v>
      </c>
      <c r="B27" s="55" t="s">
        <v>212</v>
      </c>
      <c r="C27" s="55"/>
      <c r="D27" s="55"/>
      <c r="E27" s="55"/>
      <c r="F27" s="55"/>
      <c r="G27" s="55"/>
      <c r="H27" s="64">
        <v>-508208</v>
      </c>
      <c r="I27" s="60">
        <v>1.8240000000000001</v>
      </c>
      <c r="J27" s="61">
        <f>H27*I27</f>
        <v>-926971.39199999999</v>
      </c>
    </row>
    <row r="28" spans="1:13">
      <c r="A28" s="55">
        <v>18</v>
      </c>
      <c r="B28" s="70" t="s">
        <v>211</v>
      </c>
      <c r="C28" s="55"/>
      <c r="D28" s="55"/>
      <c r="E28" s="79">
        <v>61</v>
      </c>
      <c r="F28" s="55"/>
      <c r="G28" s="55"/>
      <c r="H28" s="55"/>
      <c r="I28" s="493">
        <v>8.6999999999999994E-3</v>
      </c>
      <c r="J28" s="61">
        <f>ROUND(H26*I28,0)</f>
        <v>0</v>
      </c>
      <c r="L28" s="135"/>
    </row>
    <row r="29" spans="1:13">
      <c r="A29" s="55">
        <v>19</v>
      </c>
      <c r="B29" s="55" t="s">
        <v>210</v>
      </c>
      <c r="C29" s="55"/>
      <c r="D29" s="55"/>
      <c r="E29" s="79">
        <v>61</v>
      </c>
      <c r="F29" s="55"/>
      <c r="G29" s="55"/>
      <c r="H29" s="55"/>
      <c r="I29" s="493">
        <v>8.6999999999999994E-3</v>
      </c>
      <c r="J29" s="61">
        <f>ROUND($H$27*I29,0)</f>
        <v>-4421</v>
      </c>
    </row>
    <row r="30" spans="1:13">
      <c r="A30" s="55">
        <v>20</v>
      </c>
      <c r="B30" s="55" t="s">
        <v>209</v>
      </c>
      <c r="C30" s="55"/>
      <c r="D30" s="55"/>
      <c r="E30" s="79">
        <v>61</v>
      </c>
      <c r="F30" s="547">
        <v>1.7500000000000002E-2</v>
      </c>
      <c r="G30" s="55"/>
      <c r="H30" s="163"/>
      <c r="I30" s="116">
        <f>ROUND(I29/(1-F30)-I29,4)</f>
        <v>2.0000000000000001E-4</v>
      </c>
      <c r="J30" s="88">
        <f>ROUND(SUM($H$26:$H$27)*I30,0)</f>
        <v>-102</v>
      </c>
    </row>
    <row r="31" spans="1:13">
      <c r="A31" s="55">
        <v>21</v>
      </c>
      <c r="B31" s="55" t="s">
        <v>208</v>
      </c>
      <c r="C31" s="55"/>
      <c r="D31" s="55"/>
      <c r="E31" s="79"/>
      <c r="F31" s="55"/>
      <c r="G31" s="55"/>
      <c r="H31" s="61">
        <f>H26+H27</f>
        <v>-508208</v>
      </c>
      <c r="I31" s="60">
        <f>J31/H31</f>
        <v>1.8328998992538488</v>
      </c>
      <c r="J31" s="61">
        <f>SUM(J26:J30)</f>
        <v>-931494.39199999999</v>
      </c>
      <c r="L31" s="65"/>
      <c r="M31" s="65"/>
    </row>
    <row r="32" spans="1:13">
      <c r="A32" s="55">
        <v>22</v>
      </c>
      <c r="B32" s="55"/>
      <c r="C32" s="55"/>
      <c r="D32" s="55"/>
      <c r="E32" s="79"/>
      <c r="F32" s="55"/>
      <c r="G32" s="55"/>
      <c r="H32" s="55"/>
      <c r="I32" s="60"/>
      <c r="J32" s="55"/>
      <c r="L32" s="65"/>
      <c r="M32" s="65"/>
    </row>
    <row r="33" spans="1:10">
      <c r="A33" s="55">
        <v>23</v>
      </c>
      <c r="B33" s="55"/>
      <c r="C33" s="55"/>
      <c r="D33" s="55"/>
      <c r="E33" s="74"/>
      <c r="F33" s="74"/>
      <c r="G33" s="74"/>
      <c r="H33" s="74"/>
      <c r="I33" s="130"/>
      <c r="J33" s="74"/>
    </row>
    <row r="34" spans="1:10">
      <c r="A34" s="55">
        <v>24</v>
      </c>
      <c r="B34" s="55"/>
      <c r="C34" s="55"/>
      <c r="D34" s="55"/>
      <c r="E34" s="74"/>
      <c r="F34" s="74"/>
      <c r="G34" s="74"/>
      <c r="H34" s="74"/>
      <c r="I34" s="130"/>
      <c r="J34" s="74"/>
    </row>
    <row r="35" spans="1:10" ht="15" thickBot="1">
      <c r="A35" s="55">
        <v>25</v>
      </c>
      <c r="B35" s="55" t="s">
        <v>207</v>
      </c>
      <c r="C35" s="55"/>
      <c r="D35" s="55"/>
      <c r="E35" s="55"/>
      <c r="F35" s="55"/>
      <c r="G35" s="55"/>
      <c r="H35" s="58">
        <f>SUM(H11:H30)</f>
        <v>175030</v>
      </c>
      <c r="I35" s="129">
        <f>ROUND(J35/H35,4)</f>
        <v>2.0236000000000001</v>
      </c>
      <c r="J35" s="58">
        <f>J16+J23+J31</f>
        <v>354186.60800000001</v>
      </c>
    </row>
    <row r="36" spans="1:10" ht="15" thickTop="1">
      <c r="A36" s="55"/>
      <c r="G36" s="73"/>
    </row>
    <row r="37" spans="1:10">
      <c r="A37" s="55"/>
      <c r="H37" s="65"/>
      <c r="J37" s="65"/>
    </row>
    <row r="38" spans="1:10">
      <c r="A38" s="55"/>
    </row>
    <row r="39" spans="1:10">
      <c r="A39" s="55"/>
      <c r="F39" s="73"/>
      <c r="G39" s="73"/>
    </row>
    <row r="40" spans="1:10">
      <c r="A40" s="55"/>
      <c r="F40" s="73"/>
      <c r="G40" s="73"/>
      <c r="H40" s="73"/>
    </row>
    <row r="41" spans="1:10">
      <c r="A41" s="55"/>
    </row>
    <row r="42" spans="1:10">
      <c r="A42" s="55"/>
    </row>
    <row r="43" spans="1:10">
      <c r="A43" s="55"/>
    </row>
    <row r="44" spans="1:10">
      <c r="A44" s="55"/>
    </row>
    <row r="45" spans="1:10">
      <c r="A45" s="55"/>
    </row>
    <row r="46" spans="1:10">
      <c r="A46" s="55"/>
    </row>
    <row r="47" spans="1:10">
      <c r="A47" s="55"/>
    </row>
    <row r="48" spans="1:10">
      <c r="A48" s="55"/>
    </row>
    <row r="49" spans="1:1">
      <c r="A49" s="55"/>
    </row>
    <row r="50" spans="1:1">
      <c r="A50" s="55"/>
    </row>
    <row r="51" spans="1:1">
      <c r="A51" s="55"/>
    </row>
    <row r="52" spans="1:1">
      <c r="A52" s="55"/>
    </row>
    <row r="53" spans="1:1">
      <c r="A53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K71"/>
  <sheetViews>
    <sheetView view="pageBreakPreview" zoomScale="115" zoomScaleNormal="80" zoomScaleSheetLayoutView="115" workbookViewId="0">
      <pane xSplit="4" ySplit="8" topLeftCell="E9" activePane="bottomRight" state="frozen"/>
      <selection activeCell="B43" sqref="B43"/>
      <selection pane="topRight" activeCell="B43" sqref="B43"/>
      <selection pane="bottomLeft" activeCell="B43" sqref="B43"/>
      <selection pane="bottomRight"/>
    </sheetView>
  </sheetViews>
  <sheetFormatPr defaultColWidth="9.28515625" defaultRowHeight="14.25"/>
  <cols>
    <col min="1" max="3" width="9.28515625" style="53" customWidth="1"/>
    <col min="4" max="4" width="9.85546875" style="53" customWidth="1"/>
    <col min="5" max="5" width="10.7109375" style="53" customWidth="1"/>
    <col min="6" max="6" width="9.140625" style="53" customWidth="1"/>
    <col min="7" max="7" width="9.28515625" style="53" customWidth="1"/>
    <col min="8" max="8" width="10" style="53" bestFit="1" customWidth="1"/>
    <col min="9" max="9" width="10.7109375" style="53" bestFit="1" customWidth="1"/>
    <col min="10" max="10" width="14.42578125" style="53" customWidth="1"/>
    <col min="11" max="16384" width="9.28515625" style="53"/>
  </cols>
  <sheetData>
    <row r="1" spans="1:11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1">
      <c r="A2" s="70" t="s">
        <v>124</v>
      </c>
      <c r="B2" s="70"/>
      <c r="C2" s="70"/>
      <c r="D2" s="70"/>
      <c r="E2" s="70"/>
      <c r="F2" s="70"/>
      <c r="G2" s="70"/>
      <c r="H2" s="70"/>
      <c r="I2" s="145"/>
      <c r="J2" s="55" t="s">
        <v>228</v>
      </c>
    </row>
    <row r="3" spans="1:11">
      <c r="A3" s="86" t="s">
        <v>227</v>
      </c>
      <c r="B3" s="70"/>
      <c r="C3" s="70"/>
      <c r="D3" s="70"/>
      <c r="E3" s="70"/>
      <c r="F3" s="70"/>
      <c r="G3" s="70"/>
      <c r="H3" s="70"/>
      <c r="I3" s="145"/>
      <c r="J3" s="55"/>
    </row>
    <row r="4" spans="1:11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1">
      <c r="A5" s="55" t="s">
        <v>14</v>
      </c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1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1" ht="15">
      <c r="A7" s="83" t="s">
        <v>24</v>
      </c>
      <c r="B7" s="80"/>
      <c r="C7" s="80"/>
      <c r="D7" s="80"/>
      <c r="E7" s="83" t="s">
        <v>0</v>
      </c>
      <c r="F7" s="83"/>
      <c r="G7" s="143"/>
      <c r="H7" s="143"/>
      <c r="I7" s="80"/>
      <c r="J7" s="80"/>
    </row>
    <row r="8" spans="1:11" ht="15">
      <c r="A8" s="82" t="s">
        <v>23</v>
      </c>
      <c r="B8" s="81" t="s">
        <v>22</v>
      </c>
      <c r="C8" s="81"/>
      <c r="D8" s="81"/>
      <c r="E8" s="82" t="s">
        <v>117</v>
      </c>
      <c r="F8" s="82"/>
      <c r="G8" s="84" t="s">
        <v>203</v>
      </c>
      <c r="H8" s="84"/>
      <c r="I8" s="82" t="s">
        <v>115</v>
      </c>
      <c r="J8" s="82" t="s">
        <v>114</v>
      </c>
    </row>
    <row r="9" spans="1:11" ht="15">
      <c r="A9" s="55"/>
      <c r="B9" s="80"/>
      <c r="C9" s="55"/>
      <c r="D9" s="55"/>
      <c r="E9" s="55"/>
      <c r="F9" s="79"/>
      <c r="G9" s="79" t="s">
        <v>4</v>
      </c>
      <c r="H9" s="79" t="s">
        <v>113</v>
      </c>
      <c r="I9" s="79" t="s">
        <v>112</v>
      </c>
      <c r="J9" s="79" t="s">
        <v>111</v>
      </c>
    </row>
    <row r="10" spans="1:11" ht="15">
      <c r="A10" s="55"/>
      <c r="B10" s="80"/>
      <c r="C10" s="55"/>
      <c r="D10" s="55"/>
      <c r="E10" s="55"/>
      <c r="F10" s="55"/>
      <c r="G10" s="79"/>
      <c r="H10" s="79"/>
      <c r="I10" s="79"/>
      <c r="J10" s="79"/>
    </row>
    <row r="11" spans="1:11">
      <c r="A11" s="55">
        <v>1</v>
      </c>
      <c r="B11" s="142" t="s">
        <v>226</v>
      </c>
      <c r="C11" s="55"/>
      <c r="D11" s="55"/>
      <c r="E11" s="61"/>
      <c r="F11" s="55"/>
      <c r="G11" s="55"/>
      <c r="H11" s="119"/>
      <c r="I11" s="119"/>
      <c r="J11" s="55"/>
    </row>
    <row r="12" spans="1:11">
      <c r="A12" s="55">
        <v>2</v>
      </c>
      <c r="B12" s="55" t="s">
        <v>225</v>
      </c>
      <c r="C12" s="55"/>
      <c r="D12" s="55"/>
      <c r="E12" s="55"/>
      <c r="F12" s="55"/>
      <c r="G12" s="61"/>
      <c r="H12" s="542">
        <v>92000</v>
      </c>
      <c r="I12" s="77"/>
      <c r="J12" s="55"/>
    </row>
    <row r="13" spans="1:11">
      <c r="A13" s="55">
        <v>3</v>
      </c>
      <c r="B13" s="55" t="s">
        <v>193</v>
      </c>
      <c r="C13" s="55"/>
      <c r="D13" s="55"/>
      <c r="E13" s="55"/>
      <c r="F13" s="55"/>
      <c r="G13" s="55"/>
      <c r="H13" s="55"/>
      <c r="I13" s="139">
        <v>1.8240000000000001</v>
      </c>
      <c r="J13" s="61">
        <f>ROUND($H$12*I13,0)</f>
        <v>167808</v>
      </c>
      <c r="K13" s="55"/>
    </row>
    <row r="14" spans="1:11">
      <c r="A14" s="55">
        <v>4</v>
      </c>
      <c r="B14" s="55" t="s">
        <v>224</v>
      </c>
      <c r="C14" s="55"/>
      <c r="D14" s="55"/>
      <c r="E14" s="79">
        <v>13</v>
      </c>
      <c r="F14" s="55"/>
      <c r="G14" s="55"/>
      <c r="H14" s="55"/>
      <c r="I14" s="551">
        <v>5.1000000000000004E-3</v>
      </c>
      <c r="J14" s="61">
        <f>ROUND($H$12*I14,0)</f>
        <v>469</v>
      </c>
      <c r="K14" s="55"/>
    </row>
    <row r="15" spans="1:11">
      <c r="A15" s="55">
        <v>5</v>
      </c>
      <c r="B15" s="55" t="s">
        <v>189</v>
      </c>
      <c r="E15" s="79">
        <v>13</v>
      </c>
      <c r="I15" s="551">
        <v>1.2999999999999999E-3</v>
      </c>
      <c r="J15" s="61">
        <f>ROUND($H$12*I15,0)</f>
        <v>120</v>
      </c>
      <c r="K15" s="55"/>
    </row>
    <row r="16" spans="1:11">
      <c r="A16" s="55">
        <v>6</v>
      </c>
      <c r="B16" s="55" t="s">
        <v>209</v>
      </c>
      <c r="C16" s="55"/>
      <c r="D16" s="55"/>
      <c r="E16" s="79">
        <v>13</v>
      </c>
      <c r="F16" s="552">
        <v>2.3999999999999998E-3</v>
      </c>
      <c r="G16" s="55"/>
      <c r="H16" s="55"/>
      <c r="I16" s="130">
        <f>ROUND(I13/(1-(F16-0.001))-I13,4)</f>
        <v>2.5999999999999999E-3</v>
      </c>
      <c r="J16" s="75">
        <f>ROUND($H$12*I16,0)</f>
        <v>239</v>
      </c>
    </row>
    <row r="17" spans="1:11" ht="15" thickBot="1">
      <c r="A17" s="55">
        <v>7</v>
      </c>
      <c r="B17" s="55"/>
      <c r="C17" s="55"/>
      <c r="D17" s="55"/>
      <c r="E17" s="55"/>
      <c r="F17" s="55"/>
      <c r="G17" s="55"/>
      <c r="H17" s="55"/>
      <c r="I17" s="129">
        <f>SUM(I13:I16)</f>
        <v>1.8330000000000002</v>
      </c>
      <c r="J17" s="58">
        <f>SUM(J13:J16)</f>
        <v>168636</v>
      </c>
    </row>
    <row r="18" spans="1:11" ht="15.75" thickTop="1">
      <c r="A18" s="55">
        <v>8</v>
      </c>
      <c r="B18" s="80"/>
      <c r="C18" s="55"/>
      <c r="D18" s="55"/>
      <c r="E18" s="55"/>
      <c r="F18" s="104"/>
      <c r="G18" s="79"/>
      <c r="H18" s="79"/>
      <c r="I18" s="79"/>
      <c r="J18" s="79"/>
    </row>
    <row r="19" spans="1:11" ht="15">
      <c r="A19" s="55">
        <v>9</v>
      </c>
      <c r="B19" s="80"/>
      <c r="C19" s="55"/>
      <c r="D19" s="55"/>
      <c r="E19" s="55"/>
      <c r="F19" s="104"/>
      <c r="G19" s="79"/>
      <c r="H19" s="79"/>
      <c r="I19" s="79"/>
      <c r="J19" s="79"/>
    </row>
    <row r="20" spans="1:11" ht="15">
      <c r="A20" s="55"/>
      <c r="B20" s="80"/>
      <c r="C20" s="55"/>
      <c r="D20" s="55"/>
      <c r="E20" s="55"/>
      <c r="F20" s="55"/>
      <c r="G20" s="79"/>
      <c r="H20" s="79"/>
      <c r="I20" s="79"/>
      <c r="J20" s="79"/>
    </row>
    <row r="21" spans="1:11">
      <c r="A21" s="55" t="s">
        <v>119</v>
      </c>
      <c r="B21" s="55"/>
      <c r="C21" s="55"/>
      <c r="D21" s="55"/>
      <c r="E21" s="55"/>
      <c r="F21" s="55"/>
      <c r="G21" s="79"/>
      <c r="H21" s="79"/>
      <c r="I21" s="79"/>
      <c r="J21" s="79"/>
    </row>
    <row r="22" spans="1:11" ht="15">
      <c r="A22" s="83"/>
      <c r="B22" s="80"/>
      <c r="C22" s="80"/>
      <c r="D22" s="80"/>
      <c r="E22" s="80"/>
      <c r="F22" s="80"/>
      <c r="G22" s="80"/>
      <c r="H22" s="80"/>
      <c r="I22" s="80"/>
      <c r="J22" s="80"/>
    </row>
    <row r="23" spans="1:11" ht="15">
      <c r="A23" s="80"/>
      <c r="B23" s="55"/>
      <c r="C23" s="55"/>
      <c r="D23" s="55"/>
      <c r="E23" s="79" t="s">
        <v>27</v>
      </c>
      <c r="F23" s="79" t="s">
        <v>26</v>
      </c>
      <c r="G23" s="79" t="s">
        <v>25</v>
      </c>
      <c r="H23" s="79" t="s">
        <v>121</v>
      </c>
      <c r="I23" s="79" t="s">
        <v>120</v>
      </c>
      <c r="K23" s="100"/>
    </row>
    <row r="24" spans="1:11" ht="15">
      <c r="A24" s="80"/>
      <c r="B24" s="80"/>
      <c r="C24" s="80"/>
      <c r="D24" s="80"/>
      <c r="E24" s="80"/>
      <c r="F24" s="80"/>
      <c r="G24" s="84" t="s">
        <v>119</v>
      </c>
      <c r="H24" s="84"/>
      <c r="I24" s="84"/>
      <c r="K24" s="141"/>
    </row>
    <row r="25" spans="1:11" ht="15">
      <c r="A25" s="83" t="s">
        <v>24</v>
      </c>
      <c r="B25" s="80"/>
      <c r="C25" s="80"/>
      <c r="D25" s="83"/>
      <c r="E25" s="83" t="s">
        <v>0</v>
      </c>
      <c r="F25" s="83" t="s">
        <v>118</v>
      </c>
      <c r="G25" s="80"/>
      <c r="H25" s="80"/>
      <c r="I25" s="80"/>
      <c r="K25" s="140"/>
    </row>
    <row r="26" spans="1:11" ht="15">
      <c r="A26" s="82" t="s">
        <v>23</v>
      </c>
      <c r="B26" s="81" t="s">
        <v>22</v>
      </c>
      <c r="C26" s="81"/>
      <c r="D26" s="82"/>
      <c r="E26" s="82" t="s">
        <v>117</v>
      </c>
      <c r="F26" s="82" t="s">
        <v>116</v>
      </c>
      <c r="G26" s="82" t="s">
        <v>115</v>
      </c>
      <c r="H26" s="82" t="s">
        <v>114</v>
      </c>
      <c r="I26" s="82" t="s">
        <v>13</v>
      </c>
      <c r="K26" s="140"/>
    </row>
    <row r="27" spans="1:11" ht="15">
      <c r="A27" s="55"/>
      <c r="B27" s="80"/>
      <c r="C27" s="55"/>
      <c r="D27" s="55"/>
      <c r="E27" s="79"/>
      <c r="F27" s="79" t="s">
        <v>113</v>
      </c>
      <c r="G27" s="79" t="s">
        <v>112</v>
      </c>
      <c r="H27" s="79" t="s">
        <v>111</v>
      </c>
      <c r="I27" s="79" t="s">
        <v>111</v>
      </c>
      <c r="K27" s="100"/>
    </row>
    <row r="28" spans="1:11" ht="15">
      <c r="A28" s="55"/>
      <c r="B28" s="80" t="s">
        <v>223</v>
      </c>
      <c r="C28" s="55"/>
      <c r="D28" s="55"/>
      <c r="E28" s="79"/>
      <c r="F28" s="79"/>
      <c r="G28" s="79"/>
      <c r="H28" s="79"/>
      <c r="I28" s="79"/>
      <c r="K28" s="100"/>
    </row>
    <row r="29" spans="1:11">
      <c r="A29" s="55">
        <v>10</v>
      </c>
      <c r="B29" s="55" t="s">
        <v>136</v>
      </c>
      <c r="C29" s="55"/>
      <c r="D29" s="68" t="s">
        <v>222</v>
      </c>
      <c r="E29" s="55"/>
      <c r="F29" s="138">
        <v>33750</v>
      </c>
      <c r="G29" s="61"/>
      <c r="H29" s="61"/>
      <c r="I29" s="77"/>
    </row>
    <row r="30" spans="1:11" ht="15">
      <c r="A30" s="55">
        <v>11</v>
      </c>
      <c r="B30" s="55" t="s">
        <v>221</v>
      </c>
      <c r="C30" s="55"/>
      <c r="D30" s="55"/>
      <c r="E30" s="55"/>
      <c r="F30" s="139"/>
      <c r="G30" s="478">
        <v>5.3776000000000002</v>
      </c>
      <c r="H30" s="138">
        <f>ROUND(F$29*G30,0)</f>
        <v>181494</v>
      </c>
      <c r="I30" s="118">
        <f>H30</f>
        <v>181494</v>
      </c>
      <c r="K30" s="137"/>
    </row>
    <row r="31" spans="1:11">
      <c r="A31" s="55">
        <v>12</v>
      </c>
      <c r="B31" s="55"/>
      <c r="C31" s="55"/>
      <c r="D31" s="55"/>
      <c r="E31" s="79"/>
      <c r="F31" s="136"/>
      <c r="G31" s="55"/>
      <c r="H31" s="55"/>
      <c r="I31" s="130"/>
      <c r="J31" s="79"/>
      <c r="K31" s="135"/>
    </row>
    <row r="32" spans="1:11" ht="15" thickBot="1">
      <c r="A32" s="55">
        <v>13</v>
      </c>
      <c r="B32" s="55" t="s">
        <v>220</v>
      </c>
      <c r="C32" s="55"/>
      <c r="D32" s="55"/>
      <c r="E32" s="55"/>
      <c r="F32" s="55"/>
      <c r="G32" s="55"/>
      <c r="H32" s="134">
        <f>SUM(H30:H30)</f>
        <v>181494</v>
      </c>
      <c r="I32" s="134">
        <f>SUM(I30:I30)</f>
        <v>181494</v>
      </c>
      <c r="J32" s="74"/>
    </row>
    <row r="33" spans="1:10" ht="15" thickTop="1">
      <c r="A33" s="55"/>
      <c r="B33" s="74"/>
      <c r="C33" s="74"/>
      <c r="D33" s="74"/>
      <c r="E33" s="74"/>
      <c r="F33" s="74"/>
      <c r="G33" s="74"/>
      <c r="H33" s="74"/>
      <c r="I33" s="130"/>
      <c r="J33" s="75"/>
    </row>
    <row r="34" spans="1:10">
      <c r="A34" s="55"/>
      <c r="B34" s="74"/>
      <c r="C34" s="74"/>
      <c r="D34" s="74"/>
      <c r="E34" s="100"/>
      <c r="F34" s="74"/>
      <c r="G34" s="74"/>
      <c r="H34" s="74"/>
      <c r="I34" s="130"/>
      <c r="J34" s="75"/>
    </row>
    <row r="35" spans="1:10">
      <c r="A35" s="55"/>
      <c r="B35" s="74"/>
      <c r="C35" s="74"/>
      <c r="D35" s="74"/>
      <c r="E35" s="100"/>
      <c r="F35" s="74"/>
      <c r="G35" s="74"/>
      <c r="H35" s="74"/>
      <c r="I35" s="130"/>
      <c r="J35" s="75"/>
    </row>
    <row r="36" spans="1:10">
      <c r="A36" s="55"/>
      <c r="B36" s="74"/>
      <c r="C36" s="74"/>
      <c r="D36" s="74"/>
      <c r="E36" s="100"/>
      <c r="F36" s="74"/>
      <c r="G36" s="74"/>
      <c r="H36" s="74"/>
      <c r="I36" s="130"/>
      <c r="J36" s="75"/>
    </row>
    <row r="37" spans="1:10">
      <c r="A37" s="55"/>
      <c r="B37" s="74"/>
      <c r="C37" s="74"/>
      <c r="D37" s="74"/>
      <c r="E37" s="100"/>
      <c r="F37" s="74"/>
      <c r="G37" s="74"/>
      <c r="H37" s="74"/>
      <c r="I37" s="130"/>
      <c r="J37" s="75"/>
    </row>
    <row r="38" spans="1:10">
      <c r="A38" s="55"/>
      <c r="B38" s="74"/>
      <c r="C38" s="74"/>
      <c r="D38" s="74"/>
      <c r="E38" s="100"/>
      <c r="F38" s="74"/>
      <c r="G38" s="74"/>
      <c r="H38" s="74"/>
      <c r="I38" s="130"/>
      <c r="J38" s="75"/>
    </row>
    <row r="39" spans="1:10">
      <c r="A39" s="55"/>
      <c r="B39" s="74"/>
      <c r="C39" s="74"/>
      <c r="D39" s="74"/>
      <c r="E39" s="100"/>
      <c r="F39" s="132"/>
      <c r="G39" s="74"/>
      <c r="H39" s="74"/>
      <c r="I39" s="130"/>
      <c r="J39" s="75"/>
    </row>
    <row r="40" spans="1:10">
      <c r="A40" s="55"/>
      <c r="B40" s="74"/>
      <c r="C40" s="74"/>
      <c r="D40" s="74"/>
      <c r="E40" s="74"/>
      <c r="F40" s="74"/>
      <c r="G40" s="74"/>
      <c r="H40" s="74"/>
      <c r="I40" s="130"/>
      <c r="J40" s="75"/>
    </row>
    <row r="41" spans="1:10">
      <c r="A41" s="55"/>
      <c r="B41" s="74"/>
      <c r="C41" s="74"/>
      <c r="D41" s="74"/>
      <c r="E41" s="74"/>
      <c r="F41" s="74"/>
      <c r="G41" s="74"/>
      <c r="H41" s="74"/>
      <c r="I41" s="130"/>
      <c r="J41" s="74"/>
    </row>
    <row r="42" spans="1:10">
      <c r="A42" s="55"/>
      <c r="B42" s="74"/>
      <c r="C42" s="74"/>
      <c r="D42" s="74"/>
      <c r="E42" s="74"/>
      <c r="F42" s="74"/>
      <c r="G42" s="74"/>
      <c r="H42" s="74"/>
      <c r="I42" s="130"/>
      <c r="J42" s="74"/>
    </row>
    <row r="43" spans="1:10">
      <c r="A43" s="55"/>
      <c r="B43" s="133"/>
      <c r="C43" s="74"/>
      <c r="D43" s="74"/>
      <c r="E43" s="74"/>
      <c r="F43" s="74"/>
      <c r="G43" s="74"/>
      <c r="H43" s="74"/>
      <c r="I43" s="130"/>
      <c r="J43" s="74"/>
    </row>
    <row r="44" spans="1:10">
      <c r="A44" s="55"/>
      <c r="B44" s="74"/>
      <c r="C44" s="74"/>
      <c r="D44" s="74"/>
      <c r="E44" s="74"/>
      <c r="F44" s="74"/>
      <c r="G44" s="74"/>
      <c r="H44" s="75"/>
      <c r="I44" s="130"/>
      <c r="J44" s="74"/>
    </row>
    <row r="45" spans="1:10">
      <c r="B45" s="74"/>
      <c r="C45" s="74"/>
      <c r="D45" s="74"/>
      <c r="E45" s="74"/>
      <c r="F45" s="74"/>
      <c r="G45" s="74"/>
      <c r="H45" s="74"/>
      <c r="I45" s="130"/>
      <c r="J45" s="75"/>
    </row>
    <row r="46" spans="1:10">
      <c r="B46" s="74"/>
      <c r="C46" s="74"/>
      <c r="D46" s="74"/>
      <c r="E46" s="100"/>
      <c r="F46" s="74"/>
      <c r="G46" s="74"/>
      <c r="H46" s="74"/>
      <c r="I46" s="130"/>
      <c r="J46" s="75"/>
    </row>
    <row r="47" spans="1:10">
      <c r="B47" s="74"/>
      <c r="C47" s="74"/>
      <c r="D47" s="74"/>
      <c r="E47" s="100"/>
      <c r="F47" s="132"/>
      <c r="G47" s="74"/>
      <c r="H47" s="74"/>
      <c r="I47" s="130"/>
      <c r="J47" s="75"/>
    </row>
    <row r="48" spans="1:10">
      <c r="B48" s="74"/>
      <c r="C48" s="74"/>
      <c r="D48" s="74"/>
      <c r="E48" s="100"/>
      <c r="F48" s="74"/>
      <c r="G48" s="74"/>
      <c r="H48" s="74"/>
      <c r="I48" s="130"/>
      <c r="J48" s="75"/>
    </row>
    <row r="49" spans="2:10">
      <c r="B49" s="74"/>
      <c r="C49" s="74"/>
      <c r="D49" s="74"/>
      <c r="E49" s="100"/>
      <c r="F49" s="74"/>
      <c r="G49" s="74"/>
      <c r="H49" s="74"/>
      <c r="I49" s="130"/>
      <c r="J49" s="74"/>
    </row>
    <row r="50" spans="2:10">
      <c r="B50" s="74"/>
      <c r="C50" s="74"/>
      <c r="D50" s="74"/>
      <c r="E50" s="100"/>
      <c r="F50" s="74"/>
      <c r="G50" s="74"/>
      <c r="H50" s="74"/>
      <c r="I50" s="130"/>
      <c r="J50" s="74"/>
    </row>
    <row r="51" spans="2:10">
      <c r="B51" s="74"/>
      <c r="C51" s="74"/>
      <c r="D51" s="74"/>
      <c r="E51" s="100"/>
      <c r="F51" s="74"/>
      <c r="G51" s="74"/>
      <c r="H51" s="75"/>
      <c r="I51" s="130"/>
      <c r="J51" s="74"/>
    </row>
    <row r="52" spans="2:10">
      <c r="B52" s="74"/>
      <c r="C52" s="74"/>
      <c r="D52" s="74"/>
      <c r="E52" s="100"/>
      <c r="F52" s="74"/>
      <c r="G52" s="74"/>
      <c r="H52" s="74"/>
      <c r="I52" s="130"/>
      <c r="J52" s="75"/>
    </row>
    <row r="53" spans="2:10">
      <c r="B53" s="74"/>
      <c r="C53" s="74"/>
      <c r="D53" s="74"/>
      <c r="E53" s="100"/>
      <c r="F53" s="74"/>
      <c r="G53" s="74"/>
      <c r="H53" s="74"/>
      <c r="I53" s="130"/>
      <c r="J53" s="75"/>
    </row>
    <row r="54" spans="2:10">
      <c r="B54" s="74"/>
      <c r="C54" s="74"/>
      <c r="D54" s="74"/>
      <c r="E54" s="100"/>
      <c r="F54" s="132"/>
      <c r="G54" s="74"/>
      <c r="H54" s="74"/>
      <c r="I54" s="130"/>
      <c r="J54" s="75"/>
    </row>
    <row r="55" spans="2:10">
      <c r="B55" s="74"/>
      <c r="C55" s="74"/>
      <c r="D55" s="74"/>
      <c r="E55" s="74"/>
      <c r="F55" s="74"/>
      <c r="G55" s="74"/>
      <c r="H55" s="74"/>
      <c r="I55" s="130"/>
      <c r="J55" s="75"/>
    </row>
    <row r="56" spans="2:10">
      <c r="B56" s="74"/>
      <c r="C56" s="74"/>
      <c r="D56" s="74"/>
      <c r="E56" s="74"/>
      <c r="F56" s="74"/>
      <c r="G56" s="74"/>
      <c r="H56" s="74"/>
      <c r="I56" s="130"/>
      <c r="J56" s="74"/>
    </row>
    <row r="57" spans="2:10">
      <c r="B57" s="74"/>
      <c r="C57" s="74"/>
      <c r="D57" s="74"/>
      <c r="E57" s="74"/>
      <c r="F57" s="74"/>
      <c r="G57" s="74"/>
      <c r="H57" s="74"/>
      <c r="I57" s="130"/>
      <c r="J57" s="74"/>
    </row>
    <row r="58" spans="2:10">
      <c r="B58" s="74"/>
      <c r="C58" s="74"/>
      <c r="D58" s="74"/>
      <c r="E58" s="74"/>
      <c r="F58" s="74"/>
      <c r="G58" s="74"/>
      <c r="H58" s="75"/>
      <c r="I58" s="130"/>
      <c r="J58" s="75"/>
    </row>
    <row r="59" spans="2:10">
      <c r="B59" s="73"/>
      <c r="C59" s="73"/>
      <c r="D59" s="73"/>
      <c r="E59" s="73"/>
      <c r="F59" s="73"/>
      <c r="G59" s="73"/>
      <c r="H59" s="73"/>
      <c r="I59" s="73"/>
      <c r="J59" s="73"/>
    </row>
    <row r="60" spans="2:10">
      <c r="B60" s="73"/>
      <c r="C60" s="73"/>
      <c r="D60" s="73"/>
      <c r="E60" s="73"/>
      <c r="F60" s="73"/>
      <c r="G60" s="73"/>
      <c r="H60" s="73"/>
      <c r="I60" s="73"/>
      <c r="J60" s="73"/>
    </row>
    <row r="61" spans="2:10">
      <c r="B61" s="73"/>
      <c r="C61" s="73"/>
      <c r="D61" s="73"/>
      <c r="E61" s="73"/>
      <c r="F61" s="73"/>
      <c r="G61" s="73"/>
      <c r="H61" s="73"/>
      <c r="I61" s="73"/>
      <c r="J61" s="73"/>
    </row>
    <row r="62" spans="2:10">
      <c r="B62" s="73"/>
      <c r="C62" s="73"/>
      <c r="D62" s="73"/>
      <c r="E62" s="73"/>
      <c r="F62" s="73"/>
      <c r="G62" s="73"/>
      <c r="H62" s="73"/>
      <c r="I62" s="73"/>
      <c r="J62" s="73"/>
    </row>
    <row r="63" spans="2:10">
      <c r="B63" s="73"/>
      <c r="C63" s="73"/>
      <c r="D63" s="73"/>
      <c r="E63" s="73"/>
      <c r="F63" s="73"/>
      <c r="G63" s="73"/>
      <c r="H63" s="73"/>
      <c r="I63" s="73"/>
      <c r="J63" s="73"/>
    </row>
    <row r="64" spans="2:10">
      <c r="B64" s="73"/>
      <c r="C64" s="73"/>
      <c r="D64" s="73"/>
      <c r="E64" s="73"/>
      <c r="F64" s="73"/>
      <c r="G64" s="73"/>
      <c r="H64" s="73"/>
      <c r="I64" s="73"/>
      <c r="J64" s="73"/>
    </row>
    <row r="65" spans="2:10">
      <c r="B65" s="73"/>
      <c r="C65" s="73"/>
      <c r="D65" s="73"/>
      <c r="E65" s="73"/>
      <c r="F65" s="73"/>
      <c r="G65" s="73"/>
      <c r="H65" s="73"/>
      <c r="I65" s="73"/>
      <c r="J65" s="73"/>
    </row>
    <row r="66" spans="2:10">
      <c r="B66" s="73"/>
      <c r="C66" s="73"/>
      <c r="D66" s="73"/>
      <c r="E66" s="73"/>
      <c r="F66" s="73"/>
      <c r="G66" s="73"/>
      <c r="H66" s="73"/>
      <c r="I66" s="73"/>
      <c r="J66" s="73"/>
    </row>
    <row r="67" spans="2:10">
      <c r="B67" s="73"/>
      <c r="C67" s="73"/>
      <c r="D67" s="73"/>
      <c r="E67" s="73"/>
      <c r="F67" s="73"/>
      <c r="G67" s="73"/>
      <c r="H67" s="73"/>
      <c r="I67" s="73"/>
      <c r="J67" s="73"/>
    </row>
    <row r="68" spans="2:10">
      <c r="B68" s="73"/>
      <c r="C68" s="73"/>
      <c r="D68" s="73"/>
      <c r="E68" s="73"/>
      <c r="F68" s="73"/>
      <c r="G68" s="73"/>
      <c r="H68" s="73"/>
      <c r="I68" s="73"/>
      <c r="J68" s="73"/>
    </row>
    <row r="69" spans="2:10">
      <c r="B69" s="73"/>
      <c r="C69" s="73"/>
      <c r="D69" s="73"/>
      <c r="E69" s="73"/>
      <c r="F69" s="73"/>
      <c r="G69" s="73"/>
      <c r="H69" s="73"/>
      <c r="I69" s="73"/>
      <c r="J69" s="73"/>
    </row>
    <row r="70" spans="2:10">
      <c r="B70" s="73"/>
      <c r="C70" s="73"/>
      <c r="D70" s="73"/>
      <c r="E70" s="73"/>
      <c r="F70" s="73"/>
      <c r="G70" s="73"/>
      <c r="H70" s="73"/>
      <c r="I70" s="73"/>
      <c r="J70" s="73"/>
    </row>
    <row r="71" spans="2:10">
      <c r="B71" s="73"/>
      <c r="C71" s="73"/>
      <c r="D71" s="73"/>
      <c r="E71" s="73"/>
      <c r="F71" s="73"/>
      <c r="G71" s="73"/>
      <c r="H71" s="73"/>
      <c r="I71" s="73"/>
      <c r="J71" s="73"/>
    </row>
  </sheetData>
  <printOptions horizontalCentered="1"/>
  <pageMargins left="0.5" right="0.5" top="0.75" bottom="0.75" header="0.5" footer="0.5"/>
  <pageSetup scale="94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M65"/>
  <sheetViews>
    <sheetView view="pageBreakPreview" zoomScaleNormal="80" zoomScaleSheetLayoutView="100" workbookViewId="0">
      <pane xSplit="4" ySplit="6" topLeftCell="E7" activePane="bottomRight" state="frozen"/>
      <selection activeCell="B43" sqref="B43"/>
      <selection pane="topRight" activeCell="B43" sqref="B43"/>
      <selection pane="bottomLeft" activeCell="B43" sqref="B43"/>
      <selection pane="bottomRight"/>
    </sheetView>
  </sheetViews>
  <sheetFormatPr defaultColWidth="9.85546875" defaultRowHeight="14.25"/>
  <cols>
    <col min="1" max="1" width="3.85546875" style="53" customWidth="1"/>
    <col min="2" max="2" width="1.85546875" style="53" customWidth="1"/>
    <col min="3" max="3" width="25.42578125" style="53" customWidth="1"/>
    <col min="4" max="4" width="2.85546875" style="53" customWidth="1"/>
    <col min="5" max="6" width="14.42578125" style="53" bestFit="1" customWidth="1"/>
    <col min="7" max="7" width="13" style="53" bestFit="1" customWidth="1"/>
    <col min="8" max="8" width="9.85546875" style="53" customWidth="1"/>
    <col min="9" max="9" width="14.5703125" style="53" customWidth="1"/>
    <col min="10" max="10" width="9.85546875" style="53"/>
    <col min="11" max="11" width="10.5703125" style="53" bestFit="1" customWidth="1"/>
    <col min="12" max="16384" width="9.85546875" style="53"/>
  </cols>
  <sheetData>
    <row r="1" spans="1:10" ht="15">
      <c r="A1" s="160" t="s">
        <v>32</v>
      </c>
      <c r="B1" s="145"/>
      <c r="C1" s="145"/>
      <c r="D1" s="145"/>
      <c r="E1" s="145"/>
      <c r="F1" s="145"/>
      <c r="G1" s="145"/>
      <c r="H1" s="145"/>
      <c r="I1" s="159" t="s">
        <v>125</v>
      </c>
    </row>
    <row r="2" spans="1:10">
      <c r="A2" s="53" t="str">
        <f>B.1!A2</f>
        <v>Expected Gas Cost (EGC) Calculation</v>
      </c>
      <c r="B2" s="145"/>
      <c r="C2" s="145"/>
      <c r="D2" s="145"/>
      <c r="E2" s="145"/>
      <c r="F2" s="145"/>
      <c r="G2" s="145"/>
      <c r="H2" s="145"/>
      <c r="I2" s="70" t="s">
        <v>251</v>
      </c>
    </row>
    <row r="3" spans="1:10">
      <c r="A3" s="158" t="s">
        <v>250</v>
      </c>
      <c r="B3" s="145"/>
      <c r="C3" s="145"/>
      <c r="D3" s="145"/>
      <c r="E3" s="145"/>
      <c r="F3" s="145"/>
      <c r="G3" s="145"/>
      <c r="H3" s="145"/>
      <c r="I3" s="145"/>
    </row>
    <row r="4" spans="1:10">
      <c r="A4" s="55"/>
      <c r="B4" s="55"/>
      <c r="C4" s="55"/>
      <c r="D4" s="55"/>
      <c r="E4" s="55"/>
      <c r="F4" s="55"/>
      <c r="G4" s="55"/>
      <c r="H4" s="55"/>
      <c r="I4" s="55"/>
    </row>
    <row r="5" spans="1:10">
      <c r="A5" s="79" t="s">
        <v>24</v>
      </c>
      <c r="B5" s="55"/>
      <c r="C5" s="55"/>
      <c r="D5" s="55"/>
      <c r="E5" s="55"/>
      <c r="F5" s="55"/>
      <c r="G5" s="55"/>
      <c r="H5" s="55"/>
      <c r="I5" s="55"/>
    </row>
    <row r="6" spans="1:10" ht="15">
      <c r="A6" s="150" t="s">
        <v>23</v>
      </c>
      <c r="B6" s="81"/>
      <c r="C6" s="81"/>
      <c r="D6" s="81"/>
      <c r="E6" s="79" t="s">
        <v>27</v>
      </c>
      <c r="F6" s="79" t="s">
        <v>26</v>
      </c>
      <c r="G6" s="79" t="s">
        <v>25</v>
      </c>
      <c r="H6" s="79" t="s">
        <v>121</v>
      </c>
      <c r="I6" s="79" t="s">
        <v>120</v>
      </c>
      <c r="J6" s="144"/>
    </row>
    <row r="8" spans="1:10">
      <c r="A8" s="55">
        <v>1</v>
      </c>
      <c r="B8" s="55"/>
      <c r="C8" s="142" t="s">
        <v>249</v>
      </c>
      <c r="D8" s="55"/>
      <c r="E8" s="61"/>
      <c r="F8" s="55"/>
      <c r="G8" s="55"/>
      <c r="H8" s="55"/>
      <c r="I8" s="55"/>
    </row>
    <row r="9" spans="1:10">
      <c r="A9" s="55">
        <v>2</v>
      </c>
      <c r="B9" s="55"/>
      <c r="C9" s="55" t="s">
        <v>248</v>
      </c>
      <c r="D9" s="55"/>
      <c r="E9" s="149">
        <f>B.1!I71</f>
        <v>19457170</v>
      </c>
      <c r="F9" s="55"/>
      <c r="G9" s="55"/>
      <c r="H9" s="55"/>
      <c r="I9" s="61"/>
    </row>
    <row r="10" spans="1:10">
      <c r="A10" s="55">
        <v>3</v>
      </c>
      <c r="B10" s="55"/>
      <c r="C10" s="55" t="s">
        <v>247</v>
      </c>
      <c r="D10" s="55"/>
      <c r="E10" s="61">
        <v>0</v>
      </c>
      <c r="F10" s="55"/>
      <c r="G10" s="55"/>
      <c r="H10" s="55"/>
      <c r="I10" s="61"/>
    </row>
    <row r="11" spans="1:10">
      <c r="A11" s="55">
        <v>4</v>
      </c>
      <c r="B11" s="55"/>
      <c r="C11" s="55" t="s">
        <v>246</v>
      </c>
      <c r="D11" s="55"/>
      <c r="E11" s="75">
        <f>B.2!I35</f>
        <v>4989204</v>
      </c>
      <c r="F11" s="55"/>
      <c r="G11" s="55"/>
      <c r="H11" s="55"/>
      <c r="I11" s="55"/>
    </row>
    <row r="12" spans="1:10">
      <c r="A12" s="55">
        <v>5</v>
      </c>
      <c r="B12" s="55"/>
      <c r="C12" s="55" t="s">
        <v>227</v>
      </c>
      <c r="E12" s="157">
        <f>B.5!I32</f>
        <v>181494</v>
      </c>
    </row>
    <row r="13" spans="1:10" ht="15" thickBot="1">
      <c r="A13" s="55">
        <v>6</v>
      </c>
      <c r="C13" s="55" t="s">
        <v>114</v>
      </c>
      <c r="D13" s="55"/>
      <c r="E13" s="153">
        <f>SUM(E9:E12)</f>
        <v>24627868</v>
      </c>
      <c r="F13" s="55"/>
      <c r="G13" s="55"/>
      <c r="H13" s="55"/>
      <c r="I13" s="55"/>
    </row>
    <row r="14" spans="1:10" ht="15" thickTop="1">
      <c r="A14" s="55">
        <v>7</v>
      </c>
      <c r="B14" s="55"/>
    </row>
    <row r="15" spans="1:10">
      <c r="A15" s="55">
        <v>8</v>
      </c>
      <c r="B15" s="55"/>
      <c r="C15" s="55"/>
      <c r="D15" s="55"/>
      <c r="E15" s="55"/>
      <c r="F15" s="79" t="s">
        <v>245</v>
      </c>
      <c r="G15" s="79" t="s">
        <v>244</v>
      </c>
      <c r="H15" s="151" t="s">
        <v>243</v>
      </c>
      <c r="I15" s="151"/>
    </row>
    <row r="16" spans="1:10">
      <c r="A16" s="55">
        <v>9</v>
      </c>
      <c r="B16" s="55"/>
      <c r="C16" s="142" t="s">
        <v>242</v>
      </c>
      <c r="D16" s="55"/>
      <c r="E16" s="150" t="s">
        <v>241</v>
      </c>
      <c r="F16" s="150" t="s">
        <v>13</v>
      </c>
      <c r="G16" s="150" t="s">
        <v>240</v>
      </c>
      <c r="H16" s="150" t="s">
        <v>233</v>
      </c>
      <c r="I16" s="150" t="s">
        <v>239</v>
      </c>
    </row>
    <row r="17" spans="1:13">
      <c r="A17" s="55">
        <v>10</v>
      </c>
      <c r="B17" s="55"/>
      <c r="C17" s="55" t="s">
        <v>238</v>
      </c>
      <c r="D17" s="55"/>
      <c r="E17" s="60">
        <f>B.8!F22</f>
        <v>0.14949999999999999</v>
      </c>
      <c r="F17" s="149">
        <f>ROUND($E$13*E17,0)</f>
        <v>3681866</v>
      </c>
      <c r="G17" s="61">
        <f>F35</f>
        <v>16941089.02600522</v>
      </c>
      <c r="H17" s="156">
        <f>ROUND(F17/G17,4)</f>
        <v>0.21729999999999999</v>
      </c>
      <c r="I17" s="156">
        <f>H17</f>
        <v>0.21729999999999999</v>
      </c>
    </row>
    <row r="18" spans="1:13">
      <c r="A18" s="55">
        <v>11</v>
      </c>
      <c r="B18" s="55"/>
      <c r="C18" s="55" t="s">
        <v>233</v>
      </c>
      <c r="D18" s="55"/>
      <c r="E18" s="130">
        <f>E19-E17</f>
        <v>0.85050000000000003</v>
      </c>
      <c r="F18" s="61">
        <f>ROUND($E$13*E18,0)</f>
        <v>20946002</v>
      </c>
      <c r="G18" s="75">
        <f>G35</f>
        <v>16713758.702238854</v>
      </c>
      <c r="H18" s="155">
        <f>ROUND(F18/G18,4)</f>
        <v>1.2532000000000001</v>
      </c>
      <c r="I18" s="154"/>
    </row>
    <row r="19" spans="1:13" ht="15" thickBot="1">
      <c r="A19" s="55">
        <v>12</v>
      </c>
      <c r="C19" s="55" t="s">
        <v>114</v>
      </c>
      <c r="D19" s="55"/>
      <c r="E19" s="129">
        <v>1</v>
      </c>
      <c r="F19" s="153">
        <f>F17+F18</f>
        <v>24627868</v>
      </c>
      <c r="G19" s="55"/>
      <c r="H19" s="152">
        <f>H17+H18</f>
        <v>1.4705000000000001</v>
      </c>
      <c r="I19" s="152">
        <f>I17+I18</f>
        <v>0.21729999999999999</v>
      </c>
      <c r="L19" s="531"/>
    </row>
    <row r="20" spans="1:13" ht="15" thickTop="1">
      <c r="A20" s="55">
        <v>13</v>
      </c>
      <c r="B20" s="55"/>
    </row>
    <row r="21" spans="1:13">
      <c r="A21" s="55">
        <v>14</v>
      </c>
      <c r="B21" s="55"/>
      <c r="C21" s="55"/>
      <c r="D21" s="55"/>
      <c r="E21" s="55"/>
      <c r="F21" s="145" t="s">
        <v>237</v>
      </c>
      <c r="G21" s="145"/>
      <c r="H21" s="55"/>
      <c r="I21" s="55"/>
    </row>
    <row r="22" spans="1:13">
      <c r="A22" s="55">
        <v>15</v>
      </c>
      <c r="B22" s="55"/>
      <c r="C22" s="55"/>
      <c r="D22" s="55"/>
      <c r="E22" s="79" t="s">
        <v>163</v>
      </c>
      <c r="F22" s="151" t="s">
        <v>236</v>
      </c>
      <c r="G22" s="151"/>
      <c r="H22" s="55"/>
      <c r="I22" s="55"/>
    </row>
    <row r="23" spans="1:13">
      <c r="A23" s="55">
        <v>16</v>
      </c>
      <c r="B23" s="55"/>
      <c r="C23" s="55"/>
      <c r="D23" s="55"/>
      <c r="E23" s="150" t="s">
        <v>235</v>
      </c>
      <c r="F23" s="150" t="s">
        <v>234</v>
      </c>
      <c r="G23" s="150" t="s">
        <v>233</v>
      </c>
      <c r="H23" s="55"/>
      <c r="I23" s="55"/>
    </row>
    <row r="24" spans="1:13">
      <c r="A24" s="55">
        <v>17</v>
      </c>
      <c r="B24" s="55"/>
      <c r="C24" s="142" t="s">
        <v>39</v>
      </c>
      <c r="D24" s="55"/>
      <c r="E24" s="55"/>
      <c r="F24" s="55"/>
      <c r="G24" s="55"/>
      <c r="H24" s="55"/>
      <c r="I24" s="55"/>
    </row>
    <row r="25" spans="1:13">
      <c r="A25" s="55">
        <v>18</v>
      </c>
      <c r="B25" s="55"/>
      <c r="C25" s="55" t="s">
        <v>231</v>
      </c>
      <c r="D25" s="55"/>
      <c r="E25" s="55"/>
      <c r="F25" s="55"/>
      <c r="G25" s="55"/>
      <c r="H25" s="55"/>
      <c r="I25" s="55"/>
    </row>
    <row r="26" spans="1:13">
      <c r="A26" s="55">
        <v>19</v>
      </c>
      <c r="B26" s="55"/>
      <c r="C26" s="55" t="s">
        <v>232</v>
      </c>
      <c r="D26" s="55"/>
      <c r="E26" s="444">
        <v>16713758.702238854</v>
      </c>
      <c r="F26" s="61">
        <f>E26</f>
        <v>16713758.702238854</v>
      </c>
      <c r="G26" s="61">
        <f>E26</f>
        <v>16713758.702238854</v>
      </c>
      <c r="H26" s="148">
        <f>H19</f>
        <v>1.4705000000000001</v>
      </c>
      <c r="I26" s="55"/>
    </row>
    <row r="27" spans="1:13">
      <c r="A27" s="55">
        <v>20</v>
      </c>
      <c r="B27" s="55"/>
      <c r="C27" s="55"/>
      <c r="D27" s="55"/>
      <c r="E27" s="444"/>
      <c r="F27" s="61"/>
      <c r="G27" s="55"/>
      <c r="H27" s="55"/>
      <c r="I27" s="55"/>
    </row>
    <row r="28" spans="1:13">
      <c r="A28" s="55">
        <v>21</v>
      </c>
      <c r="B28" s="55"/>
      <c r="C28" s="142" t="s">
        <v>38</v>
      </c>
      <c r="D28" s="55"/>
      <c r="E28" s="446"/>
      <c r="F28" s="61"/>
      <c r="G28" s="55"/>
      <c r="H28" s="148"/>
      <c r="I28" s="55"/>
    </row>
    <row r="29" spans="1:13">
      <c r="A29" s="55">
        <v>22</v>
      </c>
      <c r="B29" s="55"/>
      <c r="C29" s="55" t="s">
        <v>231</v>
      </c>
      <c r="D29" s="55"/>
      <c r="E29" s="446"/>
      <c r="F29" s="61"/>
      <c r="G29" s="55"/>
      <c r="H29" s="148"/>
      <c r="I29" s="55"/>
    </row>
    <row r="30" spans="1:13">
      <c r="A30" s="55">
        <v>23</v>
      </c>
      <c r="B30" s="55"/>
      <c r="C30" s="55" t="s">
        <v>230</v>
      </c>
      <c r="D30" s="55"/>
      <c r="E30" s="444">
        <v>227330.32376636579</v>
      </c>
      <c r="F30" s="61">
        <f>E30</f>
        <v>227330.32376636579</v>
      </c>
      <c r="G30" s="55"/>
      <c r="H30" s="148">
        <f>H19</f>
        <v>1.4705000000000001</v>
      </c>
      <c r="I30" s="148">
        <f>I19</f>
        <v>0.21729999999999999</v>
      </c>
      <c r="M30" s="65"/>
    </row>
    <row r="31" spans="1:13">
      <c r="A31" s="55">
        <v>24</v>
      </c>
      <c r="B31" s="55"/>
      <c r="C31" s="55"/>
      <c r="D31" s="55"/>
      <c r="E31" s="446"/>
      <c r="F31" s="61"/>
      <c r="G31" s="55"/>
      <c r="H31" s="148"/>
      <c r="I31" s="55"/>
    </row>
    <row r="32" spans="1:13">
      <c r="A32" s="55">
        <v>25</v>
      </c>
      <c r="B32" s="55"/>
      <c r="C32" s="142" t="s">
        <v>35</v>
      </c>
      <c r="D32" s="55"/>
      <c r="E32" s="446"/>
      <c r="F32" s="61"/>
      <c r="G32" s="55"/>
      <c r="H32" s="148"/>
      <c r="I32" s="55"/>
    </row>
    <row r="33" spans="1:9">
      <c r="A33" s="55">
        <v>26</v>
      </c>
      <c r="B33" s="55"/>
      <c r="C33" s="55" t="s">
        <v>229</v>
      </c>
      <c r="D33" s="55"/>
      <c r="E33" s="444">
        <v>31237094</v>
      </c>
      <c r="F33" s="61"/>
      <c r="G33" s="55"/>
      <c r="H33" s="148"/>
      <c r="I33" s="55"/>
    </row>
    <row r="34" spans="1:9">
      <c r="A34" s="55">
        <v>27</v>
      </c>
      <c r="B34" s="55"/>
      <c r="C34" s="55"/>
      <c r="D34" s="55"/>
      <c r="E34" s="55"/>
      <c r="F34" s="61"/>
      <c r="G34" s="55"/>
      <c r="H34" s="148"/>
      <c r="I34" s="55"/>
    </row>
    <row r="35" spans="1:9" ht="15" thickBot="1">
      <c r="A35" s="55">
        <v>28</v>
      </c>
      <c r="B35" s="55"/>
      <c r="C35" s="55"/>
      <c r="D35" s="55"/>
      <c r="E35" s="58">
        <f>E26+E30+E33</f>
        <v>48178183.026005223</v>
      </c>
      <c r="F35" s="58">
        <f>F26+F30</f>
        <v>16941089.02600522</v>
      </c>
      <c r="G35" s="58">
        <f>G26</f>
        <v>16713758.702238854</v>
      </c>
      <c r="H35" s="148"/>
      <c r="I35" s="55"/>
    </row>
    <row r="36" spans="1:9" ht="15" thickTop="1">
      <c r="A36" s="55">
        <v>29</v>
      </c>
      <c r="B36" s="55"/>
      <c r="C36" s="55"/>
      <c r="D36" s="55"/>
      <c r="E36" s="55"/>
      <c r="F36" s="61"/>
      <c r="G36" s="55"/>
      <c r="H36" s="148"/>
      <c r="I36" s="55"/>
    </row>
    <row r="37" spans="1:9">
      <c r="A37" s="55">
        <v>30</v>
      </c>
      <c r="B37" s="55"/>
      <c r="C37" s="142"/>
      <c r="D37" s="55"/>
      <c r="E37" s="61"/>
      <c r="F37" s="55"/>
      <c r="G37" s="74"/>
      <c r="H37" s="148"/>
      <c r="I37" s="55"/>
    </row>
    <row r="38" spans="1:9">
      <c r="A38" s="74"/>
      <c r="B38" s="55"/>
      <c r="C38" s="55"/>
      <c r="D38" s="55"/>
      <c r="E38" s="55"/>
      <c r="F38" s="149"/>
      <c r="G38" s="55"/>
      <c r="H38" s="148"/>
      <c r="I38" s="55"/>
    </row>
    <row r="39" spans="1:9">
      <c r="A39" s="74"/>
      <c r="B39" s="55"/>
      <c r="C39" s="55"/>
      <c r="D39" s="55"/>
      <c r="E39" s="55"/>
      <c r="F39" s="61"/>
      <c r="G39" s="55"/>
      <c r="H39" s="148"/>
      <c r="I39" s="55"/>
    </row>
    <row r="40" spans="1:9">
      <c r="A40" s="74"/>
      <c r="B40" s="55"/>
      <c r="C40" s="55"/>
      <c r="D40" s="55"/>
      <c r="E40" s="55"/>
      <c r="F40" s="75"/>
      <c r="G40" s="74"/>
      <c r="H40" s="147"/>
      <c r="I40" s="55"/>
    </row>
    <row r="41" spans="1:9">
      <c r="A41" s="55"/>
      <c r="B41" s="55"/>
      <c r="C41" s="55"/>
      <c r="D41" s="55"/>
      <c r="E41" s="55"/>
      <c r="F41" s="61"/>
      <c r="G41" s="55"/>
      <c r="H41" s="55"/>
      <c r="I41" s="55"/>
    </row>
    <row r="42" spans="1:9">
      <c r="A42" s="55"/>
      <c r="C42" s="55"/>
      <c r="D42" s="55"/>
      <c r="E42" s="55"/>
      <c r="F42" s="146"/>
      <c r="G42" s="55"/>
      <c r="H42" s="55"/>
      <c r="I42" s="55"/>
    </row>
    <row r="43" spans="1:9">
      <c r="A43" s="55"/>
    </row>
    <row r="44" spans="1:9">
      <c r="A44" s="55"/>
    </row>
    <row r="45" spans="1:9">
      <c r="A45" s="55"/>
    </row>
    <row r="46" spans="1:9">
      <c r="A46" s="55"/>
      <c r="B46" s="55"/>
      <c r="C46" s="55"/>
      <c r="D46" s="55"/>
      <c r="E46" s="61"/>
      <c r="F46" s="55"/>
      <c r="G46" s="55"/>
      <c r="H46" s="55"/>
      <c r="I46" s="55"/>
    </row>
    <row r="47" spans="1:9">
      <c r="A47" s="55"/>
      <c r="B47" s="55"/>
      <c r="C47" s="55"/>
      <c r="D47" s="55"/>
      <c r="E47" s="61"/>
      <c r="F47" s="55"/>
      <c r="G47" s="55"/>
      <c r="H47" s="55"/>
      <c r="I47" s="55"/>
    </row>
    <row r="48" spans="1:9">
      <c r="A48" s="55"/>
      <c r="B48" s="55"/>
      <c r="C48" s="55"/>
      <c r="D48" s="55"/>
      <c r="E48" s="61"/>
      <c r="F48" s="55"/>
      <c r="G48" s="55"/>
      <c r="H48" s="55"/>
      <c r="I48" s="55"/>
    </row>
    <row r="49" spans="1:9">
      <c r="A49" s="55"/>
      <c r="B49" s="55"/>
      <c r="C49" s="55"/>
      <c r="D49" s="55"/>
      <c r="E49" s="61"/>
      <c r="F49" s="55"/>
      <c r="G49" s="55"/>
      <c r="H49" s="55"/>
      <c r="I49" s="55"/>
    </row>
    <row r="50" spans="1:9">
      <c r="A50" s="55"/>
    </row>
    <row r="51" spans="1:9">
      <c r="A51" s="55"/>
    </row>
    <row r="52" spans="1:9">
      <c r="A52" s="55"/>
    </row>
    <row r="53" spans="1:9">
      <c r="A53" s="55"/>
    </row>
    <row r="54" spans="1:9">
      <c r="A54" s="55"/>
    </row>
    <row r="55" spans="1:9">
      <c r="A55" s="55"/>
    </row>
    <row r="56" spans="1:9">
      <c r="A56" s="55"/>
    </row>
    <row r="57" spans="1:9">
      <c r="A57" s="55"/>
    </row>
    <row r="58" spans="1:9">
      <c r="A58" s="55"/>
    </row>
    <row r="59" spans="1:9">
      <c r="A59" s="55"/>
    </row>
    <row r="60" spans="1:9">
      <c r="A60" s="55"/>
    </row>
    <row r="61" spans="1:9">
      <c r="A61" s="55"/>
    </row>
    <row r="62" spans="1:9">
      <c r="A62" s="55"/>
    </row>
    <row r="63" spans="1:9">
      <c r="A63" s="55"/>
    </row>
    <row r="64" spans="1:9">
      <c r="A64" s="55"/>
    </row>
    <row r="65" spans="1:1">
      <c r="A65" s="55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N58"/>
  <sheetViews>
    <sheetView view="pageBreakPreview" zoomScale="85" zoomScaleNormal="80" zoomScaleSheetLayoutView="85" workbookViewId="0">
      <pane xSplit="4" ySplit="9" topLeftCell="E10" activePane="bottomRight" state="frozen"/>
      <selection activeCell="B43" sqref="B43"/>
      <selection pane="topRight" activeCell="B43" sqref="B43"/>
      <selection pane="bottomLeft" activeCell="B43" sqref="B43"/>
      <selection pane="bottomRight" activeCell="J25" sqref="I25:J33"/>
    </sheetView>
  </sheetViews>
  <sheetFormatPr defaultColWidth="9.85546875" defaultRowHeight="14.25"/>
  <cols>
    <col min="1" max="1" width="4.85546875" style="53" customWidth="1"/>
    <col min="2" max="2" width="9.85546875" style="53"/>
    <col min="3" max="3" width="15.85546875" style="53" customWidth="1"/>
    <col min="4" max="4" width="13.85546875" style="53" customWidth="1"/>
    <col min="5" max="5" width="16.7109375" style="53" customWidth="1"/>
    <col min="6" max="6" width="13.7109375" style="53" customWidth="1"/>
    <col min="7" max="7" width="11.140625" style="53" customWidth="1"/>
    <col min="8" max="8" width="15" style="53" customWidth="1"/>
    <col min="9" max="9" width="10.140625" style="53" bestFit="1" customWidth="1"/>
    <col min="10" max="10" width="9.85546875" style="53"/>
    <col min="11" max="11" width="15.140625" style="53" bestFit="1" customWidth="1"/>
    <col min="12" max="12" width="11.7109375" style="161" bestFit="1" customWidth="1"/>
    <col min="13" max="13" width="9.85546875" style="53"/>
    <col min="14" max="14" width="12.85546875" style="53" bestFit="1" customWidth="1"/>
    <col min="15" max="16384" width="9.85546875" style="53"/>
  </cols>
  <sheetData>
    <row r="1" spans="1:12" ht="15">
      <c r="A1" s="87" t="s">
        <v>32</v>
      </c>
      <c r="B1" s="70"/>
      <c r="C1" s="70"/>
      <c r="D1" s="70"/>
      <c r="E1" s="70"/>
      <c r="F1" s="70"/>
      <c r="G1" s="145"/>
      <c r="H1" s="55" t="s">
        <v>125</v>
      </c>
    </row>
    <row r="2" spans="1:12">
      <c r="A2" s="70" t="str">
        <f>B.1!A2</f>
        <v>Expected Gas Cost (EGC) Calculation</v>
      </c>
      <c r="B2" s="70"/>
      <c r="C2" s="70"/>
      <c r="D2" s="70"/>
      <c r="E2" s="70"/>
      <c r="F2" s="70"/>
      <c r="G2" s="145"/>
      <c r="H2" s="55" t="s">
        <v>270</v>
      </c>
      <c r="K2" s="53" t="s">
        <v>545</v>
      </c>
    </row>
    <row r="3" spans="1:12">
      <c r="A3" s="86" t="s">
        <v>269</v>
      </c>
      <c r="B3" s="70"/>
      <c r="C3" s="70"/>
      <c r="D3" s="70"/>
      <c r="E3" s="70"/>
      <c r="F3" s="70"/>
      <c r="G3" s="145"/>
      <c r="H3" s="55"/>
      <c r="J3" s="53" t="s">
        <v>542</v>
      </c>
      <c r="K3" s="541">
        <v>1.0279493687123198</v>
      </c>
    </row>
    <row r="4" spans="1:12">
      <c r="A4" s="55"/>
      <c r="B4" s="55"/>
      <c r="C4" s="55"/>
      <c r="D4" s="55"/>
      <c r="E4" s="55"/>
      <c r="F4" s="55"/>
      <c r="G4" s="85"/>
      <c r="H4" s="55"/>
      <c r="J4" s="53" t="s">
        <v>543</v>
      </c>
      <c r="K4" s="541">
        <v>1.057159773899635</v>
      </c>
    </row>
    <row r="5" spans="1:12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/>
      <c r="J5" s="53" t="s">
        <v>544</v>
      </c>
      <c r="K5" s="541">
        <v>1.0349999999999999</v>
      </c>
    </row>
    <row r="6" spans="1:12" ht="15">
      <c r="A6" s="80"/>
      <c r="B6" s="80"/>
      <c r="C6" s="80"/>
      <c r="D6" s="80"/>
      <c r="E6" s="80"/>
      <c r="F6" s="80"/>
      <c r="G6" s="80"/>
      <c r="H6" s="80"/>
    </row>
    <row r="7" spans="1:12" ht="15">
      <c r="A7" s="83" t="s">
        <v>24</v>
      </c>
      <c r="B7" s="80"/>
      <c r="C7" s="80"/>
      <c r="D7" s="80"/>
      <c r="E7" s="143"/>
      <c r="F7" s="143"/>
      <c r="G7" s="80"/>
      <c r="H7" s="80"/>
    </row>
    <row r="8" spans="1:12" ht="15">
      <c r="A8" s="82" t="s">
        <v>23</v>
      </c>
      <c r="B8" s="81" t="s">
        <v>22</v>
      </c>
      <c r="C8" s="81"/>
      <c r="D8" s="81"/>
      <c r="E8" s="84" t="s">
        <v>203</v>
      </c>
      <c r="F8" s="84"/>
      <c r="G8" s="82" t="s">
        <v>115</v>
      </c>
      <c r="H8" s="82" t="s">
        <v>114</v>
      </c>
    </row>
    <row r="9" spans="1:12" ht="15">
      <c r="A9" s="55"/>
      <c r="B9" s="80"/>
      <c r="C9" s="55"/>
      <c r="D9" s="55"/>
      <c r="E9" s="79" t="s">
        <v>4</v>
      </c>
      <c r="F9" s="79" t="s">
        <v>113</v>
      </c>
      <c r="G9" s="79" t="s">
        <v>20</v>
      </c>
      <c r="H9" s="79" t="s">
        <v>111</v>
      </c>
    </row>
    <row r="10" spans="1:12" ht="15">
      <c r="A10" s="55"/>
      <c r="B10" s="71"/>
      <c r="C10" s="55"/>
      <c r="D10" s="55"/>
      <c r="E10" s="55"/>
      <c r="F10" s="119"/>
      <c r="G10" s="55"/>
      <c r="H10" s="55"/>
    </row>
    <row r="11" spans="1:12" ht="15">
      <c r="A11" s="55">
        <v>1</v>
      </c>
      <c r="B11" s="71" t="s">
        <v>268</v>
      </c>
      <c r="C11" s="55"/>
      <c r="D11" s="55"/>
      <c r="E11" s="61"/>
      <c r="F11" s="61"/>
      <c r="G11" s="55"/>
      <c r="H11" s="55"/>
    </row>
    <row r="12" spans="1:12">
      <c r="A12" s="55">
        <v>2</v>
      </c>
      <c r="B12" s="55" t="s">
        <v>267</v>
      </c>
      <c r="C12" s="55"/>
      <c r="D12" s="55"/>
      <c r="E12" s="64">
        <f>ROUND(F12/$K$3,0)</f>
        <v>2556320</v>
      </c>
      <c r="F12" s="61">
        <f>B.3!G11</f>
        <v>2627768</v>
      </c>
      <c r="G12" s="60">
        <f>IF(F12&lt;&gt;0,ROUND(H12/E12,4),0)</f>
        <v>1.9516</v>
      </c>
      <c r="H12" s="61">
        <f>B.3!I15</f>
        <v>4988818</v>
      </c>
    </row>
    <row r="13" spans="1:12">
      <c r="A13" s="55">
        <v>3</v>
      </c>
      <c r="B13" s="55" t="s">
        <v>226</v>
      </c>
      <c r="C13" s="55"/>
      <c r="D13" s="55"/>
      <c r="E13" s="64">
        <f t="shared" ref="E13:E14" si="0">ROUND(F13/$K$3,0)</f>
        <v>2091535</v>
      </c>
      <c r="F13" s="61">
        <f>B.3!G17</f>
        <v>2149992</v>
      </c>
      <c r="G13" s="60">
        <f>IF(F13&lt;&gt;0,ROUND(H13/E13,4),0)</f>
        <v>1.948</v>
      </c>
      <c r="H13" s="61">
        <f>B.3!I22</f>
        <v>4074235</v>
      </c>
      <c r="I13" s="135"/>
    </row>
    <row r="14" spans="1:12">
      <c r="A14" s="55">
        <v>4</v>
      </c>
      <c r="B14" s="55" t="s">
        <v>185</v>
      </c>
      <c r="C14" s="55"/>
      <c r="D14" s="104"/>
      <c r="E14" s="64">
        <f t="shared" si="0"/>
        <v>-1445760</v>
      </c>
      <c r="F14" s="75">
        <f>B.3!G25+B.3!G26</f>
        <v>-1486168</v>
      </c>
      <c r="G14" s="130">
        <f>IF(F14&lt;&gt;0,ROUND(H14/E14,4),0)</f>
        <v>1.9516</v>
      </c>
      <c r="H14" s="75">
        <f>B.3!I29</f>
        <v>-2821489.432</v>
      </c>
      <c r="I14" s="135"/>
    </row>
    <row r="15" spans="1:12">
      <c r="A15" s="55">
        <v>5</v>
      </c>
      <c r="B15" s="55" t="s">
        <v>266</v>
      </c>
      <c r="C15" s="55"/>
      <c r="D15" s="55"/>
      <c r="E15" s="62">
        <f>SUM(E12:E14)</f>
        <v>3202095</v>
      </c>
      <c r="F15" s="62">
        <f>SUM(F12:F14)</f>
        <v>3291592</v>
      </c>
      <c r="G15" s="169">
        <f>IF(F15&lt;&gt;0,ROUND(H15/E15,4),0)</f>
        <v>1.9492</v>
      </c>
      <c r="H15" s="62">
        <f>SUM(H12:H14)</f>
        <v>6241563.568</v>
      </c>
      <c r="K15" s="505"/>
      <c r="L15" s="505"/>
    </row>
    <row r="16" spans="1:12">
      <c r="A16" s="55">
        <v>6</v>
      </c>
      <c r="B16" s="55"/>
      <c r="C16" s="55"/>
      <c r="D16" s="55"/>
      <c r="E16" s="55"/>
      <c r="F16" s="61"/>
      <c r="G16" s="55"/>
      <c r="H16" s="55"/>
      <c r="J16" s="54"/>
      <c r="K16" s="65"/>
    </row>
    <row r="17" spans="1:12" ht="15">
      <c r="A17" s="55">
        <v>7</v>
      </c>
      <c r="B17" s="71" t="s">
        <v>265</v>
      </c>
      <c r="C17" s="55"/>
      <c r="D17" s="55"/>
      <c r="E17" s="55"/>
      <c r="F17" s="61"/>
      <c r="G17" s="55"/>
      <c r="H17" s="61"/>
    </row>
    <row r="18" spans="1:12">
      <c r="A18" s="55">
        <v>8</v>
      </c>
      <c r="B18" s="55" t="s">
        <v>264</v>
      </c>
      <c r="C18" s="55"/>
      <c r="D18" s="55"/>
      <c r="E18" s="64">
        <f>ROUND(F18/$K$4,0)</f>
        <v>646296</v>
      </c>
      <c r="F18" s="61">
        <f>B.4!H11</f>
        <v>683238</v>
      </c>
      <c r="G18" s="60">
        <f>IF(F18&lt;&gt;0,ROUND(H18/E18,4),0)</f>
        <v>1.9893000000000001</v>
      </c>
      <c r="H18" s="61">
        <f>B.4!J16</f>
        <v>1285681</v>
      </c>
    </row>
    <row r="19" spans="1:12">
      <c r="A19" s="55">
        <v>9</v>
      </c>
      <c r="B19" s="55" t="s">
        <v>263</v>
      </c>
      <c r="C19" s="55"/>
      <c r="D19" s="55"/>
      <c r="E19" s="64">
        <f t="shared" ref="E19:E22" si="1">ROUND(F19/$K$4,0)</f>
        <v>0</v>
      </c>
      <c r="F19" s="61">
        <f>B.4!H18</f>
        <v>0</v>
      </c>
      <c r="G19" s="60">
        <f>IF(F19&lt;&gt;0,ROUND(H19/E19,4),0)</f>
        <v>0</v>
      </c>
      <c r="H19" s="61">
        <f>B.4!J23</f>
        <v>0</v>
      </c>
      <c r="J19" s="65"/>
      <c r="K19" s="65"/>
    </row>
    <row r="20" spans="1:12">
      <c r="A20" s="55">
        <v>10</v>
      </c>
      <c r="B20" s="55" t="s">
        <v>134</v>
      </c>
      <c r="C20" s="55"/>
      <c r="D20" s="55"/>
      <c r="E20" s="64"/>
      <c r="F20" s="65"/>
      <c r="G20" s="60"/>
      <c r="H20" s="65"/>
      <c r="I20" s="65"/>
    </row>
    <row r="21" spans="1:12">
      <c r="A21" s="55">
        <v>11</v>
      </c>
      <c r="B21" s="69" t="s">
        <v>223</v>
      </c>
      <c r="C21" s="55"/>
      <c r="D21" s="55"/>
      <c r="E21" s="64">
        <f t="shared" si="1"/>
        <v>-480730</v>
      </c>
      <c r="F21" s="65">
        <f>B.4!H27</f>
        <v>-508208</v>
      </c>
      <c r="G21" s="60">
        <f>IF(F21&lt;&gt;0,ROUND(H21/E21,4),0)</f>
        <v>1.9375</v>
      </c>
      <c r="H21" s="171">
        <f>B.4!J27+B.4!J29</f>
        <v>-931392.39199999999</v>
      </c>
    </row>
    <row r="22" spans="1:12">
      <c r="A22" s="55">
        <v>12</v>
      </c>
      <c r="B22" s="69" t="s">
        <v>181</v>
      </c>
      <c r="C22" s="55"/>
      <c r="D22" s="104"/>
      <c r="E22" s="64">
        <f t="shared" si="1"/>
        <v>0</v>
      </c>
      <c r="F22" s="88">
        <f>B.4!H26</f>
        <v>0</v>
      </c>
      <c r="G22" s="60">
        <f>IF(F22&lt;&gt;0,ROUND(H22/E22,4),0)</f>
        <v>0</v>
      </c>
      <c r="H22" s="170">
        <f>B.4!J26+B.4!J28+B.4!J30</f>
        <v>-102</v>
      </c>
    </row>
    <row r="23" spans="1:12" ht="15">
      <c r="A23" s="55">
        <v>13</v>
      </c>
      <c r="B23" s="55"/>
      <c r="C23" s="55"/>
      <c r="D23" s="55"/>
      <c r="E23" s="62">
        <f>SUM(E18:E22)</f>
        <v>165566</v>
      </c>
      <c r="F23" s="62">
        <f>SUM(F18:F22)</f>
        <v>175030</v>
      </c>
      <c r="G23" s="169">
        <f>IF(F23&lt;&gt;0,ROUND(H23/E23,4),0)</f>
        <v>2.1392000000000002</v>
      </c>
      <c r="H23" s="62">
        <f>SUM(H18:H22)</f>
        <v>354186.60800000001</v>
      </c>
      <c r="I23" s="137"/>
      <c r="L23" s="506"/>
    </row>
    <row r="24" spans="1:12" ht="15">
      <c r="A24" s="55">
        <v>14</v>
      </c>
      <c r="B24" s="71" t="s">
        <v>262</v>
      </c>
      <c r="C24" s="55"/>
      <c r="D24" s="55"/>
      <c r="E24" s="55"/>
      <c r="F24" s="61"/>
      <c r="G24" s="55"/>
      <c r="H24" s="61"/>
    </row>
    <row r="25" spans="1:12">
      <c r="A25" s="55">
        <v>15</v>
      </c>
      <c r="B25" s="55" t="s">
        <v>226</v>
      </c>
      <c r="C25" s="55"/>
      <c r="D25" s="55"/>
      <c r="E25" s="64">
        <f>ROUND(F25/K5,0)</f>
        <v>88889</v>
      </c>
      <c r="F25" s="61">
        <f>B.5!H12</f>
        <v>92000</v>
      </c>
      <c r="G25" s="60">
        <f>IF(F25&lt;&gt;0,ROUND(H25/E25,4),0)</f>
        <v>1.8972</v>
      </c>
      <c r="H25" s="61">
        <f>B.5!J17</f>
        <v>168636</v>
      </c>
    </row>
    <row r="26" spans="1:12">
      <c r="A26" s="55">
        <v>16</v>
      </c>
      <c r="G26" s="60"/>
    </row>
    <row r="27" spans="1:12" ht="15">
      <c r="A27" s="55">
        <v>17</v>
      </c>
      <c r="B27" s="71" t="s">
        <v>261</v>
      </c>
      <c r="C27" s="55"/>
      <c r="D27" s="55"/>
      <c r="E27" s="528"/>
      <c r="F27" s="61"/>
      <c r="G27" s="60"/>
      <c r="H27" s="55"/>
    </row>
    <row r="28" spans="1:12">
      <c r="A28" s="55">
        <v>18</v>
      </c>
      <c r="B28" s="53" t="s">
        <v>259</v>
      </c>
      <c r="C28" s="55"/>
      <c r="D28" s="55"/>
      <c r="E28" s="64">
        <f>ROUND(F28/K3,0)</f>
        <v>0</v>
      </c>
      <c r="F28" s="64"/>
      <c r="G28" s="60">
        <f t="shared" ref="G28" si="2">IF(F28&lt;&gt;0,ROUND(H28/E28,4),0)</f>
        <v>0</v>
      </c>
      <c r="H28" s="61">
        <f>ROUND(E28*B.3!H29,0)</f>
        <v>0</v>
      </c>
    </row>
    <row r="29" spans="1:12">
      <c r="A29" s="55">
        <v>19</v>
      </c>
      <c r="B29" s="53" t="s">
        <v>260</v>
      </c>
      <c r="C29" s="55"/>
      <c r="D29" s="55"/>
      <c r="E29" s="64">
        <f>ROUND(F29/K3,0)</f>
        <v>-1123118</v>
      </c>
      <c r="F29" s="514">
        <v>-1154508</v>
      </c>
      <c r="G29" s="526">
        <f>IF(F29&lt;&gt;0,ROUND(H29/E29,4),0)</f>
        <v>1.8985000000000001</v>
      </c>
      <c r="H29" s="88">
        <f>ROUND(E29*B.3!H29,0)</f>
        <v>-2132239</v>
      </c>
      <c r="J29" s="135"/>
      <c r="K29" s="168"/>
    </row>
    <row r="30" spans="1:12">
      <c r="A30" s="55">
        <v>20</v>
      </c>
      <c r="B30" s="55" t="s">
        <v>258</v>
      </c>
      <c r="C30" s="55"/>
      <c r="D30" s="104"/>
      <c r="E30" s="61">
        <f>E28+E29</f>
        <v>-1123118</v>
      </c>
      <c r="F30" s="61">
        <f>F28+F29</f>
        <v>-1154508</v>
      </c>
      <c r="G30" s="130">
        <f>IF(F30&lt;&gt;0,ROUND(H30/E30,4),0)</f>
        <v>1.8985000000000001</v>
      </c>
      <c r="H30" s="61">
        <f>H28+H29</f>
        <v>-2132239</v>
      </c>
      <c r="K30" s="505"/>
      <c r="L30" s="505"/>
    </row>
    <row r="31" spans="1:12">
      <c r="A31" s="55">
        <v>21</v>
      </c>
      <c r="B31" s="55"/>
      <c r="C31" s="55"/>
      <c r="D31" s="104"/>
      <c r="E31" s="55"/>
      <c r="F31" s="61"/>
      <c r="G31" s="60"/>
      <c r="H31" s="61"/>
    </row>
    <row r="32" spans="1:12">
      <c r="A32" s="55">
        <v>22</v>
      </c>
      <c r="B32" s="55"/>
      <c r="C32" s="55"/>
      <c r="D32" s="104"/>
      <c r="E32" s="55"/>
      <c r="F32" s="61"/>
      <c r="G32" s="60"/>
      <c r="H32" s="61"/>
    </row>
    <row r="33" spans="1:14">
      <c r="A33" s="55">
        <v>23</v>
      </c>
      <c r="B33" s="55" t="s">
        <v>257</v>
      </c>
      <c r="C33" s="55"/>
      <c r="D33" s="104"/>
      <c r="E33" s="527">
        <f>ROUND(F33/K4,0)</f>
        <v>5264</v>
      </c>
      <c r="F33" s="64">
        <f>D.2!D24+D.2!F24+D.2!H24</f>
        <v>5565</v>
      </c>
      <c r="G33" s="60">
        <f>IF(F33&lt;&gt;0,ROUND(H33/E33,4),0)</f>
        <v>1.8241000000000001</v>
      </c>
      <c r="H33" s="61">
        <v>9602</v>
      </c>
    </row>
    <row r="34" spans="1:14">
      <c r="A34" s="55">
        <v>24</v>
      </c>
      <c r="B34" s="55"/>
      <c r="C34" s="55"/>
      <c r="D34" s="104"/>
      <c r="E34" s="55"/>
      <c r="F34" s="61"/>
      <c r="G34" s="60"/>
      <c r="H34" s="61"/>
    </row>
    <row r="35" spans="1:14">
      <c r="A35" s="55">
        <v>25</v>
      </c>
      <c r="B35" s="55"/>
      <c r="C35" s="55"/>
      <c r="D35" s="55"/>
      <c r="E35" s="55"/>
      <c r="F35" s="61"/>
      <c r="G35" s="55"/>
      <c r="H35" s="55"/>
      <c r="M35" s="65"/>
    </row>
    <row r="36" spans="1:14">
      <c r="A36" s="55">
        <v>26</v>
      </c>
      <c r="B36" s="55"/>
      <c r="C36" s="55"/>
      <c r="D36" s="55"/>
      <c r="E36" s="55"/>
      <c r="F36" s="61"/>
      <c r="G36" s="163"/>
      <c r="H36" s="55"/>
    </row>
    <row r="37" spans="1:14">
      <c r="A37" s="55">
        <v>27</v>
      </c>
      <c r="B37" s="55" t="s">
        <v>256</v>
      </c>
      <c r="C37" s="55"/>
      <c r="D37" s="55"/>
      <c r="E37" s="167">
        <f>E15+E23+E25+E30+E33</f>
        <v>2338696</v>
      </c>
      <c r="F37" s="167">
        <f>F15+F23+F25+F30+F33</f>
        <v>2409679</v>
      </c>
      <c r="G37" s="130">
        <f>IF(F37&lt;&gt;0,ROUND(H37/E37,4),0)</f>
        <v>1.9847999999999999</v>
      </c>
      <c r="H37" s="167">
        <f>H15+H23+H25+H30+H33</f>
        <v>4641749.176</v>
      </c>
      <c r="K37" s="507"/>
      <c r="L37" s="508"/>
    </row>
    <row r="38" spans="1:14">
      <c r="A38" s="55">
        <v>28</v>
      </c>
      <c r="B38" s="55"/>
      <c r="C38" s="55"/>
      <c r="D38" s="55"/>
      <c r="E38" s="61"/>
      <c r="F38" s="61"/>
      <c r="G38" s="77"/>
      <c r="H38" s="61"/>
    </row>
    <row r="39" spans="1:14">
      <c r="A39" s="55">
        <v>29</v>
      </c>
      <c r="B39" s="55" t="s">
        <v>255</v>
      </c>
      <c r="C39" s="55"/>
      <c r="D39" s="547">
        <v>1.6899999999999998E-2</v>
      </c>
      <c r="E39" s="61">
        <f>ROUND(F39*$E$37/$F$37,0)</f>
        <v>39524</v>
      </c>
      <c r="F39" s="61">
        <f>ROUND(F37*D39,0)</f>
        <v>40724</v>
      </c>
      <c r="G39" s="55"/>
      <c r="H39" s="55"/>
    </row>
    <row r="40" spans="1:14">
      <c r="A40" s="55">
        <v>30</v>
      </c>
      <c r="B40" s="55"/>
      <c r="C40" s="55"/>
      <c r="D40" s="55"/>
      <c r="E40" s="55"/>
      <c r="F40" s="61"/>
      <c r="G40" s="102"/>
      <c r="H40" s="55"/>
    </row>
    <row r="41" spans="1:14">
      <c r="A41" s="55">
        <v>31</v>
      </c>
      <c r="B41" s="55" t="s">
        <v>254</v>
      </c>
      <c r="C41" s="55"/>
      <c r="D41" s="61"/>
      <c r="E41" s="166">
        <f>E37-E39</f>
        <v>2299172</v>
      </c>
      <c r="F41" s="166">
        <f>F37-F39</f>
        <v>2368955</v>
      </c>
      <c r="G41" s="130">
        <f>IF(F41&lt;&gt;0,ROUND(H41/E41,4),0)</f>
        <v>2.0188999999999999</v>
      </c>
      <c r="H41" s="166">
        <f>SUM(H37:H40)</f>
        <v>4641749.176</v>
      </c>
      <c r="N41" s="165"/>
    </row>
    <row r="42" spans="1:14">
      <c r="A42" s="55">
        <v>32</v>
      </c>
      <c r="B42" s="55"/>
      <c r="C42" s="55"/>
      <c r="D42" s="55"/>
      <c r="E42" s="55"/>
      <c r="F42" s="61"/>
      <c r="G42" s="55"/>
      <c r="H42" s="55"/>
      <c r="M42" s="54"/>
    </row>
    <row r="43" spans="1:14">
      <c r="A43" s="55">
        <v>33</v>
      </c>
      <c r="B43" s="164"/>
      <c r="C43" s="145"/>
      <c r="D43" s="145"/>
      <c r="E43" s="145"/>
      <c r="F43" s="61"/>
      <c r="G43" s="55"/>
      <c r="H43" s="55"/>
    </row>
    <row r="44" spans="1:14">
      <c r="A44" s="55">
        <v>34</v>
      </c>
      <c r="B44" s="55"/>
      <c r="C44" s="67"/>
      <c r="D44" s="55"/>
      <c r="E44" s="163"/>
      <c r="F44" s="88"/>
      <c r="G44" s="163"/>
      <c r="H44" s="163"/>
    </row>
    <row r="45" spans="1:14" ht="15" thickBot="1">
      <c r="A45" s="55">
        <v>35</v>
      </c>
      <c r="B45" s="55" t="s">
        <v>253</v>
      </c>
      <c r="C45" s="55"/>
      <c r="D45" s="55"/>
      <c r="E45" s="58">
        <f>E41</f>
        <v>2299172</v>
      </c>
      <c r="F45" s="58">
        <f>F41</f>
        <v>2368955</v>
      </c>
      <c r="G45" s="129">
        <f>ROUND(H45/E45, 4)</f>
        <v>2.0188999999999999</v>
      </c>
      <c r="H45" s="58">
        <f>H41</f>
        <v>4641749.176</v>
      </c>
    </row>
    <row r="46" spans="1:14" ht="15" thickTop="1">
      <c r="A46" s="55">
        <v>36</v>
      </c>
      <c r="B46" s="55"/>
      <c r="C46" s="55"/>
      <c r="D46" s="55"/>
      <c r="E46" s="73"/>
      <c r="F46" s="73"/>
      <c r="G46" s="73"/>
      <c r="H46" s="73"/>
    </row>
    <row r="47" spans="1:14">
      <c r="A47" s="55">
        <v>37</v>
      </c>
      <c r="B47" s="55"/>
      <c r="C47" s="55"/>
      <c r="D47" s="55"/>
      <c r="E47" s="65"/>
      <c r="F47" s="75"/>
      <c r="G47" s="130"/>
      <c r="H47" s="75"/>
    </row>
    <row r="48" spans="1:14">
      <c r="A48" s="55">
        <v>38</v>
      </c>
      <c r="B48" s="55" t="s">
        <v>252</v>
      </c>
      <c r="C48" s="55"/>
      <c r="D48" s="55"/>
      <c r="F48" s="61"/>
      <c r="G48" s="55"/>
      <c r="H48" s="61"/>
    </row>
    <row r="49" spans="1:8">
      <c r="A49" s="55">
        <v>39</v>
      </c>
      <c r="B49" s="55"/>
      <c r="C49" s="55"/>
      <c r="D49" s="55"/>
      <c r="F49" s="75"/>
      <c r="G49" s="155"/>
      <c r="H49" s="75"/>
    </row>
    <row r="50" spans="1:8">
      <c r="A50" s="55"/>
      <c r="B50" s="55"/>
      <c r="C50" s="55"/>
      <c r="D50" s="55"/>
      <c r="F50" s="61"/>
      <c r="G50" s="162"/>
      <c r="H50" s="61"/>
    </row>
    <row r="51" spans="1:8">
      <c r="A51" s="55"/>
      <c r="B51" s="55"/>
      <c r="C51" s="55"/>
      <c r="D51" s="55"/>
      <c r="E51" s="61"/>
      <c r="F51" s="61"/>
      <c r="G51" s="55"/>
      <c r="H51" s="61"/>
    </row>
    <row r="52" spans="1:8">
      <c r="A52" s="55"/>
      <c r="B52" s="55"/>
      <c r="C52" s="55"/>
      <c r="D52" s="55"/>
      <c r="E52" s="55"/>
      <c r="F52" s="61"/>
      <c r="G52" s="55"/>
      <c r="H52" s="55"/>
    </row>
    <row r="53" spans="1:8">
      <c r="A53" s="55"/>
      <c r="B53" s="55"/>
      <c r="C53" s="55"/>
      <c r="D53" s="55"/>
      <c r="E53" s="55"/>
      <c r="F53" s="61"/>
      <c r="G53" s="55"/>
      <c r="H53" s="55"/>
    </row>
    <row r="54" spans="1:8">
      <c r="A54" s="55"/>
      <c r="B54" s="55"/>
      <c r="C54" s="55"/>
      <c r="D54" s="55"/>
      <c r="E54" s="55"/>
      <c r="F54" s="61"/>
      <c r="G54" s="55"/>
      <c r="H54" s="55"/>
    </row>
    <row r="55" spans="1:8">
      <c r="A55" s="55"/>
      <c r="B55" s="55"/>
      <c r="C55" s="55"/>
      <c r="D55" s="55"/>
      <c r="E55" s="55"/>
      <c r="F55" s="61"/>
      <c r="G55" s="55"/>
      <c r="H55" s="55"/>
    </row>
    <row r="56" spans="1:8">
      <c r="A56" s="55"/>
    </row>
    <row r="57" spans="1:8">
      <c r="A57" s="55"/>
    </row>
    <row r="58" spans="1:8">
      <c r="A58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WorkPaper</vt:lpstr>
      <vt:lpstr>WP-E.1</vt:lpstr>
      <vt:lpstr>Data Mart Inputs</vt:lpstr>
      <vt:lpstr>Holidays</vt:lpstr>
      <vt:lpstr>Rate Validation</vt:lpstr>
      <vt:lpstr>DemandChargePerMdq</vt:lpstr>
      <vt:lpstr>ExpectedCommodity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rpt_Confidential</vt:lpstr>
      <vt:lpstr>rpt_PublicDisclosure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Anthony D Croissant</cp:lastModifiedBy>
  <cp:lastPrinted>2020-06-26T14:55:52Z</cp:lastPrinted>
  <dcterms:created xsi:type="dcterms:W3CDTF">2012-10-03T12:42:31Z</dcterms:created>
  <dcterms:modified xsi:type="dcterms:W3CDTF">2020-06-29T15:29:15Z</dcterms:modified>
</cp:coreProperties>
</file>