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heckCompatibility="1" defaultThemeVersion="124226"/>
  <mc:AlternateContent xmlns:mc="http://schemas.openxmlformats.org/markup-compatibility/2006">
    <mc:Choice Requires="x15">
      <x15ac:absPath xmlns:x15ac="http://schemas.microsoft.com/office/spreadsheetml/2010/11/ac" url="X:\Clients\6690 - Navitas\6690\Drafts\CASE NO 2020-00200\"/>
    </mc:Choice>
  </mc:AlternateContent>
  <xr:revisionPtr revIDLastSave="0" documentId="8_{61429A84-F583-49D2-AAEF-3841EF936C4D}" xr6:coauthVersionLast="36" xr6:coauthVersionMax="36" xr10:uidLastSave="{00000000-0000-0000-0000-000000000000}"/>
  <bookViews>
    <workbookView xWindow="0" yWindow="0" windowWidth="18900" windowHeight="9893" activeTab="1" xr2:uid="{00000000-000D-0000-FFFF-FFFF00000000}"/>
  </bookViews>
  <sheets>
    <sheet name="Cover page" sheetId="9" r:id="rId1"/>
    <sheet name="Summary (SI)" sheetId="14" r:id="rId2"/>
    <sheet name="EGC (SII)" sheetId="10" r:id="rId3"/>
    <sheet name="RA (SIII)" sheetId="12" r:id="rId4"/>
    <sheet name="Actual Adjustment (SIV)" sheetId="13" r:id="rId5"/>
    <sheet name="BA (SV)" sheetId="15" r:id="rId6"/>
    <sheet name="19-430 (VI)" sheetId="18" r:id="rId7"/>
    <sheet name="EGC application" sheetId="17" r:id="rId8"/>
    <sheet name="Sales" sheetId="11" r:id="rId9"/>
    <sheet name="Sheet1" sheetId="16" state="hidden" r:id="rId10"/>
  </sheets>
  <definedNames>
    <definedName name="_xlnm.Print_Area" localSheetId="6">'19-430 (VI)'!$DE:$DK</definedName>
    <definedName name="_xlnm.Print_Area" localSheetId="4">'Actual Adjustment (SIV)'!$A$1:$HN$54</definedName>
    <definedName name="_xlnm.Print_Area" localSheetId="5">'BA (SV)'!$A$2:$KG$209</definedName>
    <definedName name="_xlnm.Print_Area" localSheetId="3">'RA (SIII)'!$DE:$DK</definedName>
    <definedName name="_xlnm.Print_Area" localSheetId="8">Sales!$A$1:$AD$25</definedName>
    <definedName name="_xlnm.Print_Titles" localSheetId="6">'19-430 (VI)'!$A:$E</definedName>
    <definedName name="_xlnm.Print_Titles" localSheetId="4">'Actual Adjustment (SIV)'!$A:$E</definedName>
    <definedName name="_xlnm.Print_Titles" localSheetId="5">'BA (SV)'!$A:$D,'BA (SV)'!$4:$5</definedName>
    <definedName name="_xlnm.Print_Titles" localSheetId="3">'RA (SIII)'!$A:$E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0" l="1"/>
  <c r="N28" i="10"/>
  <c r="N27" i="10"/>
  <c r="N26" i="10"/>
  <c r="N25" i="10"/>
  <c r="N24" i="10"/>
  <c r="N23" i="10"/>
  <c r="N22" i="10"/>
  <c r="N21" i="10"/>
  <c r="N20" i="10"/>
  <c r="N19" i="10"/>
  <c r="N18" i="10"/>
  <c r="TJ216" i="18"/>
  <c r="TL216" i="18" s="1"/>
  <c r="TN216" i="18" s="1"/>
  <c r="TP216" i="18" s="1"/>
  <c r="TR216" i="18" s="1"/>
  <c r="TT216" i="18" s="1"/>
  <c r="TV216" i="18" s="1"/>
  <c r="TV5" i="18"/>
  <c r="TT5" i="18"/>
  <c r="TR5" i="18"/>
  <c r="TP5" i="18"/>
  <c r="TN5" i="18"/>
  <c r="TL5" i="18"/>
  <c r="TJ5" i="18"/>
  <c r="TJ217" i="18" s="1"/>
  <c r="TL217" i="18" s="1"/>
  <c r="TN217" i="18" s="1"/>
  <c r="TP217" i="18" s="1"/>
  <c r="TR217" i="18" s="1"/>
  <c r="TT217" i="18" s="1"/>
  <c r="TV217" i="18" s="1"/>
  <c r="SL216" i="18"/>
  <c r="SN216" i="18" s="1"/>
  <c r="SP216" i="18" s="1"/>
  <c r="SR216" i="18" s="1"/>
  <c r="ST216" i="18" s="1"/>
  <c r="SV216" i="18" s="1"/>
  <c r="SX216" i="18" s="1"/>
  <c r="SZ216" i="18" s="1"/>
  <c r="TB216" i="18" s="1"/>
  <c r="TD216" i="18" s="1"/>
  <c r="TF216" i="18" s="1"/>
  <c r="TH216" i="18" s="1"/>
  <c r="TH5" i="18"/>
  <c r="TF5" i="18"/>
  <c r="TD5" i="18"/>
  <c r="TB5" i="18"/>
  <c r="SZ5" i="18"/>
  <c r="SX5" i="18"/>
  <c r="SV5" i="18"/>
  <c r="ST5" i="18"/>
  <c r="SR5" i="18"/>
  <c r="SP5" i="18"/>
  <c r="SN5" i="18"/>
  <c r="SL5" i="18"/>
  <c r="SL217" i="18" s="1"/>
  <c r="SN217" i="18" s="1"/>
  <c r="SP217" i="18" s="1"/>
  <c r="SR217" i="18" s="1"/>
  <c r="ST217" i="18" s="1"/>
  <c r="SV217" i="18" s="1"/>
  <c r="SX217" i="18" s="1"/>
  <c r="SZ217" i="18" s="1"/>
  <c r="TB217" i="18" s="1"/>
  <c r="TD217" i="18" s="1"/>
  <c r="TF217" i="18" s="1"/>
  <c r="TH217" i="18" s="1"/>
  <c r="RN216" i="18"/>
  <c r="RP216" i="18" s="1"/>
  <c r="RR216" i="18" s="1"/>
  <c r="RT216" i="18" s="1"/>
  <c r="RV216" i="18" s="1"/>
  <c r="RX216" i="18" s="1"/>
  <c r="RZ216" i="18" s="1"/>
  <c r="SB216" i="18" s="1"/>
  <c r="SD216" i="18" s="1"/>
  <c r="SF216" i="18" s="1"/>
  <c r="SH216" i="18" s="1"/>
  <c r="SJ216" i="18" s="1"/>
  <c r="SJ5" i="18"/>
  <c r="SH5" i="18"/>
  <c r="SF5" i="18"/>
  <c r="SD5" i="18"/>
  <c r="SB5" i="18"/>
  <c r="RZ5" i="18"/>
  <c r="RX5" i="18"/>
  <c r="RV5" i="18"/>
  <c r="RT5" i="18"/>
  <c r="RR5" i="18"/>
  <c r="RP5" i="18"/>
  <c r="RN5" i="18"/>
  <c r="RN217" i="18" s="1"/>
  <c r="RP217" i="18" s="1"/>
  <c r="RR217" i="18" s="1"/>
  <c r="RT217" i="18" s="1"/>
  <c r="RV217" i="18" s="1"/>
  <c r="RX217" i="18" s="1"/>
  <c r="RZ217" i="18" s="1"/>
  <c r="SB217" i="18" s="1"/>
  <c r="SD217" i="18" s="1"/>
  <c r="SF217" i="18" s="1"/>
  <c r="SH217" i="18" s="1"/>
  <c r="SJ217" i="18" s="1"/>
  <c r="QP216" i="18"/>
  <c r="QR216" i="18" s="1"/>
  <c r="QT216" i="18" s="1"/>
  <c r="QV216" i="18" s="1"/>
  <c r="QX216" i="18" s="1"/>
  <c r="QZ216" i="18" s="1"/>
  <c r="RB216" i="18" s="1"/>
  <c r="RD216" i="18" s="1"/>
  <c r="RF216" i="18" s="1"/>
  <c r="RH216" i="18" s="1"/>
  <c r="RJ216" i="18" s="1"/>
  <c r="RL216" i="18" s="1"/>
  <c r="RL5" i="18"/>
  <c r="RJ5" i="18"/>
  <c r="RH5" i="18"/>
  <c r="RF5" i="18"/>
  <c r="RD5" i="18"/>
  <c r="RB5" i="18"/>
  <c r="QZ5" i="18"/>
  <c r="QX5" i="18"/>
  <c r="QV5" i="18"/>
  <c r="QT5" i="18"/>
  <c r="QR5" i="18"/>
  <c r="QP5" i="18"/>
  <c r="QP217" i="18" s="1"/>
  <c r="QR217" i="18" s="1"/>
  <c r="QT217" i="18" s="1"/>
  <c r="QV217" i="18" s="1"/>
  <c r="QX217" i="18" s="1"/>
  <c r="QZ217" i="18" s="1"/>
  <c r="RB217" i="18" s="1"/>
  <c r="RD217" i="18" s="1"/>
  <c r="RF217" i="18" s="1"/>
  <c r="RH217" i="18" s="1"/>
  <c r="RJ217" i="18" s="1"/>
  <c r="RL217" i="18" s="1"/>
  <c r="PR216" i="18"/>
  <c r="PT216" i="18" s="1"/>
  <c r="PV216" i="18" s="1"/>
  <c r="PX216" i="18" s="1"/>
  <c r="PZ216" i="18" s="1"/>
  <c r="QB216" i="18" s="1"/>
  <c r="QD216" i="18" s="1"/>
  <c r="QF216" i="18" s="1"/>
  <c r="QH216" i="18" s="1"/>
  <c r="QJ216" i="18" s="1"/>
  <c r="QL216" i="18" s="1"/>
  <c r="QN216" i="18" s="1"/>
  <c r="QN5" i="18"/>
  <c r="QL5" i="18"/>
  <c r="QJ5" i="18"/>
  <c r="QH5" i="18"/>
  <c r="QF5" i="18"/>
  <c r="QD5" i="18"/>
  <c r="QB5" i="18"/>
  <c r="PZ5" i="18"/>
  <c r="PX5" i="18"/>
  <c r="PV5" i="18"/>
  <c r="PT5" i="18"/>
  <c r="PR5" i="18"/>
  <c r="PR217" i="18" s="1"/>
  <c r="PT217" i="18" s="1"/>
  <c r="PV217" i="18" s="1"/>
  <c r="PX217" i="18" s="1"/>
  <c r="PZ217" i="18" s="1"/>
  <c r="QB217" i="18" s="1"/>
  <c r="QD217" i="18" s="1"/>
  <c r="QF217" i="18" s="1"/>
  <c r="QH217" i="18" s="1"/>
  <c r="QJ217" i="18" s="1"/>
  <c r="QL217" i="18" s="1"/>
  <c r="QN217" i="18" s="1"/>
  <c r="KT215" i="18"/>
  <c r="KV215" i="18" s="1"/>
  <c r="KX215" i="18" s="1"/>
  <c r="KZ215" i="18" s="1"/>
  <c r="LB215" i="18" s="1"/>
  <c r="LD215" i="18" s="1"/>
  <c r="LF215" i="18" s="1"/>
  <c r="LH215" i="18" s="1"/>
  <c r="LJ215" i="18" s="1"/>
  <c r="LL215" i="18" s="1"/>
  <c r="LN215" i="18" s="1"/>
  <c r="LP215" i="18" s="1"/>
  <c r="LR215" i="18" s="1"/>
  <c r="LT215" i="18" s="1"/>
  <c r="LV215" i="18" s="1"/>
  <c r="LX215" i="18" s="1"/>
  <c r="LZ215" i="18" s="1"/>
  <c r="MB215" i="18" s="1"/>
  <c r="MD215" i="18" s="1"/>
  <c r="MF215" i="18" s="1"/>
  <c r="MH215" i="18" s="1"/>
  <c r="MJ215" i="18" s="1"/>
  <c r="ML215" i="18" s="1"/>
  <c r="MN215" i="18" s="1"/>
  <c r="MP215" i="18" s="1"/>
  <c r="MR215" i="18" s="1"/>
  <c r="MT215" i="18" s="1"/>
  <c r="MV215" i="18" s="1"/>
  <c r="MX215" i="18" s="1"/>
  <c r="MZ215" i="18" s="1"/>
  <c r="NB215" i="18" s="1"/>
  <c r="ND215" i="18" s="1"/>
  <c r="NF215" i="18" s="1"/>
  <c r="NH215" i="18" s="1"/>
  <c r="NJ215" i="18" s="1"/>
  <c r="NL215" i="18" s="1"/>
  <c r="NN215" i="18" s="1"/>
  <c r="NP215" i="18" s="1"/>
  <c r="NR215" i="18" s="1"/>
  <c r="NT215" i="18" s="1"/>
  <c r="NV215" i="18" s="1"/>
  <c r="NX215" i="18" s="1"/>
  <c r="NZ215" i="18" s="1"/>
  <c r="OB215" i="18" s="1"/>
  <c r="OD215" i="18" s="1"/>
  <c r="OF215" i="18" s="1"/>
  <c r="OH215" i="18" s="1"/>
  <c r="OJ215" i="18" s="1"/>
  <c r="OL215" i="18" s="1"/>
  <c r="ON215" i="18" s="1"/>
  <c r="OP215" i="18" s="1"/>
  <c r="OR215" i="18" s="1"/>
  <c r="OT215" i="18" s="1"/>
  <c r="OV215" i="18" s="1"/>
  <c r="OX215" i="18" s="1"/>
  <c r="OZ215" i="18" s="1"/>
  <c r="PB215" i="18" s="1"/>
  <c r="PD215" i="18" s="1"/>
  <c r="PF215" i="18" s="1"/>
  <c r="PH215" i="18" s="1"/>
  <c r="PJ215" i="18" s="1"/>
  <c r="PL215" i="18" s="1"/>
  <c r="PN215" i="18" s="1"/>
  <c r="PP215" i="18" s="1"/>
  <c r="PR215" i="18" s="1"/>
  <c r="PT215" i="18" s="1"/>
  <c r="PV215" i="18" s="1"/>
  <c r="PX215" i="18" s="1"/>
  <c r="PZ215" i="18" s="1"/>
  <c r="QB215" i="18" s="1"/>
  <c r="QD215" i="18" s="1"/>
  <c r="QF215" i="18" s="1"/>
  <c r="QH215" i="18" s="1"/>
  <c r="QJ215" i="18" s="1"/>
  <c r="QL215" i="18" s="1"/>
  <c r="QN215" i="18" s="1"/>
  <c r="QP215" i="18" s="1"/>
  <c r="QR215" i="18" s="1"/>
  <c r="QT215" i="18" s="1"/>
  <c r="QV215" i="18" s="1"/>
  <c r="QX215" i="18" s="1"/>
  <c r="QZ215" i="18" s="1"/>
  <c r="RB215" i="18" s="1"/>
  <c r="RD215" i="18" s="1"/>
  <c r="RF215" i="18" s="1"/>
  <c r="RH215" i="18" s="1"/>
  <c r="RJ215" i="18" s="1"/>
  <c r="RL215" i="18" s="1"/>
  <c r="RN215" i="18" s="1"/>
  <c r="RP215" i="18" s="1"/>
  <c r="RR215" i="18" s="1"/>
  <c r="RT215" i="18" s="1"/>
  <c r="RV215" i="18" s="1"/>
  <c r="RX215" i="18" s="1"/>
  <c r="RZ215" i="18" s="1"/>
  <c r="SB215" i="18" s="1"/>
  <c r="SD215" i="18" s="1"/>
  <c r="SF215" i="18" s="1"/>
  <c r="SH215" i="18" s="1"/>
  <c r="SJ215" i="18" s="1"/>
  <c r="SL215" i="18" s="1"/>
  <c r="SN215" i="18" s="1"/>
  <c r="SP215" i="18" s="1"/>
  <c r="SR215" i="18" s="1"/>
  <c r="ST215" i="18" s="1"/>
  <c r="SV215" i="18" s="1"/>
  <c r="SX215" i="18" s="1"/>
  <c r="SZ215" i="18" s="1"/>
  <c r="TB215" i="18" s="1"/>
  <c r="TD215" i="18" s="1"/>
  <c r="TF215" i="18" s="1"/>
  <c r="TH215" i="18" s="1"/>
  <c r="TJ215" i="18" s="1"/>
  <c r="TL215" i="18" s="1"/>
  <c r="TN215" i="18" s="1"/>
  <c r="TP215" i="18" s="1"/>
  <c r="TR215" i="18" s="1"/>
  <c r="TT215" i="18" s="1"/>
  <c r="TV215" i="18" s="1"/>
  <c r="OT216" i="18"/>
  <c r="OV216" i="18" s="1"/>
  <c r="OX216" i="18" s="1"/>
  <c r="OZ216" i="18" s="1"/>
  <c r="PB216" i="18" s="1"/>
  <c r="PD216" i="18" s="1"/>
  <c r="PF216" i="18" s="1"/>
  <c r="PH216" i="18" s="1"/>
  <c r="PJ216" i="18" s="1"/>
  <c r="PL216" i="18" s="1"/>
  <c r="PN216" i="18" s="1"/>
  <c r="PP216" i="18" s="1"/>
  <c r="PP5" i="18"/>
  <c r="PN5" i="18"/>
  <c r="PL5" i="18"/>
  <c r="PJ5" i="18"/>
  <c r="PH5" i="18"/>
  <c r="PF5" i="18"/>
  <c r="PD5" i="18"/>
  <c r="PB5" i="18"/>
  <c r="OZ5" i="18"/>
  <c r="OX5" i="18"/>
  <c r="OV5" i="18"/>
  <c r="OT5" i="18"/>
  <c r="NV216" i="18"/>
  <c r="NX216" i="18" s="1"/>
  <c r="NZ216" i="18" s="1"/>
  <c r="OB216" i="18" s="1"/>
  <c r="OD216" i="18" s="1"/>
  <c r="OF216" i="18" s="1"/>
  <c r="OH216" i="18" s="1"/>
  <c r="OJ216" i="18" s="1"/>
  <c r="OL216" i="18" s="1"/>
  <c r="ON216" i="18" s="1"/>
  <c r="OP216" i="18" s="1"/>
  <c r="OR216" i="18" s="1"/>
  <c r="OR5" i="18"/>
  <c r="OP5" i="18"/>
  <c r="ON5" i="18"/>
  <c r="OL5" i="18"/>
  <c r="OJ5" i="18"/>
  <c r="OH5" i="18"/>
  <c r="OF5" i="18"/>
  <c r="OD5" i="18"/>
  <c r="OB5" i="18"/>
  <c r="NZ5" i="18"/>
  <c r="NX5" i="18"/>
  <c r="NV5" i="18"/>
  <c r="NJ216" i="18"/>
  <c r="NL216" i="18" s="1"/>
  <c r="NN216" i="18" s="1"/>
  <c r="NP216" i="18" s="1"/>
  <c r="NR216" i="18" s="1"/>
  <c r="NT216" i="18" s="1"/>
  <c r="NT5" i="18"/>
  <c r="NR5" i="18"/>
  <c r="NP5" i="18"/>
  <c r="NN5" i="18"/>
  <c r="NL5" i="18"/>
  <c r="NJ5" i="18"/>
  <c r="ML216" i="18"/>
  <c r="MN216" i="18" s="1"/>
  <c r="MP216" i="18" s="1"/>
  <c r="MR216" i="18" s="1"/>
  <c r="MT216" i="18" s="1"/>
  <c r="MV216" i="18" s="1"/>
  <c r="MX216" i="18" s="1"/>
  <c r="MZ216" i="18" s="1"/>
  <c r="NB216" i="18" s="1"/>
  <c r="ND216" i="18" s="1"/>
  <c r="NF216" i="18" s="1"/>
  <c r="NH216" i="18" s="1"/>
  <c r="NH5" i="18"/>
  <c r="NF5" i="18"/>
  <c r="ND5" i="18"/>
  <c r="NB5" i="18"/>
  <c r="MZ5" i="18"/>
  <c r="MX5" i="18"/>
  <c r="MV5" i="18"/>
  <c r="MT5" i="18"/>
  <c r="MR5" i="18"/>
  <c r="MP5" i="18"/>
  <c r="MN5" i="18"/>
  <c r="ML5" i="18"/>
  <c r="MJ5" i="18"/>
  <c r="MH5" i="18"/>
  <c r="MF5" i="18"/>
  <c r="MD5" i="18"/>
  <c r="MB5" i="18"/>
  <c r="LZ5" i="18"/>
  <c r="LX5" i="18"/>
  <c r="LV5" i="18"/>
  <c r="LT5" i="18"/>
  <c r="LR5" i="18"/>
  <c r="LP5" i="18"/>
  <c r="LN5" i="18"/>
  <c r="LL5" i="18"/>
  <c r="LJ5" i="18"/>
  <c r="LH5" i="18"/>
  <c r="LF5" i="18"/>
  <c r="LD5" i="18"/>
  <c r="LB5" i="18"/>
  <c r="KZ5" i="18"/>
  <c r="KX5" i="18"/>
  <c r="KV5" i="18"/>
  <c r="KT5" i="18"/>
  <c r="KR5" i="18"/>
  <c r="KR217" i="18" s="1"/>
  <c r="KP5" i="18"/>
  <c r="LP216" i="18"/>
  <c r="LT216" i="18"/>
  <c r="LV216" i="18" s="1"/>
  <c r="LX216" i="18" s="1"/>
  <c r="LZ216" i="18" s="1"/>
  <c r="MB216" i="18" s="1"/>
  <c r="MD216" i="18" s="1"/>
  <c r="MF216" i="18" s="1"/>
  <c r="MH216" i="18" s="1"/>
  <c r="MJ216" i="18" s="1"/>
  <c r="LR216" i="18"/>
  <c r="KT216" i="18" l="1"/>
  <c r="KV216" i="18" s="1"/>
  <c r="KX216" i="18" s="1"/>
  <c r="KZ216" i="18" s="1"/>
  <c r="LB216" i="18" s="1"/>
  <c r="LD216" i="18" s="1"/>
  <c r="LF216" i="18" s="1"/>
  <c r="LH216" i="18" s="1"/>
  <c r="LJ216" i="18" s="1"/>
  <c r="LL216" i="18" s="1"/>
  <c r="LN216" i="18" s="1"/>
  <c r="J34" i="14"/>
  <c r="J33" i="14"/>
  <c r="J32" i="14"/>
  <c r="J31" i="14"/>
  <c r="J26" i="14"/>
  <c r="J25" i="14"/>
  <c r="J24" i="14"/>
  <c r="J23" i="14"/>
  <c r="HX19" i="13"/>
  <c r="HR19" i="13"/>
  <c r="HL27" i="13"/>
  <c r="HJ27" i="13"/>
  <c r="HH27" i="13"/>
  <c r="HF27" i="13"/>
  <c r="HD27" i="13"/>
  <c r="HB27" i="13"/>
  <c r="GZ27" i="13"/>
  <c r="GX27" i="13"/>
  <c r="GV27" i="13"/>
  <c r="GT27" i="13"/>
  <c r="GR27" i="13"/>
  <c r="GP27" i="13"/>
  <c r="GN27" i="13"/>
  <c r="GL27" i="13"/>
  <c r="GJ27" i="13"/>
  <c r="GH27" i="13"/>
  <c r="GF27" i="13"/>
  <c r="GD27" i="13"/>
  <c r="GB27" i="13"/>
  <c r="FZ27" i="13"/>
  <c r="FX27" i="13"/>
  <c r="L20" i="11"/>
  <c r="J20" i="11"/>
  <c r="H20" i="11"/>
  <c r="F20" i="11"/>
  <c r="KT217" i="18" l="1"/>
  <c r="KV217" i="18" s="1"/>
  <c r="KX217" i="18" s="1"/>
  <c r="KZ217" i="18" s="1"/>
  <c r="LB217" i="18" s="1"/>
  <c r="LD217" i="18" s="1"/>
  <c r="LF217" i="18" s="1"/>
  <c r="LH217" i="18" s="1"/>
  <c r="LJ217" i="18" s="1"/>
  <c r="LL217" i="18" s="1"/>
  <c r="LN217" i="18" s="1"/>
  <c r="LP217" i="18" s="1"/>
  <c r="LR217" i="18" s="1"/>
  <c r="LT217" i="18" s="1"/>
  <c r="LV217" i="18" s="1"/>
  <c r="LX217" i="18" s="1"/>
  <c r="LZ217" i="18" s="1"/>
  <c r="MB217" i="18" s="1"/>
  <c r="MD217" i="18" s="1"/>
  <c r="MF217" i="18" s="1"/>
  <c r="MH217" i="18" s="1"/>
  <c r="MJ217" i="18" s="1"/>
  <c r="ML217" i="18" s="1"/>
  <c r="MN217" i="18" s="1"/>
  <c r="MP217" i="18" s="1"/>
  <c r="MR217" i="18" s="1"/>
  <c r="MT217" i="18" s="1"/>
  <c r="MV217" i="18" s="1"/>
  <c r="MX217" i="18" s="1"/>
  <c r="MZ217" i="18" s="1"/>
  <c r="NB217" i="18" s="1"/>
  <c r="ND217" i="18" s="1"/>
  <c r="NF217" i="18" s="1"/>
  <c r="NH217" i="18" s="1"/>
  <c r="NJ217" i="18" s="1"/>
  <c r="NL217" i="18" s="1"/>
  <c r="NN217" i="18" s="1"/>
  <c r="NP217" i="18" s="1"/>
  <c r="NR217" i="18" s="1"/>
  <c r="NT217" i="18" s="1"/>
  <c r="NV217" i="18" s="1"/>
  <c r="NX217" i="18" s="1"/>
  <c r="NZ217" i="18" s="1"/>
  <c r="OB217" i="18" s="1"/>
  <c r="OD217" i="18" s="1"/>
  <c r="OF217" i="18" s="1"/>
  <c r="OH217" i="18" s="1"/>
  <c r="OJ217" i="18" s="1"/>
  <c r="OL217" i="18" s="1"/>
  <c r="ON217" i="18" s="1"/>
  <c r="OP217" i="18" s="1"/>
  <c r="OR217" i="18" s="1"/>
  <c r="OT217" i="18" s="1"/>
  <c r="OV217" i="18" s="1"/>
  <c r="OX217" i="18" s="1"/>
  <c r="OZ217" i="18" s="1"/>
  <c r="PB217" i="18" s="1"/>
  <c r="PD217" i="18" s="1"/>
  <c r="PF217" i="18" s="1"/>
  <c r="PH217" i="18" s="1"/>
  <c r="PJ217" i="18" s="1"/>
  <c r="PL217" i="18" s="1"/>
  <c r="PN217" i="18" s="1"/>
  <c r="PP217" i="18" s="1"/>
  <c r="KP217" i="15"/>
  <c r="N16" i="11" l="1"/>
  <c r="L16" i="11"/>
  <c r="J16" i="11"/>
  <c r="KR16" i="15" l="1"/>
  <c r="KR15" i="15"/>
  <c r="KR14" i="15"/>
  <c r="KR18" i="15"/>
  <c r="KR9" i="15"/>
  <c r="KR8" i="15"/>
  <c r="KP17" i="15"/>
  <c r="KP16" i="15"/>
  <c r="KP15" i="15"/>
  <c r="KP14" i="15"/>
  <c r="KP18" i="15" s="1"/>
  <c r="KP10" i="15"/>
  <c r="KP9" i="15"/>
  <c r="KP8" i="15"/>
  <c r="KN17" i="15"/>
  <c r="KN16" i="15"/>
  <c r="KN15" i="15"/>
  <c r="KN14" i="15"/>
  <c r="KN18" i="15" s="1"/>
  <c r="KN10" i="15"/>
  <c r="KN9" i="15"/>
  <c r="KN8" i="15"/>
  <c r="MV5" i="15"/>
  <c r="MT5" i="15"/>
  <c r="MR5" i="15"/>
  <c r="MP5" i="15"/>
  <c r="IH49" i="13"/>
  <c r="IH48" i="13"/>
  <c r="IF48" i="13"/>
  <c r="IF49" i="13" s="1"/>
  <c r="IF9" i="13" s="1"/>
  <c r="IH28" i="13"/>
  <c r="IH53" i="13" s="1"/>
  <c r="IH27" i="13"/>
  <c r="IF27" i="13"/>
  <c r="IJ11" i="13"/>
  <c r="IJ48" i="13" s="1"/>
  <c r="IJ49" i="13" s="1"/>
  <c r="IJ9" i="13" s="1"/>
  <c r="IH11" i="13"/>
  <c r="IF11" i="13"/>
  <c r="IF28" i="13" s="1"/>
  <c r="IH9" i="13"/>
  <c r="IF53" i="13" l="1"/>
  <c r="IF37" i="13"/>
  <c r="IF42" i="13"/>
  <c r="IF8" i="13" s="1"/>
  <c r="IJ27" i="13"/>
  <c r="IJ28" i="13" s="1"/>
  <c r="IH42" i="13"/>
  <c r="IH8" i="13" s="1"/>
  <c r="IH37" i="13"/>
  <c r="IH6" i="13" s="1"/>
  <c r="IH10" i="13" s="1"/>
  <c r="IH12" i="13" s="1"/>
  <c r="IH16" i="13" s="1"/>
  <c r="IH17" i="13" s="1"/>
  <c r="HL15" i="13"/>
  <c r="HJ15" i="13"/>
  <c r="HH15" i="13"/>
  <c r="HL14" i="13"/>
  <c r="HJ14" i="13"/>
  <c r="HH14" i="13"/>
  <c r="IJ42" i="13" l="1"/>
  <c r="IJ8" i="13" s="1"/>
  <c r="IJ53" i="13"/>
  <c r="IJ37" i="13"/>
  <c r="IJ6" i="13" s="1"/>
  <c r="IJ10" i="13" s="1"/>
  <c r="IJ12" i="13" s="1"/>
  <c r="IJ16" i="13" s="1"/>
  <c r="IJ17" i="13" s="1"/>
  <c r="IF6" i="13"/>
  <c r="IF10" i="13" s="1"/>
  <c r="IF12" i="13" s="1"/>
  <c r="IF16" i="13" s="1"/>
  <c r="IF17" i="13" s="1"/>
  <c r="IJ19" i="13" s="1"/>
  <c r="KF17" i="15"/>
  <c r="KF11" i="15"/>
  <c r="KF188" i="15"/>
  <c r="KH188" i="15" s="1"/>
  <c r="KJ188" i="15" s="1"/>
  <c r="KJ11" i="15" s="1"/>
  <c r="KH208" i="15"/>
  <c r="KJ208" i="15" s="1"/>
  <c r="KJ17" i="15" s="1"/>
  <c r="KH11" i="15" l="1"/>
  <c r="KH17" i="15"/>
  <c r="HN40" i="13"/>
  <c r="HN29" i="13"/>
  <c r="GX14" i="17" l="1"/>
  <c r="GP14" i="17"/>
  <c r="GH14" i="17"/>
  <c r="FR14" i="17"/>
  <c r="FJ14" i="17"/>
  <c r="FB14" i="17"/>
  <c r="ET14" i="17"/>
  <c r="EL14" i="17"/>
  <c r="ED14" i="17"/>
  <c r="DV14" i="17"/>
  <c r="DN14" i="17"/>
  <c r="DF14" i="17"/>
  <c r="CX14" i="17"/>
  <c r="CP14" i="17"/>
  <c r="CH14" i="17"/>
  <c r="BZ14" i="17"/>
  <c r="BR14" i="17"/>
  <c r="BJ14" i="17"/>
  <c r="BB14" i="17"/>
  <c r="AT14" i="17"/>
  <c r="AL14" i="17"/>
  <c r="AD14" i="17"/>
  <c r="V14" i="17"/>
  <c r="N14" i="17"/>
  <c r="F14" i="17"/>
  <c r="HB12" i="17"/>
  <c r="GZ12" i="17"/>
  <c r="GX12" i="17"/>
  <c r="GV12" i="17"/>
  <c r="GT12" i="17"/>
  <c r="GP12" i="17"/>
  <c r="GN12" i="17"/>
  <c r="GL12" i="17"/>
  <c r="GJ12" i="17"/>
  <c r="GH12" i="17"/>
  <c r="GF12" i="17"/>
  <c r="GD12" i="17"/>
  <c r="GB12" i="17"/>
  <c r="FZ12" i="17"/>
  <c r="FV12" i="17"/>
  <c r="FT12" i="17"/>
  <c r="FR12" i="17"/>
  <c r="FP12" i="17"/>
  <c r="FN12" i="17"/>
  <c r="FJ12" i="17"/>
  <c r="FH12" i="17"/>
  <c r="FF12" i="17"/>
  <c r="FD12" i="17"/>
  <c r="FB12" i="17"/>
  <c r="EZ12" i="17"/>
  <c r="EX12" i="17"/>
  <c r="EV12" i="17"/>
  <c r="ET12" i="17"/>
  <c r="ER12" i="17"/>
  <c r="EP12" i="17"/>
  <c r="EN12" i="17"/>
  <c r="EL12" i="17"/>
  <c r="EJ12" i="17"/>
  <c r="EH12" i="17"/>
  <c r="EF12" i="17"/>
  <c r="ED12" i="17"/>
  <c r="EB12" i="17"/>
  <c r="DZ12" i="17"/>
  <c r="DX12" i="17"/>
  <c r="DV12" i="17"/>
  <c r="DT12" i="17"/>
  <c r="DR12" i="17"/>
  <c r="DP12" i="17"/>
  <c r="DN12" i="17"/>
  <c r="DL12" i="17"/>
  <c r="DJ12" i="17"/>
  <c r="DH12" i="17"/>
  <c r="DF12" i="17"/>
  <c r="DD12" i="17"/>
  <c r="DB12" i="17"/>
  <c r="CZ12" i="17"/>
  <c r="CX12" i="17"/>
  <c r="CV12" i="17"/>
  <c r="CT12" i="17"/>
  <c r="CR12" i="17"/>
  <c r="CP12" i="17"/>
  <c r="CN12" i="17"/>
  <c r="CL12" i="17"/>
  <c r="CJ12" i="17"/>
  <c r="CH12" i="17"/>
  <c r="CF12" i="17"/>
  <c r="CD12" i="17"/>
  <c r="CB12" i="17"/>
  <c r="BZ12" i="17"/>
  <c r="BX12" i="17"/>
  <c r="BV12" i="17"/>
  <c r="BT12" i="17"/>
  <c r="BR12" i="17"/>
  <c r="BP12" i="17"/>
  <c r="BN12" i="17"/>
  <c r="BL12" i="17"/>
  <c r="BJ12" i="17"/>
  <c r="BH12" i="17"/>
  <c r="BF12" i="17"/>
  <c r="BD12" i="17"/>
  <c r="BB12" i="17"/>
  <c r="AZ12" i="17"/>
  <c r="AX12" i="17"/>
  <c r="AV12" i="17"/>
  <c r="AT12" i="17"/>
  <c r="AR12" i="17"/>
  <c r="AP12" i="17"/>
  <c r="AN12" i="17"/>
  <c r="AL12" i="17"/>
  <c r="AJ12" i="17"/>
  <c r="AH12" i="17"/>
  <c r="AF12" i="17"/>
  <c r="AD12" i="17"/>
  <c r="AB12" i="17"/>
  <c r="Z12" i="17"/>
  <c r="X12" i="17"/>
  <c r="V12" i="17"/>
  <c r="T12" i="17"/>
  <c r="R12" i="17"/>
  <c r="P12" i="17"/>
  <c r="N12" i="17"/>
  <c r="L12" i="17"/>
  <c r="J12" i="17"/>
  <c r="H12" i="17"/>
  <c r="F12" i="17"/>
  <c r="HB8" i="17"/>
  <c r="HB14" i="17" s="1"/>
  <c r="GZ8" i="17"/>
  <c r="GZ14" i="17" s="1"/>
  <c r="GX8" i="17"/>
  <c r="GV8" i="17"/>
  <c r="GV14" i="17" s="1"/>
  <c r="GT8" i="17"/>
  <c r="GT14" i="17" s="1"/>
  <c r="GR8" i="17"/>
  <c r="GP8" i="17"/>
  <c r="GN8" i="17"/>
  <c r="GN14" i="17" s="1"/>
  <c r="GL8" i="17"/>
  <c r="GL14" i="17" s="1"/>
  <c r="GJ8" i="17"/>
  <c r="GJ14" i="17" s="1"/>
  <c r="GH8" i="17"/>
  <c r="GF8" i="17"/>
  <c r="GF14" i="17" s="1"/>
  <c r="GD8" i="17"/>
  <c r="GD14" i="17" s="1"/>
  <c r="GB8" i="17"/>
  <c r="GB14" i="17" s="1"/>
  <c r="FX8" i="17"/>
  <c r="FV8" i="17"/>
  <c r="FV14" i="17" s="1"/>
  <c r="FT8" i="17"/>
  <c r="FT14" i="17" s="1"/>
  <c r="FR8" i="17"/>
  <c r="FP8" i="17"/>
  <c r="FP14" i="17" s="1"/>
  <c r="FL8" i="17"/>
  <c r="FJ8" i="17"/>
  <c r="FH8" i="17"/>
  <c r="FH14" i="17" s="1"/>
  <c r="FF8" i="17"/>
  <c r="FF14" i="17" s="1"/>
  <c r="FD8" i="17"/>
  <c r="FD14" i="17" s="1"/>
  <c r="FB8" i="17"/>
  <c r="EZ8" i="17"/>
  <c r="EZ14" i="17" s="1"/>
  <c r="EX8" i="17"/>
  <c r="EX14" i="17" s="1"/>
  <c r="EV8" i="17"/>
  <c r="EV14" i="17" s="1"/>
  <c r="ET8" i="17"/>
  <c r="ER8" i="17"/>
  <c r="ER14" i="17" s="1"/>
  <c r="EP8" i="17"/>
  <c r="EP14" i="17" s="1"/>
  <c r="EN8" i="17"/>
  <c r="EN14" i="17" s="1"/>
  <c r="EL8" i="17"/>
  <c r="EJ8" i="17"/>
  <c r="EJ14" i="17" s="1"/>
  <c r="EH8" i="17"/>
  <c r="EH14" i="17" s="1"/>
  <c r="EF8" i="17"/>
  <c r="EF14" i="17" s="1"/>
  <c r="ED8" i="17"/>
  <c r="EB8" i="17"/>
  <c r="EB14" i="17" s="1"/>
  <c r="DZ8" i="17"/>
  <c r="DZ14" i="17" s="1"/>
  <c r="DX8" i="17"/>
  <c r="DX14" i="17" s="1"/>
  <c r="DV8" i="17"/>
  <c r="DT8" i="17"/>
  <c r="DT14" i="17" s="1"/>
  <c r="DR8" i="17"/>
  <c r="DR14" i="17" s="1"/>
  <c r="DP8" i="17"/>
  <c r="DP14" i="17" s="1"/>
  <c r="DN8" i="17"/>
  <c r="DL8" i="17"/>
  <c r="DL14" i="17" s="1"/>
  <c r="DJ8" i="17"/>
  <c r="DJ14" i="17" s="1"/>
  <c r="DH8" i="17"/>
  <c r="DH14" i="17" s="1"/>
  <c r="DF8" i="17"/>
  <c r="DD8" i="17"/>
  <c r="DD14" i="17" s="1"/>
  <c r="DB8" i="17"/>
  <c r="DB14" i="17" s="1"/>
  <c r="CZ8" i="17"/>
  <c r="CZ14" i="17" s="1"/>
  <c r="CX8" i="17"/>
  <c r="CV8" i="17"/>
  <c r="CV14" i="17" s="1"/>
  <c r="CT8" i="17"/>
  <c r="CT14" i="17" s="1"/>
  <c r="CR8" i="17"/>
  <c r="CR14" i="17" s="1"/>
  <c r="CP8" i="17"/>
  <c r="CN8" i="17"/>
  <c r="CN14" i="17" s="1"/>
  <c r="CL8" i="17"/>
  <c r="CL14" i="17" s="1"/>
  <c r="CJ8" i="17"/>
  <c r="CJ14" i="17" s="1"/>
  <c r="CH8" i="17"/>
  <c r="CF8" i="17"/>
  <c r="CF14" i="17" s="1"/>
  <c r="CD8" i="17"/>
  <c r="CD14" i="17" s="1"/>
  <c r="CB8" i="17"/>
  <c r="CB14" i="17" s="1"/>
  <c r="BZ8" i="17"/>
  <c r="BX8" i="17"/>
  <c r="BX14" i="17" s="1"/>
  <c r="BV8" i="17"/>
  <c r="BV14" i="17" s="1"/>
  <c r="BT8" i="17"/>
  <c r="BT14" i="17" s="1"/>
  <c r="BR8" i="17"/>
  <c r="BP8" i="17"/>
  <c r="BP14" i="17" s="1"/>
  <c r="BN8" i="17"/>
  <c r="BN14" i="17" s="1"/>
  <c r="BL8" i="17"/>
  <c r="BL14" i="17" s="1"/>
  <c r="BJ8" i="17"/>
  <c r="BH8" i="17"/>
  <c r="BH14" i="17" s="1"/>
  <c r="BF8" i="17"/>
  <c r="BF14" i="17" s="1"/>
  <c r="BD8" i="17"/>
  <c r="BD14" i="17" s="1"/>
  <c r="BB8" i="17"/>
  <c r="AZ8" i="17"/>
  <c r="AZ14" i="17" s="1"/>
  <c r="AX8" i="17"/>
  <c r="AX14" i="17" s="1"/>
  <c r="AV8" i="17"/>
  <c r="AV14" i="17" s="1"/>
  <c r="AT8" i="17"/>
  <c r="AR8" i="17"/>
  <c r="AR14" i="17" s="1"/>
  <c r="AP8" i="17"/>
  <c r="AP14" i="17" s="1"/>
  <c r="AN8" i="17"/>
  <c r="AN14" i="17" s="1"/>
  <c r="AL8" i="17"/>
  <c r="AJ8" i="17"/>
  <c r="AJ14" i="17" s="1"/>
  <c r="AH8" i="17"/>
  <c r="AH14" i="17" s="1"/>
  <c r="AF8" i="17"/>
  <c r="AF14" i="17" s="1"/>
  <c r="AD8" i="17"/>
  <c r="AB8" i="17"/>
  <c r="AB14" i="17" s="1"/>
  <c r="Z8" i="17"/>
  <c r="Z14" i="17" s="1"/>
  <c r="X8" i="17"/>
  <c r="X14" i="17" s="1"/>
  <c r="V8" i="17"/>
  <c r="T8" i="17"/>
  <c r="T14" i="17" s="1"/>
  <c r="R8" i="17"/>
  <c r="R14" i="17" s="1"/>
  <c r="P8" i="17"/>
  <c r="P14" i="17" s="1"/>
  <c r="N8" i="17"/>
  <c r="L8" i="17"/>
  <c r="L14" i="17" s="1"/>
  <c r="J8" i="17"/>
  <c r="J14" i="17" s="1"/>
  <c r="H8" i="17"/>
  <c r="H14" i="17" s="1"/>
  <c r="F8" i="17"/>
  <c r="GR11" i="17"/>
  <c r="GR12" i="17" s="1"/>
  <c r="FX11" i="17"/>
  <c r="FX12" i="17" s="1"/>
  <c r="FL11" i="17"/>
  <c r="FL12" i="17" s="1"/>
  <c r="GT7" i="17"/>
  <c r="FZ7" i="17"/>
  <c r="FZ8" i="17" s="1"/>
  <c r="FZ14" i="17" s="1"/>
  <c r="FN7" i="17"/>
  <c r="FN8" i="17" s="1"/>
  <c r="FN14" i="17" s="1"/>
  <c r="GD13" i="13"/>
  <c r="GP13" i="13"/>
  <c r="HJ13" i="13"/>
  <c r="FX14" i="17" l="1"/>
  <c r="GR14" i="17"/>
  <c r="FL14" i="17"/>
  <c r="C16" i="17"/>
  <c r="ID11" i="13"/>
  <c r="ID48" i="13" s="1"/>
  <c r="ID49" i="13" s="1"/>
  <c r="ID9" i="13" s="1"/>
  <c r="IB11" i="13"/>
  <c r="IB48" i="13" s="1"/>
  <c r="IB49" i="13" s="1"/>
  <c r="IB9" i="13" s="1"/>
  <c r="HZ11" i="13"/>
  <c r="HZ48" i="13" s="1"/>
  <c r="HZ9" i="13" s="1"/>
  <c r="IB27" i="13" l="1"/>
  <c r="IB28" i="13" s="1"/>
  <c r="IB53" i="13" s="1"/>
  <c r="ID27" i="13"/>
  <c r="ID28" i="13" s="1"/>
  <c r="HZ27" i="13"/>
  <c r="HZ28" i="13" s="1"/>
  <c r="HX11" i="13"/>
  <c r="HX48" i="13" s="1"/>
  <c r="HX9" i="13" s="1"/>
  <c r="HV11" i="13"/>
  <c r="HV48" i="13" s="1"/>
  <c r="HV9" i="13" s="1"/>
  <c r="HX27" i="13" l="1"/>
  <c r="HX28" i="13" s="1"/>
  <c r="IB42" i="13"/>
  <c r="IB8" i="13" s="1"/>
  <c r="IB37" i="13"/>
  <c r="IB6" i="13" s="1"/>
  <c r="IB10" i="13" s="1"/>
  <c r="IB12" i="13" s="1"/>
  <c r="IB16" i="13" s="1"/>
  <c r="IB17" i="13" s="1"/>
  <c r="HZ53" i="13"/>
  <c r="HZ37" i="13"/>
  <c r="HZ42" i="13"/>
  <c r="HZ8" i="13" s="1"/>
  <c r="ID53" i="13"/>
  <c r="ID37" i="13"/>
  <c r="ID42" i="13"/>
  <c r="ID8" i="13" s="1"/>
  <c r="HV27" i="13"/>
  <c r="HV28" i="13" s="1"/>
  <c r="HX53" i="13" l="1"/>
  <c r="HX42" i="13"/>
  <c r="HX8" i="13" s="1"/>
  <c r="HX37" i="13"/>
  <c r="HX6" i="13" s="1"/>
  <c r="HX10" i="13" s="1"/>
  <c r="HX12" i="13" s="1"/>
  <c r="HX16" i="13" s="1"/>
  <c r="HX17" i="13" s="1"/>
  <c r="HZ6" i="13"/>
  <c r="HZ10" i="13" s="1"/>
  <c r="HZ12" i="13" s="1"/>
  <c r="HZ16" i="13" s="1"/>
  <c r="HZ17" i="13" s="1"/>
  <c r="ID19" i="13" s="1"/>
  <c r="ID6" i="13"/>
  <c r="ID10" i="13" s="1"/>
  <c r="ID12" i="13" s="1"/>
  <c r="ID16" i="13" s="1"/>
  <c r="ID17" i="13" s="1"/>
  <c r="HV42" i="13"/>
  <c r="HV8" i="13" s="1"/>
  <c r="HV37" i="13"/>
  <c r="HV53" i="13"/>
  <c r="H18" i="10"/>
  <c r="H19" i="10" s="1"/>
  <c r="H20" i="10" l="1"/>
  <c r="HV6" i="13"/>
  <c r="HV10" i="13" s="1"/>
  <c r="HV12" i="13" s="1"/>
  <c r="HV16" i="13" s="1"/>
  <c r="HV17" i="13" s="1"/>
  <c r="H21" i="10" l="1"/>
  <c r="H22" i="10" l="1"/>
  <c r="H23" i="10" l="1"/>
  <c r="H24" i="10" l="1"/>
  <c r="H25" i="10" l="1"/>
  <c r="H26" i="10" l="1"/>
  <c r="H27" i="10" l="1"/>
  <c r="H28" i="10" l="1"/>
  <c r="J18" i="11"/>
  <c r="P18" i="11"/>
  <c r="V18" i="11"/>
  <c r="H29" i="10" l="1"/>
  <c r="LB5" i="12"/>
  <c r="Z15" i="11" l="1"/>
  <c r="AB15" i="11"/>
  <c r="F16" i="11"/>
  <c r="H16" i="11"/>
  <c r="HT11" i="13" s="1"/>
  <c r="HT48" i="13" l="1"/>
  <c r="HT9" i="13" s="1"/>
  <c r="HT27" i="13"/>
  <c r="HT28" i="13" s="1"/>
  <c r="KB5" i="15"/>
  <c r="HP11" i="13"/>
  <c r="AB20" i="11"/>
  <c r="KZ5" i="12" s="1"/>
  <c r="JZ5" i="15"/>
  <c r="HN11" i="13"/>
  <c r="KD5" i="15"/>
  <c r="HR11" i="13"/>
  <c r="JX5" i="15"/>
  <c r="JV5" i="15"/>
  <c r="JT5" i="15"/>
  <c r="JR5" i="15"/>
  <c r="JP5" i="15"/>
  <c r="JN5" i="15"/>
  <c r="JL5" i="15"/>
  <c r="JJ5" i="15"/>
  <c r="JH5" i="15"/>
  <c r="HN48" i="13" l="1"/>
  <c r="HN49" i="13" s="1"/>
  <c r="HN9" i="13" s="1"/>
  <c r="HN27" i="13"/>
  <c r="HN28" i="13" s="1"/>
  <c r="HT53" i="13"/>
  <c r="HT37" i="13"/>
  <c r="HT42" i="13"/>
  <c r="HT8" i="13" s="1"/>
  <c r="HP27" i="13"/>
  <c r="HP28" i="13" s="1"/>
  <c r="HP48" i="13"/>
  <c r="HP49" i="13" s="1"/>
  <c r="HP9" i="13" s="1"/>
  <c r="HR48" i="13"/>
  <c r="HR49" i="13" s="1"/>
  <c r="HR9" i="13" s="1"/>
  <c r="HR27" i="13"/>
  <c r="HR28" i="13" s="1"/>
  <c r="Z20" i="11"/>
  <c r="KX5" i="12" s="1"/>
  <c r="X20" i="11"/>
  <c r="KV5" i="12" s="1"/>
  <c r="V20" i="11"/>
  <c r="KT5" i="12" s="1"/>
  <c r="HT6" i="13" l="1"/>
  <c r="HT10" i="13" s="1"/>
  <c r="HT12" i="13" s="1"/>
  <c r="HT16" i="13" s="1"/>
  <c r="HT17" i="13" s="1"/>
  <c r="HP37" i="13"/>
  <c r="HP42" i="13"/>
  <c r="HP8" i="13" s="1"/>
  <c r="HP53" i="13"/>
  <c r="HN37" i="13"/>
  <c r="HN53" i="13"/>
  <c r="HN42" i="13"/>
  <c r="HN8" i="13" s="1"/>
  <c r="HR53" i="13"/>
  <c r="HR37" i="13"/>
  <c r="HR42" i="13"/>
  <c r="HR8" i="13" s="1"/>
  <c r="HH11" i="13"/>
  <c r="HJ11" i="13"/>
  <c r="HL11" i="13"/>
  <c r="HP6" i="13" l="1"/>
  <c r="HP10" i="13" s="1"/>
  <c r="HP12" i="13" s="1"/>
  <c r="HP16" i="13" s="1"/>
  <c r="HP17" i="13" s="1"/>
  <c r="HR6" i="13"/>
  <c r="HR10" i="13" s="1"/>
  <c r="HR12" i="13" s="1"/>
  <c r="HR16" i="13" s="1"/>
  <c r="HR17" i="13" s="1"/>
  <c r="HN6" i="13"/>
  <c r="HN10" i="13" s="1"/>
  <c r="HN12" i="13" s="1"/>
  <c r="HN16" i="13" s="1"/>
  <c r="HN17" i="13" s="1"/>
  <c r="HL28" i="13"/>
  <c r="HL48" i="13"/>
  <c r="HL49" i="13" s="1"/>
  <c r="HL9" i="13" s="1"/>
  <c r="HJ48" i="13"/>
  <c r="HJ49" i="13" s="1"/>
  <c r="HJ9" i="13" s="1"/>
  <c r="HH28" i="13"/>
  <c r="HH53" i="13" s="1"/>
  <c r="HH48" i="13"/>
  <c r="HH49" i="13" s="1"/>
  <c r="HH9" i="13" s="1"/>
  <c r="HJ28" i="13"/>
  <c r="HJ42" i="13" s="1"/>
  <c r="HJ8" i="13" s="1"/>
  <c r="HH37" i="13" l="1"/>
  <c r="HH6" i="13" s="1"/>
  <c r="HH42" i="13"/>
  <c r="HH8" i="13" s="1"/>
  <c r="HJ53" i="13"/>
  <c r="HJ37" i="13"/>
  <c r="HL42" i="13"/>
  <c r="HL8" i="13" s="1"/>
  <c r="HL37" i="13"/>
  <c r="HL53" i="13"/>
  <c r="T20" i="11"/>
  <c r="R20" i="11"/>
  <c r="P20" i="11"/>
  <c r="KR5" i="12" l="1"/>
  <c r="MN5" i="15"/>
  <c r="KN5" i="12"/>
  <c r="MJ5" i="15"/>
  <c r="KP5" i="12"/>
  <c r="ML5" i="15"/>
  <c r="HH10" i="13"/>
  <c r="HH12" i="13" s="1"/>
  <c r="HJ6" i="13"/>
  <c r="HJ10" i="13" s="1"/>
  <c r="HJ12" i="13" s="1"/>
  <c r="HL6" i="13"/>
  <c r="HL10" i="13" s="1"/>
  <c r="HL12" i="13" s="1"/>
  <c r="HL16" i="13" l="1"/>
  <c r="HL17" i="13" s="1"/>
  <c r="HJ16" i="13"/>
  <c r="HJ17" i="13" s="1"/>
  <c r="HH16" i="13"/>
  <c r="HH17" i="13" s="1"/>
  <c r="LV5" i="15"/>
  <c r="HL19" i="13" l="1"/>
  <c r="KJ213" i="15"/>
  <c r="HF11" i="13"/>
  <c r="HF48" i="13" s="1"/>
  <c r="HD11" i="13"/>
  <c r="HD48" i="13" s="1"/>
  <c r="HB11" i="13"/>
  <c r="HB48" i="13" l="1"/>
  <c r="HB49" i="13" s="1"/>
  <c r="HB9" i="13" s="1"/>
  <c r="HF28" i="13"/>
  <c r="HF53" i="13" s="1"/>
  <c r="HF49" i="13"/>
  <c r="HF9" i="13" s="1"/>
  <c r="HD49" i="13"/>
  <c r="HD9" i="13" s="1"/>
  <c r="HD28" i="13"/>
  <c r="HB28" i="13"/>
  <c r="HB53" i="13" s="1"/>
  <c r="HD53" i="13" l="1"/>
  <c r="HD37" i="13"/>
  <c r="HD42" i="13"/>
  <c r="HD8" i="13" s="1"/>
  <c r="HF37" i="13"/>
  <c r="HF6" i="13" s="1"/>
  <c r="HF42" i="13"/>
  <c r="HF8" i="13" s="1"/>
  <c r="HB37" i="13"/>
  <c r="HB42" i="13"/>
  <c r="HB8" i="13" s="1"/>
  <c r="HF10" i="13" l="1"/>
  <c r="HF12" i="13" s="1"/>
  <c r="HF16" i="13" s="1"/>
  <c r="HF17" i="13" s="1"/>
  <c r="HD6" i="13"/>
  <c r="HD10" i="13" s="1"/>
  <c r="HD12" i="13" s="1"/>
  <c r="HD16" i="13" s="1"/>
  <c r="HD17" i="13" s="1"/>
  <c r="HB6" i="13"/>
  <c r="HB10" i="13" s="1"/>
  <c r="HB12" i="13" s="1"/>
  <c r="HB16" i="13" s="1"/>
  <c r="HB17" i="13" s="1"/>
  <c r="HF19" i="13" l="1"/>
  <c r="JX205" i="15" s="1"/>
  <c r="L4" i="10"/>
  <c r="L5" i="10" s="1"/>
  <c r="L6" i="10" s="1"/>
  <c r="L7" i="10" s="1"/>
  <c r="L8" i="10" s="1"/>
  <c r="L9" i="10" s="1"/>
  <c r="L10" i="10" s="1"/>
  <c r="L11" i="10" s="1"/>
  <c r="L12" i="10" s="1"/>
  <c r="L13" i="10" s="1"/>
  <c r="L14" i="10" s="1"/>
  <c r="N20" i="11"/>
  <c r="KL5" i="12" l="1"/>
  <c r="MH5" i="15"/>
  <c r="MD5" i="15"/>
  <c r="LF5" i="12"/>
  <c r="MB5" i="15"/>
  <c r="LD5" i="12"/>
  <c r="GZ11" i="13"/>
  <c r="GX11" i="13"/>
  <c r="GV11" i="13"/>
  <c r="GX48" i="13" l="1"/>
  <c r="GX49" i="13" s="1"/>
  <c r="GZ48" i="13"/>
  <c r="GZ49" i="13" s="1"/>
  <c r="GV48" i="13"/>
  <c r="GV49" i="13" s="1"/>
  <c r="GZ28" i="13" l="1"/>
  <c r="GZ53" i="13" s="1"/>
  <c r="GV28" i="13"/>
  <c r="GX28" i="13"/>
  <c r="AD15" i="11"/>
  <c r="AB18" i="11" s="1"/>
  <c r="GT11" i="13"/>
  <c r="GT28" i="13" s="1"/>
  <c r="GT42" i="13" s="1"/>
  <c r="F3" i="10" l="1"/>
  <c r="P18" i="10" s="1"/>
  <c r="LZ5" i="15"/>
  <c r="GZ42" i="13"/>
  <c r="GZ8" i="13" s="1"/>
  <c r="GZ9" i="13"/>
  <c r="GZ37" i="13"/>
  <c r="GZ6" i="13" s="1"/>
  <c r="GV42" i="13"/>
  <c r="GV8" i="13" s="1"/>
  <c r="GV53" i="13"/>
  <c r="GV9" i="13"/>
  <c r="GV37" i="13"/>
  <c r="GX9" i="13"/>
  <c r="GX37" i="13"/>
  <c r="GX42" i="13"/>
  <c r="GX8" i="13" s="1"/>
  <c r="GX53" i="13"/>
  <c r="GT49" i="13"/>
  <c r="GT53" i="13"/>
  <c r="GT37" i="13"/>
  <c r="JF5" i="15"/>
  <c r="JD5" i="15"/>
  <c r="JB5" i="15"/>
  <c r="GZ10" i="13" l="1"/>
  <c r="GZ12" i="13" s="1"/>
  <c r="GZ16" i="13" s="1"/>
  <c r="GZ17" i="13" s="1"/>
  <c r="GV6" i="13"/>
  <c r="GV10" i="13" s="1"/>
  <c r="GV12" i="13" s="1"/>
  <c r="GV16" i="13" s="1"/>
  <c r="GV17" i="13" s="1"/>
  <c r="GX6" i="13"/>
  <c r="GX10" i="13" s="1"/>
  <c r="GX12" i="13" s="1"/>
  <c r="GX16" i="13" s="1"/>
  <c r="GX17" i="13" s="1"/>
  <c r="GR11" i="13"/>
  <c r="GP11" i="13"/>
  <c r="GP28" i="13" s="1"/>
  <c r="GZ19" i="13" l="1"/>
  <c r="GP37" i="13"/>
  <c r="GP49" i="13"/>
  <c r="GP53" i="13"/>
  <c r="GP42" i="13"/>
  <c r="GR28" i="13"/>
  <c r="IZ5" i="15"/>
  <c r="IX5" i="15"/>
  <c r="IV5" i="15"/>
  <c r="GZ21" i="13" l="1"/>
  <c r="JR201" i="15"/>
  <c r="GR37" i="13"/>
  <c r="GR49" i="13"/>
  <c r="GR9" i="13" s="1"/>
  <c r="GR42" i="13"/>
  <c r="GR8" i="13" s="1"/>
  <c r="GR53" i="13"/>
  <c r="GP8" i="13"/>
  <c r="GP9" i="13"/>
  <c r="JV200" i="15" l="1"/>
  <c r="JT17" i="15"/>
  <c r="GP6" i="13"/>
  <c r="GP10" i="13" s="1"/>
  <c r="GP12" i="13" s="1"/>
  <c r="GP16" i="13" s="1"/>
  <c r="GP17" i="13" s="1"/>
  <c r="GR6" i="13"/>
  <c r="GR10" i="13" s="1"/>
  <c r="GR12" i="13" s="1"/>
  <c r="GR16" i="13" s="1"/>
  <c r="GR17" i="13" s="1"/>
  <c r="GJ11" i="13"/>
  <c r="GJ28" i="13" s="1"/>
  <c r="JX200" i="15" l="1"/>
  <c r="JV17" i="15"/>
  <c r="GN11" i="13"/>
  <c r="GN28" i="13" s="1"/>
  <c r="GL11" i="13"/>
  <c r="GL28" i="13" s="1"/>
  <c r="JZ200" i="15" l="1"/>
  <c r="JX17" i="15"/>
  <c r="KB200" i="15" l="1"/>
  <c r="JZ16" i="15"/>
  <c r="F10" i="10"/>
  <c r="P25" i="10" s="1"/>
  <c r="LP5" i="15"/>
  <c r="GN49" i="13"/>
  <c r="GN9" i="13" s="1"/>
  <c r="GN53" i="13"/>
  <c r="GN37" i="13"/>
  <c r="GN42" i="13"/>
  <c r="GN8" i="13" s="1"/>
  <c r="GL49" i="13"/>
  <c r="GL9" i="13" s="1"/>
  <c r="GL37" i="13"/>
  <c r="GL53" i="13"/>
  <c r="GL42" i="13"/>
  <c r="GL8" i="13" s="1"/>
  <c r="GJ42" i="13"/>
  <c r="GJ8" i="13" s="1"/>
  <c r="GJ53" i="13"/>
  <c r="GJ49" i="13"/>
  <c r="GJ9" i="13" s="1"/>
  <c r="GJ37" i="13"/>
  <c r="LB5" i="15"/>
  <c r="IT5" i="15"/>
  <c r="IR5" i="15"/>
  <c r="IP5" i="15"/>
  <c r="KD200" i="15" l="1"/>
  <c r="KB16" i="15"/>
  <c r="GN6" i="13"/>
  <c r="GN10" i="13" s="1"/>
  <c r="GN12" i="13" s="1"/>
  <c r="GN16" i="13" s="1"/>
  <c r="GN17" i="13" s="1"/>
  <c r="GJ6" i="13"/>
  <c r="GJ10" i="13" s="1"/>
  <c r="GJ12" i="13" s="1"/>
  <c r="GJ16" i="13" s="1"/>
  <c r="GJ17" i="13" s="1"/>
  <c r="GL6" i="13"/>
  <c r="GL10" i="13" s="1"/>
  <c r="GL12" i="13" s="1"/>
  <c r="GL16" i="13" s="1"/>
  <c r="GL17" i="13" s="1"/>
  <c r="KF200" i="15" l="1"/>
  <c r="KF15" i="15" s="1"/>
  <c r="KD16" i="15"/>
  <c r="GN19" i="13"/>
  <c r="GN21" i="13" s="1"/>
  <c r="JJ192" i="15" s="1"/>
  <c r="GD11" i="13"/>
  <c r="KH200" i="15" l="1"/>
  <c r="JF193" i="15"/>
  <c r="JH17" i="15"/>
  <c r="JL192" i="15"/>
  <c r="JJ17" i="15"/>
  <c r="GD28" i="13"/>
  <c r="GH11" i="13"/>
  <c r="GF11" i="13"/>
  <c r="KJ200" i="15" l="1"/>
  <c r="KH15" i="15"/>
  <c r="JN192" i="15"/>
  <c r="JL17" i="15"/>
  <c r="GD37" i="13"/>
  <c r="GD42" i="13"/>
  <c r="GD8" i="13" s="1"/>
  <c r="GD53" i="13"/>
  <c r="GD49" i="13"/>
  <c r="GD9" i="13" s="1"/>
  <c r="GF28" i="13"/>
  <c r="GF37" i="13" s="1"/>
  <c r="GH28" i="13"/>
  <c r="KJ15" i="15" l="1"/>
  <c r="JP192" i="15"/>
  <c r="JN16" i="15"/>
  <c r="GH49" i="13"/>
  <c r="GH9" i="13" s="1"/>
  <c r="GH37" i="13"/>
  <c r="GH42" i="13"/>
  <c r="GH8" i="13" s="1"/>
  <c r="GF42" i="13"/>
  <c r="GF8" i="13" s="1"/>
  <c r="GF53" i="13"/>
  <c r="GF49" i="13"/>
  <c r="GF9" i="13" s="1"/>
  <c r="GH53" i="13"/>
  <c r="GD6" i="13"/>
  <c r="GD10" i="13" s="1"/>
  <c r="GD12" i="13" s="1"/>
  <c r="GD16" i="13" s="1"/>
  <c r="GD17" i="13" s="1"/>
  <c r="KN200" i="15" l="1"/>
  <c r="KP200" i="15" s="1"/>
  <c r="KL14" i="15"/>
  <c r="JR192" i="15"/>
  <c r="JP16" i="15"/>
  <c r="GH6" i="13"/>
  <c r="GH10" i="13" s="1"/>
  <c r="GH12" i="13" s="1"/>
  <c r="GH16" i="13" s="1"/>
  <c r="GH17" i="13" s="1"/>
  <c r="GF6" i="13"/>
  <c r="GF10" i="13" s="1"/>
  <c r="GF12" i="13" s="1"/>
  <c r="GF16" i="13" s="1"/>
  <c r="GF17" i="13" s="1"/>
  <c r="JT192" i="15" l="1"/>
  <c r="JR16" i="15"/>
  <c r="GH19" i="13"/>
  <c r="IZ189" i="15" s="1"/>
  <c r="F13" i="10"/>
  <c r="P28" i="10" s="1"/>
  <c r="F9" i="10"/>
  <c r="P24" i="10" s="1"/>
  <c r="F8" i="10"/>
  <c r="P23" i="10" s="1"/>
  <c r="F4" i="10"/>
  <c r="P19" i="10" s="1"/>
  <c r="F5" i="10"/>
  <c r="P20" i="10" s="1"/>
  <c r="F7" i="10"/>
  <c r="P22" i="10" s="1"/>
  <c r="F14" i="10" l="1"/>
  <c r="P29" i="10" s="1"/>
  <c r="LX5" i="15"/>
  <c r="F11" i="10"/>
  <c r="P26" i="10" s="1"/>
  <c r="LR5" i="15"/>
  <c r="F12" i="10"/>
  <c r="P27" i="10" s="1"/>
  <c r="LT5" i="15"/>
  <c r="JV192" i="15"/>
  <c r="JT15" i="15"/>
  <c r="LJ5" i="15"/>
  <c r="LF5" i="15"/>
  <c r="JH193" i="15"/>
  <c r="LD5" i="15"/>
  <c r="LN5" i="15"/>
  <c r="LL5" i="15"/>
  <c r="KX5" i="15"/>
  <c r="KZ5" i="15"/>
  <c r="JX192" i="15" l="1"/>
  <c r="JV15" i="15"/>
  <c r="JJ193" i="15"/>
  <c r="GB52" i="13"/>
  <c r="JZ192" i="15" l="1"/>
  <c r="JX15" i="15"/>
  <c r="KB192" i="15" l="1"/>
  <c r="JZ14" i="15"/>
  <c r="JL193" i="15"/>
  <c r="JN193" i="15" s="1"/>
  <c r="JP193" i="15" s="1"/>
  <c r="JR193" i="15" s="1"/>
  <c r="IN5" i="15"/>
  <c r="MF5" i="15" l="1"/>
  <c r="LH5" i="12"/>
  <c r="KJ214" i="12" s="1"/>
  <c r="KL212" i="12" s="1"/>
  <c r="AD20" i="11"/>
  <c r="KD192" i="15"/>
  <c r="KD14" i="15" s="1"/>
  <c r="KB14" i="15"/>
  <c r="LH5" i="15"/>
  <c r="F6" i="10"/>
  <c r="P21" i="10" s="1"/>
  <c r="IL5" i="15"/>
  <c r="ID21" i="13" l="1"/>
  <c r="IJ21" i="13"/>
  <c r="HX21" i="13"/>
  <c r="KR216" i="15" s="1"/>
  <c r="HR21" i="13"/>
  <c r="KN212" i="12"/>
  <c r="KP212" i="12" s="1"/>
  <c r="KR212" i="12" s="1"/>
  <c r="KT212" i="12" s="1"/>
  <c r="KV212" i="12" s="1"/>
  <c r="KX212" i="12" s="1"/>
  <c r="KZ212" i="12" s="1"/>
  <c r="LB212" i="12" s="1"/>
  <c r="LD212" i="12" s="1"/>
  <c r="LF212" i="12" s="1"/>
  <c r="LH212" i="12" s="1"/>
  <c r="J15" i="14"/>
  <c r="KL213" i="12"/>
  <c r="IJ5" i="15"/>
  <c r="KR17" i="15" l="1"/>
  <c r="KT216" i="15"/>
  <c r="KV216" i="15" s="1"/>
  <c r="KX216" i="15" s="1"/>
  <c r="KZ216" i="15" s="1"/>
  <c r="LB216" i="15" s="1"/>
  <c r="LD216" i="15" s="1"/>
  <c r="LF216" i="15" s="1"/>
  <c r="LH216" i="15" s="1"/>
  <c r="LJ216" i="15" s="1"/>
  <c r="LL216" i="15" s="1"/>
  <c r="LN216" i="15" s="1"/>
  <c r="KL17" i="15"/>
  <c r="KN212" i="15"/>
  <c r="KP212" i="15" s="1"/>
  <c r="KR212" i="15" s="1"/>
  <c r="KT212" i="15" s="1"/>
  <c r="KV212" i="15" s="1"/>
  <c r="KX212" i="15" s="1"/>
  <c r="KZ212" i="15" s="1"/>
  <c r="LB212" i="15" s="1"/>
  <c r="LD212" i="15" s="1"/>
  <c r="LF212" i="15" s="1"/>
  <c r="LH212" i="15" s="1"/>
  <c r="KN213" i="12"/>
  <c r="KP213" i="12" s="1"/>
  <c r="KR213" i="12" s="1"/>
  <c r="KT213" i="12" s="1"/>
  <c r="KV213" i="12" s="1"/>
  <c r="KX213" i="12" s="1"/>
  <c r="KZ213" i="12" s="1"/>
  <c r="LB213" i="12" s="1"/>
  <c r="LD213" i="12" s="1"/>
  <c r="LF213" i="12" s="1"/>
  <c r="LH213" i="12" s="1"/>
  <c r="GB11" i="13"/>
  <c r="FZ11" i="13"/>
  <c r="FX11" i="13"/>
  <c r="FZ28" i="13" l="1"/>
  <c r="FZ53" i="13" s="1"/>
  <c r="GB28" i="13"/>
  <c r="GB42" i="13" s="1"/>
  <c r="FX28" i="13"/>
  <c r="FZ49" i="13" l="1"/>
  <c r="FZ9" i="13" s="1"/>
  <c r="FZ37" i="13"/>
  <c r="FZ6" i="13" s="1"/>
  <c r="FZ42" i="13"/>
  <c r="FZ8" i="13" s="1"/>
  <c r="GB37" i="13"/>
  <c r="GB49" i="13"/>
  <c r="GB9" i="13" s="1"/>
  <c r="GB8" i="13"/>
  <c r="GB53" i="13"/>
  <c r="FX53" i="13"/>
  <c r="FX37" i="13"/>
  <c r="FX42" i="13"/>
  <c r="FX8" i="13" s="1"/>
  <c r="FX49" i="13"/>
  <c r="FX9" i="13" s="1"/>
  <c r="IH5" i="15"/>
  <c r="AD14" i="11"/>
  <c r="FX6" i="13" l="1"/>
  <c r="FX10" i="13" s="1"/>
  <c r="FX12" i="13" s="1"/>
  <c r="FX16" i="13" s="1"/>
  <c r="FX17" i="13" s="1"/>
  <c r="FZ10" i="13"/>
  <c r="FZ12" i="13" s="1"/>
  <c r="FZ16" i="13" s="1"/>
  <c r="FZ17" i="13" s="1"/>
  <c r="GB6" i="13"/>
  <c r="GB10" i="13" s="1"/>
  <c r="GB12" i="13" s="1"/>
  <c r="GB16" i="13" s="1"/>
  <c r="GB17" i="13" s="1"/>
  <c r="FV11" i="13"/>
  <c r="FV27" i="13" s="1"/>
  <c r="IF5" i="15"/>
  <c r="ID5" i="15"/>
  <c r="GT9" i="13" l="1"/>
  <c r="GT8" i="13"/>
  <c r="GB19" i="13"/>
  <c r="IT185" i="15" s="1"/>
  <c r="GT6" i="13" l="1"/>
  <c r="GT10" i="13" s="1"/>
  <c r="GT12" i="13" s="1"/>
  <c r="GT16" i="13" s="1"/>
  <c r="GT17" i="13" s="1"/>
  <c r="FT11" i="13"/>
  <c r="FT27" i="13" s="1"/>
  <c r="FR11" i="13"/>
  <c r="FR27" i="13" s="1"/>
  <c r="GT19" i="13" l="1"/>
  <c r="FR28" i="13"/>
  <c r="FV28" i="13"/>
  <c r="FT28" i="13"/>
  <c r="JL197" i="15" l="1"/>
  <c r="GT21" i="13"/>
  <c r="FV53" i="13"/>
  <c r="FV37" i="13"/>
  <c r="FV49" i="13"/>
  <c r="FV9" i="13" s="1"/>
  <c r="FV42" i="13"/>
  <c r="FV8" i="13" s="1"/>
  <c r="FT53" i="13"/>
  <c r="FT37" i="13"/>
  <c r="FT49" i="13"/>
  <c r="FT9" i="13" s="1"/>
  <c r="FT42" i="13"/>
  <c r="FT8" i="13" s="1"/>
  <c r="FR42" i="13"/>
  <c r="FR8" i="13" s="1"/>
  <c r="FR53" i="13"/>
  <c r="FR37" i="13"/>
  <c r="FR49" i="13"/>
  <c r="FR9" i="13" s="1"/>
  <c r="IB5" i="15"/>
  <c r="FR6" i="13" l="1"/>
  <c r="FR10" i="13" s="1"/>
  <c r="FR12" i="13" s="1"/>
  <c r="FR16" i="13" s="1"/>
  <c r="FR17" i="13" s="1"/>
  <c r="FT6" i="13"/>
  <c r="FT10" i="13" s="1"/>
  <c r="FT12" i="13" s="1"/>
  <c r="FT16" i="13" s="1"/>
  <c r="FT17" i="13" s="1"/>
  <c r="FV6" i="13"/>
  <c r="HZ5" i="15"/>
  <c r="HX5" i="15"/>
  <c r="FV10" i="13" l="1"/>
  <c r="FV12" i="13" s="1"/>
  <c r="FV16" i="13" s="1"/>
  <c r="FV17" i="13" s="1"/>
  <c r="FV19" i="13" s="1"/>
  <c r="IN181" i="15" s="1"/>
  <c r="FP11" i="13" l="1"/>
  <c r="FP27" i="13" s="1"/>
  <c r="FN11" i="13"/>
  <c r="FN27" i="13" s="1"/>
  <c r="FL11" i="13"/>
  <c r="FL27" i="13" s="1"/>
  <c r="FN28" i="13" l="1"/>
  <c r="FP28" i="13"/>
  <c r="FL28" i="13"/>
  <c r="FP53" i="13" l="1"/>
  <c r="FP37" i="13"/>
  <c r="FP42" i="13"/>
  <c r="FP8" i="13" s="1"/>
  <c r="FP49" i="13"/>
  <c r="FP9" i="13" s="1"/>
  <c r="FL42" i="13"/>
  <c r="FL8" i="13" s="1"/>
  <c r="FL53" i="13"/>
  <c r="FL37" i="13"/>
  <c r="FL49" i="13"/>
  <c r="FL9" i="13" s="1"/>
  <c r="FN53" i="13"/>
  <c r="FN37" i="13"/>
  <c r="FN49" i="13"/>
  <c r="FN9" i="13" s="1"/>
  <c r="FN42" i="13"/>
  <c r="FN8" i="13" s="1"/>
  <c r="FL6" i="13" l="1"/>
  <c r="FL10" i="13" s="1"/>
  <c r="FL12" i="13" s="1"/>
  <c r="FL16" i="13" s="1"/>
  <c r="FL17" i="13" s="1"/>
  <c r="FP6" i="13"/>
  <c r="FP10" i="13" s="1"/>
  <c r="FP12" i="13" s="1"/>
  <c r="FP16" i="13" s="1"/>
  <c r="FP17" i="13" s="1"/>
  <c r="FN6" i="13"/>
  <c r="FN10" i="13" s="1"/>
  <c r="FN12" i="13" s="1"/>
  <c r="FN16" i="13" s="1"/>
  <c r="FN17" i="13" s="1"/>
  <c r="HV5" i="15"/>
  <c r="HT5" i="15"/>
  <c r="HR5" i="15"/>
  <c r="FP19" i="13" l="1"/>
  <c r="IH177" i="15" l="1"/>
  <c r="FF11" i="13" l="1"/>
  <c r="FJ11" i="13"/>
  <c r="FH11" i="13"/>
  <c r="FH27" i="13" s="1"/>
  <c r="FJ27" i="13" l="1"/>
  <c r="FJ28" i="13" s="1"/>
  <c r="FF27" i="13"/>
  <c r="FF28" i="13" s="1"/>
  <c r="FH28" i="13"/>
  <c r="FH37" i="13" s="1"/>
  <c r="HP5" i="15"/>
  <c r="FJ49" i="13" l="1"/>
  <c r="FJ9" i="13" s="1"/>
  <c r="FJ42" i="13"/>
  <c r="FJ8" i="13" s="1"/>
  <c r="FJ53" i="13"/>
  <c r="FJ37" i="13"/>
  <c r="FF42" i="13"/>
  <c r="FF8" i="13" s="1"/>
  <c r="FF53" i="13"/>
  <c r="FF37" i="13"/>
  <c r="FF49" i="13"/>
  <c r="FF9" i="13" s="1"/>
  <c r="FH53" i="13"/>
  <c r="FH6" i="13" s="1"/>
  <c r="FH49" i="13"/>
  <c r="FH9" i="13" s="1"/>
  <c r="FH42" i="13"/>
  <c r="FH8" i="13" s="1"/>
  <c r="HN5" i="15"/>
  <c r="FF6" i="13" l="1"/>
  <c r="FF10" i="13" s="1"/>
  <c r="FF12" i="13" s="1"/>
  <c r="FF16" i="13" s="1"/>
  <c r="FF17" i="13" s="1"/>
  <c r="FJ6" i="13"/>
  <c r="FJ10" i="13" s="1"/>
  <c r="FJ12" i="13" s="1"/>
  <c r="FJ16" i="13" s="1"/>
  <c r="FJ17" i="13" s="1"/>
  <c r="FH10" i="13"/>
  <c r="FH12" i="13" s="1"/>
  <c r="FH16" i="13" s="1"/>
  <c r="FH17" i="13" s="1"/>
  <c r="HL5" i="15"/>
  <c r="FJ19" i="13" l="1"/>
  <c r="IB173" i="15" s="1"/>
  <c r="FD11" i="13"/>
  <c r="FD27" i="13" s="1"/>
  <c r="FB11" i="13"/>
  <c r="FB27" i="13" s="1"/>
  <c r="EZ11" i="13"/>
  <c r="EZ27" i="13" s="1"/>
  <c r="FD28" i="13" l="1"/>
  <c r="FB28" i="13"/>
  <c r="EZ28" i="13"/>
  <c r="HJ5" i="15"/>
  <c r="HH5" i="15"/>
  <c r="HF5" i="15"/>
  <c r="EX11" i="13"/>
  <c r="EX27" i="13" s="1"/>
  <c r="AD13" i="11"/>
  <c r="FB37" i="13" l="1"/>
  <c r="FB49" i="13"/>
  <c r="FB9" i="13" s="1"/>
  <c r="FB42" i="13"/>
  <c r="FB8" i="13" s="1"/>
  <c r="FB53" i="13"/>
  <c r="FD37" i="13"/>
  <c r="FD49" i="13"/>
  <c r="FD9" i="13" s="1"/>
  <c r="FD42" i="13"/>
  <c r="FD8" i="13" s="1"/>
  <c r="FD53" i="13"/>
  <c r="EZ53" i="13"/>
  <c r="EZ37" i="13"/>
  <c r="EZ49" i="13"/>
  <c r="EZ9" i="13" s="1"/>
  <c r="EZ42" i="13"/>
  <c r="EZ8" i="13" s="1"/>
  <c r="FB6" i="13" l="1"/>
  <c r="FB10" i="13" s="1"/>
  <c r="FB12" i="13" s="1"/>
  <c r="FB16" i="13" s="1"/>
  <c r="FB17" i="13" s="1"/>
  <c r="FD6" i="13"/>
  <c r="FD10" i="13" s="1"/>
  <c r="FD12" i="13" s="1"/>
  <c r="FD16" i="13" s="1"/>
  <c r="FD17" i="13" s="1"/>
  <c r="EZ6" i="13"/>
  <c r="EZ10" i="13" s="1"/>
  <c r="EZ12" i="13" s="1"/>
  <c r="EZ16" i="13" s="1"/>
  <c r="EZ17" i="13" s="1"/>
  <c r="FD19" i="13" l="1"/>
  <c r="HV169" i="15" s="1"/>
  <c r="EV11" i="13" l="1"/>
  <c r="EV27" i="13" s="1"/>
  <c r="ET11" i="13"/>
  <c r="ET27" i="13" l="1"/>
  <c r="ET28" i="13" s="1"/>
  <c r="EV28" i="13"/>
  <c r="EX28" i="13"/>
  <c r="ET53" i="13" l="1"/>
  <c r="ET37" i="13"/>
  <c r="ET49" i="13"/>
  <c r="ET9" i="13" s="1"/>
  <c r="ET42" i="13"/>
  <c r="ET8" i="13" s="1"/>
  <c r="EX53" i="13"/>
  <c r="EX37" i="13"/>
  <c r="EX49" i="13"/>
  <c r="EX9" i="13" s="1"/>
  <c r="EX42" i="13"/>
  <c r="EX8" i="13" s="1"/>
  <c r="EV53" i="13"/>
  <c r="EV37" i="13"/>
  <c r="EV42" i="13"/>
  <c r="EV8" i="13" s="1"/>
  <c r="EV49" i="13"/>
  <c r="EV9" i="13" s="1"/>
  <c r="EV6" i="13" l="1"/>
  <c r="EV10" i="13" s="1"/>
  <c r="EV12" i="13" s="1"/>
  <c r="EV16" i="13" s="1"/>
  <c r="EV17" i="13" s="1"/>
  <c r="ET6" i="13"/>
  <c r="ET10" i="13" s="1"/>
  <c r="ET12" i="13" s="1"/>
  <c r="ET16" i="13" s="1"/>
  <c r="ET17" i="13" s="1"/>
  <c r="EX6" i="13"/>
  <c r="EX10" i="13" s="1"/>
  <c r="EX12" i="13" s="1"/>
  <c r="EX16" i="13" s="1"/>
  <c r="EX17" i="13" s="1"/>
  <c r="EX19" i="13" l="1"/>
  <c r="HP165" i="15" s="1"/>
  <c r="HD5" i="15"/>
  <c r="HB5" i="15"/>
  <c r="GZ5" i="15"/>
  <c r="ER11" i="13" l="1"/>
  <c r="ER27" i="13" s="1"/>
  <c r="EP11" i="13"/>
  <c r="EN11" i="13"/>
  <c r="EN27" i="13" s="1"/>
  <c r="EP27" i="13" l="1"/>
  <c r="EP28" i="13" s="1"/>
  <c r="EN28" i="13"/>
  <c r="ER28" i="13"/>
  <c r="EP37" i="13" l="1"/>
  <c r="EP42" i="13"/>
  <c r="EP8" i="13" s="1"/>
  <c r="EP49" i="13"/>
  <c r="EP9" i="13" s="1"/>
  <c r="EP53" i="13"/>
  <c r="ER37" i="13"/>
  <c r="ER49" i="13"/>
  <c r="ER9" i="13" s="1"/>
  <c r="ER53" i="13"/>
  <c r="ER42" i="13"/>
  <c r="ER8" i="13" s="1"/>
  <c r="EN53" i="13"/>
  <c r="EN42" i="13"/>
  <c r="EN8" i="13" s="1"/>
  <c r="EN37" i="13"/>
  <c r="EN49" i="13"/>
  <c r="EN9" i="13" s="1"/>
  <c r="EP6" i="13" l="1"/>
  <c r="EP10" i="13" s="1"/>
  <c r="EP12" i="13" s="1"/>
  <c r="EP16" i="13" s="1"/>
  <c r="EP17" i="13" s="1"/>
  <c r="ER6" i="13"/>
  <c r="ER10" i="13" s="1"/>
  <c r="ER12" i="13" s="1"/>
  <c r="ER16" i="13" s="1"/>
  <c r="ER17" i="13" s="1"/>
  <c r="EN6" i="13"/>
  <c r="EN10" i="13" s="1"/>
  <c r="EN12" i="13" s="1"/>
  <c r="EN16" i="13" s="1"/>
  <c r="EN17" i="13" s="1"/>
  <c r="ER19" i="13" l="1"/>
  <c r="HJ161" i="15" s="1"/>
  <c r="GX5" i="15" l="1"/>
  <c r="EL11" i="13" l="1"/>
  <c r="EJ11" i="13"/>
  <c r="EH11" i="13"/>
  <c r="EH27" i="13" s="1"/>
  <c r="GV5" i="15"/>
  <c r="GT5" i="15"/>
  <c r="EJ27" i="13" l="1"/>
  <c r="EJ28" i="13" s="1"/>
  <c r="EL27" i="13"/>
  <c r="EL28" i="13" s="1"/>
  <c r="EH28" i="13"/>
  <c r="EL42" i="13" l="1"/>
  <c r="EL8" i="13" s="1"/>
  <c r="EL49" i="13"/>
  <c r="EL9" i="13" s="1"/>
  <c r="EL37" i="13"/>
  <c r="EL53" i="13"/>
  <c r="EJ37" i="13"/>
  <c r="EJ42" i="13"/>
  <c r="EJ8" i="13" s="1"/>
  <c r="EJ49" i="13"/>
  <c r="EJ9" i="13" s="1"/>
  <c r="EJ53" i="13"/>
  <c r="EH53" i="13"/>
  <c r="EH37" i="13"/>
  <c r="EH42" i="13"/>
  <c r="EH8" i="13" s="1"/>
  <c r="EH49" i="13"/>
  <c r="EH9" i="13" s="1"/>
  <c r="EJ6" i="13" l="1"/>
  <c r="EJ10" i="13" s="1"/>
  <c r="EJ12" i="13" s="1"/>
  <c r="EJ16" i="13" s="1"/>
  <c r="EJ17" i="13" s="1"/>
  <c r="EL6" i="13"/>
  <c r="EL10" i="13" s="1"/>
  <c r="EL12" i="13" s="1"/>
  <c r="EL16" i="13" s="1"/>
  <c r="EL17" i="13" s="1"/>
  <c r="EH6" i="13"/>
  <c r="EH10" i="13" s="1"/>
  <c r="EH12" i="13" s="1"/>
  <c r="EH16" i="13" s="1"/>
  <c r="EH17" i="13" s="1"/>
  <c r="EL19" i="13" l="1"/>
  <c r="HD157" i="15" s="1"/>
  <c r="EB47" i="13" l="1"/>
  <c r="EF11" i="13"/>
  <c r="EF27" i="13" s="1"/>
  <c r="ED11" i="13"/>
  <c r="ED27" i="13" s="1"/>
  <c r="EB11" i="13"/>
  <c r="EB27" i="13" s="1"/>
  <c r="GR5" i="15" l="1"/>
  <c r="GP5" i="15"/>
  <c r="GN5" i="15"/>
  <c r="EB28" i="13" l="1"/>
  <c r="EB37" i="13" s="1"/>
  <c r="EB53" i="13" l="1"/>
  <c r="EB42" i="13"/>
  <c r="EB8" i="13" s="1"/>
  <c r="EB49" i="13"/>
  <c r="EB9" i="13" s="1"/>
  <c r="EF28" i="13"/>
  <c r="ED28" i="13"/>
  <c r="EF37" i="13" l="1"/>
  <c r="EF53" i="13"/>
  <c r="EF49" i="13"/>
  <c r="EF9" i="13" s="1"/>
  <c r="EF42" i="13"/>
  <c r="EF8" i="13" s="1"/>
  <c r="ED42" i="13"/>
  <c r="ED8" i="13" s="1"/>
  <c r="ED37" i="13"/>
  <c r="ED53" i="13"/>
  <c r="ED49" i="13"/>
  <c r="ED9" i="13" s="1"/>
  <c r="EB6" i="13"/>
  <c r="EB10" i="13" s="1"/>
  <c r="EB12" i="13" s="1"/>
  <c r="EB16" i="13" s="1"/>
  <c r="EB17" i="13" s="1"/>
  <c r="ED6" i="13" l="1"/>
  <c r="ED10" i="13" s="1"/>
  <c r="ED12" i="13" s="1"/>
  <c r="ED16" i="13" s="1"/>
  <c r="ED17" i="13" s="1"/>
  <c r="EF6" i="13"/>
  <c r="EF10" i="13" s="1"/>
  <c r="EF12" i="13" s="1"/>
  <c r="EF16" i="13" s="1"/>
  <c r="EF17" i="13" s="1"/>
  <c r="GL5" i="15"/>
  <c r="AD12" i="11"/>
  <c r="DX52" i="13"/>
  <c r="DX47" i="13"/>
  <c r="EF19" i="13" l="1"/>
  <c r="GX153" i="15" s="1"/>
  <c r="DZ11" i="13"/>
  <c r="DZ27" i="13" s="1"/>
  <c r="DX11" i="13" l="1"/>
  <c r="DV11" i="13"/>
  <c r="GJ5" i="15"/>
  <c r="GH5" i="15"/>
  <c r="DV27" i="13" l="1"/>
  <c r="DV28" i="13" s="1"/>
  <c r="DX27" i="13"/>
  <c r="DX28" i="13" s="1"/>
  <c r="DZ28" i="13"/>
  <c r="GF5" i="15"/>
  <c r="DX49" i="13" l="1"/>
  <c r="DX9" i="13" s="1"/>
  <c r="DX37" i="13"/>
  <c r="DX53" i="13"/>
  <c r="DX42" i="13"/>
  <c r="DX8" i="13" s="1"/>
  <c r="DV49" i="13"/>
  <c r="DV9" i="13" s="1"/>
  <c r="DV37" i="13"/>
  <c r="DV53" i="13"/>
  <c r="DV42" i="13"/>
  <c r="DV8" i="13" s="1"/>
  <c r="DZ53" i="13"/>
  <c r="DZ49" i="13"/>
  <c r="DZ9" i="13" s="1"/>
  <c r="DZ37" i="13"/>
  <c r="DZ42" i="13"/>
  <c r="DZ8" i="13" s="1"/>
  <c r="GD5" i="15"/>
  <c r="GB5" i="15"/>
  <c r="DZ6" i="13" l="1"/>
  <c r="DZ10" i="13" s="1"/>
  <c r="DZ12" i="13" s="1"/>
  <c r="DZ16" i="13" s="1"/>
  <c r="DZ17" i="13" s="1"/>
  <c r="DX6" i="13"/>
  <c r="DX10" i="13" s="1"/>
  <c r="DX12" i="13" s="1"/>
  <c r="DX16" i="13" s="1"/>
  <c r="DX17" i="13" s="1"/>
  <c r="DV6" i="13"/>
  <c r="DV10" i="13" s="1"/>
  <c r="DV12" i="13" s="1"/>
  <c r="DV16" i="13" s="1"/>
  <c r="DV17" i="13" s="1"/>
  <c r="DZ19" i="13" l="1"/>
  <c r="GR149" i="15" s="1"/>
  <c r="DT11" i="13"/>
  <c r="DT27" i="13" s="1"/>
  <c r="DR11" i="13"/>
  <c r="DR27" i="13" s="1"/>
  <c r="DP11" i="13"/>
  <c r="DP27" i="13" s="1"/>
  <c r="DP28" i="13" l="1"/>
  <c r="DT28" i="13"/>
  <c r="DR28" i="13"/>
  <c r="FZ5" i="15"/>
  <c r="FX5" i="15"/>
  <c r="FV5" i="15"/>
  <c r="DT53" i="13" l="1"/>
  <c r="DT42" i="13"/>
  <c r="DT8" i="13" s="1"/>
  <c r="DT49" i="13"/>
  <c r="DT9" i="13" s="1"/>
  <c r="DT37" i="13"/>
  <c r="DP53" i="13"/>
  <c r="DP42" i="13"/>
  <c r="DP8" i="13" s="1"/>
  <c r="DP49" i="13"/>
  <c r="DP9" i="13" s="1"/>
  <c r="DP37" i="13"/>
  <c r="DR49" i="13"/>
  <c r="DR9" i="13" s="1"/>
  <c r="DR37" i="13"/>
  <c r="DR53" i="13"/>
  <c r="DR42" i="13"/>
  <c r="DR8" i="13" s="1"/>
  <c r="DP6" i="13" l="1"/>
  <c r="DP10" i="13" s="1"/>
  <c r="DP12" i="13" s="1"/>
  <c r="DP16" i="13" s="1"/>
  <c r="DP17" i="13" s="1"/>
  <c r="DR6" i="13"/>
  <c r="DR10" i="13" s="1"/>
  <c r="DR12" i="13" s="1"/>
  <c r="DR16" i="13" s="1"/>
  <c r="DR17" i="13" s="1"/>
  <c r="DT6" i="13"/>
  <c r="DT10" i="13" s="1"/>
  <c r="DT12" i="13" s="1"/>
  <c r="DT16" i="13" s="1"/>
  <c r="DT17" i="13" s="1"/>
  <c r="DT19" i="13" l="1"/>
  <c r="GL145" i="15" s="1"/>
  <c r="DN11" i="13"/>
  <c r="DN27" i="13" s="1"/>
  <c r="DL11" i="13"/>
  <c r="DL27" i="13" s="1"/>
  <c r="DJ11" i="13"/>
  <c r="DJ27" i="13" s="1"/>
  <c r="DJ28" i="13" l="1"/>
  <c r="DN28" i="13"/>
  <c r="DL28" i="13"/>
  <c r="DN53" i="13" l="1"/>
  <c r="DN42" i="13"/>
  <c r="DN8" i="13" s="1"/>
  <c r="DN49" i="13"/>
  <c r="DN9" i="13" s="1"/>
  <c r="DN37" i="13"/>
  <c r="DJ53" i="13"/>
  <c r="DJ42" i="13"/>
  <c r="DJ8" i="13" s="1"/>
  <c r="DJ49" i="13"/>
  <c r="DJ9" i="13" s="1"/>
  <c r="DJ37" i="13"/>
  <c r="DL49" i="13"/>
  <c r="DL9" i="13" s="1"/>
  <c r="DL37" i="13"/>
  <c r="DL53" i="13"/>
  <c r="DL42" i="13"/>
  <c r="DL8" i="13" s="1"/>
  <c r="DJ6" i="13" l="1"/>
  <c r="DJ10" i="13" s="1"/>
  <c r="DJ12" i="13" s="1"/>
  <c r="DJ16" i="13" s="1"/>
  <c r="DJ17" i="13" s="1"/>
  <c r="DN6" i="13"/>
  <c r="DN10" i="13" s="1"/>
  <c r="DN12" i="13" s="1"/>
  <c r="DN16" i="13" s="1"/>
  <c r="DN17" i="13" s="1"/>
  <c r="DL6" i="13"/>
  <c r="DL10" i="13" s="1"/>
  <c r="DL12" i="13" s="1"/>
  <c r="DL16" i="13" s="1"/>
  <c r="DL17" i="13" s="1"/>
  <c r="DN19" i="13" l="1"/>
  <c r="GF141" i="15" s="1"/>
  <c r="FT5" i="15" l="1"/>
  <c r="FR5" i="15"/>
  <c r="FP5" i="15"/>
  <c r="DH11" i="13"/>
  <c r="DH27" i="13" s="1"/>
  <c r="DF11" i="13"/>
  <c r="DF27" i="13" s="1"/>
  <c r="DD11" i="13"/>
  <c r="DD27" i="13" s="1"/>
  <c r="DD28" i="13" l="1"/>
  <c r="DH28" i="13"/>
  <c r="DF28" i="13"/>
  <c r="DH53" i="13" l="1"/>
  <c r="DH42" i="13"/>
  <c r="DH8" i="13" s="1"/>
  <c r="DH49" i="13"/>
  <c r="DH9" i="13" s="1"/>
  <c r="DH37" i="13"/>
  <c r="DD53" i="13"/>
  <c r="DD42" i="13"/>
  <c r="DD8" i="13" s="1"/>
  <c r="DD49" i="13"/>
  <c r="DD9" i="13" s="1"/>
  <c r="DD37" i="13"/>
  <c r="DF49" i="13"/>
  <c r="DF9" i="13" s="1"/>
  <c r="DF37" i="13"/>
  <c r="DF53" i="13"/>
  <c r="DF42" i="13"/>
  <c r="DF8" i="13" s="1"/>
  <c r="DF6" i="13" l="1"/>
  <c r="DF10" i="13" s="1"/>
  <c r="DF12" i="13" s="1"/>
  <c r="DF16" i="13" s="1"/>
  <c r="DF17" i="13" s="1"/>
  <c r="DH6" i="13"/>
  <c r="DH10" i="13" s="1"/>
  <c r="DH12" i="13" s="1"/>
  <c r="DH16" i="13" s="1"/>
  <c r="DH17" i="13" s="1"/>
  <c r="DD6" i="13"/>
  <c r="DD10" i="13" s="1"/>
  <c r="DD12" i="13" s="1"/>
  <c r="DD16" i="13" s="1"/>
  <c r="DD17" i="13" s="1"/>
  <c r="DH19" i="13" l="1"/>
  <c r="FZ137" i="15" s="1"/>
  <c r="FN5" i="15"/>
  <c r="FL5" i="15"/>
  <c r="FJ5" i="15"/>
  <c r="AD11" i="11" l="1"/>
  <c r="DB11" i="13" l="1"/>
  <c r="DB27" i="13" s="1"/>
  <c r="CZ11" i="13"/>
  <c r="CZ27" i="13" s="1"/>
  <c r="CX11" i="13" l="1"/>
  <c r="CX27" i="13" s="1"/>
  <c r="CZ28" i="13" l="1"/>
  <c r="CZ49" i="13" l="1"/>
  <c r="CZ9" i="13" s="1"/>
  <c r="CZ37" i="13"/>
  <c r="CZ53" i="13"/>
  <c r="CZ42" i="13"/>
  <c r="CZ8" i="13" s="1"/>
  <c r="CX28" i="13"/>
  <c r="DB28" i="13"/>
  <c r="CZ6" i="13" l="1"/>
  <c r="CZ10" i="13" s="1"/>
  <c r="CZ12" i="13" s="1"/>
  <c r="CZ16" i="13" s="1"/>
  <c r="CZ17" i="13" s="1"/>
  <c r="DB53" i="13"/>
  <c r="DB42" i="13"/>
  <c r="DB8" i="13" s="1"/>
  <c r="DB49" i="13"/>
  <c r="DB9" i="13" s="1"/>
  <c r="DB37" i="13"/>
  <c r="CX53" i="13"/>
  <c r="CX42" i="13"/>
  <c r="CX8" i="13" s="1"/>
  <c r="CX49" i="13"/>
  <c r="CX9" i="13" s="1"/>
  <c r="CX37" i="13"/>
  <c r="CX6" i="13" l="1"/>
  <c r="CX10" i="13" s="1"/>
  <c r="CX12" i="13" s="1"/>
  <c r="CX16" i="13" s="1"/>
  <c r="CX17" i="13" s="1"/>
  <c r="DB6" i="13"/>
  <c r="DB10" i="13" s="1"/>
  <c r="DB12" i="13" s="1"/>
  <c r="DB16" i="13" s="1"/>
  <c r="DB17" i="13" l="1"/>
  <c r="DB19" i="13" s="1"/>
  <c r="FH5" i="15"/>
  <c r="FF5" i="15"/>
  <c r="FD5" i="15"/>
  <c r="FT133" i="15" l="1"/>
  <c r="DB21" i="13"/>
  <c r="CV11" i="13"/>
  <c r="CV27" i="13" s="1"/>
  <c r="CT11" i="13"/>
  <c r="CT27" i="13" s="1"/>
  <c r="CR11" i="13"/>
  <c r="CR27" i="13" s="1"/>
  <c r="CR28" i="13" l="1"/>
  <c r="CV28" i="13"/>
  <c r="CT28" i="13"/>
  <c r="CV53" i="13" l="1"/>
  <c r="CV42" i="13"/>
  <c r="CV8" i="13" s="1"/>
  <c r="CV49" i="13"/>
  <c r="CV9" i="13" s="1"/>
  <c r="CV37" i="13"/>
  <c r="CR53" i="13"/>
  <c r="CR42" i="13"/>
  <c r="CR8" i="13" s="1"/>
  <c r="CR49" i="13"/>
  <c r="CR9" i="13" s="1"/>
  <c r="CR37" i="13"/>
  <c r="CT49" i="13"/>
  <c r="CT9" i="13" s="1"/>
  <c r="CT37" i="13"/>
  <c r="CT53" i="13"/>
  <c r="CT42" i="13"/>
  <c r="CT8" i="13" s="1"/>
  <c r="CT6" i="13" l="1"/>
  <c r="CT10" i="13" s="1"/>
  <c r="CT12" i="13" s="1"/>
  <c r="CT16" i="13" s="1"/>
  <c r="CT17" i="13" s="1"/>
  <c r="CR6" i="13"/>
  <c r="CR10" i="13" s="1"/>
  <c r="CR12" i="13" s="1"/>
  <c r="CR16" i="13" s="1"/>
  <c r="CR17" i="13" s="1"/>
  <c r="CV6" i="13"/>
  <c r="CV10" i="13" s="1"/>
  <c r="CV12" i="13" s="1"/>
  <c r="CV16" i="13" s="1"/>
  <c r="CV17" i="13" s="1"/>
  <c r="FB5" i="15"/>
  <c r="EZ5" i="15"/>
  <c r="EX5" i="15"/>
  <c r="EZ5" i="12"/>
  <c r="EX5" i="12"/>
  <c r="EV5" i="12"/>
  <c r="CV19" i="13" l="1"/>
  <c r="FN129" i="15" s="1"/>
  <c r="CP11" i="13" l="1"/>
  <c r="CP27" i="13" s="1"/>
  <c r="CN11" i="13"/>
  <c r="CN27" i="13" s="1"/>
  <c r="CL11" i="13"/>
  <c r="CL27" i="13" s="1"/>
  <c r="CL28" i="13" l="1"/>
  <c r="CP28" i="13"/>
  <c r="CN28" i="13"/>
  <c r="CP53" i="13" l="1"/>
  <c r="CP42" i="13"/>
  <c r="CP8" i="13" s="1"/>
  <c r="CP49" i="13"/>
  <c r="CP9" i="13" s="1"/>
  <c r="CP37" i="13"/>
  <c r="CL53" i="13"/>
  <c r="CL42" i="13"/>
  <c r="CL8" i="13" s="1"/>
  <c r="CL49" i="13"/>
  <c r="CL9" i="13" s="1"/>
  <c r="CL37" i="13"/>
  <c r="CN49" i="13"/>
  <c r="CN9" i="13" s="1"/>
  <c r="CN37" i="13"/>
  <c r="CN53" i="13"/>
  <c r="CN42" i="13"/>
  <c r="CN8" i="13" s="1"/>
  <c r="CL6" i="13" l="1"/>
  <c r="CL10" i="13" s="1"/>
  <c r="CL12" i="13" s="1"/>
  <c r="CL16" i="13" s="1"/>
  <c r="CL17" i="13" s="1"/>
  <c r="CP6" i="13"/>
  <c r="CP10" i="13" s="1"/>
  <c r="CP12" i="13" s="1"/>
  <c r="CP16" i="13" s="1"/>
  <c r="CP17" i="13" s="1"/>
  <c r="CN6" i="13"/>
  <c r="CN10" i="13" s="1"/>
  <c r="CN12" i="13" s="1"/>
  <c r="CN16" i="13" s="1"/>
  <c r="CN17" i="13" s="1"/>
  <c r="CP19" i="13" l="1"/>
  <c r="FH125" i="15" s="1"/>
  <c r="CJ11" i="13"/>
  <c r="CJ27" i="13" s="1"/>
  <c r="CH11" i="13"/>
  <c r="CH27" i="13" s="1"/>
  <c r="CF11" i="13"/>
  <c r="CF27" i="13" s="1"/>
  <c r="EV5" i="15" l="1"/>
  <c r="ET5" i="15"/>
  <c r="ER5" i="15"/>
  <c r="CJ28" i="13" l="1"/>
  <c r="CF28" i="13"/>
  <c r="ET5" i="12"/>
  <c r="ER5" i="12"/>
  <c r="EP5" i="12"/>
  <c r="AD10" i="11"/>
  <c r="CF53" i="13" l="1"/>
  <c r="CF42" i="13"/>
  <c r="CF8" i="13" s="1"/>
  <c r="CF49" i="13"/>
  <c r="CF9" i="13" s="1"/>
  <c r="CF37" i="13"/>
  <c r="CJ53" i="13"/>
  <c r="CJ42" i="13"/>
  <c r="CJ8" i="13" s="1"/>
  <c r="CJ49" i="13"/>
  <c r="CJ9" i="13" s="1"/>
  <c r="CJ37" i="13"/>
  <c r="CH28" i="13"/>
  <c r="CJ6" i="13" l="1"/>
  <c r="CJ10" i="13" s="1"/>
  <c r="CJ12" i="13" s="1"/>
  <c r="CJ16" i="13" s="1"/>
  <c r="CJ17" i="13" s="1"/>
  <c r="CF6" i="13"/>
  <c r="CF10" i="13" s="1"/>
  <c r="CF12" i="13" s="1"/>
  <c r="CF16" i="13" s="1"/>
  <c r="CF17" i="13" s="1"/>
  <c r="CH49" i="13"/>
  <c r="CH9" i="13" s="1"/>
  <c r="CH37" i="13"/>
  <c r="CH53" i="13"/>
  <c r="CH42" i="13"/>
  <c r="CH8" i="13" s="1"/>
  <c r="CH6" i="13" l="1"/>
  <c r="CH10" i="13" s="1"/>
  <c r="CH12" i="13" s="1"/>
  <c r="CH16" i="13" s="1"/>
  <c r="CH17" i="13" s="1"/>
  <c r="CJ19" i="13" s="1"/>
  <c r="FB121" i="15" s="1"/>
  <c r="EP5" i="15" l="1"/>
  <c r="EN5" i="15"/>
  <c r="EL5" i="15"/>
  <c r="EN5" i="12"/>
  <c r="EL5" i="12"/>
  <c r="EJ5" i="12"/>
  <c r="CD11" i="13" l="1"/>
  <c r="CD27" i="13" s="1"/>
  <c r="BZ11" i="13"/>
  <c r="BZ27" i="13" s="1"/>
  <c r="CB11" i="13"/>
  <c r="CB27" i="13" l="1"/>
  <c r="CB28" i="13" s="1"/>
  <c r="BZ28" i="13"/>
  <c r="CD28" i="13"/>
  <c r="CD37" i="13" s="1"/>
  <c r="CB49" i="13" l="1"/>
  <c r="CB9" i="13" s="1"/>
  <c r="CB53" i="13"/>
  <c r="CB37" i="13"/>
  <c r="CB42" i="13"/>
  <c r="CB8" i="13" s="1"/>
  <c r="CD53" i="13"/>
  <c r="CD42" i="13"/>
  <c r="CD8" i="13" s="1"/>
  <c r="CD49" i="13"/>
  <c r="CD9" i="13" s="1"/>
  <c r="BZ53" i="13"/>
  <c r="BZ42" i="13"/>
  <c r="BZ8" i="13" s="1"/>
  <c r="BZ49" i="13"/>
  <c r="BZ9" i="13" s="1"/>
  <c r="BZ37" i="13"/>
  <c r="CB6" i="13" l="1"/>
  <c r="CB10" i="13" s="1"/>
  <c r="CB12" i="13" s="1"/>
  <c r="CB16" i="13" s="1"/>
  <c r="CB17" i="13" s="1"/>
  <c r="BZ6" i="13"/>
  <c r="BZ10" i="13" s="1"/>
  <c r="BZ12" i="13" s="1"/>
  <c r="BZ16" i="13" s="1"/>
  <c r="BZ17" i="13" s="1"/>
  <c r="CD6" i="13"/>
  <c r="CD10" i="13" l="1"/>
  <c r="CD12" i="13" s="1"/>
  <c r="CD16" i="13" s="1"/>
  <c r="CD17" i="13" s="1"/>
  <c r="CD19" i="13" s="1"/>
  <c r="CD21" i="13" s="1"/>
  <c r="EV117" i="15" l="1"/>
  <c r="X9" i="11" l="1"/>
  <c r="V9" i="11"/>
  <c r="T9" i="11"/>
  <c r="ED5" i="12" l="1"/>
  <c r="EF5" i="15"/>
  <c r="EF5" i="12"/>
  <c r="EH5" i="15"/>
  <c r="EH5" i="12"/>
  <c r="EJ5" i="15"/>
  <c r="BX11" i="13"/>
  <c r="BV11" i="13"/>
  <c r="BV27" i="13" s="1"/>
  <c r="BT11" i="13"/>
  <c r="BT27" i="13" s="1"/>
  <c r="BT28" i="13" l="1"/>
  <c r="BX27" i="13"/>
  <c r="BX28" i="13" s="1"/>
  <c r="BV28" i="13"/>
  <c r="BX53" i="13" l="1"/>
  <c r="BX49" i="13"/>
  <c r="BX9" i="13" s="1"/>
  <c r="BX42" i="13"/>
  <c r="BX8" i="13" s="1"/>
  <c r="BX37" i="13"/>
  <c r="BT53" i="13"/>
  <c r="BT49" i="13"/>
  <c r="BT9" i="13" s="1"/>
  <c r="BT42" i="13"/>
  <c r="BT8" i="13" s="1"/>
  <c r="BT37" i="13"/>
  <c r="BV49" i="13"/>
  <c r="BV9" i="13" s="1"/>
  <c r="BV37" i="13"/>
  <c r="BV53" i="13"/>
  <c r="BV42" i="13"/>
  <c r="BV8" i="13" s="1"/>
  <c r="BT6" i="13" l="1"/>
  <c r="BT10" i="13" s="1"/>
  <c r="BT12" i="13" s="1"/>
  <c r="BT16" i="13" s="1"/>
  <c r="BT17" i="13" s="1"/>
  <c r="BX6" i="13"/>
  <c r="BX10" i="13" s="1"/>
  <c r="BX12" i="13" s="1"/>
  <c r="BX16" i="13" s="1"/>
  <c r="BX17" i="13" s="1"/>
  <c r="BV6" i="13"/>
  <c r="BV10" i="13" s="1"/>
  <c r="BV12" i="13" s="1"/>
  <c r="BV16" i="13" s="1"/>
  <c r="BV17" i="13" s="1"/>
  <c r="BX19" i="13" l="1"/>
  <c r="EP113" i="15" s="1"/>
  <c r="R9" i="11" l="1"/>
  <c r="EB5" i="12" s="1"/>
  <c r="P9" i="11"/>
  <c r="DZ5" i="12" s="1"/>
  <c r="N9" i="11"/>
  <c r="DX5" i="12" s="1"/>
  <c r="DZ5" i="15" l="1"/>
  <c r="BN11" i="13"/>
  <c r="BN27" i="13" s="1"/>
  <c r="BN28" i="13" s="1"/>
  <c r="EB5" i="15"/>
  <c r="ED5" i="15"/>
  <c r="BP11" i="13"/>
  <c r="BP27" i="13" s="1"/>
  <c r="BR11" i="13"/>
  <c r="BR27" i="13" s="1"/>
  <c r="BR28" i="13" s="1"/>
  <c r="BP28" i="13" l="1"/>
  <c r="BP37" i="13" s="1"/>
  <c r="BR53" i="13"/>
  <c r="BR49" i="13"/>
  <c r="BR9" i="13" s="1"/>
  <c r="BR42" i="13"/>
  <c r="BR8" i="13" s="1"/>
  <c r="BR37" i="13"/>
  <c r="BN53" i="13"/>
  <c r="BN49" i="13"/>
  <c r="BN9" i="13" s="1"/>
  <c r="BN42" i="13"/>
  <c r="BN8" i="13" s="1"/>
  <c r="BN37" i="13"/>
  <c r="BP42" i="13" l="1"/>
  <c r="BP8" i="13" s="1"/>
  <c r="BP49" i="13"/>
  <c r="BP9" i="13" s="1"/>
  <c r="BP53" i="13"/>
  <c r="BP6" i="13" s="1"/>
  <c r="BN6" i="13"/>
  <c r="BN10" i="13" s="1"/>
  <c r="BN12" i="13" s="1"/>
  <c r="BN16" i="13" s="1"/>
  <c r="BN17" i="13" s="1"/>
  <c r="BR6" i="13"/>
  <c r="BR10" i="13" s="1"/>
  <c r="BR12" i="13" s="1"/>
  <c r="BR16" i="13" s="1"/>
  <c r="BR17" i="13" s="1"/>
  <c r="BP10" i="13" l="1"/>
  <c r="BP12" i="13" s="1"/>
  <c r="BP16" i="13" s="1"/>
  <c r="BP17" i="13" s="1"/>
  <c r="BR19" i="13" s="1"/>
  <c r="EJ109" i="15" s="1"/>
  <c r="L9" i="11"/>
  <c r="BL11" i="13" s="1"/>
  <c r="BL27" i="13" s="1"/>
  <c r="J9" i="11"/>
  <c r="DV5" i="15" s="1"/>
  <c r="H9" i="11"/>
  <c r="DT5" i="15" s="1"/>
  <c r="BJ11" i="13" l="1"/>
  <c r="BJ27" i="13" s="1"/>
  <c r="DT5" i="12"/>
  <c r="BH11" i="13"/>
  <c r="BH27" i="13" s="1"/>
  <c r="BH28" i="13" s="1"/>
  <c r="BH42" i="13" s="1"/>
  <c r="BH8" i="13" s="1"/>
  <c r="DR5" i="12"/>
  <c r="DV5" i="12"/>
  <c r="DX5" i="15"/>
  <c r="BL28" i="13"/>
  <c r="BL49" i="13" s="1"/>
  <c r="BL9" i="13" s="1"/>
  <c r="DR8" i="15"/>
  <c r="DP8" i="15"/>
  <c r="DN8" i="15"/>
  <c r="DB11" i="15"/>
  <c r="BJ28" i="13" l="1"/>
  <c r="BJ49" i="13" s="1"/>
  <c r="BJ9" i="13" s="1"/>
  <c r="BH49" i="13"/>
  <c r="BH9" i="13" s="1"/>
  <c r="BL37" i="13"/>
  <c r="BH53" i="13"/>
  <c r="BH37" i="13"/>
  <c r="BL42" i="13"/>
  <c r="BL8" i="13" s="1"/>
  <c r="BL53" i="13"/>
  <c r="BJ42" i="13" l="1"/>
  <c r="BJ8" i="13" s="1"/>
  <c r="BJ37" i="13"/>
  <c r="BJ53" i="13"/>
  <c r="BL6" i="13"/>
  <c r="BL10" i="13" s="1"/>
  <c r="BL12" i="13" s="1"/>
  <c r="BL16" i="13" s="1"/>
  <c r="BL17" i="13" s="1"/>
  <c r="BH6" i="13"/>
  <c r="BH10" i="13" s="1"/>
  <c r="BH12" i="13" s="1"/>
  <c r="BH16" i="13" s="1"/>
  <c r="BH17" i="13" s="1"/>
  <c r="BJ6" i="13" l="1"/>
  <c r="BJ10" i="13" s="1"/>
  <c r="BJ12" i="13" s="1"/>
  <c r="BJ16" i="13" s="1"/>
  <c r="BJ17" i="13" s="1"/>
  <c r="BL19" i="13" s="1"/>
  <c r="ED105" i="15" s="1"/>
  <c r="BD47" i="13"/>
  <c r="F9" i="11"/>
  <c r="AD9" i="11" s="1"/>
  <c r="AB8" i="11"/>
  <c r="BD11" i="13" s="1"/>
  <c r="BD27" i="13" s="1"/>
  <c r="Z8" i="11"/>
  <c r="DL5" i="12" l="1"/>
  <c r="DN5" i="15"/>
  <c r="DP5" i="12"/>
  <c r="DR5" i="15"/>
  <c r="DN5" i="12"/>
  <c r="DP5" i="15"/>
  <c r="BB11" i="13"/>
  <c r="BB27" i="13" s="1"/>
  <c r="BF11" i="13"/>
  <c r="BF27" i="13" s="1"/>
  <c r="BD28" i="13"/>
  <c r="BF28" i="13" l="1"/>
  <c r="BF49" i="13" s="1"/>
  <c r="BF9" i="13" s="1"/>
  <c r="BB28" i="13"/>
  <c r="BB53" i="13" s="1"/>
  <c r="BD53" i="13"/>
  <c r="BD49" i="13"/>
  <c r="BD9" i="13" s="1"/>
  <c r="BD37" i="13"/>
  <c r="BD42" i="13"/>
  <c r="BD8" i="13" s="1"/>
  <c r="BB49" i="13" l="1"/>
  <c r="BB9" i="13" s="1"/>
  <c r="BB37" i="13"/>
  <c r="BF53" i="13"/>
  <c r="BF37" i="13"/>
  <c r="BF42" i="13"/>
  <c r="BF8" i="13" s="1"/>
  <c r="BB42" i="13"/>
  <c r="BB8" i="13" s="1"/>
  <c r="BD6" i="13"/>
  <c r="BD10" i="13" s="1"/>
  <c r="BD12" i="13" s="1"/>
  <c r="BD16" i="13" s="1"/>
  <c r="BD17" i="13" s="1"/>
  <c r="BF6" i="13" l="1"/>
  <c r="BF10" i="13" s="1"/>
  <c r="BF12" i="13" s="1"/>
  <c r="BF16" i="13" s="1"/>
  <c r="BF17" i="13" s="1"/>
  <c r="AV52" i="13"/>
  <c r="X8" i="11"/>
  <c r="DJ5" i="12" s="1"/>
  <c r="V8" i="11"/>
  <c r="DH5" i="12" s="1"/>
  <c r="T8" i="11"/>
  <c r="DF5" i="12" s="1"/>
  <c r="AP52" i="13"/>
  <c r="AP47" i="13"/>
  <c r="AP34" i="13"/>
  <c r="R8" i="11"/>
  <c r="DD5" i="12" s="1"/>
  <c r="P8" i="11"/>
  <c r="DB5" i="12" s="1"/>
  <c r="N8" i="11"/>
  <c r="CZ5" i="12" s="1"/>
  <c r="N14" i="10"/>
  <c r="N13" i="10"/>
  <c r="N12" i="10"/>
  <c r="AP11" i="13" l="1"/>
  <c r="AP27" i="13" s="1"/>
  <c r="AV11" i="13"/>
  <c r="AV27" i="13" s="1"/>
  <c r="AT11" i="13"/>
  <c r="AT27" i="13" s="1"/>
  <c r="AT28" i="13" s="1"/>
  <c r="AT53" i="13" s="1"/>
  <c r="AZ11" i="13"/>
  <c r="AZ27" i="13" s="1"/>
  <c r="DH5" i="15"/>
  <c r="DL5" i="15"/>
  <c r="DD5" i="15"/>
  <c r="AR11" i="13"/>
  <c r="AR27" i="13" s="1"/>
  <c r="AR28" i="13" s="1"/>
  <c r="AR53" i="13" s="1"/>
  <c r="DB5" i="15"/>
  <c r="DF5" i="15"/>
  <c r="AX11" i="13"/>
  <c r="AX27" i="13" s="1"/>
  <c r="DJ5" i="15"/>
  <c r="P13" i="10"/>
  <c r="P14" i="10"/>
  <c r="P12" i="10"/>
  <c r="J14" i="10"/>
  <c r="J13" i="10"/>
  <c r="J12" i="10"/>
  <c r="AJ47" i="13"/>
  <c r="AP28" i="13" l="1"/>
  <c r="AP37" i="13" s="1"/>
  <c r="AV28" i="13"/>
  <c r="AV42" i="13" s="1"/>
  <c r="AV8" i="13" s="1"/>
  <c r="AZ28" i="13"/>
  <c r="AZ53" i="13" s="1"/>
  <c r="R28" i="10"/>
  <c r="R27" i="10"/>
  <c r="R29" i="10"/>
  <c r="AX28" i="13"/>
  <c r="AX49" i="13" s="1"/>
  <c r="AX9" i="13" s="1"/>
  <c r="BB6" i="13"/>
  <c r="BB10" i="13" s="1"/>
  <c r="BB12" i="13" s="1"/>
  <c r="BB16" i="13" s="1"/>
  <c r="BB17" i="13" s="1"/>
  <c r="BF19" i="13" s="1"/>
  <c r="DX101" i="15" s="1"/>
  <c r="AP53" i="13"/>
  <c r="AP42" i="13"/>
  <c r="AP8" i="13" s="1"/>
  <c r="AR49" i="13"/>
  <c r="AR9" i="13" s="1"/>
  <c r="AR42" i="13"/>
  <c r="AR8" i="13" s="1"/>
  <c r="AR37" i="13"/>
  <c r="AR6" i="13" s="1"/>
  <c r="AT37" i="13"/>
  <c r="AT6" i="13" s="1"/>
  <c r="AT49" i="13"/>
  <c r="AT9" i="13" s="1"/>
  <c r="AT42" i="13"/>
  <c r="AT8" i="13" s="1"/>
  <c r="AP49" i="13"/>
  <c r="AP9" i="13" s="1"/>
  <c r="L8" i="11"/>
  <c r="CZ5" i="15" s="1"/>
  <c r="J8" i="11"/>
  <c r="AL11" i="13" s="1"/>
  <c r="AL27" i="13" s="1"/>
  <c r="H8" i="11"/>
  <c r="CV5" i="15" s="1"/>
  <c r="AV37" i="13" l="1"/>
  <c r="AV53" i="13"/>
  <c r="AV49" i="13"/>
  <c r="AV9" i="13" s="1"/>
  <c r="AZ42" i="13"/>
  <c r="AZ8" i="13" s="1"/>
  <c r="AZ49" i="13"/>
  <c r="AZ9" i="13" s="1"/>
  <c r="AZ37" i="13"/>
  <c r="AZ6" i="13" s="1"/>
  <c r="AX42" i="13"/>
  <c r="AX8" i="13" s="1"/>
  <c r="AX53" i="13"/>
  <c r="CX5" i="15"/>
  <c r="AJ11" i="13"/>
  <c r="AJ27" i="13" s="1"/>
  <c r="AX37" i="13"/>
  <c r="AV6" i="13"/>
  <c r="AP6" i="13"/>
  <c r="AP10" i="13" s="1"/>
  <c r="AP12" i="13" s="1"/>
  <c r="AP16" i="13" s="1"/>
  <c r="AP17" i="13" s="1"/>
  <c r="AR10" i="13"/>
  <c r="AR12" i="13" s="1"/>
  <c r="AR16" i="13" s="1"/>
  <c r="AR17" i="13" s="1"/>
  <c r="AT10" i="13"/>
  <c r="AT12" i="13" s="1"/>
  <c r="AT16" i="13" s="1"/>
  <c r="AT17" i="13" s="1"/>
  <c r="AV10" i="13" l="1"/>
  <c r="AV12" i="13" s="1"/>
  <c r="AV16" i="13" s="1"/>
  <c r="AV17" i="13" s="1"/>
  <c r="AZ10" i="13"/>
  <c r="AZ12" i="13" s="1"/>
  <c r="AZ16" i="13" s="1"/>
  <c r="AZ17" i="13" s="1"/>
  <c r="AX6" i="13"/>
  <c r="AX10" i="13" s="1"/>
  <c r="AX12" i="13" s="1"/>
  <c r="AX16" i="13" s="1"/>
  <c r="AX17" i="13" s="1"/>
  <c r="AT19" i="13"/>
  <c r="DL93" i="15" s="1"/>
  <c r="AL28" i="13"/>
  <c r="AL49" i="13" s="1"/>
  <c r="AL9" i="13" s="1"/>
  <c r="AJ28" i="13"/>
  <c r="AN11" i="13"/>
  <c r="AN27" i="13" s="1"/>
  <c r="AZ19" i="13" l="1"/>
  <c r="DR97" i="15" s="1"/>
  <c r="F15" i="10"/>
  <c r="AJ49" i="13"/>
  <c r="AJ9" i="13" s="1"/>
  <c r="AJ37" i="13"/>
  <c r="AJ6" i="13" s="1"/>
  <c r="AJ42" i="13"/>
  <c r="AJ8" i="13" s="1"/>
  <c r="AN28" i="13"/>
  <c r="AL37" i="13"/>
  <c r="AL6" i="13" s="1"/>
  <c r="AL42" i="13"/>
  <c r="AL8" i="13" s="1"/>
  <c r="GH21" i="13" l="1"/>
  <c r="JB17" i="15" s="1"/>
  <c r="FV21" i="13"/>
  <c r="IP17" i="15" s="1"/>
  <c r="GB21" i="13"/>
  <c r="FJ21" i="13"/>
  <c r="IF172" i="15" s="1"/>
  <c r="EX21" i="13"/>
  <c r="HR164" i="15" s="1"/>
  <c r="HT164" i="15" s="1"/>
  <c r="FD21" i="13"/>
  <c r="HX168" i="15" s="1"/>
  <c r="EL21" i="13"/>
  <c r="HF156" i="15" s="1"/>
  <c r="HH156" i="15" s="1"/>
  <c r="ER21" i="13"/>
  <c r="HL160" i="15" s="1"/>
  <c r="DZ21" i="13"/>
  <c r="GT148" i="15" s="1"/>
  <c r="GV148" i="15" s="1"/>
  <c r="EF21" i="13"/>
  <c r="GZ152" i="15" s="1"/>
  <c r="DT21" i="13"/>
  <c r="GN144" i="15" s="1"/>
  <c r="DN21" i="13"/>
  <c r="GH140" i="15" s="1"/>
  <c r="FV132" i="15"/>
  <c r="FV17" i="15" s="1"/>
  <c r="CV21" i="13"/>
  <c r="FP128" i="15" s="1"/>
  <c r="CP21" i="13"/>
  <c r="FJ124" i="15" s="1"/>
  <c r="EX116" i="15"/>
  <c r="EX17" i="15" s="1"/>
  <c r="CJ21" i="13"/>
  <c r="FD120" i="15" s="1"/>
  <c r="BR21" i="13"/>
  <c r="EL108" i="15" s="1"/>
  <c r="EN108" i="15" s="1"/>
  <c r="BX21" i="13"/>
  <c r="ER112" i="15" s="1"/>
  <c r="BF21" i="13"/>
  <c r="DZ100" i="15" s="1"/>
  <c r="DZ17" i="15" s="1"/>
  <c r="BL21" i="13"/>
  <c r="EF104" i="15" s="1"/>
  <c r="AT21" i="13"/>
  <c r="DN92" i="15" s="1"/>
  <c r="DP92" i="15" s="1"/>
  <c r="DP17" i="15" s="1"/>
  <c r="AZ21" i="13"/>
  <c r="DT96" i="15" s="1"/>
  <c r="DT17" i="15" s="1"/>
  <c r="AL10" i="13"/>
  <c r="AL12" i="13" s="1"/>
  <c r="AL16" i="13" s="1"/>
  <c r="AL17" i="13" s="1"/>
  <c r="AN49" i="13"/>
  <c r="AN9" i="13" s="1"/>
  <c r="AN42" i="13"/>
  <c r="AN8" i="13" s="1"/>
  <c r="AN37" i="13"/>
  <c r="AN6" i="13" s="1"/>
  <c r="AJ10" i="13"/>
  <c r="AJ12" i="13" s="1"/>
  <c r="AJ16" i="13" s="1"/>
  <c r="AJ17" i="13" s="1"/>
  <c r="JB189" i="15" l="1"/>
  <c r="JD188" i="15"/>
  <c r="JF188" i="15" s="1"/>
  <c r="JP196" i="15"/>
  <c r="JN17" i="15"/>
  <c r="JN197" i="15"/>
  <c r="HR165" i="15"/>
  <c r="HT165" i="15" s="1"/>
  <c r="IR180" i="15"/>
  <c r="IT180" i="15" s="1"/>
  <c r="HR17" i="15"/>
  <c r="EZ116" i="15"/>
  <c r="FB116" i="15" s="1"/>
  <c r="GT17" i="15"/>
  <c r="IX184" i="15"/>
  <c r="IV17" i="15"/>
  <c r="HF17" i="15"/>
  <c r="EL17" i="15"/>
  <c r="FP21" i="13"/>
  <c r="ID173" i="15"/>
  <c r="ID17" i="15"/>
  <c r="IH172" i="15"/>
  <c r="IF17" i="15"/>
  <c r="HZ168" i="15"/>
  <c r="HX17" i="15"/>
  <c r="HX169" i="15"/>
  <c r="HV164" i="15"/>
  <c r="HT17" i="15"/>
  <c r="HL161" i="15"/>
  <c r="HL17" i="15"/>
  <c r="HN160" i="15"/>
  <c r="HJ156" i="15"/>
  <c r="HH17" i="15"/>
  <c r="FV133" i="15"/>
  <c r="FX132" i="15"/>
  <c r="FZ132" i="15" s="1"/>
  <c r="GZ17" i="15"/>
  <c r="HB152" i="15"/>
  <c r="GX148" i="15"/>
  <c r="GV17" i="15"/>
  <c r="GP144" i="15"/>
  <c r="GN17" i="15"/>
  <c r="GN145" i="15"/>
  <c r="GH141" i="15"/>
  <c r="GH17" i="15"/>
  <c r="GJ140" i="15"/>
  <c r="DH21" i="13"/>
  <c r="GB136" i="15" s="1"/>
  <c r="FR128" i="15"/>
  <c r="FP17" i="15"/>
  <c r="FP129" i="15"/>
  <c r="FJ17" i="15"/>
  <c r="FL124" i="15"/>
  <c r="FF120" i="15"/>
  <c r="FD17" i="15"/>
  <c r="ET112" i="15"/>
  <c r="ER17" i="15"/>
  <c r="EP108" i="15"/>
  <c r="EN17" i="15"/>
  <c r="EF17" i="15"/>
  <c r="EH104" i="15"/>
  <c r="DN17" i="15"/>
  <c r="DN93" i="15"/>
  <c r="DP93" i="15" s="1"/>
  <c r="EB100" i="15"/>
  <c r="ED100" i="15" s="1"/>
  <c r="DV96" i="15"/>
  <c r="DR92" i="15"/>
  <c r="AN10" i="13"/>
  <c r="AN12" i="13" s="1"/>
  <c r="AN16" i="13" s="1"/>
  <c r="AN17" i="13" s="1"/>
  <c r="AN19" i="13" s="1"/>
  <c r="AN21" i="13" s="1"/>
  <c r="F1" i="15"/>
  <c r="CJ17" i="15"/>
  <c r="BZ40" i="15"/>
  <c r="BZ11" i="15" s="1"/>
  <c r="BZ17" i="15"/>
  <c r="BR17" i="15"/>
  <c r="BL17" i="15"/>
  <c r="BF17" i="15"/>
  <c r="AZ24" i="15"/>
  <c r="AZ11" i="15" s="1"/>
  <c r="AZ17" i="15"/>
  <c r="AN17" i="15"/>
  <c r="AH17" i="15"/>
  <c r="AB17" i="15"/>
  <c r="V17" i="15"/>
  <c r="P17" i="15"/>
  <c r="H17" i="15"/>
  <c r="AN20" i="15"/>
  <c r="AP20" i="15" s="1"/>
  <c r="AP11" i="15" s="1"/>
  <c r="J20" i="15"/>
  <c r="L20" i="15" s="1"/>
  <c r="N20" i="15" s="1"/>
  <c r="JD17" i="15" l="1"/>
  <c r="JD189" i="15"/>
  <c r="JF189" i="15" s="1"/>
  <c r="JP197" i="15"/>
  <c r="JR196" i="15"/>
  <c r="JP17" i="15"/>
  <c r="IR17" i="15"/>
  <c r="JH188" i="15"/>
  <c r="JF17" i="15"/>
  <c r="EZ17" i="15"/>
  <c r="GP145" i="15"/>
  <c r="IZ184" i="15"/>
  <c r="IX17" i="15"/>
  <c r="IV180" i="15"/>
  <c r="IT17" i="15"/>
  <c r="IJ17" i="15"/>
  <c r="IL176" i="15"/>
  <c r="IN176" i="15" s="1"/>
  <c r="IJ177" i="15"/>
  <c r="IF173" i="15"/>
  <c r="IJ172" i="15"/>
  <c r="IH17" i="15"/>
  <c r="HZ169" i="15"/>
  <c r="IB168" i="15"/>
  <c r="HZ17" i="15"/>
  <c r="HX164" i="15"/>
  <c r="HV17" i="15"/>
  <c r="HV165" i="15"/>
  <c r="FX133" i="15"/>
  <c r="FZ133" i="15" s="1"/>
  <c r="FX17" i="15"/>
  <c r="EB17" i="15"/>
  <c r="HP160" i="15"/>
  <c r="HN17" i="15"/>
  <c r="HN161" i="15"/>
  <c r="HL156" i="15"/>
  <c r="HJ17" i="15"/>
  <c r="HD152" i="15"/>
  <c r="HB17" i="15"/>
  <c r="GZ148" i="15"/>
  <c r="GX17" i="15"/>
  <c r="FR129" i="15"/>
  <c r="GR144" i="15"/>
  <c r="GP17" i="15"/>
  <c r="GL140" i="15"/>
  <c r="GJ17" i="15"/>
  <c r="GJ141" i="15"/>
  <c r="GB17" i="15"/>
  <c r="GD136" i="15"/>
  <c r="GB137" i="15"/>
  <c r="GB132" i="15"/>
  <c r="FZ17" i="15"/>
  <c r="FT128" i="15"/>
  <c r="FR17" i="15"/>
  <c r="FN124" i="15"/>
  <c r="FL17" i="15"/>
  <c r="FH120" i="15"/>
  <c r="FF17" i="15"/>
  <c r="FD116" i="15"/>
  <c r="FB17" i="15"/>
  <c r="EV112" i="15"/>
  <c r="ET17" i="15"/>
  <c r="ER108" i="15"/>
  <c r="EP17" i="15"/>
  <c r="EJ104" i="15"/>
  <c r="EH17" i="15"/>
  <c r="DT92" i="15"/>
  <c r="DT16" i="15" s="1"/>
  <c r="DR17" i="15"/>
  <c r="DX96" i="15"/>
  <c r="DV17" i="15"/>
  <c r="DR93" i="15"/>
  <c r="EF100" i="15"/>
  <c r="ED17" i="15"/>
  <c r="DF89" i="15"/>
  <c r="AR20" i="15"/>
  <c r="AT20" i="15" s="1"/>
  <c r="AT11" i="15" s="1"/>
  <c r="J17" i="15"/>
  <c r="L17" i="15"/>
  <c r="AN11" i="15"/>
  <c r="P20" i="15"/>
  <c r="N17" i="15"/>
  <c r="JT196" i="15" l="1"/>
  <c r="JR17" i="15"/>
  <c r="JR197" i="15"/>
  <c r="JJ188" i="15"/>
  <c r="JH16" i="15"/>
  <c r="AV20" i="15"/>
  <c r="AX20" i="15" s="1"/>
  <c r="JH189" i="15"/>
  <c r="GL141" i="15"/>
  <c r="IX180" i="15"/>
  <c r="IV16" i="15"/>
  <c r="JB184" i="15"/>
  <c r="IZ17" i="15"/>
  <c r="IL17" i="15"/>
  <c r="IL177" i="15"/>
  <c r="IN177" i="15" s="1"/>
  <c r="HZ164" i="15"/>
  <c r="HX16" i="15"/>
  <c r="HX165" i="15"/>
  <c r="IH173" i="15"/>
  <c r="IL172" i="15"/>
  <c r="IJ16" i="15"/>
  <c r="IP176" i="15"/>
  <c r="IN17" i="15"/>
  <c r="ID168" i="15"/>
  <c r="IB17" i="15"/>
  <c r="IB169" i="15"/>
  <c r="HN156" i="15"/>
  <c r="HL16" i="15"/>
  <c r="FT129" i="15"/>
  <c r="HP161" i="15"/>
  <c r="HR160" i="15"/>
  <c r="HP17" i="15"/>
  <c r="HB148" i="15"/>
  <c r="GZ16" i="15"/>
  <c r="HF152" i="15"/>
  <c r="HD17" i="15"/>
  <c r="GD132" i="15"/>
  <c r="GB16" i="15"/>
  <c r="GT144" i="15"/>
  <c r="GR17" i="15"/>
  <c r="GR145" i="15"/>
  <c r="GN140" i="15"/>
  <c r="GL17" i="15"/>
  <c r="GD137" i="15"/>
  <c r="GF136" i="15"/>
  <c r="GD17" i="15"/>
  <c r="GB133" i="15"/>
  <c r="FF116" i="15"/>
  <c r="FD16" i="15"/>
  <c r="FV128" i="15"/>
  <c r="FT17" i="15"/>
  <c r="FP124" i="15"/>
  <c r="FN17" i="15"/>
  <c r="FJ120" i="15"/>
  <c r="FH17" i="15"/>
  <c r="ET108" i="15"/>
  <c r="ER16" i="15"/>
  <c r="EX112" i="15"/>
  <c r="EV17" i="15"/>
  <c r="EL104" i="15"/>
  <c r="EJ17" i="15"/>
  <c r="AR11" i="15"/>
  <c r="EH100" i="15"/>
  <c r="EF16" i="15"/>
  <c r="DZ96" i="15"/>
  <c r="DX17" i="15"/>
  <c r="DV92" i="15"/>
  <c r="R20" i="15"/>
  <c r="P16" i="15"/>
  <c r="AV11" i="15"/>
  <c r="CB40" i="15"/>
  <c r="BR36" i="15"/>
  <c r="BL32" i="15"/>
  <c r="BF28" i="15"/>
  <c r="JV196" i="15" l="1"/>
  <c r="JT16" i="15"/>
  <c r="JJ189" i="15"/>
  <c r="JL188" i="15"/>
  <c r="JJ16" i="15"/>
  <c r="JD184" i="15"/>
  <c r="JB16" i="15"/>
  <c r="HZ165" i="15"/>
  <c r="IZ180" i="15"/>
  <c r="IX16" i="15"/>
  <c r="GD133" i="15"/>
  <c r="IJ173" i="15"/>
  <c r="IL173" i="15" s="1"/>
  <c r="IR176" i="15"/>
  <c r="IP16" i="15"/>
  <c r="IF168" i="15"/>
  <c r="ID16" i="15"/>
  <c r="HT160" i="15"/>
  <c r="HR16" i="15"/>
  <c r="IB164" i="15"/>
  <c r="HZ16" i="15"/>
  <c r="IN172" i="15"/>
  <c r="IL16" i="15"/>
  <c r="ID169" i="15"/>
  <c r="IF169" i="15" s="1"/>
  <c r="HH152" i="15"/>
  <c r="HF16" i="15"/>
  <c r="HP156" i="15"/>
  <c r="HN16" i="15"/>
  <c r="HR161" i="15"/>
  <c r="GV144" i="15"/>
  <c r="GT16" i="15"/>
  <c r="HD148" i="15"/>
  <c r="HB16" i="15"/>
  <c r="GF137" i="15"/>
  <c r="GF132" i="15"/>
  <c r="GD16" i="15"/>
  <c r="FX128" i="15"/>
  <c r="FV16" i="15"/>
  <c r="GP140" i="15"/>
  <c r="GN16" i="15"/>
  <c r="GN141" i="15"/>
  <c r="GH136" i="15"/>
  <c r="GF17" i="15"/>
  <c r="FH116" i="15"/>
  <c r="FF16" i="15"/>
  <c r="EZ112" i="15"/>
  <c r="EX16" i="15"/>
  <c r="FR124" i="15"/>
  <c r="FP16" i="15"/>
  <c r="FV129" i="15"/>
  <c r="FL120" i="15"/>
  <c r="FJ16" i="15"/>
  <c r="EN104" i="15"/>
  <c r="EL16" i="15"/>
  <c r="EV108" i="15"/>
  <c r="ET16" i="15"/>
  <c r="EJ100" i="15"/>
  <c r="EH16" i="15"/>
  <c r="EB96" i="15"/>
  <c r="DZ16" i="15"/>
  <c r="DX92" i="15"/>
  <c r="DV16" i="15"/>
  <c r="BN32" i="15"/>
  <c r="BL11" i="15"/>
  <c r="AZ20" i="15"/>
  <c r="AX11" i="15"/>
  <c r="CD40" i="15"/>
  <c r="CB11" i="15"/>
  <c r="T20" i="15"/>
  <c r="R16" i="15"/>
  <c r="BH28" i="15"/>
  <c r="BF11" i="15"/>
  <c r="BT36" i="15"/>
  <c r="BR11" i="15"/>
  <c r="BB24" i="15"/>
  <c r="JX196" i="15" l="1"/>
  <c r="JV16" i="15"/>
  <c r="JN188" i="15"/>
  <c r="JL16" i="15"/>
  <c r="JL189" i="15"/>
  <c r="JF184" i="15"/>
  <c r="JD16" i="15"/>
  <c r="HT161" i="15"/>
  <c r="GF133" i="15"/>
  <c r="IN173" i="15"/>
  <c r="JB180" i="15"/>
  <c r="IZ16" i="15"/>
  <c r="IT176" i="15"/>
  <c r="IR16" i="15"/>
  <c r="ID164" i="15"/>
  <c r="IB16" i="15"/>
  <c r="HV160" i="15"/>
  <c r="HT16" i="15"/>
  <c r="IH168" i="15"/>
  <c r="IF16" i="15"/>
  <c r="IB165" i="15"/>
  <c r="IP172" i="15"/>
  <c r="IN16" i="15"/>
  <c r="HR156" i="15"/>
  <c r="HP16" i="15"/>
  <c r="HJ152" i="15"/>
  <c r="HH16" i="15"/>
  <c r="HF148" i="15"/>
  <c r="HD16" i="15"/>
  <c r="GX144" i="15"/>
  <c r="GV16" i="15"/>
  <c r="FZ128" i="15"/>
  <c r="FX16" i="15"/>
  <c r="GJ136" i="15"/>
  <c r="GH16" i="15"/>
  <c r="GP141" i="15"/>
  <c r="GH132" i="15"/>
  <c r="GF16" i="15"/>
  <c r="FX129" i="15"/>
  <c r="GR140" i="15"/>
  <c r="GP16" i="15"/>
  <c r="GH137" i="15"/>
  <c r="GJ137" i="15" s="1"/>
  <c r="FT124" i="15"/>
  <c r="FR16" i="15"/>
  <c r="FB112" i="15"/>
  <c r="EZ16" i="15"/>
  <c r="FJ116" i="15"/>
  <c r="FH16" i="15"/>
  <c r="FN120" i="15"/>
  <c r="FL16" i="15"/>
  <c r="EX108" i="15"/>
  <c r="EV16" i="15"/>
  <c r="EP104" i="15"/>
  <c r="EN16" i="15"/>
  <c r="EL100" i="15"/>
  <c r="EJ16" i="15"/>
  <c r="ED96" i="15"/>
  <c r="EB16" i="15"/>
  <c r="DZ92" i="15"/>
  <c r="DX16" i="15"/>
  <c r="V20" i="15"/>
  <c r="T16" i="15"/>
  <c r="BB20" i="15"/>
  <c r="AZ10" i="15"/>
  <c r="AZ12" i="15" s="1"/>
  <c r="BJ28" i="15"/>
  <c r="BH11" i="15"/>
  <c r="CF40" i="15"/>
  <c r="CD11" i="15"/>
  <c r="BP32" i="15"/>
  <c r="BN11" i="15"/>
  <c r="BD24" i="15"/>
  <c r="BB11" i="15"/>
  <c r="BV36" i="15"/>
  <c r="BT11" i="15"/>
  <c r="CX79" i="12"/>
  <c r="BN5" i="12"/>
  <c r="BL5" i="12"/>
  <c r="BJ5" i="12"/>
  <c r="BH5" i="12"/>
  <c r="BF5" i="12"/>
  <c r="BD5" i="12"/>
  <c r="BB5" i="12"/>
  <c r="AZ5" i="12"/>
  <c r="AX5" i="12"/>
  <c r="AV5" i="12"/>
  <c r="AT5" i="12"/>
  <c r="AR5" i="12"/>
  <c r="AP5" i="12"/>
  <c r="AN5" i="12"/>
  <c r="AL5" i="12"/>
  <c r="AJ5" i="12"/>
  <c r="AH5" i="12"/>
  <c r="AF5" i="12"/>
  <c r="AD5" i="12"/>
  <c r="AB5" i="12"/>
  <c r="Z5" i="12"/>
  <c r="X5" i="12"/>
  <c r="V5" i="12"/>
  <c r="T5" i="12"/>
  <c r="R5" i="12"/>
  <c r="P5" i="12"/>
  <c r="N5" i="12"/>
  <c r="L5" i="12"/>
  <c r="J5" i="12"/>
  <c r="H5" i="12"/>
  <c r="F5" i="12"/>
  <c r="JZ196" i="15" l="1"/>
  <c r="JX16" i="15"/>
  <c r="JP188" i="15"/>
  <c r="JN15" i="15"/>
  <c r="JN189" i="15"/>
  <c r="JD180" i="15"/>
  <c r="JB15" i="15"/>
  <c r="JH184" i="15"/>
  <c r="JF16" i="15"/>
  <c r="ID165" i="15"/>
  <c r="IR172" i="15"/>
  <c r="IP15" i="15"/>
  <c r="IV176" i="15"/>
  <c r="IT16" i="15"/>
  <c r="HT156" i="15"/>
  <c r="HR15" i="15"/>
  <c r="IJ168" i="15"/>
  <c r="IH16" i="15"/>
  <c r="HX160" i="15"/>
  <c r="HV16" i="15"/>
  <c r="IF164" i="15"/>
  <c r="ID15" i="15"/>
  <c r="HV161" i="15"/>
  <c r="IH169" i="15"/>
  <c r="HH148" i="15"/>
  <c r="HF15" i="15"/>
  <c r="HL152" i="15"/>
  <c r="HJ16" i="15"/>
  <c r="FZ129" i="15"/>
  <c r="GZ144" i="15"/>
  <c r="GX16" i="15"/>
  <c r="GJ132" i="15"/>
  <c r="GH15" i="15"/>
  <c r="GL136" i="15"/>
  <c r="GJ16" i="15"/>
  <c r="GH133" i="15"/>
  <c r="GB128" i="15"/>
  <c r="FZ16" i="15"/>
  <c r="GT140" i="15"/>
  <c r="GR16" i="15"/>
  <c r="GR141" i="15"/>
  <c r="EZ108" i="15"/>
  <c r="EX15" i="15"/>
  <c r="FL116" i="15"/>
  <c r="FJ15" i="15"/>
  <c r="FD112" i="15"/>
  <c r="FB16" i="15"/>
  <c r="FV124" i="15"/>
  <c r="FT16" i="15"/>
  <c r="FP120" i="15"/>
  <c r="FN16" i="15"/>
  <c r="EN100" i="15"/>
  <c r="EL15" i="15"/>
  <c r="ER104" i="15"/>
  <c r="EP16" i="15"/>
  <c r="EB92" i="15"/>
  <c r="DZ15" i="15"/>
  <c r="EF96" i="15"/>
  <c r="ED16" i="15"/>
  <c r="BF24" i="15"/>
  <c r="BD11" i="15"/>
  <c r="CH40" i="15"/>
  <c r="CF11" i="15"/>
  <c r="BD20" i="15"/>
  <c r="BB10" i="15"/>
  <c r="BB12" i="15" s="1"/>
  <c r="BR32" i="15"/>
  <c r="BP11" i="15"/>
  <c r="BL28" i="15"/>
  <c r="BJ11" i="15"/>
  <c r="X20" i="15"/>
  <c r="V15" i="15"/>
  <c r="BX36" i="15"/>
  <c r="BV11" i="15"/>
  <c r="AJ3" i="12"/>
  <c r="KB196" i="15" l="1"/>
  <c r="JZ15" i="15"/>
  <c r="JP189" i="15"/>
  <c r="JR188" i="15"/>
  <c r="JP15" i="15"/>
  <c r="JJ184" i="15"/>
  <c r="JH15" i="15"/>
  <c r="IJ169" i="15"/>
  <c r="JF180" i="15"/>
  <c r="JD15" i="15"/>
  <c r="IF165" i="15"/>
  <c r="IX176" i="15"/>
  <c r="IV15" i="15"/>
  <c r="IT172" i="15"/>
  <c r="IR15" i="15"/>
  <c r="HZ160" i="15"/>
  <c r="HX15" i="15"/>
  <c r="HX161" i="15"/>
  <c r="IL168" i="15"/>
  <c r="IJ15" i="15"/>
  <c r="IH164" i="15"/>
  <c r="IF15" i="15"/>
  <c r="HV156" i="15"/>
  <c r="HT15" i="15"/>
  <c r="GJ133" i="15"/>
  <c r="HN152" i="15"/>
  <c r="HL15" i="15"/>
  <c r="HJ148" i="15"/>
  <c r="HH15" i="15"/>
  <c r="HB144" i="15"/>
  <c r="GZ15" i="15"/>
  <c r="GV140" i="15"/>
  <c r="GT15" i="15"/>
  <c r="GN136" i="15"/>
  <c r="GL16" i="15"/>
  <c r="GL137" i="15"/>
  <c r="GD128" i="15"/>
  <c r="GB15" i="15"/>
  <c r="FX124" i="15"/>
  <c r="FV15" i="15"/>
  <c r="GB129" i="15"/>
  <c r="GL132" i="15"/>
  <c r="GJ15" i="15"/>
  <c r="FR120" i="15"/>
  <c r="FP15" i="15"/>
  <c r="FF112" i="15"/>
  <c r="FD15" i="15"/>
  <c r="FN116" i="15"/>
  <c r="FL15" i="15"/>
  <c r="FB108" i="15"/>
  <c r="EZ15" i="15"/>
  <c r="ET104" i="15"/>
  <c r="ER15" i="15"/>
  <c r="EP100" i="15"/>
  <c r="EN15" i="15"/>
  <c r="EH96" i="15"/>
  <c r="EF15" i="15"/>
  <c r="ED92" i="15"/>
  <c r="EB15" i="15"/>
  <c r="BZ36" i="15"/>
  <c r="BX11" i="15"/>
  <c r="BN28" i="15"/>
  <c r="BL10" i="15"/>
  <c r="CJ40" i="15"/>
  <c r="CH11" i="15"/>
  <c r="Z20" i="15"/>
  <c r="X15" i="15"/>
  <c r="BT32" i="15"/>
  <c r="BR10" i="15"/>
  <c r="BF20" i="15"/>
  <c r="BD10" i="15"/>
  <c r="BD12" i="15" s="1"/>
  <c r="BH24" i="15"/>
  <c r="BF10" i="15"/>
  <c r="BV1" i="12"/>
  <c r="BX1" i="12"/>
  <c r="KD196" i="15" l="1"/>
  <c r="KB15" i="15"/>
  <c r="JT188" i="15"/>
  <c r="JR15" i="15"/>
  <c r="JR189" i="15"/>
  <c r="IL169" i="15"/>
  <c r="JL184" i="15"/>
  <c r="JJ15" i="15"/>
  <c r="JH180" i="15"/>
  <c r="JF15" i="15"/>
  <c r="IH165" i="15"/>
  <c r="GN137" i="15"/>
  <c r="HZ161" i="15"/>
  <c r="IZ176" i="15"/>
  <c r="IX15" i="15"/>
  <c r="IV172" i="15"/>
  <c r="IT15" i="15"/>
  <c r="HX156" i="15"/>
  <c r="HV15" i="15"/>
  <c r="IJ164" i="15"/>
  <c r="IH15" i="15"/>
  <c r="IN168" i="15"/>
  <c r="IL15" i="15"/>
  <c r="IB160" i="15"/>
  <c r="HZ15" i="15"/>
  <c r="HL148" i="15"/>
  <c r="HJ15" i="15"/>
  <c r="HP152" i="15"/>
  <c r="HN15" i="15"/>
  <c r="GX140" i="15"/>
  <c r="GV15" i="15"/>
  <c r="HD144" i="15"/>
  <c r="HB15" i="15"/>
  <c r="FZ124" i="15"/>
  <c r="FX15" i="15"/>
  <c r="GN132" i="15"/>
  <c r="GL15" i="15"/>
  <c r="GF128" i="15"/>
  <c r="GD15" i="15"/>
  <c r="GD129" i="15"/>
  <c r="GP136" i="15"/>
  <c r="GN15" i="15"/>
  <c r="GL133" i="15"/>
  <c r="FD108" i="15"/>
  <c r="FB15" i="15"/>
  <c r="FP116" i="15"/>
  <c r="FN15" i="15"/>
  <c r="FH112" i="15"/>
  <c r="FF15" i="15"/>
  <c r="FT120" i="15"/>
  <c r="FR15" i="15"/>
  <c r="ER100" i="15"/>
  <c r="EP15" i="15"/>
  <c r="EV104" i="15"/>
  <c r="ET15" i="15"/>
  <c r="EJ96" i="15"/>
  <c r="EH15" i="15"/>
  <c r="EF92" i="15"/>
  <c r="ED15" i="15"/>
  <c r="BJ24" i="15"/>
  <c r="BH10" i="15"/>
  <c r="BV32" i="15"/>
  <c r="BT10" i="15"/>
  <c r="BP28" i="15"/>
  <c r="BN10" i="15"/>
  <c r="BH20" i="15"/>
  <c r="BF9" i="15"/>
  <c r="BF12" i="15" s="1"/>
  <c r="AB20" i="15"/>
  <c r="Z15" i="15"/>
  <c r="CL40" i="15"/>
  <c r="CJ9" i="15"/>
  <c r="CB36" i="15"/>
  <c r="BZ10" i="15"/>
  <c r="BT1" i="12"/>
  <c r="AD11" i="16"/>
  <c r="AD10" i="16"/>
  <c r="AD9" i="16"/>
  <c r="AD21" i="16"/>
  <c r="AD20" i="16"/>
  <c r="AD19" i="16"/>
  <c r="AD17" i="16"/>
  <c r="AD7" i="16"/>
  <c r="AD15" i="16"/>
  <c r="AD14" i="16"/>
  <c r="AD5" i="16"/>
  <c r="AD4" i="16"/>
  <c r="AD47" i="13"/>
  <c r="KF196" i="15" l="1"/>
  <c r="KF14" i="15" s="1"/>
  <c r="KD15" i="15"/>
  <c r="JV188" i="15"/>
  <c r="JT14" i="15"/>
  <c r="JJ180" i="15"/>
  <c r="JH14" i="15"/>
  <c r="JN184" i="15"/>
  <c r="JL15" i="15"/>
  <c r="IB161" i="15"/>
  <c r="GP137" i="15"/>
  <c r="AD22" i="16"/>
  <c r="JB176" i="15"/>
  <c r="IZ15" i="15"/>
  <c r="IX172" i="15"/>
  <c r="IV14" i="15"/>
  <c r="IL164" i="15"/>
  <c r="IJ14" i="15"/>
  <c r="HZ156" i="15"/>
  <c r="HX14" i="15"/>
  <c r="HX18" i="15" s="1"/>
  <c r="IP168" i="15"/>
  <c r="IN15" i="15"/>
  <c r="ID160" i="15"/>
  <c r="IB15" i="15"/>
  <c r="IN169" i="15"/>
  <c r="HR152" i="15"/>
  <c r="HP15" i="15"/>
  <c r="GN133" i="15"/>
  <c r="HN148" i="15"/>
  <c r="HL14" i="15"/>
  <c r="AD12" i="16"/>
  <c r="HF144" i="15"/>
  <c r="HD15" i="15"/>
  <c r="GZ140" i="15"/>
  <c r="GX15" i="15"/>
  <c r="GF129" i="15"/>
  <c r="GP132" i="15"/>
  <c r="GN14" i="15"/>
  <c r="GH128" i="15"/>
  <c r="GF15" i="15"/>
  <c r="GR136" i="15"/>
  <c r="GP15" i="15"/>
  <c r="GB124" i="15"/>
  <c r="FZ15" i="15"/>
  <c r="FV120" i="15"/>
  <c r="FT15" i="15"/>
  <c r="FJ112" i="15"/>
  <c r="FH15" i="15"/>
  <c r="FR116" i="15"/>
  <c r="FP14" i="15"/>
  <c r="FF108" i="15"/>
  <c r="FD14" i="15"/>
  <c r="FD18" i="15" s="1"/>
  <c r="EX104" i="15"/>
  <c r="EV15" i="15"/>
  <c r="ET100" i="15"/>
  <c r="ER14" i="15"/>
  <c r="EH92" i="15"/>
  <c r="EF14" i="15"/>
  <c r="EF18" i="15" s="1"/>
  <c r="EL96" i="15"/>
  <c r="EJ15" i="15"/>
  <c r="CN40" i="15"/>
  <c r="CL9" i="15"/>
  <c r="BJ20" i="15"/>
  <c r="BH9" i="15"/>
  <c r="BH12" i="15" s="1"/>
  <c r="BX32" i="15"/>
  <c r="BV10" i="15"/>
  <c r="CD36" i="15"/>
  <c r="CB10" i="15"/>
  <c r="AD20" i="15"/>
  <c r="AB14" i="15"/>
  <c r="BR28" i="15"/>
  <c r="BP10" i="15"/>
  <c r="BL24" i="15"/>
  <c r="BJ10" i="15"/>
  <c r="CH1" i="12"/>
  <c r="BZ1" i="12"/>
  <c r="CB1" i="12"/>
  <c r="F8" i="11"/>
  <c r="AB7" i="11"/>
  <c r="N11" i="10"/>
  <c r="N10" i="10"/>
  <c r="N9" i="10"/>
  <c r="CJ48" i="15"/>
  <c r="CJ11" i="15" s="1"/>
  <c r="KH196" i="15" l="1"/>
  <c r="JT18" i="15"/>
  <c r="JX188" i="15"/>
  <c r="JX14" i="15" s="1"/>
  <c r="JX18" i="15" s="1"/>
  <c r="JV14" i="15"/>
  <c r="JV18" i="15" s="1"/>
  <c r="JP184" i="15"/>
  <c r="JN14" i="15"/>
  <c r="GR137" i="15"/>
  <c r="JH18" i="15"/>
  <c r="JL180" i="15"/>
  <c r="JL14" i="15" s="1"/>
  <c r="JL18" i="15" s="1"/>
  <c r="JJ14" i="15"/>
  <c r="JJ18" i="15" s="1"/>
  <c r="JD176" i="15"/>
  <c r="JB14" i="15"/>
  <c r="GP133" i="15"/>
  <c r="IR168" i="15"/>
  <c r="IP14" i="15"/>
  <c r="IP18" i="15" s="1"/>
  <c r="IV18" i="15"/>
  <c r="IZ172" i="15"/>
  <c r="IZ14" i="15" s="1"/>
  <c r="IZ18" i="15" s="1"/>
  <c r="IX14" i="15"/>
  <c r="IX18" i="15" s="1"/>
  <c r="IF160" i="15"/>
  <c r="ID14" i="15"/>
  <c r="ID18" i="15" s="1"/>
  <c r="IB156" i="15"/>
  <c r="IB14" i="15" s="1"/>
  <c r="IB18" i="15" s="1"/>
  <c r="HZ14" i="15"/>
  <c r="HZ18" i="15" s="1"/>
  <c r="HT152" i="15"/>
  <c r="HR14" i="15"/>
  <c r="HR18" i="15" s="1"/>
  <c r="IJ18" i="15"/>
  <c r="IN164" i="15"/>
  <c r="IN14" i="15" s="1"/>
  <c r="IN18" i="15" s="1"/>
  <c r="IL14" i="15"/>
  <c r="IL18" i="15" s="1"/>
  <c r="HH144" i="15"/>
  <c r="HF14" i="15"/>
  <c r="HF18" i="15" s="1"/>
  <c r="HL18" i="15"/>
  <c r="HP148" i="15"/>
  <c r="HP14" i="15" s="1"/>
  <c r="HP18" i="15" s="1"/>
  <c r="HN14" i="15"/>
  <c r="HN18" i="15" s="1"/>
  <c r="HB140" i="15"/>
  <c r="GZ14" i="15"/>
  <c r="FX120" i="15"/>
  <c r="FV14" i="15"/>
  <c r="FV18" i="15" s="1"/>
  <c r="GJ128" i="15"/>
  <c r="GH14" i="15"/>
  <c r="GH18" i="15" s="1"/>
  <c r="GD124" i="15"/>
  <c r="GB14" i="15"/>
  <c r="GB18" i="15" s="1"/>
  <c r="GN18" i="15"/>
  <c r="GR132" i="15"/>
  <c r="GR14" i="15" s="1"/>
  <c r="GP14" i="15"/>
  <c r="GP18" i="15" s="1"/>
  <c r="GT136" i="15"/>
  <c r="GR15" i="15"/>
  <c r="GH129" i="15"/>
  <c r="FP18" i="15"/>
  <c r="EZ104" i="15"/>
  <c r="EX14" i="15"/>
  <c r="EX18" i="15" s="1"/>
  <c r="FH108" i="15"/>
  <c r="FH14" i="15" s="1"/>
  <c r="FH18" i="15" s="1"/>
  <c r="FF14" i="15"/>
  <c r="FF18" i="15" s="1"/>
  <c r="FT116" i="15"/>
  <c r="FT14" i="15" s="1"/>
  <c r="FT18" i="15" s="1"/>
  <c r="FR14" i="15"/>
  <c r="FR18" i="15" s="1"/>
  <c r="FL112" i="15"/>
  <c r="FJ14" i="15"/>
  <c r="FJ18" i="15" s="1"/>
  <c r="ER18" i="15"/>
  <c r="EN96" i="15"/>
  <c r="EL14" i="15"/>
  <c r="EL18" i="15" s="1"/>
  <c r="EV100" i="15"/>
  <c r="EV14" i="15" s="1"/>
  <c r="EV18" i="15" s="1"/>
  <c r="ET14" i="15"/>
  <c r="ET18" i="15" s="1"/>
  <c r="AF11" i="13"/>
  <c r="AF27" i="13" s="1"/>
  <c r="AF28" i="13" s="1"/>
  <c r="CP5" i="12"/>
  <c r="CR5" i="15"/>
  <c r="EJ92" i="15"/>
  <c r="EJ14" i="15" s="1"/>
  <c r="EJ18" i="15" s="1"/>
  <c r="EH14" i="15"/>
  <c r="EH18" i="15" s="1"/>
  <c r="AH11" i="13"/>
  <c r="AH27" i="13" s="1"/>
  <c r="AH28" i="13" s="1"/>
  <c r="AD8" i="11"/>
  <c r="CR5" i="12"/>
  <c r="CT5" i="15"/>
  <c r="BT28" i="15"/>
  <c r="BR9" i="15"/>
  <c r="CF36" i="15"/>
  <c r="CD10" i="15"/>
  <c r="BJ9" i="15"/>
  <c r="BJ12" i="15" s="1"/>
  <c r="BL20" i="15"/>
  <c r="BN24" i="15"/>
  <c r="BL9" i="15"/>
  <c r="AD14" i="15"/>
  <c r="AF20" i="15"/>
  <c r="BZ32" i="15"/>
  <c r="BX10" i="15"/>
  <c r="CN9" i="15"/>
  <c r="CP40" i="15"/>
  <c r="CD1" i="12"/>
  <c r="CF1" i="12"/>
  <c r="CJ1" i="12"/>
  <c r="P10" i="10"/>
  <c r="P11" i="10"/>
  <c r="J10" i="10"/>
  <c r="J11" i="10"/>
  <c r="KJ196" i="15" l="1"/>
  <c r="KJ14" i="15" s="1"/>
  <c r="KH14" i="15"/>
  <c r="JN18" i="15"/>
  <c r="JR184" i="15"/>
  <c r="JR14" i="15" s="1"/>
  <c r="JR18" i="15" s="1"/>
  <c r="JP14" i="15"/>
  <c r="JP18" i="15" s="1"/>
  <c r="JB18" i="15"/>
  <c r="JF176" i="15"/>
  <c r="JF14" i="15" s="1"/>
  <c r="JF18" i="15" s="1"/>
  <c r="JD14" i="15"/>
  <c r="JD18" i="15" s="1"/>
  <c r="GJ129" i="15"/>
  <c r="IT168" i="15"/>
  <c r="IT14" i="15" s="1"/>
  <c r="IT18" i="15" s="1"/>
  <c r="IR14" i="15"/>
  <c r="IR18" i="15" s="1"/>
  <c r="HV152" i="15"/>
  <c r="HV14" i="15" s="1"/>
  <c r="HV18" i="15" s="1"/>
  <c r="HT14" i="15"/>
  <c r="HT18" i="15" s="1"/>
  <c r="IH160" i="15"/>
  <c r="IH14" i="15" s="1"/>
  <c r="IH18" i="15" s="1"/>
  <c r="IF14" i="15"/>
  <c r="IF18" i="15" s="1"/>
  <c r="HJ144" i="15"/>
  <c r="HJ14" i="15" s="1"/>
  <c r="HJ18" i="15" s="1"/>
  <c r="HH14" i="15"/>
  <c r="HH18" i="15" s="1"/>
  <c r="GV136" i="15"/>
  <c r="GT14" i="15"/>
  <c r="GT18" i="15" s="1"/>
  <c r="GZ18" i="15"/>
  <c r="HD140" i="15"/>
  <c r="HD14" i="15" s="1"/>
  <c r="HD18" i="15" s="1"/>
  <c r="HB14" i="15"/>
  <c r="HB18" i="15" s="1"/>
  <c r="GF124" i="15"/>
  <c r="GF14" i="15" s="1"/>
  <c r="GF18" i="15" s="1"/>
  <c r="GD14" i="15"/>
  <c r="GD18" i="15" s="1"/>
  <c r="GL128" i="15"/>
  <c r="GL14" i="15" s="1"/>
  <c r="GL18" i="15" s="1"/>
  <c r="GJ14" i="15"/>
  <c r="GJ18" i="15" s="1"/>
  <c r="GR18" i="15"/>
  <c r="FZ120" i="15"/>
  <c r="FZ14" i="15" s="1"/>
  <c r="FZ18" i="15" s="1"/>
  <c r="FX14" i="15"/>
  <c r="FX18" i="15" s="1"/>
  <c r="GR133" i="15"/>
  <c r="GT133" i="15" s="1"/>
  <c r="GV133" i="15" s="1"/>
  <c r="FN112" i="15"/>
  <c r="FN14" i="15" s="1"/>
  <c r="FN18" i="15" s="1"/>
  <c r="FL14" i="15"/>
  <c r="FL18" i="15" s="1"/>
  <c r="FB104" i="15"/>
  <c r="FB14" i="15" s="1"/>
  <c r="FB18" i="15" s="1"/>
  <c r="EZ14" i="15"/>
  <c r="EZ18" i="15" s="1"/>
  <c r="EP96" i="15"/>
  <c r="EP14" i="15" s="1"/>
  <c r="EP18" i="15" s="1"/>
  <c r="EN14" i="15"/>
  <c r="EN18" i="15" s="1"/>
  <c r="R25" i="10"/>
  <c r="R26" i="10"/>
  <c r="CB32" i="15"/>
  <c r="BZ9" i="15"/>
  <c r="BP24" i="15"/>
  <c r="BN9" i="15"/>
  <c r="CH36" i="15"/>
  <c r="CF10" i="15"/>
  <c r="CR40" i="15"/>
  <c r="CP9" i="15"/>
  <c r="AF14" i="15"/>
  <c r="BN20" i="15"/>
  <c r="BL8" i="15"/>
  <c r="BL12" i="15" s="1"/>
  <c r="BV28" i="15"/>
  <c r="BT9" i="15"/>
  <c r="CL1" i="12"/>
  <c r="AH37" i="13"/>
  <c r="AH6" i="13" s="1"/>
  <c r="AH42" i="13"/>
  <c r="AH49" i="13"/>
  <c r="AH9" i="13" s="1"/>
  <c r="AF29" i="13"/>
  <c r="AF49" i="13"/>
  <c r="AF9" i="13" s="1"/>
  <c r="AF37" i="13"/>
  <c r="AF6" i="13" s="1"/>
  <c r="AF42" i="13"/>
  <c r="AF8" i="13" s="1"/>
  <c r="GX136" i="15" l="1"/>
  <c r="GX14" i="15" s="1"/>
  <c r="GX18" i="15" s="1"/>
  <c r="GV14" i="15"/>
  <c r="GV18" i="15" s="1"/>
  <c r="GL129" i="15"/>
  <c r="GN129" i="15" s="1"/>
  <c r="GP129" i="15" s="1"/>
  <c r="AF10" i="13"/>
  <c r="AF12" i="13" s="1"/>
  <c r="AF16" i="13" s="1"/>
  <c r="AF17" i="13" s="1"/>
  <c r="BP20" i="15"/>
  <c r="BP8" i="15" s="1"/>
  <c r="BN8" i="15"/>
  <c r="BN12" i="15" s="1"/>
  <c r="CT40" i="15"/>
  <c r="CT9" i="15" s="1"/>
  <c r="CR9" i="15"/>
  <c r="BR24" i="15"/>
  <c r="BP9" i="15"/>
  <c r="BX28" i="15"/>
  <c r="BV9" i="15"/>
  <c r="CJ36" i="15"/>
  <c r="CH10" i="15"/>
  <c r="CD32" i="15"/>
  <c r="CB9" i="15"/>
  <c r="AB42" i="13"/>
  <c r="Z42" i="13"/>
  <c r="X42" i="13"/>
  <c r="AB35" i="13"/>
  <c r="AB37" i="13" s="1"/>
  <c r="Z35" i="13"/>
  <c r="Z37" i="13" s="1"/>
  <c r="X35" i="13"/>
  <c r="X37" i="13" s="1"/>
  <c r="F35" i="13"/>
  <c r="F37" i="13" s="1"/>
  <c r="H35" i="13"/>
  <c r="H37" i="13" s="1"/>
  <c r="J35" i="13"/>
  <c r="J37" i="13" s="1"/>
  <c r="L35" i="13"/>
  <c r="L37" i="13" s="1"/>
  <c r="N35" i="13"/>
  <c r="N37" i="13" s="1"/>
  <c r="P35" i="13"/>
  <c r="P37" i="13" s="1"/>
  <c r="F42" i="13"/>
  <c r="F44" i="13" s="1"/>
  <c r="F8" i="13" s="1"/>
  <c r="H42" i="13"/>
  <c r="H44" i="13" s="1"/>
  <c r="H8" i="13" s="1"/>
  <c r="J42" i="13"/>
  <c r="J44" i="13" s="1"/>
  <c r="J8" i="13" s="1"/>
  <c r="L42" i="13"/>
  <c r="L44" i="13" s="1"/>
  <c r="L8" i="13" s="1"/>
  <c r="N42" i="13"/>
  <c r="P42" i="13"/>
  <c r="T7" i="11"/>
  <c r="V7" i="11"/>
  <c r="X7" i="11"/>
  <c r="Z7" i="11"/>
  <c r="KV5" i="15" l="1"/>
  <c r="KT5" i="15"/>
  <c r="KR5" i="15"/>
  <c r="KR217" i="15" s="1"/>
  <c r="KT217" i="15" s="1"/>
  <c r="IV185" i="15"/>
  <c r="IX185" i="15" s="1"/>
  <c r="GZ153" i="15"/>
  <c r="HB153" i="15" s="1"/>
  <c r="HD153" i="15" s="1"/>
  <c r="CL5" i="12"/>
  <c r="CN5" i="15"/>
  <c r="CH5" i="12"/>
  <c r="CJ5" i="15"/>
  <c r="CN5" i="12"/>
  <c r="CP5" i="15"/>
  <c r="Z11" i="13"/>
  <c r="Z27" i="13" s="1"/>
  <c r="Z28" i="13" s="1"/>
  <c r="CJ5" i="12"/>
  <c r="CL5" i="15"/>
  <c r="AB11" i="13"/>
  <c r="AB27" i="13" s="1"/>
  <c r="AB28" i="13" s="1"/>
  <c r="CF32" i="15"/>
  <c r="CD9" i="15"/>
  <c r="BZ28" i="15"/>
  <c r="BX9" i="15"/>
  <c r="CL36" i="15"/>
  <c r="CJ8" i="15"/>
  <c r="CJ12" i="15" s="1"/>
  <c r="BT24" i="15"/>
  <c r="BR8" i="15"/>
  <c r="BR12" i="15" s="1"/>
  <c r="BP12" i="15"/>
  <c r="CN1" i="12"/>
  <c r="CP1" i="12"/>
  <c r="X11" i="13"/>
  <c r="X27" i="13" s="1"/>
  <c r="X28" i="13" s="1"/>
  <c r="AD11" i="13"/>
  <c r="EF105" i="15"/>
  <c r="BP5" i="15"/>
  <c r="BN5" i="15"/>
  <c r="BL5" i="15"/>
  <c r="BJ5" i="15"/>
  <c r="BH5" i="15"/>
  <c r="BF5" i="15"/>
  <c r="BF53" i="15" s="1"/>
  <c r="BD5" i="15"/>
  <c r="BB5" i="15"/>
  <c r="AZ5" i="15"/>
  <c r="AX5" i="15"/>
  <c r="AV5" i="15"/>
  <c r="AT5" i="15"/>
  <c r="AR5" i="15"/>
  <c r="AP5" i="15"/>
  <c r="AN5" i="15"/>
  <c r="AL5" i="15"/>
  <c r="AJ5" i="15"/>
  <c r="AH5" i="15"/>
  <c r="AF5" i="15"/>
  <c r="AD5" i="15"/>
  <c r="AB5" i="15"/>
  <c r="Z5" i="15"/>
  <c r="X5" i="15"/>
  <c r="V5" i="15"/>
  <c r="T5" i="15"/>
  <c r="R5" i="15"/>
  <c r="P5" i="15"/>
  <c r="N5" i="15"/>
  <c r="L5" i="15"/>
  <c r="J5" i="15"/>
  <c r="H5" i="15"/>
  <c r="H21" i="15" s="1"/>
  <c r="H1" i="15" s="1"/>
  <c r="H7" i="11"/>
  <c r="F7" i="11"/>
  <c r="AB6" i="11"/>
  <c r="Z6" i="11"/>
  <c r="J7" i="11"/>
  <c r="L7" i="11"/>
  <c r="R7" i="11"/>
  <c r="P7" i="11"/>
  <c r="N7" i="11"/>
  <c r="AD3" i="11"/>
  <c r="KV217" i="15" l="1"/>
  <c r="KX217" i="15" s="1"/>
  <c r="KZ217" i="15" s="1"/>
  <c r="LB217" i="15" s="1"/>
  <c r="LD217" i="15" s="1"/>
  <c r="LF217" i="15" s="1"/>
  <c r="LH217" i="15" s="1"/>
  <c r="LJ217" i="15" s="1"/>
  <c r="LL217" i="15" s="1"/>
  <c r="LN217" i="15" s="1"/>
  <c r="LP217" i="15" s="1"/>
  <c r="LR217" i="15" s="1"/>
  <c r="JT197" i="15"/>
  <c r="JV197" i="15" s="1"/>
  <c r="JT201" i="15"/>
  <c r="JV201" i="15" s="1"/>
  <c r="JX201" i="15" s="1"/>
  <c r="JT189" i="15"/>
  <c r="JV189" i="15" s="1"/>
  <c r="JX189" i="15" s="1"/>
  <c r="JZ189" i="15" s="1"/>
  <c r="KB189" i="15" s="1"/>
  <c r="JT193" i="15"/>
  <c r="JV193" i="15" s="1"/>
  <c r="JX193" i="15" s="1"/>
  <c r="KL5" i="15"/>
  <c r="KL213" i="15" s="1"/>
  <c r="IZ185" i="15"/>
  <c r="KH5" i="15"/>
  <c r="KN5" i="15"/>
  <c r="KP5" i="15"/>
  <c r="KJ5" i="15"/>
  <c r="KF5" i="15"/>
  <c r="HF157" i="15"/>
  <c r="HH157" i="15" s="1"/>
  <c r="HJ157" i="15" s="1"/>
  <c r="HL157" i="15" s="1"/>
  <c r="HN157" i="15" s="1"/>
  <c r="HP157" i="15" s="1"/>
  <c r="HR157" i="15" s="1"/>
  <c r="HT157" i="15" s="1"/>
  <c r="HV157" i="15" s="1"/>
  <c r="HX157" i="15" s="1"/>
  <c r="HZ157" i="15" s="1"/>
  <c r="IB157" i="15" s="1"/>
  <c r="ID157" i="15" s="1"/>
  <c r="IF157" i="15" s="1"/>
  <c r="HF153" i="15"/>
  <c r="HH153" i="15" s="1"/>
  <c r="HJ153" i="15" s="1"/>
  <c r="HL153" i="15" s="1"/>
  <c r="HN153" i="15" s="1"/>
  <c r="HP153" i="15" s="1"/>
  <c r="ID161" i="15"/>
  <c r="IJ165" i="15"/>
  <c r="IL165" i="15" s="1"/>
  <c r="IN165" i="15" s="1"/>
  <c r="IP165" i="15" s="1"/>
  <c r="IR165" i="15" s="1"/>
  <c r="CD5" i="15"/>
  <c r="IP169" i="15"/>
  <c r="Z6" i="13"/>
  <c r="Z49" i="13"/>
  <c r="Z9" i="13" s="1"/>
  <c r="X6" i="13"/>
  <c r="AB49" i="13"/>
  <c r="AB9" i="13" s="1"/>
  <c r="X49" i="13"/>
  <c r="X9" i="13" s="1"/>
  <c r="CD5" i="12"/>
  <c r="P11" i="13"/>
  <c r="P28" i="13" s="1"/>
  <c r="P29" i="13" s="1"/>
  <c r="BZ5" i="12"/>
  <c r="F11" i="13"/>
  <c r="F49" i="13" s="1"/>
  <c r="F9" i="13" s="1"/>
  <c r="BP5" i="12"/>
  <c r="BT5" i="12"/>
  <c r="R11" i="13"/>
  <c r="CB5" i="12"/>
  <c r="CH5" i="15"/>
  <c r="CF5" i="12"/>
  <c r="N11" i="13"/>
  <c r="N28" i="13" s="1"/>
  <c r="N29" i="13" s="1"/>
  <c r="BX5" i="12"/>
  <c r="H11" i="13"/>
  <c r="H49" i="13" s="1"/>
  <c r="H9" i="13" s="1"/>
  <c r="BR5" i="12"/>
  <c r="L11" i="13"/>
  <c r="L28" i="13" s="1"/>
  <c r="BV5" i="12"/>
  <c r="CB5" i="15"/>
  <c r="AB6" i="13"/>
  <c r="FD121" i="15"/>
  <c r="FF121" i="15" s="1"/>
  <c r="DT97" i="15"/>
  <c r="DT93" i="15"/>
  <c r="BV24" i="15"/>
  <c r="BT8" i="15"/>
  <c r="BT12" i="15" s="1"/>
  <c r="CB28" i="15"/>
  <c r="BZ8" i="15"/>
  <c r="BZ12" i="15" s="1"/>
  <c r="J21" i="15"/>
  <c r="CN36" i="15"/>
  <c r="CL8" i="15"/>
  <c r="CH32" i="15"/>
  <c r="CH9" i="15" s="1"/>
  <c r="CF9" i="15"/>
  <c r="CR1" i="12"/>
  <c r="AL3" i="15"/>
  <c r="J11" i="13"/>
  <c r="AD7" i="11"/>
  <c r="V11" i="13"/>
  <c r="BV5" i="15"/>
  <c r="AB44" i="13"/>
  <c r="AB8" i="13" s="1"/>
  <c r="AB29" i="13"/>
  <c r="Z44" i="13"/>
  <c r="Z8" i="13" s="1"/>
  <c r="Z29" i="13"/>
  <c r="P9" i="10"/>
  <c r="J9" i="10"/>
  <c r="T11" i="13"/>
  <c r="BX5" i="15"/>
  <c r="CF5" i="15"/>
  <c r="AD27" i="13"/>
  <c r="AD28" i="13" s="1"/>
  <c r="BT5" i="15"/>
  <c r="AD6" i="11"/>
  <c r="DH88" i="15"/>
  <c r="DH89" i="15" s="1"/>
  <c r="BR5" i="15"/>
  <c r="BZ5" i="15"/>
  <c r="X44" i="13"/>
  <c r="X8" i="13" s="1"/>
  <c r="X29" i="13"/>
  <c r="EH105" i="15"/>
  <c r="EJ105" i="15" s="1"/>
  <c r="KN213" i="15" l="1"/>
  <c r="KP213" i="15" s="1"/>
  <c r="KR213" i="15" s="1"/>
  <c r="KT213" i="15" s="1"/>
  <c r="KV213" i="15" s="1"/>
  <c r="KX213" i="15" s="1"/>
  <c r="KZ213" i="15" s="1"/>
  <c r="LB213" i="15" s="1"/>
  <c r="LD213" i="15" s="1"/>
  <c r="LF213" i="15" s="1"/>
  <c r="LH213" i="15" s="1"/>
  <c r="LJ213" i="15" s="1"/>
  <c r="LL213" i="15" s="1"/>
  <c r="HF21" i="13"/>
  <c r="KB204" i="15" s="1"/>
  <c r="KF209" i="15"/>
  <c r="JZ205" i="15"/>
  <c r="JZ17" i="15"/>
  <c r="JZ201" i="15"/>
  <c r="KB201" i="15" s="1"/>
  <c r="KD201" i="15" s="1"/>
  <c r="KF201" i="15" s="1"/>
  <c r="KH201" i="15" s="1"/>
  <c r="KJ201" i="15" s="1"/>
  <c r="KL201" i="15" s="1"/>
  <c r="KN201" i="15" s="1"/>
  <c r="KP201" i="15" s="1"/>
  <c r="KR201" i="15" s="1"/>
  <c r="KT201" i="15" s="1"/>
  <c r="JX197" i="15"/>
  <c r="JZ193" i="15"/>
  <c r="KB193" i="15" s="1"/>
  <c r="KD193" i="15" s="1"/>
  <c r="KF193" i="15" s="1"/>
  <c r="KH193" i="15" s="1"/>
  <c r="L6" i="13"/>
  <c r="X10" i="13"/>
  <c r="X12" i="13" s="1"/>
  <c r="X16" i="13" s="1"/>
  <c r="X17" i="13" s="1"/>
  <c r="IR169" i="15"/>
  <c r="IT169" i="15" s="1"/>
  <c r="IV169" i="15" s="1"/>
  <c r="IX169" i="15" s="1"/>
  <c r="JB185" i="15"/>
  <c r="JD185" i="15" s="1"/>
  <c r="JF185" i="15" s="1"/>
  <c r="IP181" i="15"/>
  <c r="IR181" i="15" s="1"/>
  <c r="IT181" i="15" s="1"/>
  <c r="IV181" i="15" s="1"/>
  <c r="IX181" i="15" s="1"/>
  <c r="IZ181" i="15" s="1"/>
  <c r="JB181" i="15" s="1"/>
  <c r="JD181" i="15" s="1"/>
  <c r="JF181" i="15" s="1"/>
  <c r="JH181" i="15" s="1"/>
  <c r="JJ181" i="15" s="1"/>
  <c r="JL181" i="15" s="1"/>
  <c r="JN181" i="15" s="1"/>
  <c r="JP181" i="15" s="1"/>
  <c r="IP177" i="15"/>
  <c r="IR177" i="15" s="1"/>
  <c r="IT177" i="15" s="1"/>
  <c r="IV177" i="15" s="1"/>
  <c r="IX177" i="15" s="1"/>
  <c r="IZ177" i="15" s="1"/>
  <c r="JB177" i="15" s="1"/>
  <c r="JD177" i="15" s="1"/>
  <c r="JF177" i="15" s="1"/>
  <c r="JH177" i="15" s="1"/>
  <c r="JJ177" i="15" s="1"/>
  <c r="IP173" i="15"/>
  <c r="IR173" i="15" s="1"/>
  <c r="IT173" i="15" s="1"/>
  <c r="IV173" i="15" s="1"/>
  <c r="IX173" i="15" s="1"/>
  <c r="IZ173" i="15" s="1"/>
  <c r="JB173" i="15" s="1"/>
  <c r="JD173" i="15" s="1"/>
  <c r="L49" i="13"/>
  <c r="L9" i="13" s="1"/>
  <c r="IF161" i="15"/>
  <c r="IH161" i="15" s="1"/>
  <c r="IJ161" i="15" s="1"/>
  <c r="IL161" i="15" s="1"/>
  <c r="HR153" i="15"/>
  <c r="HT153" i="15" s="1"/>
  <c r="HV153" i="15" s="1"/>
  <c r="HX153" i="15" s="1"/>
  <c r="HZ153" i="15" s="1"/>
  <c r="Z10" i="13"/>
  <c r="Z12" i="13" s="1"/>
  <c r="Z16" i="13" s="1"/>
  <c r="Z17" i="13" s="1"/>
  <c r="GT149" i="15"/>
  <c r="GV149" i="15" s="1"/>
  <c r="GX149" i="15" s="1"/>
  <c r="GZ149" i="15" s="1"/>
  <c r="HB149" i="15" s="1"/>
  <c r="HD149" i="15" s="1"/>
  <c r="HF149" i="15" s="1"/>
  <c r="HH149" i="15" s="1"/>
  <c r="HJ149" i="15" s="1"/>
  <c r="HL149" i="15" s="1"/>
  <c r="HN149" i="15" s="1"/>
  <c r="HP149" i="15" s="1"/>
  <c r="HR149" i="15" s="1"/>
  <c r="HT149" i="15" s="1"/>
  <c r="GT145" i="15"/>
  <c r="GV145" i="15" s="1"/>
  <c r="GX145" i="15" s="1"/>
  <c r="GZ145" i="15" s="1"/>
  <c r="HB145" i="15" s="1"/>
  <c r="HD145" i="15" s="1"/>
  <c r="HF145" i="15" s="1"/>
  <c r="HH145" i="15" s="1"/>
  <c r="HJ145" i="15" s="1"/>
  <c r="HL145" i="15" s="1"/>
  <c r="HN145" i="15" s="1"/>
  <c r="GT141" i="15"/>
  <c r="GV141" i="15" s="1"/>
  <c r="GX141" i="15" s="1"/>
  <c r="GZ141" i="15" s="1"/>
  <c r="HB141" i="15" s="1"/>
  <c r="HD141" i="15" s="1"/>
  <c r="HF141" i="15" s="1"/>
  <c r="HH141" i="15" s="1"/>
  <c r="GT137" i="15"/>
  <c r="GV137" i="15" s="1"/>
  <c r="GX137" i="15" s="1"/>
  <c r="GZ137" i="15" s="1"/>
  <c r="HB137" i="15" s="1"/>
  <c r="N44" i="13"/>
  <c r="N8" i="13" s="1"/>
  <c r="F6" i="13"/>
  <c r="F10" i="13" s="1"/>
  <c r="F12" i="13" s="1"/>
  <c r="F16" i="13" s="1"/>
  <c r="F17" i="13" s="1"/>
  <c r="N6" i="13"/>
  <c r="N49" i="13"/>
  <c r="N9" i="13" s="1"/>
  <c r="FH121" i="15"/>
  <c r="R24" i="10"/>
  <c r="ER113" i="15"/>
  <c r="EX117" i="15"/>
  <c r="DZ101" i="15"/>
  <c r="FJ125" i="15"/>
  <c r="P44" i="13"/>
  <c r="P8" i="13" s="1"/>
  <c r="H6" i="13"/>
  <c r="H10" i="13" s="1"/>
  <c r="H12" i="13" s="1"/>
  <c r="H16" i="13" s="1"/>
  <c r="H17" i="13" s="1"/>
  <c r="P49" i="13"/>
  <c r="P9" i="13" s="1"/>
  <c r="P6" i="13"/>
  <c r="AB10" i="13"/>
  <c r="AB12" i="13" s="1"/>
  <c r="AB16" i="13" s="1"/>
  <c r="AB17" i="13" s="1"/>
  <c r="CX80" i="12"/>
  <c r="CZ78" i="12" s="1"/>
  <c r="DH17" i="15"/>
  <c r="DJ88" i="15"/>
  <c r="DJ89" i="15" s="1"/>
  <c r="L21" i="15"/>
  <c r="J1" i="15"/>
  <c r="R34" i="10"/>
  <c r="J11" i="14" s="1"/>
  <c r="CD28" i="15"/>
  <c r="CB8" i="15"/>
  <c r="CB12" i="15" s="1"/>
  <c r="CP36" i="15"/>
  <c r="CN8" i="15"/>
  <c r="BV8" i="15"/>
  <c r="BV12" i="15" s="1"/>
  <c r="BX24" i="15"/>
  <c r="AD29" i="13"/>
  <c r="AD37" i="13"/>
  <c r="AD6" i="13" s="1"/>
  <c r="AD42" i="13"/>
  <c r="AD8" i="13" s="1"/>
  <c r="AD49" i="13"/>
  <c r="AD9" i="13" s="1"/>
  <c r="DV97" i="15"/>
  <c r="EL109" i="15"/>
  <c r="EN109" i="15" s="1"/>
  <c r="EP109" i="15" s="1"/>
  <c r="ER109" i="15" s="1"/>
  <c r="ET109" i="15" s="1"/>
  <c r="EV109" i="15" s="1"/>
  <c r="EX109" i="15" s="1"/>
  <c r="EZ109" i="15" s="1"/>
  <c r="FB109" i="15" s="1"/>
  <c r="FD109" i="15" s="1"/>
  <c r="FF109" i="15" s="1"/>
  <c r="FH109" i="15" s="1"/>
  <c r="FJ109" i="15" s="1"/>
  <c r="FL109" i="15" s="1"/>
  <c r="CP77" i="15"/>
  <c r="J49" i="13"/>
  <c r="J9" i="13" s="1"/>
  <c r="J28" i="13"/>
  <c r="J6" i="13"/>
  <c r="KD204" i="15" l="1"/>
  <c r="KB17" i="15"/>
  <c r="KB18" i="15" s="1"/>
  <c r="JZ18" i="15"/>
  <c r="KB205" i="15"/>
  <c r="JZ197" i="15"/>
  <c r="JH185" i="15"/>
  <c r="JJ185" i="15" s="1"/>
  <c r="JL185" i="15" s="1"/>
  <c r="JN185" i="15" s="1"/>
  <c r="JP185" i="15" s="1"/>
  <c r="JR185" i="15" s="1"/>
  <c r="JT185" i="15" s="1"/>
  <c r="JV185" i="15" s="1"/>
  <c r="L10" i="13"/>
  <c r="L12" i="13" s="1"/>
  <c r="L16" i="13" s="1"/>
  <c r="L17" i="13" s="1"/>
  <c r="P10" i="13"/>
  <c r="P12" i="13" s="1"/>
  <c r="P16" i="13" s="1"/>
  <c r="P17" i="13" s="1"/>
  <c r="FL125" i="15"/>
  <c r="FN125" i="15" s="1"/>
  <c r="FP125" i="15" s="1"/>
  <c r="FR125" i="15" s="1"/>
  <c r="FT125" i="15" s="1"/>
  <c r="FV125" i="15" s="1"/>
  <c r="FX125" i="15" s="1"/>
  <c r="FZ125" i="15" s="1"/>
  <c r="GB125" i="15" s="1"/>
  <c r="GD125" i="15" s="1"/>
  <c r="GF125" i="15" s="1"/>
  <c r="GH125" i="15" s="1"/>
  <c r="GJ125" i="15" s="1"/>
  <c r="FJ121" i="15"/>
  <c r="FL121" i="15" s="1"/>
  <c r="FN121" i="15" s="1"/>
  <c r="FP121" i="15" s="1"/>
  <c r="FR121" i="15" s="1"/>
  <c r="FT121" i="15" s="1"/>
  <c r="FV121" i="15" s="1"/>
  <c r="FX121" i="15" s="1"/>
  <c r="FZ121" i="15" s="1"/>
  <c r="GB121" i="15" s="1"/>
  <c r="GD121" i="15" s="1"/>
  <c r="N10" i="13"/>
  <c r="N12" i="13" s="1"/>
  <c r="N16" i="13" s="1"/>
  <c r="N17" i="13" s="1"/>
  <c r="EZ117" i="15"/>
  <c r="FB117" i="15" s="1"/>
  <c r="FD117" i="15" s="1"/>
  <c r="FF117" i="15" s="1"/>
  <c r="FH117" i="15" s="1"/>
  <c r="FJ117" i="15" s="1"/>
  <c r="FL117" i="15" s="1"/>
  <c r="FN117" i="15" s="1"/>
  <c r="FP117" i="15" s="1"/>
  <c r="FR117" i="15" s="1"/>
  <c r="FT117" i="15" s="1"/>
  <c r="FV117" i="15" s="1"/>
  <c r="FX117" i="15" s="1"/>
  <c r="ET113" i="15"/>
  <c r="EL105" i="15"/>
  <c r="EN105" i="15" s="1"/>
  <c r="EP105" i="15" s="1"/>
  <c r="ER105" i="15" s="1"/>
  <c r="ET105" i="15" s="1"/>
  <c r="EV105" i="15" s="1"/>
  <c r="EX105" i="15" s="1"/>
  <c r="EZ105" i="15" s="1"/>
  <c r="FB105" i="15" s="1"/>
  <c r="FD105" i="15" s="1"/>
  <c r="FF105" i="15" s="1"/>
  <c r="EB101" i="15"/>
  <c r="ED101" i="15" s="1"/>
  <c r="EF101" i="15" s="1"/>
  <c r="EH101" i="15" s="1"/>
  <c r="EJ101" i="15" s="1"/>
  <c r="EL101" i="15" s="1"/>
  <c r="EN101" i="15" s="1"/>
  <c r="EP101" i="15" s="1"/>
  <c r="ER101" i="15" s="1"/>
  <c r="ET101" i="15" s="1"/>
  <c r="EV101" i="15" s="1"/>
  <c r="EX101" i="15" s="1"/>
  <c r="EZ101" i="15" s="1"/>
  <c r="DX97" i="15"/>
  <c r="DZ97" i="15" s="1"/>
  <c r="EB97" i="15" s="1"/>
  <c r="ED97" i="15" s="1"/>
  <c r="EF97" i="15" s="1"/>
  <c r="EH97" i="15" s="1"/>
  <c r="EJ97" i="15" s="1"/>
  <c r="EL97" i="15" s="1"/>
  <c r="EN97" i="15" s="1"/>
  <c r="EP97" i="15" s="1"/>
  <c r="DV93" i="15"/>
  <c r="DX93" i="15" s="1"/>
  <c r="DZ93" i="15" s="1"/>
  <c r="EB93" i="15" s="1"/>
  <c r="ED93" i="15" s="1"/>
  <c r="EF93" i="15" s="1"/>
  <c r="EH93" i="15" s="1"/>
  <c r="EJ93" i="15" s="1"/>
  <c r="EL93" i="15" s="1"/>
  <c r="EN93" i="15" s="1"/>
  <c r="J10" i="13"/>
  <c r="J12" i="13" s="1"/>
  <c r="J16" i="13" s="1"/>
  <c r="J17" i="13" s="1"/>
  <c r="DJ17" i="15"/>
  <c r="DL88" i="15"/>
  <c r="DL17" i="15" s="1"/>
  <c r="N21" i="15"/>
  <c r="L1" i="15"/>
  <c r="CR36" i="15"/>
  <c r="CP8" i="15"/>
  <c r="CF28" i="15"/>
  <c r="CD8" i="15"/>
  <c r="CD12" i="15" s="1"/>
  <c r="BX8" i="15"/>
  <c r="BX12" i="15" s="1"/>
  <c r="CT1" i="12"/>
  <c r="CV1" i="12"/>
  <c r="AD10" i="13"/>
  <c r="AD12" i="13" s="1"/>
  <c r="AD16" i="13" s="1"/>
  <c r="AD17" i="13" s="1"/>
  <c r="V27" i="13"/>
  <c r="T27" i="13"/>
  <c r="R27" i="13"/>
  <c r="R49" i="13"/>
  <c r="N8" i="10"/>
  <c r="P8" i="10" s="1"/>
  <c r="J8" i="10"/>
  <c r="N7" i="10"/>
  <c r="P7" i="10" s="1"/>
  <c r="J7" i="10"/>
  <c r="N6" i="10"/>
  <c r="P6" i="10" s="1"/>
  <c r="J6" i="10"/>
  <c r="CD69" i="15"/>
  <c r="CF68" i="15"/>
  <c r="BR61" i="15"/>
  <c r="BT60" i="15"/>
  <c r="BL57" i="15"/>
  <c r="BN56" i="15"/>
  <c r="BH52" i="15"/>
  <c r="AZ49" i="15"/>
  <c r="BB48" i="15"/>
  <c r="AP40" i="15"/>
  <c r="AJ36" i="15"/>
  <c r="AJ17" i="15" s="1"/>
  <c r="AD32" i="15"/>
  <c r="AD17" i="15" s="1"/>
  <c r="X28" i="15"/>
  <c r="X17" i="15" s="1"/>
  <c r="P25" i="15"/>
  <c r="R24" i="15"/>
  <c r="N5" i="10"/>
  <c r="N4" i="10"/>
  <c r="N3" i="10"/>
  <c r="V35" i="13"/>
  <c r="V37" i="13" s="1"/>
  <c r="V6" i="13" s="1"/>
  <c r="T35" i="13"/>
  <c r="T37" i="13" s="1"/>
  <c r="KD205" i="15" l="1"/>
  <c r="KL208" i="15"/>
  <c r="KH209" i="15"/>
  <c r="KF204" i="15"/>
  <c r="KF16" i="15" s="1"/>
  <c r="KF18" i="15" s="1"/>
  <c r="KD17" i="15"/>
  <c r="KD18" i="15" s="1"/>
  <c r="KB197" i="15"/>
  <c r="P19" i="13"/>
  <c r="EV113" i="15"/>
  <c r="EX113" i="15" s="1"/>
  <c r="EZ113" i="15" s="1"/>
  <c r="FB113" i="15" s="1"/>
  <c r="FD113" i="15" s="1"/>
  <c r="FF113" i="15" s="1"/>
  <c r="FH113" i="15" s="1"/>
  <c r="FJ113" i="15" s="1"/>
  <c r="FL113" i="15" s="1"/>
  <c r="FN113" i="15" s="1"/>
  <c r="FP113" i="15" s="1"/>
  <c r="FR113" i="15" s="1"/>
  <c r="DL89" i="15"/>
  <c r="DN88" i="15"/>
  <c r="DN16" i="15" s="1"/>
  <c r="P21" i="15"/>
  <c r="R21" i="15" s="1"/>
  <c r="T21" i="15" s="1"/>
  <c r="V21" i="15" s="1"/>
  <c r="X21" i="15" s="1"/>
  <c r="Z21" i="15" s="1"/>
  <c r="AB21" i="15" s="1"/>
  <c r="AD21" i="15" s="1"/>
  <c r="AF21" i="15" s="1"/>
  <c r="AH21" i="15" s="1"/>
  <c r="AJ21" i="15" s="1"/>
  <c r="N1" i="15"/>
  <c r="BD48" i="15"/>
  <c r="BB17" i="15"/>
  <c r="BP56" i="15"/>
  <c r="BN17" i="15"/>
  <c r="AR40" i="15"/>
  <c r="AP17" i="15"/>
  <c r="CH28" i="15"/>
  <c r="CH8" i="15" s="1"/>
  <c r="CH12" i="15" s="1"/>
  <c r="CF8" i="15"/>
  <c r="CF12" i="15" s="1"/>
  <c r="T24" i="15"/>
  <c r="R17" i="15"/>
  <c r="BJ52" i="15"/>
  <c r="BH17" i="15"/>
  <c r="BV60" i="15"/>
  <c r="BT17" i="15"/>
  <c r="CT36" i="15"/>
  <c r="CT8" i="15" s="1"/>
  <c r="CR8" i="15"/>
  <c r="CX1" i="12"/>
  <c r="BT61" i="15"/>
  <c r="BZ65" i="15"/>
  <c r="R21" i="10"/>
  <c r="T6" i="13"/>
  <c r="R28" i="13"/>
  <c r="R29" i="13" s="1"/>
  <c r="R22" i="10"/>
  <c r="CF69" i="15"/>
  <c r="CL48" i="15"/>
  <c r="CH68" i="15"/>
  <c r="CB64" i="15"/>
  <c r="CB17" i="15" s="1"/>
  <c r="BN57" i="15"/>
  <c r="BH53" i="15"/>
  <c r="BB49" i="15"/>
  <c r="AL36" i="15"/>
  <c r="AF32" i="15"/>
  <c r="Z28" i="15"/>
  <c r="R25" i="15"/>
  <c r="AN41" i="15"/>
  <c r="AH37" i="15"/>
  <c r="AB33" i="15"/>
  <c r="V29" i="15"/>
  <c r="KN208" i="15" l="1"/>
  <c r="KP208" i="15" s="1"/>
  <c r="KR208" i="15" s="1"/>
  <c r="KT208" i="15" s="1"/>
  <c r="KV208" i="15" s="1"/>
  <c r="KX208" i="15" s="1"/>
  <c r="KZ208" i="15" s="1"/>
  <c r="LB208" i="15" s="1"/>
  <c r="KL16" i="15"/>
  <c r="KJ209" i="15"/>
  <c r="KH204" i="15"/>
  <c r="KF205" i="15"/>
  <c r="KD197" i="15"/>
  <c r="BD49" i="15"/>
  <c r="CH73" i="15"/>
  <c r="P21" i="13"/>
  <c r="DN89" i="15"/>
  <c r="BJ53" i="15"/>
  <c r="BV61" i="15"/>
  <c r="ER97" i="15"/>
  <c r="ET97" i="15" s="1"/>
  <c r="DP88" i="15"/>
  <c r="AJ37" i="15"/>
  <c r="AL37" i="15" s="1"/>
  <c r="AP41" i="15"/>
  <c r="AL21" i="15"/>
  <c r="AN21" i="15" s="1"/>
  <c r="AP21" i="15" s="1"/>
  <c r="AR21" i="15" s="1"/>
  <c r="AT21" i="15" s="1"/>
  <c r="AD33" i="15"/>
  <c r="AF33" i="15" s="1"/>
  <c r="T25" i="15"/>
  <c r="T1" i="15" s="1"/>
  <c r="R1" i="15"/>
  <c r="P1" i="15"/>
  <c r="BP57" i="15"/>
  <c r="AN36" i="15"/>
  <c r="AL17" i="15"/>
  <c r="CN48" i="15"/>
  <c r="CL11" i="15"/>
  <c r="CL12" i="15" s="1"/>
  <c r="BL52" i="15"/>
  <c r="BJ17" i="15"/>
  <c r="BR56" i="15"/>
  <c r="BP17" i="15"/>
  <c r="AB28" i="15"/>
  <c r="Z17" i="15"/>
  <c r="AH32" i="15"/>
  <c r="AF17" i="15"/>
  <c r="BX60" i="15"/>
  <c r="BV17" i="15"/>
  <c r="V24" i="15"/>
  <c r="T17" i="15"/>
  <c r="AT40" i="15"/>
  <c r="AR17" i="15"/>
  <c r="BF48" i="15"/>
  <c r="BD17" i="15"/>
  <c r="CJ68" i="15"/>
  <c r="CD64" i="15"/>
  <c r="CD17" i="15" s="1"/>
  <c r="CH69" i="15"/>
  <c r="R23" i="10"/>
  <c r="X29" i="15"/>
  <c r="CB65" i="15"/>
  <c r="AD5" i="11"/>
  <c r="AD4" i="11"/>
  <c r="KJ204" i="15" l="1"/>
  <c r="KH16" i="15"/>
  <c r="KH18" i="15" s="1"/>
  <c r="KH205" i="15"/>
  <c r="KJ205" i="15" s="1"/>
  <c r="KL209" i="15"/>
  <c r="KF197" i="15"/>
  <c r="KH197" i="15" s="1"/>
  <c r="KJ197" i="15" s="1"/>
  <c r="KL197" i="15" s="1"/>
  <c r="KN197" i="15" s="1"/>
  <c r="V25" i="15"/>
  <c r="V1" i="15" s="1"/>
  <c r="BL53" i="15"/>
  <c r="DR88" i="15"/>
  <c r="DP16" i="15"/>
  <c r="DP89" i="15"/>
  <c r="BX61" i="15"/>
  <c r="AR41" i="15"/>
  <c r="Z29" i="15"/>
  <c r="AV21" i="15"/>
  <c r="AH33" i="15"/>
  <c r="BH48" i="15"/>
  <c r="BF16" i="15"/>
  <c r="X24" i="15"/>
  <c r="V16" i="15"/>
  <c r="BF49" i="15"/>
  <c r="BT56" i="15"/>
  <c r="BR16" i="15"/>
  <c r="BR57" i="15"/>
  <c r="AJ32" i="15"/>
  <c r="AH16" i="15"/>
  <c r="AP36" i="15"/>
  <c r="AN16" i="15"/>
  <c r="AN37" i="15"/>
  <c r="CL68" i="15"/>
  <c r="CJ16" i="15"/>
  <c r="AV40" i="15"/>
  <c r="AT17" i="15"/>
  <c r="BZ60" i="15"/>
  <c r="BX17" i="15"/>
  <c r="AD28" i="15"/>
  <c r="AB16" i="15"/>
  <c r="BN52" i="15"/>
  <c r="BL16" i="15"/>
  <c r="CP48" i="15"/>
  <c r="CN11" i="15"/>
  <c r="CN12" i="15" s="1"/>
  <c r="CJ69" i="15"/>
  <c r="CD65" i="15"/>
  <c r="CF64" i="15"/>
  <c r="CF17" i="15" s="1"/>
  <c r="KJ16" i="15" l="1"/>
  <c r="KJ18" i="15" s="1"/>
  <c r="KN209" i="15"/>
  <c r="KP209" i="15" s="1"/>
  <c r="KR209" i="15" s="1"/>
  <c r="KT209" i="15" s="1"/>
  <c r="KV209" i="15" s="1"/>
  <c r="KX209" i="15" s="1"/>
  <c r="KZ209" i="15" s="1"/>
  <c r="LB209" i="15" s="1"/>
  <c r="LD209" i="15" s="1"/>
  <c r="LF209" i="15" s="1"/>
  <c r="BH49" i="15"/>
  <c r="DR89" i="15"/>
  <c r="DT88" i="15"/>
  <c r="DR16" i="15"/>
  <c r="AJ33" i="15"/>
  <c r="AB29" i="15"/>
  <c r="AT41" i="15"/>
  <c r="AX21" i="15"/>
  <c r="CL69" i="15"/>
  <c r="BT57" i="15"/>
  <c r="AR36" i="15"/>
  <c r="AP16" i="15"/>
  <c r="BJ48" i="15"/>
  <c r="BJ49" i="15" s="1"/>
  <c r="BH16" i="15"/>
  <c r="BP52" i="15"/>
  <c r="BN16" i="15"/>
  <c r="CB60" i="15"/>
  <c r="BZ16" i="15"/>
  <c r="CN68" i="15"/>
  <c r="CL16" i="15"/>
  <c r="BN53" i="15"/>
  <c r="AP37" i="15"/>
  <c r="AL32" i="15"/>
  <c r="AJ16" i="15"/>
  <c r="Z24" i="15"/>
  <c r="X16" i="15"/>
  <c r="X25" i="15"/>
  <c r="X1" i="15" s="1"/>
  <c r="CR48" i="15"/>
  <c r="CP10" i="15"/>
  <c r="CP12" i="15" s="1"/>
  <c r="AF28" i="15"/>
  <c r="AD16" i="15"/>
  <c r="AX40" i="15"/>
  <c r="AV17" i="15"/>
  <c r="BV56" i="15"/>
  <c r="BT16" i="15"/>
  <c r="BZ61" i="15"/>
  <c r="CF65" i="15"/>
  <c r="CH64" i="15"/>
  <c r="CH17" i="15" s="1"/>
  <c r="KN204" i="15" l="1"/>
  <c r="KP204" i="15" s="1"/>
  <c r="KR204" i="15" s="1"/>
  <c r="KT204" i="15" s="1"/>
  <c r="KV204" i="15" s="1"/>
  <c r="KL15" i="15"/>
  <c r="KL205" i="15"/>
  <c r="KN205" i="15" s="1"/>
  <c r="KP205" i="15" s="1"/>
  <c r="KR205" i="15" s="1"/>
  <c r="KT205" i="15" s="1"/>
  <c r="KV205" i="15" s="1"/>
  <c r="KX205" i="15" s="1"/>
  <c r="KZ205" i="15" s="1"/>
  <c r="DT89" i="15"/>
  <c r="AL33" i="15"/>
  <c r="CN69" i="15"/>
  <c r="DT15" i="15"/>
  <c r="DV88" i="15"/>
  <c r="CB61" i="15"/>
  <c r="BV57" i="15"/>
  <c r="AV41" i="15"/>
  <c r="AD29" i="15"/>
  <c r="AR37" i="15"/>
  <c r="AZ21" i="15"/>
  <c r="BP53" i="15"/>
  <c r="AB24" i="15"/>
  <c r="Z16" i="15"/>
  <c r="AZ40" i="15"/>
  <c r="AX17" i="15"/>
  <c r="CT48" i="15"/>
  <c r="CR10" i="15"/>
  <c r="CR12" i="15" s="1"/>
  <c r="CD60" i="15"/>
  <c r="CB16" i="15"/>
  <c r="BX56" i="15"/>
  <c r="BV16" i="15"/>
  <c r="Z25" i="15"/>
  <c r="AN32" i="15"/>
  <c r="AL16" i="15"/>
  <c r="AH28" i="15"/>
  <c r="AF16" i="15"/>
  <c r="CP68" i="15"/>
  <c r="CN16" i="15"/>
  <c r="BR52" i="15"/>
  <c r="BP16" i="15"/>
  <c r="BL48" i="15"/>
  <c r="BL49" i="15" s="1"/>
  <c r="BJ16" i="15"/>
  <c r="AT36" i="15"/>
  <c r="AR16" i="15"/>
  <c r="CH65" i="15"/>
  <c r="CJ64" i="15"/>
  <c r="CJ15" i="15" s="1"/>
  <c r="V28" i="13"/>
  <c r="AH41" i="13" s="1"/>
  <c r="T28" i="13"/>
  <c r="T29" i="13" s="1"/>
  <c r="V49" i="13"/>
  <c r="V9" i="13" s="1"/>
  <c r="T49" i="13"/>
  <c r="T9" i="13" s="1"/>
  <c r="V42" i="13"/>
  <c r="T42" i="13"/>
  <c r="R42" i="13"/>
  <c r="R35" i="13"/>
  <c r="R37" i="13" s="1"/>
  <c r="R6" i="13" s="1"/>
  <c r="J5" i="10"/>
  <c r="J4" i="10"/>
  <c r="J3" i="10"/>
  <c r="J28" i="14" l="1"/>
  <c r="J4" i="14" s="1"/>
  <c r="KL18" i="15"/>
  <c r="DV89" i="15"/>
  <c r="CP69" i="15"/>
  <c r="BX57" i="15"/>
  <c r="DX88" i="15"/>
  <c r="DV15" i="15"/>
  <c r="CD61" i="15"/>
  <c r="J15" i="10"/>
  <c r="AX41" i="15"/>
  <c r="AZ41" i="15" s="1"/>
  <c r="AB25" i="15"/>
  <c r="AB1" i="15" s="1"/>
  <c r="Z1" i="15"/>
  <c r="AF29" i="15"/>
  <c r="AH29" i="15" s="1"/>
  <c r="BB21" i="15"/>
  <c r="AV36" i="15"/>
  <c r="AT16" i="15"/>
  <c r="BT52" i="15"/>
  <c r="BR15" i="15"/>
  <c r="AP32" i="15"/>
  <c r="AN15" i="15"/>
  <c r="AN33" i="15"/>
  <c r="BB40" i="15"/>
  <c r="AZ16" i="15"/>
  <c r="AJ28" i="15"/>
  <c r="AH15" i="15"/>
  <c r="AD24" i="15"/>
  <c r="AB15" i="15"/>
  <c r="BN48" i="15"/>
  <c r="BN49" i="15" s="1"/>
  <c r="BL15" i="15"/>
  <c r="CR68" i="15"/>
  <c r="CP16" i="15"/>
  <c r="CT10" i="15"/>
  <c r="CT12" i="15" s="1"/>
  <c r="CV48" i="15"/>
  <c r="AT37" i="15"/>
  <c r="BZ56" i="15"/>
  <c r="BX16" i="15"/>
  <c r="CF60" i="15"/>
  <c r="CD16" i="15"/>
  <c r="BR53" i="15"/>
  <c r="CL64" i="15"/>
  <c r="CJ65" i="15"/>
  <c r="V29" i="13"/>
  <c r="T44" i="13"/>
  <c r="T8" i="13" s="1"/>
  <c r="T10" i="13" s="1"/>
  <c r="T12" i="13" s="1"/>
  <c r="T16" i="13" s="1"/>
  <c r="T17" i="13" s="1"/>
  <c r="R44" i="13"/>
  <c r="R8" i="13" s="1"/>
  <c r="R9" i="13"/>
  <c r="V44" i="13"/>
  <c r="V8" i="13" s="1"/>
  <c r="V10" i="13" s="1"/>
  <c r="V12" i="13" s="1"/>
  <c r="V16" i="13" s="1"/>
  <c r="V17" i="13" s="1"/>
  <c r="P3" i="10"/>
  <c r="P4" i="10"/>
  <c r="P5" i="10"/>
  <c r="R32" i="10"/>
  <c r="DX89" i="15" l="1"/>
  <c r="DZ88" i="15"/>
  <c r="DX15" i="15"/>
  <c r="P30" i="10"/>
  <c r="P15" i="10"/>
  <c r="AP33" i="15"/>
  <c r="AV37" i="15"/>
  <c r="BB41" i="15"/>
  <c r="BD21" i="15"/>
  <c r="BT53" i="15"/>
  <c r="CB56" i="15"/>
  <c r="BZ15" i="15"/>
  <c r="CX48" i="15"/>
  <c r="CZ48" i="15" s="1"/>
  <c r="DB48" i="15" s="1"/>
  <c r="CV9" i="15"/>
  <c r="CV12" i="15" s="1"/>
  <c r="CT68" i="15"/>
  <c r="CR16" i="15"/>
  <c r="AF24" i="15"/>
  <c r="AD15" i="15"/>
  <c r="BZ57" i="15"/>
  <c r="CB57" i="15" s="1"/>
  <c r="CN64" i="15"/>
  <c r="CL15" i="15"/>
  <c r="AL28" i="15"/>
  <c r="AJ15" i="15"/>
  <c r="BV52" i="15"/>
  <c r="BT15" i="15"/>
  <c r="CH60" i="15"/>
  <c r="CF16" i="15"/>
  <c r="CF61" i="15"/>
  <c r="AJ29" i="15"/>
  <c r="BP48" i="15"/>
  <c r="BN15" i="15"/>
  <c r="CR69" i="15"/>
  <c r="AD25" i="15"/>
  <c r="AD1" i="15" s="1"/>
  <c r="BD40" i="15"/>
  <c r="BB16" i="15"/>
  <c r="AR32" i="15"/>
  <c r="AP15" i="15"/>
  <c r="AX36" i="15"/>
  <c r="AV16" i="15"/>
  <c r="CL65" i="15"/>
  <c r="AH8" i="13"/>
  <c r="AH10" i="13" s="1"/>
  <c r="AH12" i="13" s="1"/>
  <c r="AH16" i="13" s="1"/>
  <c r="AH17" i="13" s="1"/>
  <c r="AH19" i="13" s="1"/>
  <c r="R20" i="10"/>
  <c r="R18" i="10"/>
  <c r="R19" i="10"/>
  <c r="R10" i="13"/>
  <c r="R12" i="13" s="1"/>
  <c r="R16" i="13" s="1"/>
  <c r="R17" i="13" s="1"/>
  <c r="AB19" i="13" s="1"/>
  <c r="DZ89" i="15" l="1"/>
  <c r="CT69" i="15"/>
  <c r="EB88" i="15"/>
  <c r="DZ14" i="15"/>
  <c r="DZ18" i="15" s="1"/>
  <c r="R30" i="10"/>
  <c r="R33" i="10" s="1"/>
  <c r="R35" i="10" s="1"/>
  <c r="BD41" i="15"/>
  <c r="AL29" i="15"/>
  <c r="DD48" i="15"/>
  <c r="DB8" i="15"/>
  <c r="DB12" i="15" s="1"/>
  <c r="BF21" i="15"/>
  <c r="AF25" i="15"/>
  <c r="AF1" i="15" s="1"/>
  <c r="BR48" i="15"/>
  <c r="BP15" i="15"/>
  <c r="CH16" i="15"/>
  <c r="CJ60" i="15"/>
  <c r="AH24" i="15"/>
  <c r="AF15" i="15"/>
  <c r="CZ9" i="15"/>
  <c r="CZ12" i="15" s="1"/>
  <c r="CX9" i="15"/>
  <c r="CX12" i="15" s="1"/>
  <c r="AT32" i="15"/>
  <c r="AR15" i="15"/>
  <c r="AN28" i="15"/>
  <c r="AL15" i="15"/>
  <c r="CP64" i="15"/>
  <c r="CN15" i="15"/>
  <c r="CN65" i="15"/>
  <c r="CH61" i="15"/>
  <c r="BX52" i="15"/>
  <c r="BV15" i="15"/>
  <c r="BP49" i="15"/>
  <c r="CV68" i="15"/>
  <c r="CT16" i="15"/>
  <c r="CD56" i="15"/>
  <c r="CB15" i="15"/>
  <c r="AX16" i="15"/>
  <c r="AZ36" i="15"/>
  <c r="BD16" i="15"/>
  <c r="BF40" i="15"/>
  <c r="AR33" i="15"/>
  <c r="AX37" i="15"/>
  <c r="BV53" i="15"/>
  <c r="AH21" i="13"/>
  <c r="CZ85" i="15"/>
  <c r="AB21" i="13"/>
  <c r="CT81" i="15"/>
  <c r="J10" i="14" l="1"/>
  <c r="J12" i="14" s="1"/>
  <c r="J2" i="14" s="1"/>
  <c r="CV69" i="15"/>
  <c r="ED88" i="15"/>
  <c r="ED14" i="15" s="1"/>
  <c r="ED18" i="15" s="1"/>
  <c r="EB14" i="15"/>
  <c r="EB18" i="15" s="1"/>
  <c r="EB89" i="15"/>
  <c r="AZ37" i="15"/>
  <c r="DF48" i="15"/>
  <c r="DF8" i="15" s="1"/>
  <c r="DD8" i="15"/>
  <c r="BH21" i="15"/>
  <c r="BX53" i="15"/>
  <c r="CP65" i="15"/>
  <c r="BR49" i="15"/>
  <c r="CF56" i="15"/>
  <c r="CD15" i="15"/>
  <c r="AZ15" i="15"/>
  <c r="BB36" i="15"/>
  <c r="BB37" i="15" s="1"/>
  <c r="AP28" i="15"/>
  <c r="AN14" i="15"/>
  <c r="AT33" i="15"/>
  <c r="AT15" i="15"/>
  <c r="AV32" i="15"/>
  <c r="AJ24" i="15"/>
  <c r="AH14" i="15"/>
  <c r="CX68" i="15"/>
  <c r="CV14" i="15"/>
  <c r="BZ52" i="15"/>
  <c r="BX15" i="15"/>
  <c r="AN29" i="15"/>
  <c r="CJ14" i="15"/>
  <c r="CJ18" i="15" s="1"/>
  <c r="CL60" i="15"/>
  <c r="BT48" i="15"/>
  <c r="BR14" i="15"/>
  <c r="BR18" i="15" s="1"/>
  <c r="BF41" i="15"/>
  <c r="BF15" i="15"/>
  <c r="BH40" i="15"/>
  <c r="CD57" i="15"/>
  <c r="CJ61" i="15"/>
  <c r="CR64" i="15"/>
  <c r="CP15" i="15"/>
  <c r="AH25" i="15"/>
  <c r="AH1" i="15" s="1"/>
  <c r="DB84" i="15"/>
  <c r="DB17" i="15" s="1"/>
  <c r="CV80" i="15"/>
  <c r="CV17" i="15" s="1"/>
  <c r="CJ73" i="15"/>
  <c r="CL72" i="15"/>
  <c r="CL17" i="15" s="1"/>
  <c r="CF57" i="15" l="1"/>
  <c r="ED89" i="15"/>
  <c r="EF89" i="15" s="1"/>
  <c r="EH89" i="15" s="1"/>
  <c r="CV81" i="15"/>
  <c r="DB85" i="15"/>
  <c r="CL61" i="15"/>
  <c r="CR65" i="15"/>
  <c r="BT49" i="15"/>
  <c r="BH41" i="15"/>
  <c r="BJ21" i="15"/>
  <c r="AP29" i="15"/>
  <c r="AL24" i="15"/>
  <c r="AL14" i="15" s="1"/>
  <c r="AJ14" i="15"/>
  <c r="AJ25" i="15"/>
  <c r="AJ1" i="15" s="1"/>
  <c r="CZ68" i="15"/>
  <c r="CZ14" i="15" s="1"/>
  <c r="CX14" i="15"/>
  <c r="AX32" i="15"/>
  <c r="AV15" i="15"/>
  <c r="AP14" i="15"/>
  <c r="AR28" i="15"/>
  <c r="BJ40" i="15"/>
  <c r="BH15" i="15"/>
  <c r="BT14" i="15"/>
  <c r="BT18" i="15" s="1"/>
  <c r="BV48" i="15"/>
  <c r="CH56" i="15"/>
  <c r="CH15" i="15" s="1"/>
  <c r="CF15" i="15"/>
  <c r="CR15" i="15"/>
  <c r="CT64" i="15"/>
  <c r="CT15" i="15" s="1"/>
  <c r="CN60" i="15"/>
  <c r="CL14" i="15"/>
  <c r="CL18" i="15" s="1"/>
  <c r="CB52" i="15"/>
  <c r="BZ14" i="15"/>
  <c r="BZ18" i="15" s="1"/>
  <c r="AV33" i="15"/>
  <c r="BD36" i="15"/>
  <c r="BB15" i="15"/>
  <c r="CX69" i="15"/>
  <c r="BZ53" i="15"/>
  <c r="DD84" i="15"/>
  <c r="DD17" i="15" s="1"/>
  <c r="DB78" i="12"/>
  <c r="DD78" i="12" s="1"/>
  <c r="DF78" i="12" s="1"/>
  <c r="CZ79" i="12"/>
  <c r="CX80" i="15"/>
  <c r="CX17" i="15" s="1"/>
  <c r="CR76" i="15"/>
  <c r="CT76" i="15" s="1"/>
  <c r="CV76" i="15" s="1"/>
  <c r="CL73" i="15"/>
  <c r="CN72" i="15"/>
  <c r="CN17" i="15" s="1"/>
  <c r="AR29" i="15" l="1"/>
  <c r="DH78" i="12"/>
  <c r="DJ78" i="12" s="1"/>
  <c r="DL78" i="12" s="1"/>
  <c r="CB53" i="15"/>
  <c r="BL21" i="15"/>
  <c r="CZ69" i="15"/>
  <c r="DB69" i="15" s="1"/>
  <c r="DD69" i="15" s="1"/>
  <c r="CT65" i="15"/>
  <c r="CV65" i="15" s="1"/>
  <c r="CX65" i="15" s="1"/>
  <c r="CH57" i="15"/>
  <c r="CJ57" i="15" s="1"/>
  <c r="CL57" i="15" s="1"/>
  <c r="CN57" i="15" s="1"/>
  <c r="CP57" i="15" s="1"/>
  <c r="CR57" i="15" s="1"/>
  <c r="CT57" i="15" s="1"/>
  <c r="CV57" i="15" s="1"/>
  <c r="CX57" i="15" s="1"/>
  <c r="CZ57" i="15" s="1"/>
  <c r="DB57" i="15" s="1"/>
  <c r="DD57" i="15" s="1"/>
  <c r="DF57" i="15" s="1"/>
  <c r="DH57" i="15" s="1"/>
  <c r="DJ57" i="15" s="1"/>
  <c r="DL57" i="15" s="1"/>
  <c r="CX76" i="15"/>
  <c r="CV16" i="15"/>
  <c r="CD52" i="15"/>
  <c r="CB14" i="15"/>
  <c r="CB18" i="15" s="1"/>
  <c r="BJ15" i="15"/>
  <c r="BL40" i="15"/>
  <c r="BF36" i="15"/>
  <c r="BD15" i="15"/>
  <c r="BV49" i="15"/>
  <c r="BV14" i="15"/>
  <c r="BV18" i="15" s="1"/>
  <c r="BX48" i="15"/>
  <c r="BX14" i="15" s="1"/>
  <c r="BX18" i="15" s="1"/>
  <c r="BD37" i="15"/>
  <c r="AZ32" i="15"/>
  <c r="AX15" i="15"/>
  <c r="AX33" i="15"/>
  <c r="CN14" i="15"/>
  <c r="CN18" i="15" s="1"/>
  <c r="CP60" i="15"/>
  <c r="AR14" i="15"/>
  <c r="AT28" i="15"/>
  <c r="AL25" i="15"/>
  <c r="BJ41" i="15"/>
  <c r="CN61" i="15"/>
  <c r="DF84" i="15"/>
  <c r="DF17" i="15" s="1"/>
  <c r="CX81" i="15"/>
  <c r="DB79" i="12"/>
  <c r="CZ1" i="12"/>
  <c r="DD85" i="15"/>
  <c r="CZ80" i="15"/>
  <c r="CZ17" i="15" s="1"/>
  <c r="CR77" i="15"/>
  <c r="CT77" i="15" s="1"/>
  <c r="CV77" i="15" s="1"/>
  <c r="CN73" i="15"/>
  <c r="CP72" i="15"/>
  <c r="CP17" i="15" s="1"/>
  <c r="CX77" i="15" l="1"/>
  <c r="AT29" i="15"/>
  <c r="DF69" i="15"/>
  <c r="DF70" i="15" s="1"/>
  <c r="DN78" i="12"/>
  <c r="DP78" i="12" s="1"/>
  <c r="DR78" i="12" s="1"/>
  <c r="BL41" i="15"/>
  <c r="AN25" i="15"/>
  <c r="AL1" i="15"/>
  <c r="BN21" i="15"/>
  <c r="BH36" i="15"/>
  <c r="BF14" i="15"/>
  <c r="BF18" i="15" s="1"/>
  <c r="CP14" i="15"/>
  <c r="CP18" i="15" s="1"/>
  <c r="CR60" i="15"/>
  <c r="CD14" i="15"/>
  <c r="CD18" i="15" s="1"/>
  <c r="CF52" i="15"/>
  <c r="AZ14" i="15"/>
  <c r="AZ18" i="15" s="1"/>
  <c r="BB32" i="15"/>
  <c r="BX49" i="15"/>
  <c r="BZ49" i="15" s="1"/>
  <c r="CB49" i="15" s="1"/>
  <c r="CD49" i="15" s="1"/>
  <c r="CF49" i="15" s="1"/>
  <c r="BL14" i="15"/>
  <c r="BL18" i="15" s="1"/>
  <c r="BN40" i="15"/>
  <c r="CP61" i="15"/>
  <c r="AV28" i="15"/>
  <c r="AT14" i="15"/>
  <c r="AZ33" i="15"/>
  <c r="BF37" i="15"/>
  <c r="CZ76" i="15"/>
  <c r="CZ77" i="15" s="1"/>
  <c r="CX16" i="15"/>
  <c r="DH84" i="15"/>
  <c r="CZ81" i="15"/>
  <c r="DF85" i="15"/>
  <c r="DD79" i="12"/>
  <c r="DB1" i="12"/>
  <c r="DB80" i="15"/>
  <c r="DB16" i="15" s="1"/>
  <c r="CP73" i="15"/>
  <c r="CR72" i="15"/>
  <c r="CR17" i="15" s="1"/>
  <c r="BN41" i="15" l="1"/>
  <c r="DT78" i="12"/>
  <c r="DV78" i="12" s="1"/>
  <c r="J20" i="14"/>
  <c r="J3" i="14" s="1"/>
  <c r="DH16" i="15"/>
  <c r="AP25" i="15"/>
  <c r="AN1" i="15"/>
  <c r="BP21" i="15"/>
  <c r="CR61" i="15"/>
  <c r="BH37" i="15"/>
  <c r="CT60" i="15"/>
  <c r="CR14" i="15"/>
  <c r="CR18" i="15" s="1"/>
  <c r="BB33" i="15"/>
  <c r="BP40" i="15"/>
  <c r="BP14" i="15" s="1"/>
  <c r="BP18" i="15" s="1"/>
  <c r="BN14" i="15"/>
  <c r="BN18" i="15" s="1"/>
  <c r="CH52" i="15"/>
  <c r="CH14" i="15" s="1"/>
  <c r="CH18" i="15" s="1"/>
  <c r="CF14" i="15"/>
  <c r="CF18" i="15" s="1"/>
  <c r="BB14" i="15"/>
  <c r="BB18" i="15" s="1"/>
  <c r="BD32" i="15"/>
  <c r="BD14" i="15" s="1"/>
  <c r="BD18" i="15" s="1"/>
  <c r="DB76" i="15"/>
  <c r="DB15" i="15" s="1"/>
  <c r="CZ16" i="15"/>
  <c r="AX28" i="15"/>
  <c r="AX14" i="15" s="1"/>
  <c r="AV14" i="15"/>
  <c r="AV29" i="15"/>
  <c r="BJ36" i="15"/>
  <c r="BJ14" i="15" s="1"/>
  <c r="BJ18" i="15" s="1"/>
  <c r="BH14" i="15"/>
  <c r="BH18" i="15" s="1"/>
  <c r="DB81" i="15"/>
  <c r="DJ84" i="15"/>
  <c r="DJ16" i="15" s="1"/>
  <c r="DD80" i="15"/>
  <c r="DD16" i="15" s="1"/>
  <c r="DH85" i="15"/>
  <c r="DF79" i="12"/>
  <c r="DD1" i="12"/>
  <c r="CR73" i="15"/>
  <c r="CT72" i="15"/>
  <c r="CT17" i="15" s="1"/>
  <c r="AX29" i="15" l="1"/>
  <c r="AR25" i="15"/>
  <c r="AP1" i="15"/>
  <c r="DD76" i="15"/>
  <c r="DD15" i="15" s="1"/>
  <c r="CT61" i="15"/>
  <c r="CV61" i="15" s="1"/>
  <c r="CX61" i="15" s="1"/>
  <c r="CZ61" i="15" s="1"/>
  <c r="DB61" i="15" s="1"/>
  <c r="DD61" i="15" s="1"/>
  <c r="DF61" i="15" s="1"/>
  <c r="DH61" i="15" s="1"/>
  <c r="DJ61" i="15" s="1"/>
  <c r="DL61" i="15" s="1"/>
  <c r="DN61" i="15" s="1"/>
  <c r="DP61" i="15" s="1"/>
  <c r="CT14" i="15"/>
  <c r="CT18" i="15" s="1"/>
  <c r="BD33" i="15"/>
  <c r="BF33" i="15" s="1"/>
  <c r="BH33" i="15" s="1"/>
  <c r="DB77" i="15"/>
  <c r="BP41" i="15"/>
  <c r="BR41" i="15" s="1"/>
  <c r="BT41" i="15" s="1"/>
  <c r="BV41" i="15" s="1"/>
  <c r="BX41" i="15" s="1"/>
  <c r="BJ37" i="15"/>
  <c r="BL37" i="15" s="1"/>
  <c r="BN37" i="15" s="1"/>
  <c r="BP37" i="15" s="1"/>
  <c r="BR37" i="15" s="1"/>
  <c r="BT37" i="15" s="1"/>
  <c r="BV37" i="15" s="1"/>
  <c r="BX37" i="15" s="1"/>
  <c r="BZ37" i="15" s="1"/>
  <c r="CB37" i="15" s="1"/>
  <c r="CD37" i="15" s="1"/>
  <c r="CF37" i="15" s="1"/>
  <c r="CH37" i="15" s="1"/>
  <c r="CJ37" i="15" s="1"/>
  <c r="DL84" i="15"/>
  <c r="DL16" i="15" s="1"/>
  <c r="DF80" i="15"/>
  <c r="DF16" i="15" s="1"/>
  <c r="DD81" i="15"/>
  <c r="DH79" i="12"/>
  <c r="DF1" i="12"/>
  <c r="DJ85" i="15"/>
  <c r="CT73" i="15"/>
  <c r="CV72" i="15"/>
  <c r="CV15" i="15" s="1"/>
  <c r="CV18" i="15" s="1"/>
  <c r="BJ33" i="15" l="1"/>
  <c r="BL33" i="15" s="1"/>
  <c r="BN33" i="15" s="1"/>
  <c r="BP33" i="15" s="1"/>
  <c r="BR33" i="15" s="1"/>
  <c r="BT33" i="15" s="1"/>
  <c r="BV33" i="15" s="1"/>
  <c r="BX33" i="15" s="1"/>
  <c r="BZ33" i="15" s="1"/>
  <c r="CB33" i="15" s="1"/>
  <c r="CD33" i="15" s="1"/>
  <c r="CF33" i="15" s="1"/>
  <c r="CH33" i="15" s="1"/>
  <c r="AR1" i="15"/>
  <c r="AT25" i="15"/>
  <c r="AZ29" i="15"/>
  <c r="BZ41" i="15"/>
  <c r="DR61" i="15"/>
  <c r="DD77" i="15"/>
  <c r="CL37" i="15"/>
  <c r="CD53" i="15"/>
  <c r="DF76" i="15"/>
  <c r="DF15" i="15" s="1"/>
  <c r="DH80" i="15"/>
  <c r="DN84" i="15"/>
  <c r="DN15" i="15" s="1"/>
  <c r="DF81" i="15"/>
  <c r="DL85" i="15"/>
  <c r="DJ79" i="12"/>
  <c r="DH1" i="12"/>
  <c r="CV73" i="15"/>
  <c r="CX72" i="15"/>
  <c r="CX15" i="15" s="1"/>
  <c r="CX18" i="15" s="1"/>
  <c r="DH15" i="15" l="1"/>
  <c r="BB29" i="15"/>
  <c r="AV25" i="15"/>
  <c r="AT1" i="15"/>
  <c r="CB41" i="15"/>
  <c r="CF53" i="15"/>
  <c r="DH76" i="15"/>
  <c r="DF77" i="15"/>
  <c r="CN37" i="15"/>
  <c r="DP84" i="15"/>
  <c r="DP15" i="15" s="1"/>
  <c r="DJ80" i="15"/>
  <c r="DJ15" i="15" s="1"/>
  <c r="DH81" i="15"/>
  <c r="DL79" i="12"/>
  <c r="DJ1" i="12"/>
  <c r="DN85" i="15"/>
  <c r="CX73" i="15"/>
  <c r="CZ72" i="15"/>
  <c r="CZ15" i="15" s="1"/>
  <c r="CZ18" i="15" s="1"/>
  <c r="DH77" i="15" l="1"/>
  <c r="DJ76" i="15"/>
  <c r="DH14" i="15"/>
  <c r="DH18" i="15" s="1"/>
  <c r="BD29" i="15"/>
  <c r="AX25" i="15"/>
  <c r="AX1" i="15" s="1"/>
  <c r="AV1" i="15"/>
  <c r="CD41" i="15"/>
  <c r="CH53" i="15"/>
  <c r="CP37" i="15"/>
  <c r="DL80" i="15"/>
  <c r="DL15" i="15" s="1"/>
  <c r="DJ81" i="15"/>
  <c r="DR84" i="15"/>
  <c r="DR15" i="15" s="1"/>
  <c r="DP85" i="15"/>
  <c r="DN79" i="12"/>
  <c r="DL1" i="12"/>
  <c r="CZ73" i="15"/>
  <c r="DB72" i="15"/>
  <c r="DB14" i="15" s="1"/>
  <c r="DB18" i="15" s="1"/>
  <c r="DL81" i="15" l="1"/>
  <c r="DL76" i="15"/>
  <c r="DL14" i="15" s="1"/>
  <c r="DL18" i="15" s="1"/>
  <c r="DJ14" i="15"/>
  <c r="DJ18" i="15" s="1"/>
  <c r="DJ77" i="15"/>
  <c r="BF29" i="15"/>
  <c r="AZ25" i="15"/>
  <c r="CF41" i="15"/>
  <c r="CJ53" i="15"/>
  <c r="CR37" i="15"/>
  <c r="CT37" i="15" s="1"/>
  <c r="DT84" i="15"/>
  <c r="DN80" i="15"/>
  <c r="DN14" i="15" s="1"/>
  <c r="DN18" i="15" s="1"/>
  <c r="DD72" i="15"/>
  <c r="DP79" i="12"/>
  <c r="DN1" i="12"/>
  <c r="DR85" i="15"/>
  <c r="DB73" i="15"/>
  <c r="DT14" i="15" l="1"/>
  <c r="DT18" i="15" s="1"/>
  <c r="DL77" i="15"/>
  <c r="DN77" i="15" s="1"/>
  <c r="DP77" i="15" s="1"/>
  <c r="DR77" i="15" s="1"/>
  <c r="DR78" i="15" s="1"/>
  <c r="DN81" i="15"/>
  <c r="BB25" i="15"/>
  <c r="AZ1" i="15"/>
  <c r="BH29" i="15"/>
  <c r="CH41" i="15"/>
  <c r="CL53" i="15"/>
  <c r="DF72" i="15"/>
  <c r="DF14" i="15" s="1"/>
  <c r="DF18" i="15" s="1"/>
  <c r="DD14" i="15"/>
  <c r="DD18" i="15" s="1"/>
  <c r="DP80" i="15"/>
  <c r="DP14" i="15" s="1"/>
  <c r="DP18" i="15" s="1"/>
  <c r="DV84" i="15"/>
  <c r="DV14" i="15" s="1"/>
  <c r="DV18" i="15" s="1"/>
  <c r="DT85" i="15"/>
  <c r="DR79" i="12"/>
  <c r="DP1" i="12"/>
  <c r="DD73" i="15"/>
  <c r="DP81" i="15" l="1"/>
  <c r="DT76" i="15"/>
  <c r="DT11" i="15" s="1"/>
  <c r="BJ29" i="15"/>
  <c r="BD25" i="15"/>
  <c r="BB1" i="15"/>
  <c r="CJ41" i="15"/>
  <c r="DX84" i="15"/>
  <c r="DX14" i="15" s="1"/>
  <c r="DX18" i="15" s="1"/>
  <c r="DR80" i="15"/>
  <c r="DR14" i="15" s="1"/>
  <c r="DR18" i="15" s="1"/>
  <c r="DF73" i="15"/>
  <c r="DH73" i="15" s="1"/>
  <c r="DT79" i="12"/>
  <c r="DV79" i="12" s="1"/>
  <c r="DX79" i="12" s="1"/>
  <c r="DZ79" i="12" s="1"/>
  <c r="EB79" i="12" s="1"/>
  <c r="EB80" i="12" s="1"/>
  <c r="DR1" i="12"/>
  <c r="DV85" i="15"/>
  <c r="DR81" i="15" l="1"/>
  <c r="EB1" i="12"/>
  <c r="DV76" i="15"/>
  <c r="DV11" i="15" s="1"/>
  <c r="DT77" i="15"/>
  <c r="BF25" i="15"/>
  <c r="BD1" i="15"/>
  <c r="BL29" i="15"/>
  <c r="CL41" i="15"/>
  <c r="DX85" i="15"/>
  <c r="DJ73" i="15"/>
  <c r="DT1" i="12"/>
  <c r="DX76" i="15" l="1"/>
  <c r="DZ76" i="15" s="1"/>
  <c r="DV77" i="15"/>
  <c r="DT81" i="15"/>
  <c r="DV81" i="15" s="1"/>
  <c r="BN29" i="15"/>
  <c r="BH25" i="15"/>
  <c r="BF1" i="15"/>
  <c r="CN41" i="15"/>
  <c r="DZ85" i="15"/>
  <c r="DV1" i="12"/>
  <c r="DX11" i="15" l="1"/>
  <c r="DX77" i="15"/>
  <c r="DZ77" i="15" s="1"/>
  <c r="DZ10" i="15"/>
  <c r="EB76" i="15"/>
  <c r="EB10" i="15" s="1"/>
  <c r="DX81" i="15"/>
  <c r="BP29" i="15"/>
  <c r="BJ25" i="15"/>
  <c r="BH1" i="15"/>
  <c r="CP41" i="15"/>
  <c r="EB85" i="15"/>
  <c r="DX82" i="15" l="1"/>
  <c r="DZ80" i="15" s="1"/>
  <c r="EB77" i="15"/>
  <c r="ED76" i="15"/>
  <c r="ED10" i="15" s="1"/>
  <c r="BL25" i="15"/>
  <c r="BJ1" i="15"/>
  <c r="BR29" i="15"/>
  <c r="CR41" i="15"/>
  <c r="DX1" i="12"/>
  <c r="DZ11" i="15" l="1"/>
  <c r="ED77" i="15"/>
  <c r="EF76" i="15"/>
  <c r="BT29" i="15"/>
  <c r="BN25" i="15"/>
  <c r="BL1" i="15"/>
  <c r="CT41" i="15"/>
  <c r="CZ65" i="15" s="1"/>
  <c r="EB80" i="15"/>
  <c r="EB11" i="15" s="1"/>
  <c r="DZ81" i="15"/>
  <c r="EJ78" i="12"/>
  <c r="EL78" i="12" s="1"/>
  <c r="EN78" i="12" s="1"/>
  <c r="EP78" i="12" s="1"/>
  <c r="ER78" i="12" s="1"/>
  <c r="ET78" i="12" s="1"/>
  <c r="EV78" i="12" s="1"/>
  <c r="EX78" i="12" s="1"/>
  <c r="EZ78" i="12" s="1"/>
  <c r="DZ1" i="12"/>
  <c r="EH76" i="15" l="1"/>
  <c r="EF9" i="15"/>
  <c r="EF77" i="15"/>
  <c r="BP25" i="15"/>
  <c r="BN1" i="15"/>
  <c r="BV29" i="15"/>
  <c r="EB81" i="15"/>
  <c r="ED80" i="15"/>
  <c r="ED11" i="15" s="1"/>
  <c r="EH77" i="15" l="1"/>
  <c r="EH9" i="15"/>
  <c r="EJ76" i="15"/>
  <c r="BX29" i="15"/>
  <c r="BR25" i="15"/>
  <c r="BP1" i="15"/>
  <c r="DB65" i="15"/>
  <c r="DD64" i="15"/>
  <c r="EF80" i="15"/>
  <c r="EF10" i="15" s="1"/>
  <c r="ED81" i="15"/>
  <c r="ED1" i="12"/>
  <c r="EJ9" i="15" l="1"/>
  <c r="EL76" i="15"/>
  <c r="EJ77" i="15"/>
  <c r="BT25" i="15"/>
  <c r="BR1" i="15"/>
  <c r="BZ29" i="15"/>
  <c r="DF64" i="15"/>
  <c r="DH64" i="15" s="1"/>
  <c r="DH10" i="15" s="1"/>
  <c r="DH12" i="15" s="1"/>
  <c r="DD11" i="15"/>
  <c r="DD12" i="15" s="1"/>
  <c r="DD65" i="15"/>
  <c r="EH80" i="15"/>
  <c r="EH10" i="15" s="1"/>
  <c r="EF81" i="15"/>
  <c r="EF1" i="12"/>
  <c r="EL77" i="15" l="1"/>
  <c r="EN76" i="15"/>
  <c r="EL8" i="15"/>
  <c r="CB29" i="15"/>
  <c r="DF65" i="15"/>
  <c r="BV25" i="15"/>
  <c r="BT1" i="15"/>
  <c r="DF11" i="15"/>
  <c r="DF12" i="15" s="1"/>
  <c r="EH81" i="15"/>
  <c r="EJ80" i="15"/>
  <c r="EJ10" i="15" s="1"/>
  <c r="EJ79" i="12"/>
  <c r="EH1" i="12"/>
  <c r="EN77" i="15" l="1"/>
  <c r="EN8" i="15"/>
  <c r="EP76" i="15"/>
  <c r="DJ64" i="15"/>
  <c r="CD29" i="15"/>
  <c r="BX25" i="15"/>
  <c r="BV1" i="15"/>
  <c r="DH65" i="15"/>
  <c r="EL80" i="15"/>
  <c r="EL9" i="15" s="1"/>
  <c r="EJ81" i="15"/>
  <c r="EL79" i="12"/>
  <c r="EJ1" i="12"/>
  <c r="EP8" i="15" l="1"/>
  <c r="EP77" i="15"/>
  <c r="DL64" i="15"/>
  <c r="DL10" i="15" s="1"/>
  <c r="DL12" i="15" s="1"/>
  <c r="DJ10" i="15"/>
  <c r="DJ12" i="15" s="1"/>
  <c r="BZ25" i="15"/>
  <c r="BX1" i="15"/>
  <c r="CF29" i="15"/>
  <c r="CD1" i="15"/>
  <c r="DJ65" i="15"/>
  <c r="EL81" i="15"/>
  <c r="EN80" i="15"/>
  <c r="EN9" i="15" s="1"/>
  <c r="EN79" i="12"/>
  <c r="EL1" i="12"/>
  <c r="EV97" i="15" l="1"/>
  <c r="EV98" i="15" s="1"/>
  <c r="EX96" i="15" s="1"/>
  <c r="EN81" i="15"/>
  <c r="DN64" i="15"/>
  <c r="CH29" i="15"/>
  <c r="CN53" i="15" s="1"/>
  <c r="CF1" i="15"/>
  <c r="CB25" i="15"/>
  <c r="CH49" i="15" s="1"/>
  <c r="BZ1" i="15"/>
  <c r="DL65" i="15"/>
  <c r="EP80" i="15"/>
  <c r="EP9" i="15" s="1"/>
  <c r="EP79" i="12"/>
  <c r="EN1" i="12"/>
  <c r="EX11" i="15" l="1"/>
  <c r="EZ96" i="15"/>
  <c r="EX97" i="15"/>
  <c r="DP64" i="15"/>
  <c r="DN9" i="15"/>
  <c r="CB1" i="15"/>
  <c r="CP53" i="15"/>
  <c r="DN65" i="15"/>
  <c r="ER80" i="15"/>
  <c r="ER8" i="15" s="1"/>
  <c r="EP81" i="15"/>
  <c r="ER79" i="12"/>
  <c r="EP1" i="12"/>
  <c r="EZ97" i="15" l="1"/>
  <c r="FB96" i="15"/>
  <c r="EZ11" i="15"/>
  <c r="DR64" i="15"/>
  <c r="DP9" i="15"/>
  <c r="DP65" i="15"/>
  <c r="CJ49" i="15"/>
  <c r="CH1" i="15"/>
  <c r="CR53" i="15"/>
  <c r="ER81" i="15"/>
  <c r="ET80" i="15"/>
  <c r="ET8" i="15" s="1"/>
  <c r="ER1" i="12"/>
  <c r="ET79" i="12"/>
  <c r="DR65" i="15" l="1"/>
  <c r="FD96" i="15"/>
  <c r="FB11" i="15"/>
  <c r="FB97" i="15"/>
  <c r="DT64" i="15"/>
  <c r="DR9" i="15"/>
  <c r="ET1" i="12"/>
  <c r="EV79" i="12"/>
  <c r="CL49" i="15"/>
  <c r="CJ1" i="15"/>
  <c r="CT53" i="15"/>
  <c r="ET81" i="15"/>
  <c r="EV80" i="15"/>
  <c r="EV8" i="15" s="1"/>
  <c r="DT65" i="15" l="1"/>
  <c r="FD97" i="15"/>
  <c r="FF96" i="15"/>
  <c r="FD10" i="15"/>
  <c r="DT8" i="15"/>
  <c r="DV64" i="15"/>
  <c r="EX79" i="12"/>
  <c r="EV1" i="12"/>
  <c r="EV81" i="15"/>
  <c r="FB101" i="15" s="1"/>
  <c r="FB102" i="15" s="1"/>
  <c r="CN49" i="15"/>
  <c r="CL1" i="15"/>
  <c r="CV53" i="15"/>
  <c r="DV65" i="15" l="1"/>
  <c r="FH96" i="15"/>
  <c r="FF10" i="15"/>
  <c r="FF97" i="15"/>
  <c r="DX64" i="15"/>
  <c r="DX8" i="15" s="1"/>
  <c r="DV8" i="15"/>
  <c r="EZ79" i="12"/>
  <c r="EZ1" i="12" s="1"/>
  <c r="EX1" i="12"/>
  <c r="FD100" i="15"/>
  <c r="CX53" i="15"/>
  <c r="CP49" i="15"/>
  <c r="CN1" i="15"/>
  <c r="DX65" i="15" l="1"/>
  <c r="ED85" i="15" s="1"/>
  <c r="ED86" i="15" s="1"/>
  <c r="EF84" i="15" s="1"/>
  <c r="FH97" i="15"/>
  <c r="FF100" i="15"/>
  <c r="FD11" i="15"/>
  <c r="FJ96" i="15"/>
  <c r="FH10" i="15"/>
  <c r="FD101" i="15"/>
  <c r="CR49" i="15"/>
  <c r="CP1" i="15"/>
  <c r="CZ53" i="15"/>
  <c r="DH68" i="15"/>
  <c r="FF101" i="15" l="1"/>
  <c r="FL96" i="15"/>
  <c r="FJ9" i="15"/>
  <c r="FJ97" i="15"/>
  <c r="FH100" i="15"/>
  <c r="FF11" i="15"/>
  <c r="EF11" i="15"/>
  <c r="EH84" i="15"/>
  <c r="EF85" i="15"/>
  <c r="DJ68" i="15"/>
  <c r="DL68" i="15" s="1"/>
  <c r="DN68" i="15" s="1"/>
  <c r="DN10" i="15" s="1"/>
  <c r="DB53" i="15"/>
  <c r="CT49" i="15"/>
  <c r="CR1" i="15"/>
  <c r="DH69" i="15"/>
  <c r="DH1" i="15" s="1"/>
  <c r="FL97" i="15" l="1"/>
  <c r="FJ100" i="15"/>
  <c r="FH11" i="15"/>
  <c r="FH101" i="15"/>
  <c r="FN96" i="15"/>
  <c r="FL9" i="15"/>
  <c r="EH85" i="15"/>
  <c r="EJ84" i="15"/>
  <c r="EH11" i="15"/>
  <c r="DP68" i="15"/>
  <c r="CV49" i="15"/>
  <c r="CT1" i="15"/>
  <c r="DD53" i="15"/>
  <c r="DJ69" i="15"/>
  <c r="DJ1" i="15" s="1"/>
  <c r="FJ101" i="15" l="1"/>
  <c r="FL100" i="15"/>
  <c r="FJ10" i="15"/>
  <c r="FP96" i="15"/>
  <c r="FN9" i="15"/>
  <c r="FN97" i="15"/>
  <c r="EJ85" i="15"/>
  <c r="EJ11" i="15"/>
  <c r="EL84" i="15"/>
  <c r="DR68" i="15"/>
  <c r="DR10" i="15" s="1"/>
  <c r="DP10" i="15"/>
  <c r="CX49" i="15"/>
  <c r="CV1" i="15"/>
  <c r="DF53" i="15"/>
  <c r="DL69" i="15"/>
  <c r="FP97" i="15" l="1"/>
  <c r="DT68" i="15"/>
  <c r="DT9" i="15" s="1"/>
  <c r="FR96" i="15"/>
  <c r="FP8" i="15"/>
  <c r="FN100" i="15"/>
  <c r="FL10" i="15"/>
  <c r="FL101" i="15"/>
  <c r="EN84" i="15"/>
  <c r="EL10" i="15"/>
  <c r="EL85" i="15"/>
  <c r="CZ49" i="15"/>
  <c r="CZ1" i="15" s="1"/>
  <c r="CX1" i="15"/>
  <c r="DN69" i="15"/>
  <c r="FN101" i="15" l="1"/>
  <c r="DV68" i="15"/>
  <c r="DX68" i="15" s="1"/>
  <c r="FP100" i="15"/>
  <c r="FN10" i="15"/>
  <c r="FT96" i="15"/>
  <c r="FT8" i="15" s="1"/>
  <c r="FR8" i="15"/>
  <c r="FR97" i="15"/>
  <c r="EP84" i="15"/>
  <c r="EN10" i="15"/>
  <c r="EN85" i="15"/>
  <c r="DB49" i="15"/>
  <c r="DB1" i="15" s="1"/>
  <c r="DP69" i="15"/>
  <c r="DV9" i="15" l="1"/>
  <c r="FT97" i="15"/>
  <c r="FZ117" i="15" s="1"/>
  <c r="FZ118" i="15" s="1"/>
  <c r="GB116" i="15" s="1"/>
  <c r="FR100" i="15"/>
  <c r="FP9" i="15"/>
  <c r="FP101" i="15"/>
  <c r="ER84" i="15"/>
  <c r="EP10" i="15"/>
  <c r="EP85" i="15"/>
  <c r="DZ68" i="15"/>
  <c r="DX9" i="15"/>
  <c r="DD49" i="15"/>
  <c r="DD1" i="15" s="1"/>
  <c r="DR69" i="15"/>
  <c r="GD116" i="15" l="1"/>
  <c r="GB11" i="15"/>
  <c r="FR101" i="15"/>
  <c r="GB117" i="15"/>
  <c r="FT100" i="15"/>
  <c r="FR9" i="15"/>
  <c r="ER85" i="15"/>
  <c r="ET84" i="15"/>
  <c r="ER9" i="15"/>
  <c r="EB68" i="15"/>
  <c r="DZ8" i="15"/>
  <c r="DF49" i="15"/>
  <c r="DT69" i="15"/>
  <c r="GD117" i="15" l="1"/>
  <c r="GF116" i="15"/>
  <c r="GD11" i="15"/>
  <c r="FV100" i="15"/>
  <c r="FT9" i="15"/>
  <c r="FT101" i="15"/>
  <c r="EV84" i="15"/>
  <c r="ET9" i="15"/>
  <c r="ET85" i="15"/>
  <c r="ED68" i="15"/>
  <c r="ED8" i="15" s="1"/>
  <c r="EB8" i="15"/>
  <c r="DF1" i="15"/>
  <c r="DL73" i="15"/>
  <c r="DV69" i="15"/>
  <c r="FX100" i="15" l="1"/>
  <c r="FV8" i="15"/>
  <c r="GH116" i="15"/>
  <c r="GF11" i="15"/>
  <c r="GF117" i="15"/>
  <c r="FV101" i="15"/>
  <c r="EV85" i="15"/>
  <c r="EV9" i="15"/>
  <c r="EX84" i="15"/>
  <c r="DL74" i="15"/>
  <c r="DN72" i="15" s="1"/>
  <c r="DN11" i="15" s="1"/>
  <c r="DN12" i="15" s="1"/>
  <c r="DL1" i="15"/>
  <c r="DX69" i="15"/>
  <c r="GH117" i="15" l="1"/>
  <c r="FX101" i="15"/>
  <c r="GJ116" i="15"/>
  <c r="GH10" i="15"/>
  <c r="FZ100" i="15"/>
  <c r="FZ8" i="15" s="1"/>
  <c r="FX8" i="15"/>
  <c r="EZ84" i="15"/>
  <c r="EX8" i="15"/>
  <c r="EX85" i="15"/>
  <c r="DP72" i="15"/>
  <c r="DN73" i="15"/>
  <c r="DN1" i="15" s="1"/>
  <c r="DZ69" i="15"/>
  <c r="GL116" i="15" l="1"/>
  <c r="GJ10" i="15"/>
  <c r="GJ117" i="15"/>
  <c r="FZ101" i="15"/>
  <c r="GF121" i="15" s="1"/>
  <c r="EZ85" i="15"/>
  <c r="FB84" i="15"/>
  <c r="FB8" i="15" s="1"/>
  <c r="EZ8" i="15"/>
  <c r="DR72" i="15"/>
  <c r="DP11" i="15"/>
  <c r="DP12" i="15" s="1"/>
  <c r="DP73" i="15"/>
  <c r="DP1" i="15" s="1"/>
  <c r="EB69" i="15"/>
  <c r="ED69" i="15" s="1"/>
  <c r="EJ89" i="15" s="1"/>
  <c r="EJ90" i="15" s="1"/>
  <c r="GL117" i="15" l="1"/>
  <c r="GN116" i="15"/>
  <c r="GL10" i="15"/>
  <c r="FB85" i="15"/>
  <c r="DT72" i="15"/>
  <c r="DR11" i="15"/>
  <c r="DR12" i="15" s="1"/>
  <c r="DR73" i="15"/>
  <c r="DR1" i="15" s="1"/>
  <c r="GP116" i="15" l="1"/>
  <c r="GN9" i="15"/>
  <c r="GN117" i="15"/>
  <c r="GF122" i="15"/>
  <c r="GH120" i="15" s="1"/>
  <c r="FH105" i="15"/>
  <c r="FH106" i="15" s="1"/>
  <c r="FJ104" i="15" s="1"/>
  <c r="DT10" i="15"/>
  <c r="DT12" i="15" s="1"/>
  <c r="DV72" i="15"/>
  <c r="DT73" i="15"/>
  <c r="DT1" i="15" s="1"/>
  <c r="EL88" i="15"/>
  <c r="EL11" i="15" s="1"/>
  <c r="EL12" i="15" s="1"/>
  <c r="GP117" i="15" l="1"/>
  <c r="GR116" i="15"/>
  <c r="GP9" i="15"/>
  <c r="GJ120" i="15"/>
  <c r="GH11" i="15"/>
  <c r="GH121" i="15"/>
  <c r="DV73" i="15"/>
  <c r="DV1" i="15" s="1"/>
  <c r="FL104" i="15"/>
  <c r="FJ11" i="15"/>
  <c r="FJ105" i="15"/>
  <c r="DX72" i="15"/>
  <c r="DV10" i="15"/>
  <c r="DV12" i="15" s="1"/>
  <c r="EN88" i="15"/>
  <c r="EL89" i="15"/>
  <c r="EL1" i="15" s="1"/>
  <c r="GJ121" i="15" l="1"/>
  <c r="FL105" i="15"/>
  <c r="DX73" i="15"/>
  <c r="DX1" i="15" s="1"/>
  <c r="GT116" i="15"/>
  <c r="GR9" i="15"/>
  <c r="GR117" i="15"/>
  <c r="GL120" i="15"/>
  <c r="GJ11" i="15"/>
  <c r="FN104" i="15"/>
  <c r="FL11" i="15"/>
  <c r="EP88" i="15"/>
  <c r="EN11" i="15"/>
  <c r="EN12" i="15" s="1"/>
  <c r="DZ72" i="15"/>
  <c r="DX10" i="15"/>
  <c r="DX12" i="15" s="1"/>
  <c r="EN89" i="15"/>
  <c r="GL121" i="15" l="1"/>
  <c r="GT117" i="15"/>
  <c r="GV116" i="15"/>
  <c r="GT8" i="15"/>
  <c r="GN120" i="15"/>
  <c r="GL11" i="15"/>
  <c r="FP104" i="15"/>
  <c r="FN11" i="15"/>
  <c r="FN105" i="15"/>
  <c r="EP89" i="15"/>
  <c r="EN1" i="15"/>
  <c r="ER88" i="15"/>
  <c r="EP11" i="15"/>
  <c r="EP12" i="15" s="1"/>
  <c r="DZ9" i="15"/>
  <c r="DZ12" i="15" s="1"/>
  <c r="EB72" i="15"/>
  <c r="EB9" i="15" s="1"/>
  <c r="EB12" i="15" s="1"/>
  <c r="DZ73" i="15"/>
  <c r="DZ1" i="15" s="1"/>
  <c r="FP105" i="15" l="1"/>
  <c r="GX116" i="15"/>
  <c r="GX8" i="15" s="1"/>
  <c r="GV8" i="15"/>
  <c r="GV117" i="15"/>
  <c r="GP120" i="15"/>
  <c r="GN10" i="15"/>
  <c r="GN121" i="15"/>
  <c r="FR104" i="15"/>
  <c r="FP10" i="15"/>
  <c r="ET88" i="15"/>
  <c r="ER10" i="15"/>
  <c r="ER89" i="15"/>
  <c r="ED72" i="15"/>
  <c r="ED9" i="15" s="1"/>
  <c r="ED12" i="15" s="1"/>
  <c r="EB73" i="15"/>
  <c r="EB1" i="15" s="1"/>
  <c r="FR105" i="15" l="1"/>
  <c r="GP121" i="15"/>
  <c r="GX117" i="15"/>
  <c r="GR120" i="15"/>
  <c r="GP10" i="15"/>
  <c r="FT104" i="15"/>
  <c r="FR10" i="15"/>
  <c r="ET89" i="15"/>
  <c r="EV88" i="15"/>
  <c r="ET10" i="15"/>
  <c r="EF72" i="15"/>
  <c r="EF8" i="15" s="1"/>
  <c r="EF12" i="15" s="1"/>
  <c r="ED73" i="15"/>
  <c r="ED1" i="15" s="1"/>
  <c r="HD137" i="15" l="1"/>
  <c r="HD138" i="15" s="1"/>
  <c r="GT120" i="15"/>
  <c r="GR10" i="15"/>
  <c r="GR121" i="15"/>
  <c r="FV104" i="15"/>
  <c r="FT10" i="15"/>
  <c r="FT105" i="15"/>
  <c r="EX88" i="15"/>
  <c r="EV10" i="15"/>
  <c r="EV89" i="15"/>
  <c r="EH72" i="15"/>
  <c r="EH8" i="15" s="1"/>
  <c r="EF73" i="15"/>
  <c r="GT121" i="15" l="1"/>
  <c r="GV120" i="15"/>
  <c r="GT9" i="15"/>
  <c r="HF136" i="15"/>
  <c r="FX104" i="15"/>
  <c r="FV9" i="15"/>
  <c r="FV105" i="15"/>
  <c r="EZ88" i="15"/>
  <c r="EX9" i="15"/>
  <c r="EX89" i="15"/>
  <c r="EH73" i="15"/>
  <c r="EH1" i="15" s="1"/>
  <c r="EF1" i="15"/>
  <c r="EJ72" i="15"/>
  <c r="EJ8" i="15" s="1"/>
  <c r="EJ12" i="15" s="1"/>
  <c r="EH12" i="15"/>
  <c r="GV121" i="15" l="1"/>
  <c r="FX105" i="15"/>
  <c r="HH136" i="15"/>
  <c r="HF11" i="15"/>
  <c r="GX120" i="15"/>
  <c r="GV9" i="15"/>
  <c r="HF137" i="15"/>
  <c r="FZ104" i="15"/>
  <c r="FX9" i="15"/>
  <c r="FB88" i="15"/>
  <c r="EZ9" i="15"/>
  <c r="EZ89" i="15"/>
  <c r="EJ73" i="15"/>
  <c r="EJ1" i="15" s="1"/>
  <c r="HH137" i="15" l="1"/>
  <c r="GX121" i="15"/>
  <c r="HJ136" i="15"/>
  <c r="HH11" i="15"/>
  <c r="GZ120" i="15"/>
  <c r="GX9" i="15"/>
  <c r="GB104" i="15"/>
  <c r="FZ9" i="15"/>
  <c r="FZ105" i="15"/>
  <c r="FD88" i="15"/>
  <c r="FB9" i="15"/>
  <c r="FB89" i="15"/>
  <c r="EP93" i="15"/>
  <c r="EP1" i="15" s="1"/>
  <c r="GZ121" i="15" l="1"/>
  <c r="HL136" i="15"/>
  <c r="HJ11" i="15"/>
  <c r="HJ137" i="15"/>
  <c r="HB120" i="15"/>
  <c r="GZ8" i="15"/>
  <c r="GB105" i="15"/>
  <c r="GD104" i="15"/>
  <c r="GB8" i="15"/>
  <c r="FF88" i="15"/>
  <c r="FD8" i="15"/>
  <c r="FD89" i="15"/>
  <c r="EP94" i="15"/>
  <c r="ER92" i="15" s="1"/>
  <c r="ER11" i="15" s="1"/>
  <c r="HL137" i="15" l="1"/>
  <c r="HN136" i="15"/>
  <c r="HL10" i="15"/>
  <c r="HD120" i="15"/>
  <c r="HD8" i="15" s="1"/>
  <c r="HB8" i="15"/>
  <c r="HB121" i="15"/>
  <c r="GF104" i="15"/>
  <c r="GF8" i="15" s="1"/>
  <c r="GD8" i="15"/>
  <c r="GD105" i="15"/>
  <c r="FH88" i="15"/>
  <c r="FH8" i="15" s="1"/>
  <c r="FF8" i="15"/>
  <c r="FF89" i="15"/>
  <c r="ER12" i="15"/>
  <c r="ER93" i="15"/>
  <c r="ER1" i="15" s="1"/>
  <c r="ET92" i="15"/>
  <c r="HD121" i="15" l="1"/>
  <c r="HJ141" i="15" s="1"/>
  <c r="HJ142" i="15" s="1"/>
  <c r="HL140" i="15" s="1"/>
  <c r="HP136" i="15"/>
  <c r="HN10" i="15"/>
  <c r="HN137" i="15"/>
  <c r="GF105" i="15"/>
  <c r="FH89" i="15"/>
  <c r="EV92" i="15"/>
  <c r="ET11" i="15"/>
  <c r="ET12" i="15" s="1"/>
  <c r="ET93" i="15"/>
  <c r="HP137" i="15" l="1"/>
  <c r="HR136" i="15"/>
  <c r="HP10" i="15"/>
  <c r="HN140" i="15"/>
  <c r="HL11" i="15"/>
  <c r="HL141" i="15"/>
  <c r="GL125" i="15"/>
  <c r="FN109" i="15"/>
  <c r="FN110" i="15" s="1"/>
  <c r="EV93" i="15"/>
  <c r="EV1" i="15" s="1"/>
  <c r="ET1" i="15"/>
  <c r="EX92" i="15"/>
  <c r="EV11" i="15"/>
  <c r="EV12" i="15" s="1"/>
  <c r="HN141" i="15" l="1"/>
  <c r="HT136" i="15"/>
  <c r="HR9" i="15"/>
  <c r="HP140" i="15"/>
  <c r="HN11" i="15"/>
  <c r="HR137" i="15"/>
  <c r="GL126" i="15"/>
  <c r="GN124" i="15" s="1"/>
  <c r="EZ92" i="15"/>
  <c r="EX10" i="15"/>
  <c r="EX12" i="15" s="1"/>
  <c r="FP108" i="15"/>
  <c r="EX93" i="15"/>
  <c r="HT137" i="15" l="1"/>
  <c r="HV136" i="15"/>
  <c r="HT9" i="15"/>
  <c r="HR140" i="15"/>
  <c r="HP11" i="15"/>
  <c r="HP141" i="15"/>
  <c r="GP124" i="15"/>
  <c r="GN11" i="15"/>
  <c r="GN125" i="15"/>
  <c r="FB92" i="15"/>
  <c r="EZ10" i="15"/>
  <c r="EZ12" i="15" s="1"/>
  <c r="FR108" i="15"/>
  <c r="FP11" i="15"/>
  <c r="FP109" i="15"/>
  <c r="FP1" i="15" s="1"/>
  <c r="EZ93" i="15"/>
  <c r="EX1" i="15"/>
  <c r="HR141" i="15" l="1"/>
  <c r="HT140" i="15"/>
  <c r="HR10" i="15"/>
  <c r="HX136" i="15"/>
  <c r="HV9" i="15"/>
  <c r="HV137" i="15"/>
  <c r="GP125" i="15"/>
  <c r="GR124" i="15"/>
  <c r="GP11" i="15"/>
  <c r="FD92" i="15"/>
  <c r="FB10" i="15"/>
  <c r="FB12" i="15" s="1"/>
  <c r="FP12" i="15"/>
  <c r="FR109" i="15"/>
  <c r="FR1" i="15" s="1"/>
  <c r="FT108" i="15"/>
  <c r="FR11" i="15"/>
  <c r="FR12" i="15" s="1"/>
  <c r="FB93" i="15"/>
  <c r="FB1" i="15" s="1"/>
  <c r="EZ1" i="15"/>
  <c r="HV140" i="15" l="1"/>
  <c r="HT10" i="15"/>
  <c r="HT141" i="15"/>
  <c r="HX137" i="15"/>
  <c r="HZ136" i="15"/>
  <c r="HX8" i="15"/>
  <c r="GT124" i="15"/>
  <c r="GR11" i="15"/>
  <c r="GR125" i="15"/>
  <c r="FF92" i="15"/>
  <c r="FD9" i="15"/>
  <c r="FD12" i="15" s="1"/>
  <c r="FV108" i="15"/>
  <c r="FT11" i="15"/>
  <c r="FT12" i="15" s="1"/>
  <c r="FT109" i="15"/>
  <c r="FD93" i="15"/>
  <c r="FD1" i="15" s="1"/>
  <c r="HV141" i="15" l="1"/>
  <c r="HX140" i="15"/>
  <c r="HV10" i="15"/>
  <c r="IB136" i="15"/>
  <c r="IB8" i="15" s="1"/>
  <c r="HZ8" i="15"/>
  <c r="HZ137" i="15"/>
  <c r="GT125" i="15"/>
  <c r="GV124" i="15"/>
  <c r="GT10" i="15"/>
  <c r="FX108" i="15"/>
  <c r="FV10" i="15"/>
  <c r="FH92" i="15"/>
  <c r="FF9" i="15"/>
  <c r="FF12" i="15" s="1"/>
  <c r="FV109" i="15"/>
  <c r="FF93" i="15"/>
  <c r="FF1" i="15" s="1"/>
  <c r="FX109" i="15" l="1"/>
  <c r="HZ140" i="15"/>
  <c r="HX9" i="15"/>
  <c r="HX141" i="15"/>
  <c r="IB137" i="15"/>
  <c r="GV125" i="15"/>
  <c r="GX124" i="15"/>
  <c r="GV10" i="15"/>
  <c r="FZ108" i="15"/>
  <c r="FX10" i="15"/>
  <c r="FJ92" i="15"/>
  <c r="FH9" i="15"/>
  <c r="FH12" i="15" s="1"/>
  <c r="FH93" i="15"/>
  <c r="FH1" i="15" s="1"/>
  <c r="GX125" i="15" l="1"/>
  <c r="HZ141" i="15"/>
  <c r="IB140" i="15"/>
  <c r="HZ9" i="15"/>
  <c r="IH157" i="15"/>
  <c r="GZ124" i="15"/>
  <c r="GX10" i="15"/>
  <c r="GB108" i="15"/>
  <c r="FZ10" i="15"/>
  <c r="FZ109" i="15"/>
  <c r="FL92" i="15"/>
  <c r="FJ8" i="15"/>
  <c r="FJ12" i="15" s="1"/>
  <c r="FJ93" i="15"/>
  <c r="FJ1" i="15" s="1"/>
  <c r="GZ125" i="15" l="1"/>
  <c r="ID140" i="15"/>
  <c r="IB9" i="15"/>
  <c r="IB141" i="15"/>
  <c r="IH158" i="15"/>
  <c r="HB124" i="15"/>
  <c r="GZ9" i="15"/>
  <c r="GB109" i="15"/>
  <c r="GD108" i="15"/>
  <c r="GB9" i="15"/>
  <c r="FN92" i="15"/>
  <c r="FN8" i="15" s="1"/>
  <c r="FN12" i="15" s="1"/>
  <c r="FL8" i="15"/>
  <c r="FL12" i="15" s="1"/>
  <c r="FL93" i="15"/>
  <c r="FL1" i="15" s="1"/>
  <c r="IL156" i="15" l="1"/>
  <c r="IJ11" i="15"/>
  <c r="ID141" i="15"/>
  <c r="IF140" i="15"/>
  <c r="ID8" i="15"/>
  <c r="IJ157" i="15"/>
  <c r="HD124" i="15"/>
  <c r="HB9" i="15"/>
  <c r="HB125" i="15"/>
  <c r="GF108" i="15"/>
  <c r="GD9" i="15"/>
  <c r="GD109" i="15"/>
  <c r="FN93" i="15"/>
  <c r="FN1" i="15" s="1"/>
  <c r="IL157" i="15" l="1"/>
  <c r="IN156" i="15"/>
  <c r="IL11" i="15"/>
  <c r="IH140" i="15"/>
  <c r="IH8" i="15" s="1"/>
  <c r="IF8" i="15"/>
  <c r="IF141" i="15"/>
  <c r="HD125" i="15"/>
  <c r="HF124" i="15"/>
  <c r="HD9" i="15"/>
  <c r="GF109" i="15"/>
  <c r="GH108" i="15"/>
  <c r="GF9" i="15"/>
  <c r="FT113" i="15"/>
  <c r="IH141" i="15" l="1"/>
  <c r="IP156" i="15"/>
  <c r="IN11" i="15"/>
  <c r="IN157" i="15"/>
  <c r="HH124" i="15"/>
  <c r="HF8" i="15"/>
  <c r="HF125" i="15"/>
  <c r="GJ108" i="15"/>
  <c r="GH8" i="15"/>
  <c r="FT114" i="15"/>
  <c r="FV112" i="15" s="1"/>
  <c r="FT1" i="15"/>
  <c r="GH109" i="15"/>
  <c r="GJ109" i="15" l="1"/>
  <c r="IR156" i="15"/>
  <c r="IP10" i="15"/>
  <c r="IN161" i="15"/>
  <c r="IN162" i="15" s="1"/>
  <c r="IP157" i="15"/>
  <c r="HJ124" i="15"/>
  <c r="HJ8" i="15" s="1"/>
  <c r="HH8" i="15"/>
  <c r="HH125" i="15"/>
  <c r="GL108" i="15"/>
  <c r="GL8" i="15" s="1"/>
  <c r="GJ8" i="15"/>
  <c r="FX112" i="15"/>
  <c r="FV11" i="15"/>
  <c r="FV113" i="15"/>
  <c r="IR157" i="15" l="1"/>
  <c r="IT156" i="15"/>
  <c r="IR10" i="15"/>
  <c r="IR160" i="15"/>
  <c r="IP11" i="15"/>
  <c r="IP161" i="15"/>
  <c r="HJ125" i="15"/>
  <c r="GL109" i="15"/>
  <c r="FV12" i="15"/>
  <c r="FX113" i="15"/>
  <c r="FV1" i="15"/>
  <c r="FZ112" i="15"/>
  <c r="FX11" i="15"/>
  <c r="FX12" i="15" s="1"/>
  <c r="IR161" i="15" l="1"/>
  <c r="IV156" i="15"/>
  <c r="IT10" i="15"/>
  <c r="IT157" i="15"/>
  <c r="IT160" i="15"/>
  <c r="IR11" i="15"/>
  <c r="HP145" i="15"/>
  <c r="GR129" i="15"/>
  <c r="GB112" i="15"/>
  <c r="FZ11" i="15"/>
  <c r="FZ12" i="15" s="1"/>
  <c r="FZ113" i="15"/>
  <c r="FZ1" i="15" s="1"/>
  <c r="FX1" i="15"/>
  <c r="IV157" i="15" l="1"/>
  <c r="IX156" i="15"/>
  <c r="IV9" i="15"/>
  <c r="IV160" i="15"/>
  <c r="IT11" i="15"/>
  <c r="IT161" i="15"/>
  <c r="HP146" i="15"/>
  <c r="HR144" i="15" s="1"/>
  <c r="GR130" i="15"/>
  <c r="GT128" i="15" s="1"/>
  <c r="GD112" i="15"/>
  <c r="GB10" i="15"/>
  <c r="GB113" i="15"/>
  <c r="IX160" i="15" l="1"/>
  <c r="IV10" i="15"/>
  <c r="IV161" i="15"/>
  <c r="IZ156" i="15"/>
  <c r="IX9" i="15"/>
  <c r="IX157" i="15"/>
  <c r="HT144" i="15"/>
  <c r="HR11" i="15"/>
  <c r="HR145" i="15"/>
  <c r="GV128" i="15"/>
  <c r="GT11" i="15"/>
  <c r="GT12" i="15" s="1"/>
  <c r="GT129" i="15"/>
  <c r="GB12" i="15"/>
  <c r="GD113" i="15"/>
  <c r="GD1" i="15" s="1"/>
  <c r="GB1" i="15"/>
  <c r="GF112" i="15"/>
  <c r="GD10" i="15"/>
  <c r="GD12" i="15" s="1"/>
  <c r="IZ157" i="15" l="1"/>
  <c r="HT145" i="15"/>
  <c r="IX161" i="15"/>
  <c r="JB156" i="15"/>
  <c r="JB8" i="15" s="1"/>
  <c r="IZ9" i="15"/>
  <c r="IZ160" i="15"/>
  <c r="IX10" i="15"/>
  <c r="HV144" i="15"/>
  <c r="HT11" i="15"/>
  <c r="GX128" i="15"/>
  <c r="GV11" i="15"/>
  <c r="GV12" i="15" s="1"/>
  <c r="GV129" i="15"/>
  <c r="GV1" i="15" s="1"/>
  <c r="GT1" i="15"/>
  <c r="GH112" i="15"/>
  <c r="GF10" i="15"/>
  <c r="GF12" i="15" s="1"/>
  <c r="GF113" i="15"/>
  <c r="GF1" i="15" s="1"/>
  <c r="JD156" i="15" l="1"/>
  <c r="IZ161" i="15"/>
  <c r="JB157" i="15"/>
  <c r="JB160" i="15"/>
  <c r="JB9" i="15" s="1"/>
  <c r="IZ10" i="15"/>
  <c r="HX144" i="15"/>
  <c r="HV11" i="15"/>
  <c r="HV145" i="15"/>
  <c r="GZ128" i="15"/>
  <c r="GX11" i="15"/>
  <c r="GX12" i="15" s="1"/>
  <c r="GX129" i="15"/>
  <c r="GJ112" i="15"/>
  <c r="GH9" i="15"/>
  <c r="GH113" i="15"/>
  <c r="JD157" i="15" l="1"/>
  <c r="JD160" i="15"/>
  <c r="JF156" i="15"/>
  <c r="JF8" i="15" s="1"/>
  <c r="JD8" i="15"/>
  <c r="JB161" i="15"/>
  <c r="HX145" i="15"/>
  <c r="HZ144" i="15"/>
  <c r="HX10" i="15"/>
  <c r="HB128" i="15"/>
  <c r="GZ10" i="15"/>
  <c r="GZ129" i="15"/>
  <c r="GH12" i="15"/>
  <c r="GJ113" i="15"/>
  <c r="GJ1" i="15" s="1"/>
  <c r="GH1" i="15"/>
  <c r="GL112" i="15"/>
  <c r="GJ9" i="15"/>
  <c r="GJ12" i="15" s="1"/>
  <c r="JD161" i="15" l="1"/>
  <c r="JF160" i="15"/>
  <c r="JD9" i="15"/>
  <c r="JF157" i="15"/>
  <c r="IB144" i="15"/>
  <c r="HZ10" i="15"/>
  <c r="HZ145" i="15"/>
  <c r="HB129" i="15"/>
  <c r="HD128" i="15"/>
  <c r="HB10" i="15"/>
  <c r="GN112" i="15"/>
  <c r="GL9" i="15"/>
  <c r="GL12" i="15" s="1"/>
  <c r="GL113" i="15"/>
  <c r="GL1" i="15" s="1"/>
  <c r="JF161" i="15" l="1"/>
  <c r="JH160" i="15"/>
  <c r="JF9" i="15"/>
  <c r="JL177" i="15"/>
  <c r="IB145" i="15"/>
  <c r="ID144" i="15"/>
  <c r="IB10" i="15"/>
  <c r="HF128" i="15"/>
  <c r="HD10" i="15"/>
  <c r="HD129" i="15"/>
  <c r="GP112" i="15"/>
  <c r="GN8" i="15"/>
  <c r="GN113" i="15"/>
  <c r="JJ160" i="15" l="1"/>
  <c r="JH8" i="15"/>
  <c r="JH161" i="15"/>
  <c r="IF144" i="15"/>
  <c r="ID9" i="15"/>
  <c r="ID145" i="15"/>
  <c r="HH128" i="15"/>
  <c r="HF9" i="15"/>
  <c r="HF129" i="15"/>
  <c r="GN12" i="15"/>
  <c r="GR112" i="15"/>
  <c r="GR8" i="15" s="1"/>
  <c r="GR12" i="15" s="1"/>
  <c r="GP8" i="15"/>
  <c r="GP12" i="15" s="1"/>
  <c r="GP113" i="15"/>
  <c r="GN1" i="15"/>
  <c r="JP176" i="15" l="1"/>
  <c r="JN11" i="15"/>
  <c r="JJ161" i="15"/>
  <c r="JL160" i="15"/>
  <c r="JL8" i="15" s="1"/>
  <c r="JJ8" i="15"/>
  <c r="JN177" i="15"/>
  <c r="IF145" i="15"/>
  <c r="IH144" i="15"/>
  <c r="IF9" i="15"/>
  <c r="HJ128" i="15"/>
  <c r="HH9" i="15"/>
  <c r="HH129" i="15"/>
  <c r="GR113" i="15"/>
  <c r="GP1" i="15"/>
  <c r="JP177" i="15" l="1"/>
  <c r="JR176" i="15"/>
  <c r="JP11" i="15"/>
  <c r="JL161" i="15"/>
  <c r="IJ144" i="15"/>
  <c r="IH9" i="15"/>
  <c r="IH145" i="15"/>
  <c r="HL128" i="15"/>
  <c r="HJ9" i="15"/>
  <c r="HJ129" i="15"/>
  <c r="GR1" i="15"/>
  <c r="GX133" i="15"/>
  <c r="GX1" i="15" s="1"/>
  <c r="JR181" i="15" l="1"/>
  <c r="JR182" i="15" s="1"/>
  <c r="JT176" i="15"/>
  <c r="JR11" i="15"/>
  <c r="JR177" i="15"/>
  <c r="IJ145" i="15"/>
  <c r="IL144" i="15"/>
  <c r="IJ8" i="15"/>
  <c r="HN128" i="15"/>
  <c r="HL8" i="15"/>
  <c r="HL129" i="15"/>
  <c r="GX134" i="15"/>
  <c r="GZ132" i="15" s="1"/>
  <c r="GZ133" i="15" s="1"/>
  <c r="GZ1" i="15" s="1"/>
  <c r="JV180" i="15" l="1"/>
  <c r="JT11" i="15"/>
  <c r="JV176" i="15"/>
  <c r="JT10" i="15"/>
  <c r="JT181" i="15"/>
  <c r="JT177" i="15"/>
  <c r="IL145" i="15"/>
  <c r="IN144" i="15"/>
  <c r="IN8" i="15" s="1"/>
  <c r="IL8" i="15"/>
  <c r="HP128" i="15"/>
  <c r="HP8" i="15" s="1"/>
  <c r="HN8" i="15"/>
  <c r="HN129" i="15"/>
  <c r="HB132" i="15"/>
  <c r="GZ11" i="15"/>
  <c r="JV181" i="15" l="1"/>
  <c r="JV177" i="15"/>
  <c r="JX180" i="15"/>
  <c r="JV11" i="15"/>
  <c r="JX176" i="15"/>
  <c r="JV10" i="15"/>
  <c r="IN145" i="15"/>
  <c r="HP129" i="15"/>
  <c r="GZ12" i="15"/>
  <c r="HB133" i="15"/>
  <c r="HD132" i="15"/>
  <c r="HB11" i="15"/>
  <c r="HB12" i="15" s="1"/>
  <c r="JZ180" i="15" l="1"/>
  <c r="JX11" i="15"/>
  <c r="JX181" i="15"/>
  <c r="JZ176" i="15"/>
  <c r="JX10" i="15"/>
  <c r="JX177" i="15"/>
  <c r="IT165" i="15"/>
  <c r="IT166" i="15" s="1"/>
  <c r="HV149" i="15"/>
  <c r="HF132" i="15"/>
  <c r="HD11" i="15"/>
  <c r="HD12" i="15" s="1"/>
  <c r="HB1" i="15"/>
  <c r="HD133" i="15"/>
  <c r="HD1" i="15" s="1"/>
  <c r="KB176" i="15" l="1"/>
  <c r="JZ9" i="15"/>
  <c r="KB180" i="15"/>
  <c r="JZ10" i="15"/>
  <c r="JZ177" i="15"/>
  <c r="KB177" i="15" s="1"/>
  <c r="JZ181" i="15"/>
  <c r="IX164" i="15"/>
  <c r="IV11" i="15"/>
  <c r="IV165" i="15"/>
  <c r="HV150" i="15"/>
  <c r="HX148" i="15" s="1"/>
  <c r="HH132" i="15"/>
  <c r="HF10" i="15"/>
  <c r="HF133" i="15"/>
  <c r="HF1" i="15" s="1"/>
  <c r="KD180" i="15" l="1"/>
  <c r="KB10" i="15"/>
  <c r="KD176" i="15"/>
  <c r="KB9" i="15"/>
  <c r="KB181" i="15"/>
  <c r="KD181" i="15" s="1"/>
  <c r="IZ164" i="15"/>
  <c r="IX11" i="15"/>
  <c r="IX165" i="15"/>
  <c r="HZ148" i="15"/>
  <c r="HX11" i="15"/>
  <c r="HX149" i="15"/>
  <c r="HX1" i="15" s="1"/>
  <c r="HF12" i="15"/>
  <c r="HJ132" i="15"/>
  <c r="HH10" i="15"/>
  <c r="HH12" i="15" s="1"/>
  <c r="HH133" i="15"/>
  <c r="KF176" i="15" l="1"/>
  <c r="KF8" i="15" s="1"/>
  <c r="KD9" i="15"/>
  <c r="KD177" i="15"/>
  <c r="KF180" i="15"/>
  <c r="KF9" i="15" s="1"/>
  <c r="KD10" i="15"/>
  <c r="IZ165" i="15"/>
  <c r="JB164" i="15"/>
  <c r="IZ11" i="15"/>
  <c r="HZ149" i="15"/>
  <c r="HZ1" i="15" s="1"/>
  <c r="HX12" i="15"/>
  <c r="IB148" i="15"/>
  <c r="HZ11" i="15"/>
  <c r="HZ12" i="15" s="1"/>
  <c r="HL132" i="15"/>
  <c r="HJ10" i="15"/>
  <c r="HJ12" i="15" s="1"/>
  <c r="HJ133" i="15"/>
  <c r="HJ1" i="15" s="1"/>
  <c r="HH1" i="15"/>
  <c r="KF177" i="15" l="1"/>
  <c r="KH176" i="15"/>
  <c r="KH180" i="15"/>
  <c r="KF181" i="15"/>
  <c r="JD164" i="15"/>
  <c r="JB10" i="15"/>
  <c r="JB165" i="15"/>
  <c r="ID148" i="15"/>
  <c r="IB11" i="15"/>
  <c r="IB12" i="15" s="1"/>
  <c r="IB149" i="15"/>
  <c r="HN132" i="15"/>
  <c r="HL9" i="15"/>
  <c r="HL133" i="15"/>
  <c r="KJ180" i="15" l="1"/>
  <c r="KH9" i="15"/>
  <c r="KJ176" i="15"/>
  <c r="KJ8" i="15" s="1"/>
  <c r="KH8" i="15"/>
  <c r="KH181" i="15"/>
  <c r="KJ181" i="15" s="1"/>
  <c r="KH177" i="15"/>
  <c r="JD165" i="15"/>
  <c r="JF164" i="15"/>
  <c r="JD10" i="15"/>
  <c r="IF148" i="15"/>
  <c r="ID10" i="15"/>
  <c r="ID149" i="15"/>
  <c r="HL12" i="15"/>
  <c r="HP132" i="15"/>
  <c r="HN9" i="15"/>
  <c r="HN12" i="15" s="1"/>
  <c r="HN133" i="15"/>
  <c r="HL1" i="15"/>
  <c r="KJ177" i="15" l="1"/>
  <c r="KP197" i="15" s="1"/>
  <c r="KP198" i="15" s="1"/>
  <c r="KR196" i="15" s="1"/>
  <c r="KL180" i="15"/>
  <c r="KJ9" i="15"/>
  <c r="JH164" i="15"/>
  <c r="JF10" i="15"/>
  <c r="JF165" i="15"/>
  <c r="IH148" i="15"/>
  <c r="IF10" i="15"/>
  <c r="IF149" i="15"/>
  <c r="HR132" i="15"/>
  <c r="HP9" i="15"/>
  <c r="HP12" i="15" s="1"/>
  <c r="HP133" i="15"/>
  <c r="HP1" i="15" s="1"/>
  <c r="HN1" i="15"/>
  <c r="KT196" i="15" l="1"/>
  <c r="KV196" i="15" s="1"/>
  <c r="KX196" i="15" s="1"/>
  <c r="KZ196" i="15" s="1"/>
  <c r="LB196" i="15" s="1"/>
  <c r="LD196" i="15" s="1"/>
  <c r="LF196" i="15" s="1"/>
  <c r="LH196" i="15" s="1"/>
  <c r="LJ196" i="15" s="1"/>
  <c r="LL196" i="15" s="1"/>
  <c r="LN196" i="15" s="1"/>
  <c r="LT217" i="15" s="1"/>
  <c r="KR11" i="15"/>
  <c r="KN180" i="15"/>
  <c r="KP180" i="15" s="1"/>
  <c r="KL8" i="15"/>
  <c r="KL181" i="15"/>
  <c r="KN181" i="15" s="1"/>
  <c r="KP181" i="15" s="1"/>
  <c r="KV201" i="15" s="1"/>
  <c r="KV202" i="15" s="1"/>
  <c r="KX200" i="15" s="1"/>
  <c r="KZ200" i="15" s="1"/>
  <c r="LB200" i="15" s="1"/>
  <c r="LD200" i="15" s="1"/>
  <c r="LF200" i="15" s="1"/>
  <c r="LH200" i="15" s="1"/>
  <c r="LJ200" i="15" s="1"/>
  <c r="LL200" i="15" s="1"/>
  <c r="LN200" i="15" s="1"/>
  <c r="LP200" i="15" s="1"/>
  <c r="LR200" i="15" s="1"/>
  <c r="LT200" i="15" s="1"/>
  <c r="KR197" i="15"/>
  <c r="JJ164" i="15"/>
  <c r="JH9" i="15"/>
  <c r="JH165" i="15"/>
  <c r="IJ148" i="15"/>
  <c r="IH10" i="15"/>
  <c r="IH149" i="15"/>
  <c r="HT132" i="15"/>
  <c r="HR8" i="15"/>
  <c r="HR12" i="15" s="1"/>
  <c r="HR133" i="15"/>
  <c r="KT197" i="15" l="1"/>
  <c r="KV197" i="15" s="1"/>
  <c r="KX197" i="15" s="1"/>
  <c r="KZ197" i="15" s="1"/>
  <c r="LB197" i="15" s="1"/>
  <c r="LD197" i="15" s="1"/>
  <c r="LF197" i="15" s="1"/>
  <c r="LH197" i="15" s="1"/>
  <c r="LJ197" i="15" s="1"/>
  <c r="LL197" i="15" s="1"/>
  <c r="LN197" i="15" s="1"/>
  <c r="LT218" i="15"/>
  <c r="LV216" i="15" s="1"/>
  <c r="LX216" i="15" s="1"/>
  <c r="LZ216" i="15" s="1"/>
  <c r="MB216" i="15" s="1"/>
  <c r="MD216" i="15" s="1"/>
  <c r="MF216" i="15" s="1"/>
  <c r="MH216" i="15" s="1"/>
  <c r="MJ216" i="15" s="1"/>
  <c r="ML216" i="15" s="1"/>
  <c r="MN216" i="15" s="1"/>
  <c r="MP216" i="15" s="1"/>
  <c r="MR216" i="15" s="1"/>
  <c r="KX201" i="15"/>
  <c r="KZ201" i="15" s="1"/>
  <c r="LB201" i="15" s="1"/>
  <c r="LD201" i="15" s="1"/>
  <c r="LF201" i="15" s="1"/>
  <c r="LH201" i="15" s="1"/>
  <c r="LJ201" i="15" s="1"/>
  <c r="LL201" i="15" s="1"/>
  <c r="LN201" i="15" s="1"/>
  <c r="LP201" i="15" s="1"/>
  <c r="LR201" i="15" s="1"/>
  <c r="LT201" i="15" s="1"/>
  <c r="JJ165" i="15"/>
  <c r="JL164" i="15"/>
  <c r="JJ9" i="15"/>
  <c r="IL148" i="15"/>
  <c r="IJ9" i="15"/>
  <c r="IJ149" i="15"/>
  <c r="HV132" i="15"/>
  <c r="HV8" i="15" s="1"/>
  <c r="HV12" i="15" s="1"/>
  <c r="HT8" i="15"/>
  <c r="HT12" i="15" s="1"/>
  <c r="HT133" i="15"/>
  <c r="HT1" i="15" s="1"/>
  <c r="HR1" i="15"/>
  <c r="LV217" i="15" l="1"/>
  <c r="LX217" i="15" s="1"/>
  <c r="LZ217" i="15" s="1"/>
  <c r="MB217" i="15" s="1"/>
  <c r="MD217" i="15" s="1"/>
  <c r="MF217" i="15" s="1"/>
  <c r="MH217" i="15" s="1"/>
  <c r="MJ217" i="15" s="1"/>
  <c r="ML217" i="15" s="1"/>
  <c r="MN217" i="15" s="1"/>
  <c r="MP217" i="15" s="1"/>
  <c r="MR217" i="15" s="1"/>
  <c r="JN164" i="15"/>
  <c r="JL9" i="15"/>
  <c r="JL165" i="15"/>
  <c r="IL149" i="15"/>
  <c r="IN148" i="15"/>
  <c r="IL9" i="15"/>
  <c r="HV133" i="15"/>
  <c r="HV1" i="15" s="1"/>
  <c r="JN165" i="15" l="1"/>
  <c r="JP164" i="15"/>
  <c r="JN8" i="15"/>
  <c r="IN149" i="15"/>
  <c r="IP148" i="15"/>
  <c r="IN9" i="15"/>
  <c r="IB153" i="15"/>
  <c r="IB1" i="15" s="1"/>
  <c r="JP165" i="15" l="1"/>
  <c r="JR164" i="15"/>
  <c r="JR8" i="15" s="1"/>
  <c r="JP8" i="15"/>
  <c r="IR148" i="15"/>
  <c r="IP8" i="15"/>
  <c r="IP149" i="15"/>
  <c r="IB154" i="15"/>
  <c r="JR165" i="15" l="1"/>
  <c r="IT148" i="15"/>
  <c r="IT8" i="15" s="1"/>
  <c r="IR8" i="15"/>
  <c r="IR149" i="15"/>
  <c r="IF152" i="15"/>
  <c r="ID11" i="15"/>
  <c r="ID12" i="15" s="1"/>
  <c r="ID153" i="15"/>
  <c r="JX185" i="15" l="1"/>
  <c r="JX186" i="15" s="1"/>
  <c r="IT149" i="15"/>
  <c r="IH152" i="15"/>
  <c r="IF11" i="15"/>
  <c r="IF12" i="15" s="1"/>
  <c r="IF153" i="15"/>
  <c r="IF1" i="15" s="1"/>
  <c r="ID1" i="15"/>
  <c r="KB184" i="15" l="1"/>
  <c r="JZ11" i="15"/>
  <c r="JZ185" i="15"/>
  <c r="KB185" i="15" s="1"/>
  <c r="IZ169" i="15"/>
  <c r="IJ152" i="15"/>
  <c r="IH11" i="15"/>
  <c r="IH12" i="15" s="1"/>
  <c r="IH153" i="15"/>
  <c r="IH1" i="15" s="1"/>
  <c r="KD184" i="15" l="1"/>
  <c r="KB11" i="15"/>
  <c r="JB11" i="15"/>
  <c r="IL152" i="15"/>
  <c r="IJ10" i="15"/>
  <c r="IJ153" i="15"/>
  <c r="KF184" i="15" l="1"/>
  <c r="KF10" i="15" s="1"/>
  <c r="KF12" i="15" s="1"/>
  <c r="KD11" i="15"/>
  <c r="KD185" i="15"/>
  <c r="JD168" i="15"/>
  <c r="JB169" i="15"/>
  <c r="IL153" i="15"/>
  <c r="IL1" i="15" s="1"/>
  <c r="IJ1" i="15"/>
  <c r="IJ12" i="15"/>
  <c r="IN152" i="15"/>
  <c r="IL10" i="15"/>
  <c r="IL12" i="15" s="1"/>
  <c r="KF185" i="15" l="1"/>
  <c r="KH184" i="15"/>
  <c r="JD169" i="15"/>
  <c r="JB1" i="15"/>
  <c r="JB12" i="15"/>
  <c r="JF168" i="15"/>
  <c r="JD11" i="15"/>
  <c r="JD12" i="15" s="1"/>
  <c r="IN153" i="15"/>
  <c r="IN1" i="15" s="1"/>
  <c r="IP152" i="15"/>
  <c r="IN10" i="15"/>
  <c r="IN12" i="15" s="1"/>
  <c r="KJ184" i="15" l="1"/>
  <c r="KH10" i="15"/>
  <c r="KH12" i="15" s="1"/>
  <c r="KH185" i="15"/>
  <c r="KJ185" i="15" s="1"/>
  <c r="JH168" i="15"/>
  <c r="JF11" i="15"/>
  <c r="JF12" i="15" s="1"/>
  <c r="JF169" i="15"/>
  <c r="JD1" i="15"/>
  <c r="IR152" i="15"/>
  <c r="IP9" i="15"/>
  <c r="IP12" i="15" s="1"/>
  <c r="IP153" i="15"/>
  <c r="IP1" i="15" s="1"/>
  <c r="KL184" i="15" l="1"/>
  <c r="KJ10" i="15"/>
  <c r="JJ168" i="15"/>
  <c r="JH10" i="15"/>
  <c r="JH169" i="15"/>
  <c r="IR153" i="15"/>
  <c r="IR1" i="15" s="1"/>
  <c r="IT152" i="15"/>
  <c r="IR9" i="15"/>
  <c r="IR12" i="15" s="1"/>
  <c r="KN184" i="15" l="1"/>
  <c r="KP184" i="15" s="1"/>
  <c r="KR184" i="15" s="1"/>
  <c r="KT184" i="15" s="1"/>
  <c r="KV184" i="15" s="1"/>
  <c r="KL9" i="15"/>
  <c r="KL185" i="15"/>
  <c r="KN185" i="15" s="1"/>
  <c r="KP185" i="15" s="1"/>
  <c r="KR185" i="15" s="1"/>
  <c r="KT185" i="15" s="1"/>
  <c r="KV185" i="15" s="1"/>
  <c r="LB205" i="15" s="1"/>
  <c r="LB206" i="15" s="1"/>
  <c r="LD204" i="15" s="1"/>
  <c r="LF204" i="15" s="1"/>
  <c r="LH204" i="15" s="1"/>
  <c r="LJ204" i="15" s="1"/>
  <c r="LL204" i="15" s="1"/>
  <c r="LN204" i="15" s="1"/>
  <c r="LP204" i="15" s="1"/>
  <c r="LR204" i="15" s="1"/>
  <c r="LT204" i="15" s="1"/>
  <c r="LV204" i="15" s="1"/>
  <c r="LX204" i="15" s="1"/>
  <c r="LZ204" i="15" s="1"/>
  <c r="JJ169" i="15"/>
  <c r="JL168" i="15"/>
  <c r="JJ10" i="15"/>
  <c r="IV152" i="15"/>
  <c r="IT9" i="15"/>
  <c r="IT12" i="15" s="1"/>
  <c r="IT153" i="15"/>
  <c r="IT1" i="15" s="1"/>
  <c r="LD205" i="15" l="1"/>
  <c r="LF205" i="15" s="1"/>
  <c r="LH205" i="15" s="1"/>
  <c r="LJ205" i="15" s="1"/>
  <c r="LL205" i="15" s="1"/>
  <c r="LN205" i="15" s="1"/>
  <c r="LP205" i="15" s="1"/>
  <c r="LR205" i="15" s="1"/>
  <c r="LT205" i="15" s="1"/>
  <c r="LV205" i="15" s="1"/>
  <c r="LX205" i="15" s="1"/>
  <c r="LZ205" i="15" s="1"/>
  <c r="JN168" i="15"/>
  <c r="JL10" i="15"/>
  <c r="JL169" i="15"/>
  <c r="IV153" i="15"/>
  <c r="IX152" i="15"/>
  <c r="IV8" i="15"/>
  <c r="JN169" i="15" l="1"/>
  <c r="JP168" i="15"/>
  <c r="JN9" i="15"/>
  <c r="IX153" i="15"/>
  <c r="IX1" i="15" s="1"/>
  <c r="IV1" i="15"/>
  <c r="IV12" i="15"/>
  <c r="IZ152" i="15"/>
  <c r="IZ8" i="15" s="1"/>
  <c r="IZ12" i="15" s="1"/>
  <c r="IX8" i="15"/>
  <c r="IX12" i="15" s="1"/>
  <c r="JR168" i="15" l="1"/>
  <c r="JP9" i="15"/>
  <c r="JP169" i="15"/>
  <c r="IZ153" i="15"/>
  <c r="IZ1" i="15" s="1"/>
  <c r="JR169" i="15" l="1"/>
  <c r="JT168" i="15"/>
  <c r="JR9" i="15"/>
  <c r="JF173" i="15"/>
  <c r="JF1" i="15" s="1"/>
  <c r="JV168" i="15" l="1"/>
  <c r="JT8" i="15"/>
  <c r="JT169" i="15"/>
  <c r="JH173" i="15"/>
  <c r="JH1" i="15" s="1"/>
  <c r="JV169" i="15" l="1"/>
  <c r="JX168" i="15"/>
  <c r="JX8" i="15" s="1"/>
  <c r="JV8" i="15"/>
  <c r="JJ172" i="15"/>
  <c r="JH11" i="15"/>
  <c r="JX169" i="15" l="1"/>
  <c r="JH12" i="15"/>
  <c r="JL172" i="15"/>
  <c r="JJ11" i="15"/>
  <c r="JJ12" i="15" s="1"/>
  <c r="JJ173" i="15"/>
  <c r="JJ1" i="15" s="1"/>
  <c r="KD189" i="15" l="1"/>
  <c r="JL173" i="15"/>
  <c r="JL1" i="15" s="1"/>
  <c r="JN172" i="15"/>
  <c r="JL11" i="15"/>
  <c r="JL12" i="15" s="1"/>
  <c r="KF189" i="15" l="1"/>
  <c r="KJ12" i="15"/>
  <c r="JP172" i="15"/>
  <c r="JN10" i="15"/>
  <c r="JN173" i="15"/>
  <c r="JN1" i="15" s="1"/>
  <c r="KH189" i="15" l="1"/>
  <c r="KH1" i="15" s="1"/>
  <c r="KF1" i="15"/>
  <c r="KL188" i="15"/>
  <c r="JP173" i="15"/>
  <c r="JP1" i="15" s="1"/>
  <c r="JN12" i="15"/>
  <c r="JR172" i="15"/>
  <c r="JP10" i="15"/>
  <c r="JP12" i="15" s="1"/>
  <c r="KN188" i="15" l="1"/>
  <c r="KP188" i="15" s="1"/>
  <c r="KR188" i="15" s="1"/>
  <c r="KT188" i="15" s="1"/>
  <c r="KV188" i="15" s="1"/>
  <c r="KX188" i="15" s="1"/>
  <c r="KZ188" i="15" s="1"/>
  <c r="LB188" i="15" s="1"/>
  <c r="KL10" i="15"/>
  <c r="KJ189" i="15"/>
  <c r="JR173" i="15"/>
  <c r="JR1" i="15" s="1"/>
  <c r="JT172" i="15"/>
  <c r="JR10" i="15"/>
  <c r="JR12" i="15" s="1"/>
  <c r="KL189" i="15" l="1"/>
  <c r="JT173" i="15"/>
  <c r="JT1" i="15" s="1"/>
  <c r="JV172" i="15"/>
  <c r="JT9" i="15"/>
  <c r="KN189" i="15" l="1"/>
  <c r="KP189" i="15" s="1"/>
  <c r="KR189" i="15" s="1"/>
  <c r="KT189" i="15" s="1"/>
  <c r="KV189" i="15" s="1"/>
  <c r="KX189" i="15" s="1"/>
  <c r="KZ189" i="15" s="1"/>
  <c r="LB189" i="15" s="1"/>
  <c r="LH209" i="15" s="1"/>
  <c r="LH210" i="15" s="1"/>
  <c r="LJ208" i="15" s="1"/>
  <c r="LL208" i="15" s="1"/>
  <c r="LN208" i="15" s="1"/>
  <c r="LP208" i="15" s="1"/>
  <c r="LR208" i="15" s="1"/>
  <c r="LT208" i="15" s="1"/>
  <c r="LV208" i="15" s="1"/>
  <c r="LX208" i="15" s="1"/>
  <c r="LZ208" i="15" s="1"/>
  <c r="MB208" i="15" s="1"/>
  <c r="MD208" i="15" s="1"/>
  <c r="MF208" i="15" s="1"/>
  <c r="JT12" i="15"/>
  <c r="JX172" i="15"/>
  <c r="JZ172" i="15" s="1"/>
  <c r="KB172" i="15" s="1"/>
  <c r="KD172" i="15" s="1"/>
  <c r="JV9" i="15"/>
  <c r="JV12" i="15" s="1"/>
  <c r="JV173" i="15"/>
  <c r="LJ209" i="15" l="1"/>
  <c r="LL209" i="15" s="1"/>
  <c r="LN209" i="15" s="1"/>
  <c r="LP209" i="15" s="1"/>
  <c r="LR209" i="15" s="1"/>
  <c r="LT209" i="15" s="1"/>
  <c r="LV209" i="15" s="1"/>
  <c r="LX209" i="15" s="1"/>
  <c r="LZ209" i="15" s="1"/>
  <c r="MB209" i="15" s="1"/>
  <c r="MD209" i="15" s="1"/>
  <c r="MF209" i="15" s="1"/>
  <c r="JX173" i="15"/>
  <c r="JV1" i="15"/>
  <c r="JX9" i="15"/>
  <c r="JX12" i="15" s="1"/>
  <c r="JX1" i="15" l="1"/>
  <c r="JZ173" i="15"/>
  <c r="KB173" i="15" s="1"/>
  <c r="KD173" i="15" s="1"/>
  <c r="JZ8" i="15"/>
  <c r="JZ1" i="15" l="1"/>
  <c r="JZ12" i="15"/>
  <c r="KD8" i="15"/>
  <c r="KD12" i="15" s="1"/>
  <c r="KB8" i="15"/>
  <c r="KB12" i="15" s="1"/>
  <c r="KB1" i="15" l="1"/>
  <c r="KJ193" i="15" l="1"/>
  <c r="KJ1" i="15" s="1"/>
  <c r="KD1" i="15"/>
  <c r="KJ194" i="15" l="1"/>
  <c r="KL192" i="15" s="1"/>
  <c r="KN192" i="15" l="1"/>
  <c r="KL11" i="15"/>
  <c r="KL193" i="15"/>
  <c r="KP192" i="15" l="1"/>
  <c r="KN11" i="15"/>
  <c r="KN12" i="15" s="1"/>
  <c r="KN193" i="15"/>
  <c r="KL1" i="15"/>
  <c r="J35" i="14"/>
  <c r="KL12" i="15"/>
  <c r="KP193" i="15" l="1"/>
  <c r="KP1" i="15" s="1"/>
  <c r="KN1" i="15"/>
  <c r="KR192" i="15"/>
  <c r="KP11" i="15"/>
  <c r="KP12" i="15" s="1"/>
  <c r="J5" i="14"/>
  <c r="J6" i="14" s="1"/>
  <c r="KT192" i="15" l="1"/>
  <c r="KV192" i="15" s="1"/>
  <c r="KX192" i="15" s="1"/>
  <c r="KZ192" i="15" s="1"/>
  <c r="LB192" i="15" s="1"/>
  <c r="LD192" i="15" s="1"/>
  <c r="LF192" i="15" s="1"/>
  <c r="LH192" i="15" s="1"/>
  <c r="KR10" i="15"/>
  <c r="KR12" i="15" s="1"/>
  <c r="KR193" i="15"/>
  <c r="KT193" i="15" l="1"/>
  <c r="KV193" i="15" s="1"/>
  <c r="KX193" i="15" s="1"/>
  <c r="KZ193" i="15" s="1"/>
  <c r="LB193" i="15" s="1"/>
  <c r="LD193" i="15" s="1"/>
  <c r="LF193" i="15" s="1"/>
  <c r="LH193" i="15" s="1"/>
  <c r="LN213" i="15" s="1"/>
  <c r="LN214" i="15" s="1"/>
  <c r="LP212" i="15" s="1"/>
  <c r="LR212" i="15" s="1"/>
  <c r="LT212" i="15" s="1"/>
  <c r="LV212" i="15" s="1"/>
  <c r="LX212" i="15" s="1"/>
  <c r="LZ212" i="15" s="1"/>
  <c r="MB212" i="15" s="1"/>
  <c r="MD212" i="15" s="1"/>
  <c r="MF212" i="15" s="1"/>
  <c r="MH212" i="15" s="1"/>
  <c r="MJ212" i="15" s="1"/>
  <c r="ML212" i="15" s="1"/>
  <c r="KR1" i="15"/>
  <c r="LP213" i="15" l="1"/>
  <c r="LR213" i="15" s="1"/>
  <c r="LT213" i="15" s="1"/>
  <c r="LV213" i="15" s="1"/>
  <c r="LX213" i="15" s="1"/>
  <c r="LZ213" i="15" s="1"/>
  <c r="MB213" i="15" s="1"/>
  <c r="MD213" i="15" s="1"/>
  <c r="MF213" i="15" s="1"/>
  <c r="MH213" i="15" s="1"/>
  <c r="MJ213" i="15" s="1"/>
  <c r="ML21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Hartline</author>
    <author>User</author>
  </authors>
  <commentList>
    <comment ref="CZ78" authorId="0" shapeId="0" xr:uid="{00000000-0006-0000-0300-000001000000}">
      <text>
        <r>
          <rPr>
            <sz val="9"/>
            <color indexed="81"/>
            <rFont val="Tahoma"/>
            <family val="2"/>
          </rPr>
          <t>Balance divided by twelve months sales</t>
        </r>
      </text>
    </comment>
    <comment ref="DA78" authorId="0" shapeId="0" xr:uid="{00000000-0006-0000-0300-000002000000}">
      <text>
        <r>
          <rPr>
            <sz val="9"/>
            <color indexed="81"/>
            <rFont val="Tahoma"/>
            <family val="2"/>
          </rPr>
          <t>Check - does adjustment and balance have same sign</t>
        </r>
      </text>
    </comment>
    <comment ref="DV79" authorId="0" shapeId="0" xr:uid="{00000000-0006-0000-0300-000003000000}">
      <text>
        <r>
          <rPr>
            <sz val="9"/>
            <color indexed="81"/>
            <rFont val="Tahoma"/>
            <family val="2"/>
          </rPr>
          <t>Balance plus remaining balance (if any) from fourth previous quarter which drops off this period.</t>
        </r>
      </text>
    </comment>
    <comment ref="EB80" authorId="1" shapeId="0" xr:uid="{00000000-0006-0000-0300-000004000000}">
      <text>
        <r>
          <rPr>
            <b/>
            <sz val="9"/>
            <color indexed="81"/>
            <rFont val="Tahoma"/>
            <family val="2"/>
          </rPr>
          <t>Moved and added to the Balance Adjustment for current period</t>
        </r>
      </text>
    </comment>
    <comment ref="KL212" authorId="0" shapeId="0" xr:uid="{2205AB10-E699-411D-8ABF-1331B4420045}">
      <text>
        <r>
          <rPr>
            <sz val="9"/>
            <color indexed="81"/>
            <rFont val="Tahoma"/>
            <family val="2"/>
          </rPr>
          <t>Balance divided by twelve months sales</t>
        </r>
      </text>
    </comment>
    <comment ref="KM212" authorId="0" shapeId="0" xr:uid="{75931FC0-EE81-4324-81AC-8D6796F4B5E5}">
      <text>
        <r>
          <rPr>
            <sz val="9"/>
            <color indexed="81"/>
            <rFont val="Tahoma"/>
            <family val="2"/>
          </rPr>
          <t>Check - does adjustment and balance have same sign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Hartline</author>
    <author>User</author>
    <author>Roberto Miranda</author>
  </authors>
  <commentList>
    <comment ref="AH8" authorId="0" shapeId="0" xr:uid="{00000000-0006-0000-0400-000001000000}">
      <text>
        <r>
          <rPr>
            <sz val="9"/>
            <color indexed="81"/>
            <rFont val="Tahoma"/>
            <family val="2"/>
          </rPr>
          <t>Add one-time contract renegotiation refund</t>
        </r>
      </text>
    </comment>
    <comment ref="GD13" authorId="0" shapeId="0" xr:uid="{D0C741C0-1E79-4FC9-BFDA-4CEC000EDCD2}">
      <text>
        <r>
          <rPr>
            <b/>
            <sz val="9"/>
            <color indexed="81"/>
            <rFont val="Tahoma"/>
            <family val="2"/>
          </rPr>
          <t>Thomas Hartline:</t>
        </r>
        <r>
          <rPr>
            <sz val="9"/>
            <color indexed="81"/>
            <rFont val="Tahoma"/>
            <family val="2"/>
          </rPr>
          <t xml:space="preserve">
Prior GCA inadvertantly carried one additional month</t>
        </r>
      </text>
    </comment>
    <comment ref="GP13" authorId="0" shapeId="0" xr:uid="{91F605EC-46F3-4DE6-91EF-018ADB4383CC}">
      <text>
        <r>
          <rPr>
            <b/>
            <sz val="9"/>
            <color indexed="81"/>
            <rFont val="Tahoma"/>
            <family val="2"/>
          </rPr>
          <t>Thomas Hartline:</t>
        </r>
        <r>
          <rPr>
            <sz val="9"/>
            <color indexed="81"/>
            <rFont val="Tahoma"/>
            <family val="2"/>
          </rPr>
          <t xml:space="preserve">
GCA charged this month was $6.4673</t>
        </r>
      </text>
    </comment>
    <comment ref="HB13" authorId="0" shapeId="0" xr:uid="{19AA7F36-40A2-4131-85BA-D42A3DCF9304}">
      <text>
        <r>
          <rPr>
            <b/>
            <sz val="9"/>
            <color indexed="81"/>
            <rFont val="Tahoma"/>
            <family val="2"/>
          </rPr>
          <t xml:space="preserve">Thomas Hartline:
</t>
        </r>
        <r>
          <rPr>
            <sz val="9"/>
            <color indexed="81"/>
            <rFont val="Tahoma"/>
            <family val="2"/>
          </rPr>
          <t>Original submission corrected to proper quarter</t>
        </r>
      </text>
    </comment>
    <comment ref="HH13" authorId="0" shapeId="0" xr:uid="{4DDC432F-F6E6-42DD-877A-8A727039D9DE}">
      <text>
        <r>
          <rPr>
            <b/>
            <sz val="9"/>
            <color indexed="81"/>
            <rFont val="Tahoma"/>
            <family val="2"/>
          </rPr>
          <t>Thomas Hartline:</t>
        </r>
        <r>
          <rPr>
            <sz val="9"/>
            <color indexed="81"/>
            <rFont val="Tahoma"/>
            <family val="2"/>
          </rPr>
          <t xml:space="preserve">
Corrected to proper quarter EGC.</t>
        </r>
      </text>
    </comment>
    <comment ref="HJ13" authorId="0" shapeId="0" xr:uid="{0718EB1B-A872-4928-B533-90DBFE40D82E}">
      <text>
        <r>
          <rPr>
            <b/>
            <sz val="9"/>
            <color indexed="81"/>
            <rFont val="Tahoma"/>
            <family val="2"/>
          </rPr>
          <t>Thomas Hartline:</t>
        </r>
        <r>
          <rPr>
            <sz val="9"/>
            <color indexed="81"/>
            <rFont val="Tahoma"/>
            <family val="2"/>
          </rPr>
          <t xml:space="preserve">
GCA charged this month was $8.9337</t>
        </r>
      </text>
    </comment>
    <comment ref="J19" authorId="0" shapeId="0" xr:uid="{00000000-0006-0000-0400-000002000000}">
      <text>
        <r>
          <rPr>
            <sz val="9"/>
            <color indexed="81"/>
            <rFont val="Tahoma"/>
            <family val="2"/>
          </rPr>
          <t>No filing made therefore carried to next quarter</t>
        </r>
      </text>
    </comment>
    <comment ref="P19" authorId="0" shapeId="0" xr:uid="{00000000-0006-0000-0400-000003000000}">
      <text>
        <r>
          <rPr>
            <sz val="9"/>
            <color indexed="81"/>
            <rFont val="Tahoma"/>
            <family val="2"/>
          </rPr>
          <t>Amount to be recovered or refunded to rate payer over next twelve months</t>
        </r>
      </text>
    </comment>
    <comment ref="V19" authorId="0" shapeId="0" xr:uid="{00000000-0006-0000-0400-000004000000}">
      <text>
        <r>
          <rPr>
            <sz val="9"/>
            <color indexed="81"/>
            <rFont val="Tahoma"/>
            <family val="2"/>
          </rPr>
          <t>No filing made therefore carried to next quarter</t>
        </r>
      </text>
    </comment>
    <comment ref="AB19" authorId="0" shapeId="0" xr:uid="{00000000-0006-0000-0400-000005000000}">
      <text>
        <r>
          <rPr>
            <sz val="9"/>
            <color indexed="81"/>
            <rFont val="Tahoma"/>
            <family val="2"/>
          </rPr>
          <t>Amount to be recovered or refunded to rate payer over next twelve months</t>
        </r>
      </text>
    </comment>
    <comment ref="AH19" authorId="0" shapeId="0" xr:uid="{00000000-0006-0000-0400-000006000000}">
      <text>
        <r>
          <rPr>
            <sz val="9"/>
            <color indexed="81"/>
            <rFont val="Tahoma"/>
            <family val="2"/>
          </rPr>
          <t>Amount to be recovered or refunded to rate payer over next twelve months</t>
        </r>
      </text>
    </comment>
    <comment ref="AN19" authorId="0" shapeId="0" xr:uid="{00000000-0006-0000-0400-000007000000}">
      <text>
        <r>
          <rPr>
            <sz val="9"/>
            <color indexed="81"/>
            <rFont val="Tahoma"/>
            <family val="2"/>
          </rPr>
          <t>Amount to be recovered or refunded to rate payer over next twelve months</t>
        </r>
      </text>
    </comment>
    <comment ref="AT19" authorId="0" shapeId="0" xr:uid="{00000000-0006-0000-0400-000008000000}">
      <text>
        <r>
          <rPr>
            <sz val="9"/>
            <color indexed="81"/>
            <rFont val="Tahoma"/>
            <family val="2"/>
          </rPr>
          <t>Amount to be recovered or refunded to rate payer over next twelve months</t>
        </r>
      </text>
    </comment>
    <comment ref="AZ19" authorId="0" shapeId="0" xr:uid="{00000000-0006-0000-0400-000009000000}">
      <text>
        <r>
          <rPr>
            <sz val="9"/>
            <color indexed="81"/>
            <rFont val="Tahoma"/>
            <family val="2"/>
          </rPr>
          <t>Amount to be recovered or refunded to rate payer over next twelve months</t>
        </r>
      </text>
    </comment>
    <comment ref="BF19" authorId="0" shapeId="0" xr:uid="{00000000-0006-0000-0400-00000A000000}">
      <text>
        <r>
          <rPr>
            <sz val="9"/>
            <color indexed="81"/>
            <rFont val="Tahoma"/>
            <family val="2"/>
          </rPr>
          <t>Amount to be recovered or refunded to rate payer over next twelve months</t>
        </r>
      </text>
    </comment>
    <comment ref="BL19" authorId="0" shapeId="0" xr:uid="{00000000-0006-0000-0400-00000B000000}">
      <text>
        <r>
          <rPr>
            <sz val="9"/>
            <color indexed="81"/>
            <rFont val="Tahoma"/>
            <family val="2"/>
          </rPr>
          <t>Amount to be recovered or refunded to rate payer over next twelve months</t>
        </r>
      </text>
    </comment>
    <comment ref="BR19" authorId="0" shapeId="0" xr:uid="{00000000-0006-0000-0400-00000C000000}">
      <text>
        <r>
          <rPr>
            <sz val="9"/>
            <color indexed="81"/>
            <rFont val="Tahoma"/>
            <family val="2"/>
          </rPr>
          <t>Amount to be recovered or refunded to rate payer over next twelve months</t>
        </r>
      </text>
    </comment>
    <comment ref="BX19" authorId="0" shapeId="0" xr:uid="{00000000-0006-0000-0400-00000D000000}">
      <text>
        <r>
          <rPr>
            <sz val="9"/>
            <color indexed="81"/>
            <rFont val="Tahoma"/>
            <family val="2"/>
          </rPr>
          <t>Amount to be recovered or refunded to rate payer over next twelve months</t>
        </r>
      </text>
    </comment>
    <comment ref="CD19" authorId="0" shapeId="0" xr:uid="{00000000-0006-0000-0400-00000E000000}">
      <text>
        <r>
          <rPr>
            <sz val="9"/>
            <color indexed="81"/>
            <rFont val="Tahoma"/>
            <family val="2"/>
          </rPr>
          <t>Amount to be recovered or refunded to rate payer over next twelve months</t>
        </r>
      </text>
    </comment>
    <comment ref="CJ19" authorId="0" shapeId="0" xr:uid="{00000000-0006-0000-0400-00000F000000}">
      <text>
        <r>
          <rPr>
            <sz val="9"/>
            <color indexed="81"/>
            <rFont val="Tahoma"/>
            <family val="2"/>
          </rPr>
          <t>Amount to be recovered or refunded to rate payer over next twelve months</t>
        </r>
      </text>
    </comment>
    <comment ref="CP19" authorId="0" shapeId="0" xr:uid="{00000000-0006-0000-0400-000010000000}">
      <text>
        <r>
          <rPr>
            <sz val="9"/>
            <color indexed="81"/>
            <rFont val="Tahoma"/>
            <family val="2"/>
          </rPr>
          <t>Amount to be recovered or refunded to rate payer over next twelve months</t>
        </r>
      </text>
    </comment>
    <comment ref="CV19" authorId="0" shapeId="0" xr:uid="{00000000-0006-0000-0400-000011000000}">
      <text>
        <r>
          <rPr>
            <sz val="9"/>
            <color indexed="81"/>
            <rFont val="Tahoma"/>
            <family val="2"/>
          </rPr>
          <t>Amount to be recovered or refunded to rate payer over next twelve months</t>
        </r>
      </text>
    </comment>
    <comment ref="DB19" authorId="0" shapeId="0" xr:uid="{00000000-0006-0000-0400-000012000000}">
      <text>
        <r>
          <rPr>
            <sz val="9"/>
            <color indexed="81"/>
            <rFont val="Tahoma"/>
            <family val="2"/>
          </rPr>
          <t>Amount to be recovered or refunded to rate payer over next twelve months</t>
        </r>
      </text>
    </comment>
    <comment ref="DH19" authorId="0" shapeId="0" xr:uid="{00000000-0006-0000-0400-000013000000}">
      <text>
        <r>
          <rPr>
            <sz val="9"/>
            <color indexed="81"/>
            <rFont val="Tahoma"/>
            <family val="2"/>
          </rPr>
          <t>Amount to be recovered or refunded to rate payer over next twelve months</t>
        </r>
      </text>
    </comment>
    <comment ref="DN19" authorId="0" shapeId="0" xr:uid="{00000000-0006-0000-0400-000014000000}">
      <text>
        <r>
          <rPr>
            <sz val="9"/>
            <color indexed="81"/>
            <rFont val="Tahoma"/>
            <family val="2"/>
          </rPr>
          <t>Amount to be recovered or refunded to rate payer over next twelve months</t>
        </r>
      </text>
    </comment>
    <comment ref="DT19" authorId="0" shapeId="0" xr:uid="{00000000-0006-0000-0400-000015000000}">
      <text>
        <r>
          <rPr>
            <sz val="9"/>
            <color indexed="81"/>
            <rFont val="Tahoma"/>
            <family val="2"/>
          </rPr>
          <t>Amount to be recovered or refunded to rate payer over next twelve months</t>
        </r>
      </text>
    </comment>
    <comment ref="DZ19" authorId="0" shapeId="0" xr:uid="{00000000-0006-0000-0400-000016000000}">
      <text>
        <r>
          <rPr>
            <sz val="9"/>
            <color indexed="81"/>
            <rFont val="Tahoma"/>
            <family val="2"/>
          </rPr>
          <t>Amount to be recovered or refunded to rate payer over next twelve months</t>
        </r>
      </text>
    </comment>
    <comment ref="EF19" authorId="0" shapeId="0" xr:uid="{00000000-0006-0000-0400-000017000000}">
      <text>
        <r>
          <rPr>
            <sz val="9"/>
            <color indexed="81"/>
            <rFont val="Tahoma"/>
            <family val="2"/>
          </rPr>
          <t>Amount to be recovered or refunded to rate payer over next twelve months</t>
        </r>
      </text>
    </comment>
    <comment ref="EL19" authorId="0" shapeId="0" xr:uid="{00000000-0006-0000-0400-000018000000}">
      <text>
        <r>
          <rPr>
            <sz val="9"/>
            <color indexed="81"/>
            <rFont val="Tahoma"/>
            <family val="2"/>
          </rPr>
          <t>Amount to be recovered or refunded to rate payer over next twelve months</t>
        </r>
      </text>
    </comment>
    <comment ref="ER19" authorId="0" shapeId="0" xr:uid="{00000000-0006-0000-0400-000019000000}">
      <text>
        <r>
          <rPr>
            <sz val="9"/>
            <color indexed="81"/>
            <rFont val="Tahoma"/>
            <family val="2"/>
          </rPr>
          <t>Amount to be recovered or refunded to rate payer over next twelve months</t>
        </r>
      </text>
    </comment>
    <comment ref="EX19" authorId="0" shapeId="0" xr:uid="{00000000-0006-0000-0400-00001A000000}">
      <text>
        <r>
          <rPr>
            <sz val="9"/>
            <color indexed="81"/>
            <rFont val="Tahoma"/>
            <family val="2"/>
          </rPr>
          <t>Amount to be recovered or refunded to rate payer over next twelve months</t>
        </r>
      </text>
    </comment>
    <comment ref="FD19" authorId="0" shapeId="0" xr:uid="{00000000-0006-0000-0400-00001B000000}">
      <text>
        <r>
          <rPr>
            <sz val="9"/>
            <color indexed="81"/>
            <rFont val="Tahoma"/>
            <family val="2"/>
          </rPr>
          <t>Amount to be recovered or refunded to rate payer over next twelve months</t>
        </r>
      </text>
    </comment>
    <comment ref="FJ19" authorId="0" shapeId="0" xr:uid="{00000000-0006-0000-0400-00001C000000}">
      <text>
        <r>
          <rPr>
            <sz val="9"/>
            <color indexed="81"/>
            <rFont val="Tahoma"/>
            <family val="2"/>
          </rPr>
          <t>Amount to be recovered or refunded to rate payer over next twelve months</t>
        </r>
      </text>
    </comment>
    <comment ref="FP19" authorId="0" shapeId="0" xr:uid="{00000000-0006-0000-0400-00001D000000}">
      <text>
        <r>
          <rPr>
            <sz val="9"/>
            <color indexed="81"/>
            <rFont val="Tahoma"/>
            <family val="2"/>
          </rPr>
          <t>Amount to be recovered or refunded to rate payer over next twelve months</t>
        </r>
      </text>
    </comment>
    <comment ref="FV19" authorId="0" shapeId="0" xr:uid="{00000000-0006-0000-0400-00001E000000}">
      <text>
        <r>
          <rPr>
            <sz val="9"/>
            <color indexed="81"/>
            <rFont val="Tahoma"/>
            <family val="2"/>
          </rPr>
          <t>Amount to be recovered or refunded to rate payer over next twelve months</t>
        </r>
      </text>
    </comment>
    <comment ref="GB19" authorId="0" shapeId="0" xr:uid="{00000000-0006-0000-0400-00001F000000}">
      <text>
        <r>
          <rPr>
            <sz val="9"/>
            <color indexed="81"/>
            <rFont val="Tahoma"/>
            <family val="2"/>
          </rPr>
          <t>Amount to be recovered or refunded to rate payer over next twelve months</t>
        </r>
      </text>
    </comment>
    <comment ref="GH19" authorId="0" shapeId="0" xr:uid="{00000000-0006-0000-0400-000020000000}">
      <text>
        <r>
          <rPr>
            <sz val="9"/>
            <color indexed="81"/>
            <rFont val="Tahoma"/>
            <family val="2"/>
          </rPr>
          <t>Amount to be recovered or refunded to rate payer over next twelve months</t>
        </r>
      </text>
    </comment>
    <comment ref="GN19" authorId="0" shapeId="0" xr:uid="{00000000-0006-0000-0400-000021000000}">
      <text>
        <r>
          <rPr>
            <sz val="9"/>
            <color indexed="81"/>
            <rFont val="Tahoma"/>
            <family val="2"/>
          </rPr>
          <t>Amount to be recovered or refunded to rate payer over next twelve months</t>
        </r>
      </text>
    </comment>
    <comment ref="GT19" authorId="0" shapeId="0" xr:uid="{00000000-0006-0000-0400-000022000000}">
      <text>
        <r>
          <rPr>
            <sz val="9"/>
            <color indexed="81"/>
            <rFont val="Tahoma"/>
            <family val="2"/>
          </rPr>
          <t>Amount to be recovered or refunded to rate payer over next twelve months</t>
        </r>
      </text>
    </comment>
    <comment ref="GZ19" authorId="0" shapeId="0" xr:uid="{01E488B1-BBB1-49E9-828B-8AD1E7FFF3E3}">
      <text>
        <r>
          <rPr>
            <sz val="9"/>
            <color indexed="81"/>
            <rFont val="Tahoma"/>
            <family val="2"/>
          </rPr>
          <t>Amount to be recovered or refunded to rate payer over next twelve months</t>
        </r>
      </text>
    </comment>
    <comment ref="HF19" authorId="0" shapeId="0" xr:uid="{B13B39AC-592B-40A8-BD7D-49718E120B49}">
      <text>
        <r>
          <rPr>
            <sz val="9"/>
            <color indexed="81"/>
            <rFont val="Tahoma"/>
            <family val="2"/>
          </rPr>
          <t>Amount to be recovered or refunded to rate payer over next twelve months</t>
        </r>
      </text>
    </comment>
    <comment ref="HL19" authorId="0" shapeId="0" xr:uid="{7B3BE11C-3736-4D4B-99EC-058492DF8D2B}">
      <text>
        <r>
          <rPr>
            <sz val="9"/>
            <color indexed="81"/>
            <rFont val="Tahoma"/>
            <family val="2"/>
          </rPr>
          <t>Amount to be recovered or refunded to rate payer over next twelve months</t>
        </r>
      </text>
    </comment>
    <comment ref="HR19" authorId="0" shapeId="0" xr:uid="{21B25FD2-7A14-4274-9051-92432D0ACBE5}">
      <text>
        <r>
          <rPr>
            <sz val="9"/>
            <color indexed="81"/>
            <rFont val="Tahoma"/>
            <family val="2"/>
          </rPr>
          <t>Amount to be recovered or refunded to rate payer over next twelve months</t>
        </r>
      </text>
    </comment>
    <comment ref="HX19" authorId="0" shapeId="0" xr:uid="{940DAD96-6CF9-455B-BCAC-1834D49C40FB}">
      <text>
        <r>
          <rPr>
            <sz val="9"/>
            <color indexed="81"/>
            <rFont val="Tahoma"/>
            <family val="2"/>
          </rPr>
          <t>Amount to be recovered or refunded to rate payer over next twelve months</t>
        </r>
      </text>
    </comment>
    <comment ref="ID19" authorId="0" shapeId="0" xr:uid="{C1890629-1696-49F7-BA71-F8DA037B09D2}">
      <text>
        <r>
          <rPr>
            <sz val="9"/>
            <color indexed="81"/>
            <rFont val="Tahoma"/>
            <family val="2"/>
          </rPr>
          <t>Amount to be recovered or refunded to rate payer over next twelve months</t>
        </r>
      </text>
    </comment>
    <comment ref="IJ19" authorId="0" shapeId="0" xr:uid="{DB9A704A-2AA3-48E7-B24F-32A809EFA87A}">
      <text>
        <r>
          <rPr>
            <sz val="9"/>
            <color indexed="81"/>
            <rFont val="Tahoma"/>
            <family val="2"/>
          </rPr>
          <t>Amount to be recovered or refunded to rate payer over next twelve months</t>
        </r>
      </text>
    </comment>
    <comment ref="CJ20" authorId="0" shapeId="0" xr:uid="{00000000-0006-0000-0400-000023000000}">
      <text>
        <r>
          <rPr>
            <sz val="9"/>
            <color indexed="81"/>
            <rFont val="Tahoma"/>
            <family val="2"/>
          </rPr>
          <t xml:space="preserve">This adjusment will be in effect for the months Aug-14 to July-15. Starting in January, A new customer will come online who is projected to use 10,000 MCF a month. This adjustment will be in effect for 7 of those months, so I've added an additional 70,000 in sales since that is the actual number it will be recovered from. This is to prevent us from massively overcollecting from the customers and then having a large negative balance adjustment. </t>
        </r>
      </text>
    </comment>
    <comment ref="CP20" authorId="0" shapeId="0" xr:uid="{00000000-0006-0000-0400-000024000000}">
      <text>
        <r>
          <rPr>
            <sz val="9"/>
            <color indexed="81"/>
            <rFont val="Tahoma"/>
            <family val="2"/>
          </rPr>
          <t xml:space="preserve">This adjusment will be in effect for the months Nov-14 to Oct-15. Starting in January, A new customer will come online who is projected to use 10,000 MCF a month. This adjustment will be in effect for 10 of those months, so I've added an additional 100,000 in sales since that is the actual number it will be recovered from. This is to prevent us from massively overcollecting from the customers and then having a large negative balance adjustment. </t>
        </r>
      </text>
    </comment>
    <comment ref="CV20" authorId="0" shapeId="0" xr:uid="{00000000-0006-0000-0400-000025000000}">
      <text>
        <r>
          <rPr>
            <sz val="9"/>
            <color indexed="81"/>
            <rFont val="Tahoma"/>
            <family val="2"/>
          </rPr>
          <t xml:space="preserve">This adjusment will be in effect for the months Feb-15 to Jan-16. Starting in January, A new customer will come online who is projected to use 10,000 MCF a month. This adjustment will be in effect for 12 of those months, so I've added an additional 120,000 in sales since that is the actual number it will be recovered from. This is to prevent us from massively overcollecting from the customers and then having a large negative balance adjustment. </t>
        </r>
      </text>
    </comment>
    <comment ref="DB20" authorId="0" shapeId="0" xr:uid="{00000000-0006-0000-0400-000026000000}">
      <text>
        <r>
          <rPr>
            <sz val="9"/>
            <color indexed="81"/>
            <rFont val="Tahoma"/>
            <family val="2"/>
          </rPr>
          <t xml:space="preserve">This adjusment will be in effect for the months May-15 to Apr-16. Starting in January, a new customer came online who we projected to use 10,000 MCF a month. Only this January's usage was captured in this number, so I've added an additional 110,000 in sales since that is the actual number it will be recovered from. This is to prevent us from massively overcollecting from the customers and then having a large negative balance adjustment. </t>
        </r>
      </text>
    </comment>
    <comment ref="DH20" authorId="0" shapeId="0" xr:uid="{00000000-0006-0000-0400-000027000000}">
      <text>
        <r>
          <rPr>
            <sz val="9"/>
            <color indexed="81"/>
            <rFont val="Tahoma"/>
            <family val="2"/>
          </rPr>
          <t xml:space="preserve">This adjusment will be in effect for the months Aug-15 to Jul-16. Starting in January, a new customer came online who we projected to use 10,000 MCF a month. Only January - April usage was captured in this number, so I've added an additional 80,000 in sales since that is the actual number it will be recovered from. This is to prevent us from massively overcollecting from the customers and then having a large negative balance adjustment. </t>
        </r>
      </text>
    </comment>
    <comment ref="DN20" authorId="0" shapeId="0" xr:uid="{00000000-0006-0000-0400-000028000000}">
      <text>
        <r>
          <rPr>
            <sz val="9"/>
            <color indexed="81"/>
            <rFont val="Tahoma"/>
            <family val="2"/>
          </rPr>
          <t xml:space="preserve">This adjusment will be in effect for the months Nov-15 to Oct-16. Starting in January, a new customer came online who we projected to use 10,000 MCF a month. Only January - July usage was captured in this number, so I've added an additional 50,000 in sales since that is the actual number it will be recovered from. This is to prevent us from massively overcollecting from the customers and then having a large negative balance adjustment. </t>
        </r>
      </text>
    </comment>
    <comment ref="DT20" authorId="0" shapeId="0" xr:uid="{00000000-0006-0000-0400-000029000000}">
      <text>
        <r>
          <rPr>
            <sz val="9"/>
            <color indexed="81"/>
            <rFont val="Tahoma"/>
            <family val="2"/>
          </rPr>
          <t xml:space="preserve">This adjusment will be in effect for the months Feb-16 to Jan-17. Starting in January, a new customer came online who we projected to use 10,000 MCF a month. Only January - October usage was captured in this number, so I've added an additional 20,000 in sales since that is the actual number it will be recovered from. This is to prevent us from massively overcollecting from the customers and then having a large negative balance adjustment. </t>
        </r>
      </text>
    </comment>
    <comment ref="C29" authorId="0" shapeId="0" xr:uid="{BCB56962-9F86-415D-8C21-C2B6FA88819B}">
      <text>
        <r>
          <rPr>
            <b/>
            <sz val="9"/>
            <color indexed="81"/>
            <rFont val="Tahoma"/>
            <family val="2"/>
          </rPr>
          <t>Thomas Hartline:</t>
        </r>
        <r>
          <rPr>
            <sz val="9"/>
            <color indexed="81"/>
            <rFont val="Tahoma"/>
            <family val="2"/>
          </rPr>
          <t xml:space="preserve">
From Byrds/Fentress Bill Edit List</t>
        </r>
      </text>
    </comment>
    <comment ref="FJ29" authorId="0" shapeId="0" xr:uid="{3D382B5E-4100-4811-8A3B-282FBB2C21D0}">
      <text>
        <r>
          <rPr>
            <b/>
            <sz val="9"/>
            <color indexed="81"/>
            <rFont val="Tahoma"/>
            <family val="2"/>
          </rPr>
          <t>Thomas Hartline:</t>
        </r>
        <r>
          <rPr>
            <sz val="9"/>
            <color indexed="81"/>
            <rFont val="Tahoma"/>
            <family val="2"/>
          </rPr>
          <t xml:space="preserve">
Rechecked these numbers going forward </t>
        </r>
      </text>
    </comment>
    <comment ref="HM29" authorId="0" shapeId="0" xr:uid="{15AAAE9B-F34B-4558-B974-D170A3B3C8F9}">
      <text>
        <r>
          <rPr>
            <b/>
            <sz val="9"/>
            <color indexed="81"/>
            <rFont val="Tahoma"/>
            <family val="2"/>
          </rPr>
          <t>Thomas Hartline:</t>
        </r>
        <r>
          <rPr>
            <sz val="9"/>
            <color indexed="81"/>
            <rFont val="Tahoma"/>
            <family val="2"/>
          </rPr>
          <t xml:space="preserve">
28 months back reviewed through this point. </t>
        </r>
      </text>
    </comment>
    <comment ref="FX30" authorId="0" shapeId="0" xr:uid="{95E2B3BE-419B-46F1-81EF-C5E76B10516C}">
      <text>
        <r>
          <rPr>
            <b/>
            <sz val="9"/>
            <color indexed="81"/>
            <rFont val="Tahoma"/>
            <family val="2"/>
          </rPr>
          <t>Thomas Hartline:</t>
        </r>
        <r>
          <rPr>
            <sz val="9"/>
            <color indexed="81"/>
            <rFont val="Tahoma"/>
            <family val="2"/>
          </rPr>
          <t xml:space="preserve">
Recheck</t>
        </r>
      </text>
    </comment>
    <comment ref="FZ30" authorId="0" shapeId="0" xr:uid="{045A4B1B-2CB8-4FA4-87A7-60DF9163D99C}">
      <text>
        <r>
          <rPr>
            <b/>
            <sz val="9"/>
            <color indexed="81"/>
            <rFont val="Tahoma"/>
            <family val="2"/>
          </rPr>
          <t>Thomas Hartline:</t>
        </r>
        <r>
          <rPr>
            <sz val="9"/>
            <color indexed="81"/>
            <rFont val="Tahoma"/>
            <family val="2"/>
          </rPr>
          <t xml:space="preserve">
Recheck</t>
        </r>
      </text>
    </comment>
    <comment ref="GB30" authorId="0" shapeId="0" xr:uid="{3D2538E6-40F0-4E1E-AE3E-93D15EC1D2A3}">
      <text>
        <r>
          <rPr>
            <b/>
            <sz val="9"/>
            <color indexed="81"/>
            <rFont val="Tahoma"/>
            <family val="2"/>
          </rPr>
          <t>Thomas Hartline:</t>
        </r>
        <r>
          <rPr>
            <sz val="9"/>
            <color indexed="81"/>
            <rFont val="Tahoma"/>
            <family val="2"/>
          </rPr>
          <t xml:space="preserve">
Recheck</t>
        </r>
      </text>
    </comment>
    <comment ref="GD30" authorId="0" shapeId="0" xr:uid="{2EFD1A35-9DFC-469F-A957-420B4D83AE86}">
      <text>
        <r>
          <rPr>
            <b/>
            <sz val="9"/>
            <color indexed="81"/>
            <rFont val="Tahoma"/>
            <family val="2"/>
          </rPr>
          <t>Thomas Hartline:</t>
        </r>
        <r>
          <rPr>
            <sz val="9"/>
            <color indexed="81"/>
            <rFont val="Tahoma"/>
            <family val="2"/>
          </rPr>
          <t xml:space="preserve">
Checks</t>
        </r>
      </text>
    </comment>
    <comment ref="GF30" authorId="0" shapeId="0" xr:uid="{DEE3AEBC-3126-4EB3-928E-CA47015E618D}">
      <text>
        <r>
          <rPr>
            <b/>
            <sz val="9"/>
            <color indexed="81"/>
            <rFont val="Tahoma"/>
            <family val="2"/>
          </rPr>
          <t>Thomas Hartline:</t>
        </r>
        <r>
          <rPr>
            <sz val="9"/>
            <color indexed="81"/>
            <rFont val="Tahoma"/>
            <family val="2"/>
          </rPr>
          <t xml:space="preserve">
Checks</t>
        </r>
      </text>
    </comment>
    <comment ref="GH30" authorId="0" shapeId="0" xr:uid="{3B65E10C-63D0-447A-9DE4-5577EDEFDECD}">
      <text>
        <r>
          <rPr>
            <b/>
            <sz val="9"/>
            <color indexed="81"/>
            <rFont val="Tahoma"/>
            <family val="2"/>
          </rPr>
          <t>Thomas Hartline:</t>
        </r>
        <r>
          <rPr>
            <sz val="9"/>
            <color indexed="81"/>
            <rFont val="Tahoma"/>
            <family val="2"/>
          </rPr>
          <t xml:space="preserve">
Checks</t>
        </r>
      </text>
    </comment>
    <comment ref="GT30" authorId="0" shapeId="0" xr:uid="{390F61CB-7758-4D2D-9280-EDD816D0CD66}">
      <text>
        <r>
          <rPr>
            <b/>
            <sz val="9"/>
            <color indexed="81"/>
            <rFont val="Tahoma"/>
            <family val="2"/>
          </rPr>
          <t>Thomas Hartline:</t>
        </r>
        <r>
          <rPr>
            <sz val="9"/>
            <color indexed="81"/>
            <rFont val="Tahoma"/>
            <family val="2"/>
          </rPr>
          <t xml:space="preserve">
There is an error, it appears for some months this figure has been put in in MCF not CCF.  This has the effect of overstating KY share.</t>
        </r>
      </text>
    </comment>
    <comment ref="AP34" authorId="1" shapeId="0" xr:uid="{00000000-0006-0000-0400-00002B000000}">
      <text>
        <r>
          <rPr>
            <b/>
            <sz val="9"/>
            <color indexed="81"/>
            <rFont val="Tahoma"/>
            <family val="2"/>
          </rPr>
          <t>Correct for Feb invoice. 19195.79, not 18506.48. Vendor changed amount</t>
        </r>
      </text>
    </comment>
    <comment ref="HF34" authorId="0" shapeId="0" xr:uid="{8197CDAD-68D5-4578-8D8C-94E63F476C5A}">
      <text>
        <r>
          <rPr>
            <b/>
            <sz val="9"/>
            <color indexed="81"/>
            <rFont val="Tahoma"/>
            <family val="2"/>
          </rPr>
          <t>Thomas Hartline:</t>
        </r>
        <r>
          <rPr>
            <sz val="9"/>
            <color indexed="81"/>
            <rFont val="Tahoma"/>
            <family val="2"/>
          </rPr>
          <t xml:space="preserve">
Originally submitted as Thackerville amt $16,337.40</t>
        </r>
      </text>
    </comment>
    <comment ref="HJ34" authorId="0" shapeId="0" xr:uid="{75F49653-1CE2-4D27-8DD1-3A14943BCF59}">
      <text>
        <r>
          <rPr>
            <b/>
            <sz val="9"/>
            <color indexed="81"/>
            <rFont val="Tahoma"/>
            <family val="2"/>
          </rPr>
          <t>Thomas Hartline:</t>
        </r>
        <r>
          <rPr>
            <sz val="9"/>
            <color indexed="81"/>
            <rFont val="Tahoma"/>
            <family val="2"/>
          </rPr>
          <t xml:space="preserve">
Originally submitted as Oct 19 amt of $23805.98</t>
        </r>
      </text>
    </comment>
    <comment ref="HL34" authorId="0" shapeId="0" xr:uid="{47A4D22A-714F-429D-B445-455FD5839740}">
      <text>
        <r>
          <rPr>
            <b/>
            <sz val="9"/>
            <color indexed="81"/>
            <rFont val="Tahoma"/>
            <family val="2"/>
          </rPr>
          <t>Thomas Hartline:</t>
        </r>
        <r>
          <rPr>
            <sz val="9"/>
            <color indexed="81"/>
            <rFont val="Tahoma"/>
            <family val="2"/>
          </rPr>
          <t xml:space="preserve">
Originally submitted as Nov 19 amt of $43,246.49</t>
        </r>
      </text>
    </comment>
    <comment ref="HM34" authorId="0" shapeId="0" xr:uid="{476686AE-C7D4-49A7-A161-6B11C7EA3BDF}">
      <text>
        <r>
          <rPr>
            <b/>
            <sz val="9"/>
            <color indexed="81"/>
            <rFont val="Tahoma"/>
            <family val="2"/>
          </rPr>
          <t>Thomas Hartline:</t>
        </r>
        <r>
          <rPr>
            <sz val="9"/>
            <color indexed="81"/>
            <rFont val="Tahoma"/>
            <family val="2"/>
          </rPr>
          <t xml:space="preserve">
28 months back reviewed through this point. </t>
        </r>
      </text>
    </comment>
    <comment ref="GJ40" authorId="0" shapeId="0" xr:uid="{5EE658B8-8A30-4044-BCEF-BD76AE6D1134}">
      <text>
        <r>
          <rPr>
            <b/>
            <sz val="9"/>
            <color indexed="81"/>
            <rFont val="Tahoma"/>
            <family val="2"/>
          </rPr>
          <t>Thomas Hartline:</t>
        </r>
        <r>
          <rPr>
            <sz val="9"/>
            <color indexed="81"/>
            <rFont val="Tahoma"/>
            <family val="2"/>
          </rPr>
          <t xml:space="preserve">
Originally submitted as $1,672.79</t>
        </r>
      </text>
    </comment>
    <comment ref="GL40" authorId="0" shapeId="0" xr:uid="{056F1182-1FBD-4215-810F-D032F140A2D1}">
      <text>
        <r>
          <rPr>
            <b/>
            <sz val="9"/>
            <color indexed="81"/>
            <rFont val="Tahoma"/>
            <family val="2"/>
          </rPr>
          <t>Thomas Hartline:</t>
        </r>
        <r>
          <rPr>
            <sz val="9"/>
            <color indexed="81"/>
            <rFont val="Tahoma"/>
            <family val="2"/>
          </rPr>
          <t xml:space="preserve">
Originally submitted as $1672.05</t>
        </r>
      </text>
    </comment>
    <comment ref="GX40" authorId="0" shapeId="0" xr:uid="{40F302F4-C2CE-47F4-9596-03766E541468}">
      <text>
        <r>
          <rPr>
            <b/>
            <sz val="9"/>
            <color indexed="81"/>
            <rFont val="Tahoma"/>
            <family val="2"/>
          </rPr>
          <t>Thomas Hartline:</t>
        </r>
        <r>
          <rPr>
            <sz val="9"/>
            <color indexed="81"/>
            <rFont val="Tahoma"/>
            <family val="2"/>
          </rPr>
          <t xml:space="preserve">
Originally submitted as $1668.85</t>
        </r>
      </text>
    </comment>
    <comment ref="HD40" authorId="0" shapeId="0" xr:uid="{36C600DB-59CB-4828-8DA8-A5354B615A00}">
      <text>
        <r>
          <rPr>
            <b/>
            <sz val="9"/>
            <color indexed="81"/>
            <rFont val="Tahoma"/>
            <family val="2"/>
          </rPr>
          <t>Thomas Hartline:</t>
        </r>
        <r>
          <rPr>
            <sz val="9"/>
            <color indexed="81"/>
            <rFont val="Tahoma"/>
            <family val="2"/>
          </rPr>
          <t xml:space="preserve">
Originally submitted as $1,661.17</t>
        </r>
      </text>
    </comment>
    <comment ref="HF40" authorId="0" shapeId="0" xr:uid="{99F2C760-DAB7-4F9D-A7F7-3F0E15B071DF}">
      <text>
        <r>
          <rPr>
            <b/>
            <sz val="9"/>
            <color indexed="81"/>
            <rFont val="Tahoma"/>
            <family val="2"/>
          </rPr>
          <t>Thomas Hartline:</t>
        </r>
        <r>
          <rPr>
            <sz val="9"/>
            <color indexed="81"/>
            <rFont val="Tahoma"/>
            <family val="2"/>
          </rPr>
          <t xml:space="preserve">
Originally submitted as $1,072.06</t>
        </r>
      </text>
    </comment>
    <comment ref="HM40" authorId="0" shapeId="0" xr:uid="{5028E877-AFA1-47C7-9295-4E8F2D7DEE3A}">
      <text>
        <r>
          <rPr>
            <b/>
            <sz val="9"/>
            <color indexed="81"/>
            <rFont val="Tahoma"/>
            <family val="2"/>
          </rPr>
          <t>Thomas Hartline:</t>
        </r>
        <r>
          <rPr>
            <sz val="9"/>
            <color indexed="81"/>
            <rFont val="Tahoma"/>
            <family val="2"/>
          </rPr>
          <t xml:space="preserve">
28 months back reviewed through this point. </t>
        </r>
      </text>
    </comment>
    <comment ref="AH41" authorId="0" shapeId="0" xr:uid="{00000000-0006-0000-0400-00002C000000}">
      <text>
        <r>
          <rPr>
            <sz val="9"/>
            <color indexed="81"/>
            <rFont val="Tahoma"/>
            <family val="2"/>
          </rPr>
          <t>Renegotiation of transportation contract
moved to refund adjustment</t>
        </r>
      </text>
    </comment>
    <comment ref="AH47" authorId="0" shapeId="0" xr:uid="{00000000-0006-0000-0400-00002D000000}">
      <text>
        <r>
          <rPr>
            <sz val="9"/>
            <color indexed="81"/>
            <rFont val="Tahoma"/>
            <family val="2"/>
          </rPr>
          <t>Estimate, supplier has not invoiced for period at time of filing</t>
        </r>
      </text>
    </comment>
    <comment ref="AJ47" authorId="0" shapeId="0" xr:uid="{00000000-0006-0000-0400-00002E000000}">
      <text>
        <r>
          <rPr>
            <sz val="9"/>
            <color indexed="81"/>
            <rFont val="Tahoma"/>
            <family val="2"/>
          </rPr>
          <t>Includes true-up for January</t>
        </r>
      </text>
    </comment>
    <comment ref="AL47" authorId="0" shapeId="0" xr:uid="{00000000-0006-0000-0400-00002F000000}">
      <text>
        <r>
          <rPr>
            <sz val="9"/>
            <color indexed="81"/>
            <rFont val="Tahoma"/>
            <family val="2"/>
          </rPr>
          <t>Estimate, supplier has not invoiced for period at time of filing</t>
        </r>
      </text>
    </comment>
    <comment ref="AN47" authorId="0" shapeId="0" xr:uid="{00000000-0006-0000-0400-000030000000}">
      <text>
        <r>
          <rPr>
            <sz val="9"/>
            <color indexed="81"/>
            <rFont val="Tahoma"/>
            <family val="2"/>
          </rPr>
          <t>Estimate, supplier has not invoiced for period at time of filing</t>
        </r>
      </text>
    </comment>
    <comment ref="AP47" authorId="1" shapeId="0" xr:uid="{00000000-0006-0000-0400-000031000000}">
      <text>
        <r>
          <rPr>
            <b/>
            <sz val="9"/>
            <color indexed="81"/>
            <rFont val="Tahoma"/>
            <family val="2"/>
          </rPr>
          <t>Correct for Feb
828.25-2815.80
Correct for Mar
1484.4-2500
Correct for Apr
849-2500</t>
        </r>
      </text>
    </comment>
    <comment ref="HM48" authorId="0" shapeId="0" xr:uid="{CE082138-0F08-494D-B569-DB56A4DC8A34}">
      <text>
        <r>
          <rPr>
            <b/>
            <sz val="9"/>
            <color indexed="81"/>
            <rFont val="Tahoma"/>
            <family val="2"/>
          </rPr>
          <t>Thomas Hartline:</t>
        </r>
        <r>
          <rPr>
            <sz val="9"/>
            <color indexed="81"/>
            <rFont val="Tahoma"/>
            <family val="2"/>
          </rPr>
          <t xml:space="preserve">
Adjusted to $2.7271 per MCF sales beginning 2/19.  Prior adjustment being handled by 2019-00430</t>
        </r>
      </text>
    </comment>
    <comment ref="AP52" authorId="1" shapeId="0" xr:uid="{00000000-0006-0000-0400-000032000000}">
      <text>
        <r>
          <rPr>
            <b/>
            <sz val="9"/>
            <color indexed="81"/>
            <rFont val="Tahoma"/>
            <family val="2"/>
          </rPr>
          <t>Supply began in Mar
Mar = 773.36
Apr = 4,094.67
May = EST 10,000</t>
        </r>
      </text>
    </comment>
    <comment ref="AR52" authorId="1" shapeId="0" xr:uid="{00000000-0006-0000-0400-000033000000}">
      <text>
        <r>
          <rPr>
            <b/>
            <sz val="9"/>
            <color indexed="81"/>
            <rFont val="Tahoma"/>
            <family val="2"/>
          </rPr>
          <t>Estimate no invoice from vendor</t>
        </r>
      </text>
    </comment>
    <comment ref="AT52" authorId="1" shapeId="0" xr:uid="{00000000-0006-0000-0400-000034000000}">
      <text>
        <r>
          <rPr>
            <b/>
            <sz val="9"/>
            <color indexed="81"/>
            <rFont val="Tahoma"/>
            <family val="2"/>
          </rPr>
          <t>Estimate no invoice from vendor</t>
        </r>
      </text>
    </comment>
    <comment ref="AV52" authorId="1" shapeId="0" xr:uid="{00000000-0006-0000-0400-000035000000}">
      <text>
        <r>
          <rPr>
            <b/>
            <sz val="9"/>
            <color indexed="81"/>
            <rFont val="Tahoma"/>
            <family val="2"/>
          </rPr>
          <t>May -6,081.49 (10,000 - 3,918.51)
June -6,887.83 (10,000 - 3,112.17)
July -5,665.99 (10,000 - 4,434.01)
Aug 5,271.52</t>
        </r>
      </text>
    </comment>
    <comment ref="GB52" authorId="2" shapeId="0" xr:uid="{00000000-0006-0000-0400-000036000000}">
      <text>
        <r>
          <rPr>
            <b/>
            <sz val="9"/>
            <color indexed="81"/>
            <rFont val="Tahoma"/>
            <family val="2"/>
          </rPr>
          <t>Roberto Miranda:</t>
        </r>
        <r>
          <rPr>
            <sz val="9"/>
            <color indexed="81"/>
            <rFont val="Tahoma"/>
            <family val="2"/>
          </rPr>
          <t xml:space="preserve">
Feb adjustment+
Mar adjustment+
April data</t>
        </r>
      </text>
    </comment>
    <comment ref="HJ52" authorId="0" shapeId="0" xr:uid="{132780B9-27D4-478A-A362-540272D3D917}">
      <text>
        <r>
          <rPr>
            <b/>
            <sz val="9"/>
            <color indexed="81"/>
            <rFont val="Tahoma"/>
            <family val="2"/>
          </rPr>
          <t xml:space="preserve">Thomas Hartline:
</t>
        </r>
        <r>
          <rPr>
            <sz val="9"/>
            <color indexed="81"/>
            <rFont val="Tahoma"/>
            <family val="2"/>
          </rPr>
          <t>Originally submitted as Oct 19 amt of $9947.88</t>
        </r>
      </text>
    </comment>
    <comment ref="HL52" authorId="0" shapeId="0" xr:uid="{A7584A84-F556-4ED1-B183-9F462D72CB90}">
      <text>
        <r>
          <rPr>
            <b/>
            <sz val="9"/>
            <color indexed="81"/>
            <rFont val="Tahoma"/>
            <family val="2"/>
          </rPr>
          <t>Thomas Hartline:</t>
        </r>
        <r>
          <rPr>
            <sz val="9"/>
            <color indexed="81"/>
            <rFont val="Tahoma"/>
            <family val="2"/>
          </rPr>
          <t xml:space="preserve">
Originally submitted as Nov 19 amt of $18,519.30</t>
        </r>
      </text>
    </comment>
    <comment ref="HM52" authorId="0" shapeId="0" xr:uid="{0CC05C8E-D29B-48B5-A605-EE30542BF071}">
      <text>
        <r>
          <rPr>
            <b/>
            <sz val="9"/>
            <color indexed="81"/>
            <rFont val="Tahoma"/>
            <family val="2"/>
          </rPr>
          <t>Thomas Hartline:</t>
        </r>
        <r>
          <rPr>
            <sz val="9"/>
            <color indexed="81"/>
            <rFont val="Tahoma"/>
            <family val="2"/>
          </rPr>
          <t xml:space="preserve">
28 months back reviewed through this point.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AL21" authorId="0" shapeId="0" xr:uid="{00000000-0006-0000-0500-000001000000}">
      <text>
        <r>
          <rPr>
            <sz val="9"/>
            <color indexed="81"/>
            <rFont val="Tahoma"/>
            <family val="2"/>
          </rPr>
          <t>Balance of expiring Actual Adjustment
plus given adjustment</t>
        </r>
      </text>
    </comment>
    <comment ref="BP21" authorId="0" shapeId="0" xr:uid="{00000000-0006-0000-0500-000002000000}">
      <text>
        <r>
          <rPr>
            <sz val="9"/>
            <color indexed="81"/>
            <rFont val="Tahoma"/>
            <family val="2"/>
          </rPr>
          <t>Transfer expiring 3rd previous quarter BA to next quarters expiring 3rd previous quarter AA</t>
        </r>
      </text>
    </comment>
    <comment ref="AR25" authorId="0" shapeId="0" xr:uid="{00000000-0006-0000-0500-000003000000}">
      <text>
        <r>
          <rPr>
            <sz val="9"/>
            <color indexed="81"/>
            <rFont val="Tahoma"/>
            <family val="2"/>
          </rPr>
          <t>missed filing</t>
        </r>
      </text>
    </comment>
    <comment ref="AX25" authorId="0" shapeId="0" xr:uid="{00000000-0006-0000-0500-000004000000}">
      <text>
        <r>
          <rPr>
            <sz val="9"/>
            <color indexed="81"/>
            <rFont val="Tahoma"/>
            <family val="2"/>
          </rPr>
          <t>missed filing
plus given adjustment</t>
        </r>
      </text>
    </comment>
    <comment ref="CB25" authorId="0" shapeId="0" xr:uid="{00000000-0006-0000-0500-000005000000}">
      <text>
        <r>
          <rPr>
            <sz val="9"/>
            <color indexed="81"/>
            <rFont val="Tahoma"/>
            <family val="2"/>
          </rPr>
          <t>Transfer expiring 3rd previous quarter BA to next quarters expiring 3rd previous quarter AA</t>
        </r>
      </text>
    </comment>
    <comment ref="BD29" authorId="0" shapeId="0" xr:uid="{00000000-0006-0000-0500-000006000000}">
      <text>
        <r>
          <rPr>
            <sz val="9"/>
            <color indexed="81"/>
            <rFont val="Tahoma"/>
            <family val="2"/>
          </rPr>
          <t>Balance of expiring Actual Adjustment plus balance of expiring 3rd previous quarter Balance Adjustment</t>
        </r>
      </text>
    </comment>
    <comment ref="CH29" authorId="0" shapeId="0" xr:uid="{00000000-0006-0000-0500-000007000000}">
      <text>
        <r>
          <rPr>
            <sz val="9"/>
            <color indexed="81"/>
            <rFont val="Tahoma"/>
            <family val="2"/>
          </rPr>
          <t>Transfer expiring 3rd previous quarter BA to next quarters expiring 3rd previous quarter AA</t>
        </r>
      </text>
    </comment>
    <comment ref="BJ33" authorId="0" shapeId="0" xr:uid="{00000000-0006-0000-0500-000008000000}">
      <text>
        <r>
          <rPr>
            <sz val="9"/>
            <color indexed="81"/>
            <rFont val="Tahoma"/>
            <family val="2"/>
          </rPr>
          <t>Balance of expiring Actual Adjustment plus balance of expiring 3rd previous quarter Balance Adjustment</t>
        </r>
      </text>
    </comment>
    <comment ref="CH33" authorId="0" shapeId="0" xr:uid="{00000000-0006-0000-0500-000009000000}">
      <text>
        <r>
          <rPr>
            <sz val="9"/>
            <color indexed="81"/>
            <rFont val="Tahoma"/>
            <family val="2"/>
          </rPr>
          <t>Transfer expiring 3rd previous quarter BA to next quarters expiring 3rd previous quarter AA</t>
        </r>
      </text>
    </comment>
    <comment ref="BP37" authorId="0" shapeId="0" xr:uid="{00000000-0006-0000-0500-00000A000000}">
      <text>
        <r>
          <rPr>
            <sz val="9"/>
            <color indexed="81"/>
            <rFont val="Tahoma"/>
            <family val="2"/>
          </rPr>
          <t>Balance of expiring Actual Adjustment plus balance of expiring 3rd previous quarter Balance Adjustment</t>
        </r>
      </text>
    </comment>
    <comment ref="CT37" authorId="0" shapeId="0" xr:uid="{00000000-0006-0000-0500-00000B000000}">
      <text>
        <r>
          <rPr>
            <sz val="9"/>
            <color indexed="81"/>
            <rFont val="Tahoma"/>
            <family val="2"/>
          </rPr>
          <t>Transfer expiring 3rd previous quarter BA to next quarters expiring 3rd previous quarter AA</t>
        </r>
      </text>
    </comment>
    <comment ref="BX41" authorId="0" shapeId="0" xr:uid="{00000000-0006-0000-0500-00000C000000}">
      <text>
        <r>
          <rPr>
            <sz val="9"/>
            <color indexed="81"/>
            <rFont val="Tahoma"/>
            <family val="2"/>
          </rPr>
          <t>Balance of expiring Actual Adjustment plus balance of expiring 3rd previous quarter Balance Adjustment</t>
        </r>
      </text>
    </comment>
    <comment ref="CT41" authorId="0" shapeId="0" xr:uid="{00000000-0006-0000-0500-00000D000000}">
      <text>
        <r>
          <rPr>
            <sz val="9"/>
            <color indexed="81"/>
            <rFont val="Tahoma"/>
            <family val="2"/>
          </rPr>
          <t>Transfer expiring 3rd previous quarter BA to next quarters expiring 3rd previous quarter AA</t>
        </r>
      </text>
    </comment>
    <comment ref="CH49" authorId="0" shapeId="0" xr:uid="{00000000-0006-0000-0500-00000E000000}">
      <text>
        <r>
          <rPr>
            <sz val="9"/>
            <color indexed="81"/>
            <rFont val="Tahoma"/>
            <family val="2"/>
          </rPr>
          <t>Balance of expiring Actual Adjustment plus balance of expiring 3rd previous quarter Balance Adjustment</t>
        </r>
      </text>
    </comment>
    <comment ref="DF49" authorId="0" shapeId="0" xr:uid="{00000000-0006-0000-0500-00000F000000}">
      <text>
        <r>
          <rPr>
            <sz val="9"/>
            <color indexed="81"/>
            <rFont val="Tahoma"/>
            <family val="2"/>
          </rPr>
          <t>Transfer expiring 3rd previous quarter BA to next quarters expiring 3rd previous quarter AA</t>
        </r>
      </text>
    </comment>
    <comment ref="CN53" authorId="0" shapeId="0" xr:uid="{00000000-0006-0000-0500-000010000000}">
      <text>
        <r>
          <rPr>
            <sz val="9"/>
            <color indexed="81"/>
            <rFont val="Tahoma"/>
            <family val="2"/>
          </rPr>
          <t>Balance of expiring Actual Adjustment plus balance of expiring 3rd previous quarter Balance Adjustment</t>
        </r>
      </text>
    </comment>
    <comment ref="DF53" authorId="0" shapeId="0" xr:uid="{00000000-0006-0000-0500-000011000000}">
      <text>
        <r>
          <rPr>
            <sz val="9"/>
            <color indexed="81"/>
            <rFont val="Tahoma"/>
            <family val="2"/>
          </rPr>
          <t>Transfer expiring 3rd previous quarter BA to next quarters expiring 3rd previous quarter AA</t>
        </r>
      </text>
    </comment>
    <comment ref="DL57" authorId="0" shapeId="0" xr:uid="{00000000-0006-0000-0500-000012000000}">
      <text>
        <r>
          <rPr>
            <sz val="9"/>
            <color indexed="81"/>
            <rFont val="Tahoma"/>
            <family val="2"/>
          </rPr>
          <t>Transfer expiring 3rd previous quarter BA to next quarters expiring 3rd previous quarter AA</t>
        </r>
      </text>
    </comment>
    <comment ref="DR61" authorId="0" shapeId="0" xr:uid="{00000000-0006-0000-0500-000013000000}">
      <text>
        <r>
          <rPr>
            <sz val="9"/>
            <color indexed="81"/>
            <rFont val="Tahoma"/>
            <family val="2"/>
          </rPr>
          <t>Transfer expiring 3rd previous quarter BA to next quarters expiring 3rd previous quarter AA</t>
        </r>
      </text>
    </comment>
    <comment ref="CZ65" authorId="0" shapeId="0" xr:uid="{00000000-0006-0000-0500-000014000000}">
      <text>
        <r>
          <rPr>
            <sz val="9"/>
            <color indexed="81"/>
            <rFont val="Tahoma"/>
            <family val="2"/>
          </rPr>
          <t>Balance of expiring Actual Adjustment plus balance of expiring 3rd previous quarter Balance Adjustment</t>
        </r>
      </text>
    </comment>
    <comment ref="DX65" authorId="0" shapeId="0" xr:uid="{00000000-0006-0000-0500-000015000000}">
      <text>
        <r>
          <rPr>
            <sz val="9"/>
            <color indexed="81"/>
            <rFont val="Tahoma"/>
            <family val="2"/>
          </rPr>
          <t>Transfer expiring 3rd previous quarter BA to next quarters expiring 3rd previous quarter AA</t>
        </r>
      </text>
    </comment>
    <comment ref="DF69" authorId="0" shapeId="0" xr:uid="{00000000-0006-0000-0500-000016000000}">
      <text>
        <r>
          <rPr>
            <sz val="9"/>
            <color indexed="81"/>
            <rFont val="Tahoma"/>
            <family val="2"/>
          </rPr>
          <t>Balance of expiring Actual Adjustment plus balance of expiring 3rd previous quarter Balance Adjustment</t>
        </r>
      </text>
    </comment>
    <comment ref="ED69" authorId="0" shapeId="0" xr:uid="{00000000-0006-0000-0500-000017000000}">
      <text>
        <r>
          <rPr>
            <sz val="9"/>
            <color indexed="81"/>
            <rFont val="Tahoma"/>
            <family val="2"/>
          </rPr>
          <t>Transfer expiring 3rd previous quarter BA to next quarters expiring 3rd previous quarter AA</t>
        </r>
      </text>
    </comment>
    <comment ref="DL73" authorId="0" shapeId="0" xr:uid="{00000000-0006-0000-0500-000018000000}">
      <text>
        <r>
          <rPr>
            <sz val="9"/>
            <color indexed="81"/>
            <rFont val="Tahoma"/>
            <family val="2"/>
          </rPr>
          <t>Balance of expiring Actual Adjustment plus balance of expiring 3rd previous quarter Balance Adjustment</t>
        </r>
      </text>
    </comment>
    <comment ref="EJ73" authorId="0" shapeId="0" xr:uid="{00000000-0006-0000-0500-000019000000}">
      <text>
        <r>
          <rPr>
            <sz val="9"/>
            <color indexed="81"/>
            <rFont val="Tahoma"/>
            <family val="2"/>
          </rPr>
          <t>Transfer expiring 3rd previous quarter BA to next quarters expiring 3rd previous quarter AA</t>
        </r>
      </text>
    </comment>
    <comment ref="DR77" authorId="0" shapeId="0" xr:uid="{00000000-0006-0000-0500-00001A000000}">
      <text>
        <r>
          <rPr>
            <sz val="9"/>
            <color indexed="81"/>
            <rFont val="Tahoma"/>
            <family val="2"/>
          </rPr>
          <t>Balance of expiring Actual Adjustment plus balance of expiring 3rd previous quarter Balance Adjustment.
This was adjusted down to $0 per Leah PSC</t>
        </r>
      </text>
    </comment>
    <comment ref="EP77" authorId="0" shapeId="0" xr:uid="{00000000-0006-0000-0500-00001B000000}">
      <text>
        <r>
          <rPr>
            <sz val="9"/>
            <color indexed="81"/>
            <rFont val="Tahoma"/>
            <family val="2"/>
          </rPr>
          <t>Transfer expiring 3rd previous quarter BA to next quarters expiring 3rd previous quarter AA</t>
        </r>
      </text>
    </comment>
    <comment ref="CT81" authorId="0" shapeId="0" xr:uid="{00000000-0006-0000-0500-00001C000000}">
      <text>
        <r>
          <rPr>
            <sz val="9"/>
            <color indexed="81"/>
            <rFont val="Tahoma"/>
            <family val="2"/>
          </rPr>
          <t>Balance from AA (SIV)</t>
        </r>
      </text>
    </comment>
    <comment ref="DX81" authorId="0" shapeId="0" xr:uid="{00000000-0006-0000-0500-00001D000000}">
      <text>
        <r>
          <rPr>
            <sz val="9"/>
            <color indexed="81"/>
            <rFont val="Tahoma"/>
            <family val="2"/>
          </rPr>
          <t>Balance of expiring Actual Adjustment plus balance of expiring 3rd previous quarter Balance Adjustment</t>
        </r>
      </text>
    </comment>
    <comment ref="EV81" authorId="0" shapeId="0" xr:uid="{00000000-0006-0000-0500-00001E000000}">
      <text>
        <r>
          <rPr>
            <sz val="9"/>
            <color indexed="81"/>
            <rFont val="Tahoma"/>
            <family val="2"/>
          </rPr>
          <t>Transfer expiring 3rd previous quarter BA to next quarters expiring 3rd previous quarter AA</t>
        </r>
      </text>
    </comment>
    <comment ref="DB84" authorId="0" shapeId="0" xr:uid="{00000000-0006-0000-0500-00001F000000}">
      <text>
        <r>
          <rPr>
            <sz val="9"/>
            <color indexed="81"/>
            <rFont val="Tahoma"/>
            <family val="2"/>
          </rPr>
          <t>Balance divided by twelve months sales</t>
        </r>
      </text>
    </comment>
    <comment ref="CZ85" authorId="0" shapeId="0" xr:uid="{00000000-0006-0000-0500-000020000000}">
      <text>
        <r>
          <rPr>
            <sz val="9"/>
            <color indexed="81"/>
            <rFont val="Tahoma"/>
            <family val="2"/>
          </rPr>
          <t>Balance from AA (SIV)</t>
        </r>
      </text>
    </comment>
    <comment ref="ED85" authorId="0" shapeId="0" xr:uid="{00000000-0006-0000-0500-000021000000}">
      <text>
        <r>
          <rPr>
            <sz val="9"/>
            <color indexed="81"/>
            <rFont val="Tahoma"/>
            <family val="2"/>
          </rPr>
          <t>Balance of expiring Actual Adjustment plus balance of expiring 3rd previous quarter Balance Adjustment</t>
        </r>
      </text>
    </comment>
    <comment ref="DH88" authorId="0" shapeId="0" xr:uid="{00000000-0006-0000-0500-000022000000}">
      <text>
        <r>
          <rPr>
            <sz val="9"/>
            <color indexed="81"/>
            <rFont val="Tahoma"/>
            <family val="2"/>
          </rPr>
          <t>Balance divided by twelve months sales</t>
        </r>
      </text>
    </comment>
    <comment ref="DF89" authorId="0" shapeId="0" xr:uid="{00000000-0006-0000-0500-000023000000}">
      <text>
        <r>
          <rPr>
            <sz val="9"/>
            <color indexed="81"/>
            <rFont val="Tahoma"/>
            <family val="2"/>
          </rPr>
          <t>Balance from AA (SIV)</t>
        </r>
      </text>
    </comment>
    <comment ref="EJ89" authorId="0" shapeId="0" xr:uid="{00000000-0006-0000-0500-000024000000}">
      <text>
        <r>
          <rPr>
            <sz val="9"/>
            <color indexed="81"/>
            <rFont val="Tahoma"/>
            <family val="2"/>
          </rPr>
          <t>Balance of expiring Actual Adjustment plus balance of expiring 3rd previous quarter Balance Adjustment</t>
        </r>
      </text>
    </comment>
    <comment ref="DN92" authorId="0" shapeId="0" xr:uid="{00000000-0006-0000-0500-000025000000}">
      <text>
        <r>
          <rPr>
            <sz val="9"/>
            <color indexed="81"/>
            <rFont val="Tahoma"/>
            <family val="2"/>
          </rPr>
          <t>Balance divided by twelve months sales</t>
        </r>
      </text>
    </comment>
    <comment ref="DO92" authorId="0" shapeId="0" xr:uid="{00000000-0006-0000-0500-000026000000}">
      <text>
        <r>
          <rPr>
            <sz val="9"/>
            <color indexed="81"/>
            <rFont val="Tahoma"/>
            <family val="2"/>
          </rPr>
          <t>Check - does adjustment and balance have same sign</t>
        </r>
      </text>
    </comment>
    <comment ref="DL93" authorId="0" shapeId="0" xr:uid="{00000000-0006-0000-0500-000027000000}">
      <text>
        <r>
          <rPr>
            <sz val="9"/>
            <color indexed="81"/>
            <rFont val="Tahoma"/>
            <family val="2"/>
          </rPr>
          <t>Balance from AA (SIV)</t>
        </r>
      </text>
    </comment>
    <comment ref="EP93" authorId="0" shapeId="0" xr:uid="{00000000-0006-0000-0500-000028000000}">
      <text>
        <r>
          <rPr>
            <sz val="9"/>
            <color indexed="81"/>
            <rFont val="Tahoma"/>
            <family val="2"/>
          </rPr>
          <t>Balance of expiring Actual Adjustment plus balance of expiring 3rd previous quarter Balance Adjustment</t>
        </r>
      </text>
    </comment>
    <comment ref="DT96" authorId="0" shapeId="0" xr:uid="{00000000-0006-0000-0500-000029000000}">
      <text>
        <r>
          <rPr>
            <sz val="9"/>
            <color indexed="81"/>
            <rFont val="Tahoma"/>
            <family val="2"/>
          </rPr>
          <t>Balance divided by twelve months sales</t>
        </r>
      </text>
    </comment>
    <comment ref="DU96" authorId="0" shapeId="0" xr:uid="{00000000-0006-0000-0500-00002A000000}">
      <text>
        <r>
          <rPr>
            <sz val="9"/>
            <color indexed="81"/>
            <rFont val="Tahoma"/>
            <family val="2"/>
          </rPr>
          <t>Check - does adjustment and balance have same sign</t>
        </r>
      </text>
    </comment>
    <comment ref="DR97" authorId="0" shapeId="0" xr:uid="{00000000-0006-0000-0500-00002B000000}">
      <text>
        <r>
          <rPr>
            <sz val="9"/>
            <color indexed="81"/>
            <rFont val="Tahoma"/>
            <family val="2"/>
          </rPr>
          <t>Balance from AA (SIV)</t>
        </r>
      </text>
    </comment>
    <comment ref="EV97" authorId="0" shapeId="0" xr:uid="{00000000-0006-0000-0500-00002C000000}">
      <text>
        <r>
          <rPr>
            <sz val="9"/>
            <color indexed="81"/>
            <rFont val="Tahoma"/>
            <family val="2"/>
          </rPr>
          <t>Balance of expiring Actual Adjustment plus balance of expiring 3rd previous quarter Balance Adjustment</t>
        </r>
      </text>
    </comment>
    <comment ref="DZ100" authorId="0" shapeId="0" xr:uid="{00000000-0006-0000-0500-00002D000000}">
      <text>
        <r>
          <rPr>
            <sz val="9"/>
            <color indexed="81"/>
            <rFont val="Tahoma"/>
            <family val="2"/>
          </rPr>
          <t>Balance divided by twelve months sales</t>
        </r>
      </text>
    </comment>
    <comment ref="EA100" authorId="0" shapeId="0" xr:uid="{00000000-0006-0000-0500-00002E000000}">
      <text>
        <r>
          <rPr>
            <sz val="9"/>
            <color indexed="81"/>
            <rFont val="Tahoma"/>
            <family val="2"/>
          </rPr>
          <t>Check - does adjustment and balance have same sign</t>
        </r>
      </text>
    </comment>
    <comment ref="DX101" authorId="0" shapeId="0" xr:uid="{00000000-0006-0000-0500-00002F000000}">
      <text>
        <r>
          <rPr>
            <sz val="9"/>
            <color indexed="81"/>
            <rFont val="Tahoma"/>
            <family val="2"/>
          </rPr>
          <t>Balance from AA (SIV)</t>
        </r>
      </text>
    </comment>
    <comment ref="FB101" authorId="0" shapeId="0" xr:uid="{00000000-0006-0000-0500-000030000000}">
      <text>
        <r>
          <rPr>
            <sz val="9"/>
            <color indexed="81"/>
            <rFont val="Tahoma"/>
            <family val="2"/>
          </rPr>
          <t>Balance of expiring Actual Adjustment plus balance of expiring 3rd previous quarter Balance Adjustment</t>
        </r>
      </text>
    </comment>
    <comment ref="EF104" authorId="0" shapeId="0" xr:uid="{00000000-0006-0000-0500-000031000000}">
      <text>
        <r>
          <rPr>
            <sz val="9"/>
            <color indexed="81"/>
            <rFont val="Tahoma"/>
            <family val="2"/>
          </rPr>
          <t>Balance divided by twelve months sales</t>
        </r>
      </text>
    </comment>
    <comment ref="EG104" authorId="0" shapeId="0" xr:uid="{00000000-0006-0000-0500-000032000000}">
      <text>
        <r>
          <rPr>
            <sz val="9"/>
            <color indexed="81"/>
            <rFont val="Tahoma"/>
            <family val="2"/>
          </rPr>
          <t>Check - does adjustment and balance have same sign</t>
        </r>
      </text>
    </comment>
    <comment ref="ED105" authorId="0" shapeId="0" xr:uid="{00000000-0006-0000-0500-000033000000}">
      <text>
        <r>
          <rPr>
            <sz val="9"/>
            <color indexed="81"/>
            <rFont val="Tahoma"/>
            <family val="2"/>
          </rPr>
          <t>Balance from AA (SIV)</t>
        </r>
      </text>
    </comment>
    <comment ref="FH105" authorId="0" shapeId="0" xr:uid="{00000000-0006-0000-0500-000034000000}">
      <text>
        <r>
          <rPr>
            <sz val="9"/>
            <color indexed="81"/>
            <rFont val="Tahoma"/>
            <family val="2"/>
          </rPr>
          <t>Balance of expiring Actual Adjustment plus balance of expiring 3rd previous quarter Balance Adjustment</t>
        </r>
      </text>
    </comment>
    <comment ref="EL108" authorId="0" shapeId="0" xr:uid="{00000000-0006-0000-0500-000035000000}">
      <text>
        <r>
          <rPr>
            <sz val="9"/>
            <color indexed="81"/>
            <rFont val="Tahoma"/>
            <family val="2"/>
          </rPr>
          <t>Balance divided by twelve months sales</t>
        </r>
      </text>
    </comment>
    <comment ref="EM108" authorId="0" shapeId="0" xr:uid="{00000000-0006-0000-0500-000036000000}">
      <text>
        <r>
          <rPr>
            <sz val="9"/>
            <color indexed="81"/>
            <rFont val="Tahoma"/>
            <family val="2"/>
          </rPr>
          <t>Check - does adjustment and balance have same sign</t>
        </r>
      </text>
    </comment>
    <comment ref="EJ109" authorId="0" shapeId="0" xr:uid="{00000000-0006-0000-0500-000037000000}">
      <text>
        <r>
          <rPr>
            <sz val="9"/>
            <color indexed="81"/>
            <rFont val="Tahoma"/>
            <family val="2"/>
          </rPr>
          <t>Balance from AA (SIV)</t>
        </r>
      </text>
    </comment>
    <comment ref="FN109" authorId="0" shapeId="0" xr:uid="{00000000-0006-0000-0500-000038000000}">
      <text>
        <r>
          <rPr>
            <sz val="9"/>
            <color indexed="81"/>
            <rFont val="Tahoma"/>
            <family val="2"/>
          </rPr>
          <t>Balance of expiring Actual Adjustment plus balance of expiring 3rd previous quarter Balance Adjustment</t>
        </r>
      </text>
    </comment>
    <comment ref="ER112" authorId="0" shapeId="0" xr:uid="{00000000-0006-0000-0500-000039000000}">
      <text>
        <r>
          <rPr>
            <sz val="9"/>
            <color indexed="81"/>
            <rFont val="Tahoma"/>
            <family val="2"/>
          </rPr>
          <t>Balance divided by twelve months sales</t>
        </r>
      </text>
    </comment>
    <comment ref="ES112" authorId="0" shapeId="0" xr:uid="{00000000-0006-0000-0500-00003A000000}">
      <text>
        <r>
          <rPr>
            <sz val="9"/>
            <color indexed="81"/>
            <rFont val="Tahoma"/>
            <family val="2"/>
          </rPr>
          <t>Check - does adjustment and balance have same sign</t>
        </r>
      </text>
    </comment>
    <comment ref="EP113" authorId="0" shapeId="0" xr:uid="{00000000-0006-0000-0500-00003B000000}">
      <text>
        <r>
          <rPr>
            <sz val="9"/>
            <color indexed="81"/>
            <rFont val="Tahoma"/>
            <family val="2"/>
          </rPr>
          <t>Balance from AA (SIV)</t>
        </r>
      </text>
    </comment>
    <comment ref="FT113" authorId="0" shapeId="0" xr:uid="{00000000-0006-0000-0500-00003C000000}">
      <text>
        <r>
          <rPr>
            <sz val="9"/>
            <color indexed="81"/>
            <rFont val="Tahoma"/>
            <family val="2"/>
          </rPr>
          <t>Balance of expiring Actual Adjustment plus balance of expiring 3rd previous quarter Balance Adjustment</t>
        </r>
      </text>
    </comment>
    <comment ref="EX116" authorId="0" shapeId="0" xr:uid="{00000000-0006-0000-0500-00003D000000}">
      <text>
        <r>
          <rPr>
            <sz val="9"/>
            <color indexed="81"/>
            <rFont val="Tahoma"/>
            <family val="2"/>
          </rPr>
          <t>Balance divided by twelve months sales</t>
        </r>
      </text>
    </comment>
    <comment ref="EY116" authorId="0" shapeId="0" xr:uid="{00000000-0006-0000-0500-00003E000000}">
      <text>
        <r>
          <rPr>
            <sz val="9"/>
            <color indexed="81"/>
            <rFont val="Tahoma"/>
            <family val="2"/>
          </rPr>
          <t>Check - does adjustment and balance have same sign</t>
        </r>
      </text>
    </comment>
    <comment ref="EV117" authorId="0" shapeId="0" xr:uid="{00000000-0006-0000-0500-00003F000000}">
      <text>
        <r>
          <rPr>
            <sz val="9"/>
            <color indexed="81"/>
            <rFont val="Tahoma"/>
            <family val="2"/>
          </rPr>
          <t>Balance from AA (SIV)</t>
        </r>
      </text>
    </comment>
    <comment ref="FZ117" authorId="0" shapeId="0" xr:uid="{00000000-0006-0000-0500-000040000000}">
      <text>
        <r>
          <rPr>
            <sz val="9"/>
            <color indexed="81"/>
            <rFont val="Tahoma"/>
            <family val="2"/>
          </rPr>
          <t>Balance of expiring Actual Adjustment plus balance of expiring 3rd previous quarter Balance Adjustment</t>
        </r>
      </text>
    </comment>
    <comment ref="FD120" authorId="0" shapeId="0" xr:uid="{00000000-0006-0000-0500-000041000000}">
      <text>
        <r>
          <rPr>
            <sz val="9"/>
            <color indexed="81"/>
            <rFont val="Tahoma"/>
            <family val="2"/>
          </rPr>
          <t>Balance divided by twelve months sales</t>
        </r>
      </text>
    </comment>
    <comment ref="FE120" authorId="0" shapeId="0" xr:uid="{00000000-0006-0000-0500-000042000000}">
      <text>
        <r>
          <rPr>
            <sz val="9"/>
            <color indexed="81"/>
            <rFont val="Tahoma"/>
            <family val="2"/>
          </rPr>
          <t>Check - does adjustment and balance have same sign</t>
        </r>
      </text>
    </comment>
    <comment ref="FB121" authorId="0" shapeId="0" xr:uid="{00000000-0006-0000-0500-000043000000}">
      <text>
        <r>
          <rPr>
            <sz val="9"/>
            <color indexed="81"/>
            <rFont val="Tahoma"/>
            <family val="2"/>
          </rPr>
          <t>Balance from AA (SIV)</t>
        </r>
      </text>
    </comment>
    <comment ref="GF121" authorId="0" shapeId="0" xr:uid="{00000000-0006-0000-0500-000044000000}">
      <text>
        <r>
          <rPr>
            <sz val="9"/>
            <color indexed="81"/>
            <rFont val="Tahoma"/>
            <family val="2"/>
          </rPr>
          <t>Balance of expiring Actual Adjustment plus balance of expiring 3rd previous quarter Balance Adjustment</t>
        </r>
      </text>
    </comment>
    <comment ref="FJ124" authorId="0" shapeId="0" xr:uid="{00000000-0006-0000-0500-000045000000}">
      <text>
        <r>
          <rPr>
            <sz val="9"/>
            <color indexed="81"/>
            <rFont val="Tahoma"/>
            <family val="2"/>
          </rPr>
          <t>Balance divided by twelve months sales</t>
        </r>
      </text>
    </comment>
    <comment ref="FK124" authorId="0" shapeId="0" xr:uid="{00000000-0006-0000-0500-000046000000}">
      <text>
        <r>
          <rPr>
            <sz val="9"/>
            <color indexed="81"/>
            <rFont val="Tahoma"/>
            <family val="2"/>
          </rPr>
          <t>Check - does adjustment and balance have same sign</t>
        </r>
      </text>
    </comment>
    <comment ref="FH125" authorId="0" shapeId="0" xr:uid="{00000000-0006-0000-0500-000047000000}">
      <text>
        <r>
          <rPr>
            <sz val="9"/>
            <color indexed="81"/>
            <rFont val="Tahoma"/>
            <family val="2"/>
          </rPr>
          <t>Balance from AA (SIV)</t>
        </r>
      </text>
    </comment>
    <comment ref="GL125" authorId="0" shapeId="0" xr:uid="{00000000-0006-0000-0500-000048000000}">
      <text>
        <r>
          <rPr>
            <sz val="9"/>
            <color indexed="81"/>
            <rFont val="Tahoma"/>
            <family val="2"/>
          </rPr>
          <t>Balance of expiring Actual Adjustment plus balance of expiring 3rd previous quarter Balance Adjustment</t>
        </r>
      </text>
    </comment>
    <comment ref="FP128" authorId="0" shapeId="0" xr:uid="{00000000-0006-0000-0500-000049000000}">
      <text>
        <r>
          <rPr>
            <sz val="9"/>
            <color indexed="81"/>
            <rFont val="Tahoma"/>
            <family val="2"/>
          </rPr>
          <t>Balance divided by twelve months sales</t>
        </r>
      </text>
    </comment>
    <comment ref="FQ128" authorId="0" shapeId="0" xr:uid="{00000000-0006-0000-0500-00004A000000}">
      <text>
        <r>
          <rPr>
            <sz val="9"/>
            <color indexed="81"/>
            <rFont val="Tahoma"/>
            <family val="2"/>
          </rPr>
          <t>Check - does adjustment and balance have same sign</t>
        </r>
      </text>
    </comment>
    <comment ref="FN129" authorId="0" shapeId="0" xr:uid="{00000000-0006-0000-0500-00004B000000}">
      <text>
        <r>
          <rPr>
            <sz val="9"/>
            <color indexed="81"/>
            <rFont val="Tahoma"/>
            <family val="2"/>
          </rPr>
          <t>Balance from AA (SIV)</t>
        </r>
      </text>
    </comment>
    <comment ref="GR129" authorId="0" shapeId="0" xr:uid="{00000000-0006-0000-0500-00004C000000}">
      <text>
        <r>
          <rPr>
            <sz val="9"/>
            <color indexed="81"/>
            <rFont val="Tahoma"/>
            <family val="2"/>
          </rPr>
          <t>Balance of expiring Actual Adjustment plus balance of expiring 3rd previous quarter Balance Adjustment</t>
        </r>
      </text>
    </comment>
    <comment ref="FV132" authorId="0" shapeId="0" xr:uid="{00000000-0006-0000-0500-00004D000000}">
      <text>
        <r>
          <rPr>
            <sz val="9"/>
            <color indexed="81"/>
            <rFont val="Tahoma"/>
            <family val="2"/>
          </rPr>
          <t>Balance divided by twelve months sales</t>
        </r>
      </text>
    </comment>
    <comment ref="FW132" authorId="0" shapeId="0" xr:uid="{00000000-0006-0000-0500-00004E000000}">
      <text>
        <r>
          <rPr>
            <sz val="9"/>
            <color indexed="81"/>
            <rFont val="Tahoma"/>
            <family val="2"/>
          </rPr>
          <t>Check - does adjustment and balance have same sign</t>
        </r>
      </text>
    </comment>
    <comment ref="FT133" authorId="0" shapeId="0" xr:uid="{00000000-0006-0000-0500-00004F000000}">
      <text>
        <r>
          <rPr>
            <sz val="9"/>
            <color indexed="81"/>
            <rFont val="Tahoma"/>
            <family val="2"/>
          </rPr>
          <t>Balance from AA (SIV)</t>
        </r>
      </text>
    </comment>
    <comment ref="GX133" authorId="0" shapeId="0" xr:uid="{00000000-0006-0000-0500-000050000000}">
      <text>
        <r>
          <rPr>
            <sz val="9"/>
            <color indexed="81"/>
            <rFont val="Tahoma"/>
            <family val="2"/>
          </rPr>
          <t>Balance of expiring Actual Adjustment plus balance of expiring 3rd previous quarter Balance Adjustment</t>
        </r>
      </text>
    </comment>
    <comment ref="GB136" authorId="0" shapeId="0" xr:uid="{00000000-0006-0000-0500-000051000000}">
      <text>
        <r>
          <rPr>
            <sz val="9"/>
            <color indexed="81"/>
            <rFont val="Tahoma"/>
            <family val="2"/>
          </rPr>
          <t>Balance divided by twelve months sales</t>
        </r>
      </text>
    </comment>
    <comment ref="GC136" authorId="0" shapeId="0" xr:uid="{00000000-0006-0000-0500-000052000000}">
      <text>
        <r>
          <rPr>
            <sz val="9"/>
            <color indexed="81"/>
            <rFont val="Tahoma"/>
            <family val="2"/>
          </rPr>
          <t>Check - does adjustment and balance have same sign</t>
        </r>
      </text>
    </comment>
    <comment ref="FZ137" authorId="0" shapeId="0" xr:uid="{00000000-0006-0000-0500-000053000000}">
      <text>
        <r>
          <rPr>
            <sz val="9"/>
            <color indexed="81"/>
            <rFont val="Tahoma"/>
            <family val="2"/>
          </rPr>
          <t>Balance from AA (SIV)</t>
        </r>
      </text>
    </comment>
    <comment ref="HD137" authorId="0" shapeId="0" xr:uid="{00000000-0006-0000-0500-000054000000}">
      <text>
        <r>
          <rPr>
            <sz val="9"/>
            <color indexed="81"/>
            <rFont val="Tahoma"/>
            <family val="2"/>
          </rPr>
          <t>Balance of expiring Actual Adjustment plus balance of expiring 3rd previous quarter Balance Adjustment</t>
        </r>
      </text>
    </comment>
    <comment ref="GH140" authorId="0" shapeId="0" xr:uid="{00000000-0006-0000-0500-000055000000}">
      <text>
        <r>
          <rPr>
            <sz val="9"/>
            <color indexed="81"/>
            <rFont val="Tahoma"/>
            <family val="2"/>
          </rPr>
          <t>Balance divided by twelve months sales</t>
        </r>
      </text>
    </comment>
    <comment ref="GI140" authorId="0" shapeId="0" xr:uid="{00000000-0006-0000-0500-000056000000}">
      <text>
        <r>
          <rPr>
            <sz val="9"/>
            <color indexed="81"/>
            <rFont val="Tahoma"/>
            <family val="2"/>
          </rPr>
          <t>Check - does adjustment and balance have same sign</t>
        </r>
      </text>
    </comment>
    <comment ref="GF141" authorId="0" shapeId="0" xr:uid="{00000000-0006-0000-0500-000057000000}">
      <text>
        <r>
          <rPr>
            <sz val="9"/>
            <color indexed="81"/>
            <rFont val="Tahoma"/>
            <family val="2"/>
          </rPr>
          <t>Balance from AA (SIV)</t>
        </r>
      </text>
    </comment>
    <comment ref="HJ141" authorId="0" shapeId="0" xr:uid="{00000000-0006-0000-0500-000058000000}">
      <text>
        <r>
          <rPr>
            <sz val="9"/>
            <color indexed="81"/>
            <rFont val="Tahoma"/>
            <family val="2"/>
          </rPr>
          <t>Balance of expiring Actual Adjustment plus balance of expiring 3rd previous quarter Balance Adjustment</t>
        </r>
      </text>
    </comment>
    <comment ref="GN144" authorId="0" shapeId="0" xr:uid="{00000000-0006-0000-0500-000059000000}">
      <text>
        <r>
          <rPr>
            <sz val="9"/>
            <color indexed="81"/>
            <rFont val="Tahoma"/>
            <family val="2"/>
          </rPr>
          <t>Balance divided by twelve months sales</t>
        </r>
      </text>
    </comment>
    <comment ref="GO144" authorId="0" shapeId="0" xr:uid="{00000000-0006-0000-0500-00005A000000}">
      <text>
        <r>
          <rPr>
            <sz val="9"/>
            <color indexed="81"/>
            <rFont val="Tahoma"/>
            <family val="2"/>
          </rPr>
          <t>Check - does adjustment and balance have same sign</t>
        </r>
      </text>
    </comment>
    <comment ref="GL145" authorId="0" shapeId="0" xr:uid="{00000000-0006-0000-0500-00005B000000}">
      <text>
        <r>
          <rPr>
            <sz val="9"/>
            <color indexed="81"/>
            <rFont val="Tahoma"/>
            <family val="2"/>
          </rPr>
          <t>Balance from AA (SIV)</t>
        </r>
      </text>
    </comment>
    <comment ref="HP145" authorId="0" shapeId="0" xr:uid="{00000000-0006-0000-0500-00005C000000}">
      <text>
        <r>
          <rPr>
            <sz val="9"/>
            <color indexed="81"/>
            <rFont val="Tahoma"/>
            <family val="2"/>
          </rPr>
          <t>Balance of expiring Actual Adjustment plus balance of expiring 3rd previous quarter Balance Adjustment</t>
        </r>
      </text>
    </comment>
    <comment ref="GT148" authorId="0" shapeId="0" xr:uid="{00000000-0006-0000-0500-00005D000000}">
      <text>
        <r>
          <rPr>
            <sz val="9"/>
            <color indexed="81"/>
            <rFont val="Tahoma"/>
            <family val="2"/>
          </rPr>
          <t>Balance divided by twelve months sales</t>
        </r>
      </text>
    </comment>
    <comment ref="GU148" authorId="0" shapeId="0" xr:uid="{00000000-0006-0000-0500-00005E000000}">
      <text>
        <r>
          <rPr>
            <sz val="9"/>
            <color indexed="81"/>
            <rFont val="Tahoma"/>
            <family val="2"/>
          </rPr>
          <t>Check - does adjustment and balance have same sign</t>
        </r>
      </text>
    </comment>
    <comment ref="GR149" authorId="0" shapeId="0" xr:uid="{00000000-0006-0000-0500-00005F000000}">
      <text>
        <r>
          <rPr>
            <sz val="9"/>
            <color indexed="81"/>
            <rFont val="Tahoma"/>
            <family val="2"/>
          </rPr>
          <t>Balance from AA (SIV)</t>
        </r>
      </text>
    </comment>
    <comment ref="HV149" authorId="0" shapeId="0" xr:uid="{00000000-0006-0000-0500-000060000000}">
      <text>
        <r>
          <rPr>
            <sz val="9"/>
            <color indexed="81"/>
            <rFont val="Tahoma"/>
            <family val="2"/>
          </rPr>
          <t>Balance of expiring Actual Adjustment plus balance of expiring 3rd previous quarter Balance Adjustment</t>
        </r>
      </text>
    </comment>
    <comment ref="GZ152" authorId="0" shapeId="0" xr:uid="{00000000-0006-0000-0500-000061000000}">
      <text>
        <r>
          <rPr>
            <sz val="9"/>
            <color indexed="81"/>
            <rFont val="Tahoma"/>
            <family val="2"/>
          </rPr>
          <t>Balance divided by twelve months sales</t>
        </r>
      </text>
    </comment>
    <comment ref="HA152" authorId="0" shapeId="0" xr:uid="{00000000-0006-0000-0500-000062000000}">
      <text>
        <r>
          <rPr>
            <sz val="9"/>
            <color indexed="81"/>
            <rFont val="Tahoma"/>
            <family val="2"/>
          </rPr>
          <t>Check - does adjustment and balance have same sign</t>
        </r>
      </text>
    </comment>
    <comment ref="GX153" authorId="0" shapeId="0" xr:uid="{00000000-0006-0000-0500-000063000000}">
      <text>
        <r>
          <rPr>
            <sz val="9"/>
            <color indexed="81"/>
            <rFont val="Tahoma"/>
            <family val="2"/>
          </rPr>
          <t>Balance from AA (SIV)</t>
        </r>
      </text>
    </comment>
    <comment ref="IB153" authorId="0" shapeId="0" xr:uid="{00000000-0006-0000-0500-000064000000}">
      <text>
        <r>
          <rPr>
            <sz val="9"/>
            <color indexed="81"/>
            <rFont val="Tahoma"/>
            <family val="2"/>
          </rPr>
          <t>Balance of expiring Actual Adjustment plus balance of expiring 3rd previous quarter Balance Adjustment</t>
        </r>
      </text>
    </comment>
    <comment ref="HF156" authorId="0" shapeId="0" xr:uid="{00000000-0006-0000-0500-000065000000}">
      <text>
        <r>
          <rPr>
            <sz val="9"/>
            <color indexed="81"/>
            <rFont val="Tahoma"/>
            <family val="2"/>
          </rPr>
          <t>Balance divided by twelve months sales</t>
        </r>
      </text>
    </comment>
    <comment ref="HG156" authorId="0" shapeId="0" xr:uid="{00000000-0006-0000-0500-000066000000}">
      <text>
        <r>
          <rPr>
            <sz val="9"/>
            <color indexed="81"/>
            <rFont val="Tahoma"/>
            <family val="2"/>
          </rPr>
          <t>Check - does adjustment and balance have same sign</t>
        </r>
      </text>
    </comment>
    <comment ref="HD157" authorId="0" shapeId="0" xr:uid="{00000000-0006-0000-0500-000067000000}">
      <text>
        <r>
          <rPr>
            <sz val="9"/>
            <color indexed="81"/>
            <rFont val="Tahoma"/>
            <family val="2"/>
          </rPr>
          <t>Balance from AA (SIV)</t>
        </r>
      </text>
    </comment>
    <comment ref="IH157" authorId="0" shapeId="0" xr:uid="{00000000-0006-0000-0500-000068000000}">
      <text>
        <r>
          <rPr>
            <sz val="9"/>
            <color indexed="81"/>
            <rFont val="Tahoma"/>
            <family val="2"/>
          </rPr>
          <t>Balance of expiring Actual Adjustment plus balance of expiring 3rd previous quarter Balance Adjustment</t>
        </r>
      </text>
    </comment>
    <comment ref="HL160" authorId="0" shapeId="0" xr:uid="{00000000-0006-0000-0500-000069000000}">
      <text>
        <r>
          <rPr>
            <sz val="9"/>
            <color indexed="81"/>
            <rFont val="Tahoma"/>
            <family val="2"/>
          </rPr>
          <t>Balance divided by twelve months sales</t>
        </r>
      </text>
    </comment>
    <comment ref="HM160" authorId="0" shapeId="0" xr:uid="{00000000-0006-0000-0500-00006A000000}">
      <text>
        <r>
          <rPr>
            <sz val="9"/>
            <color indexed="81"/>
            <rFont val="Tahoma"/>
            <family val="2"/>
          </rPr>
          <t>Check - does adjustment and balance have same sign</t>
        </r>
      </text>
    </comment>
    <comment ref="HJ161" authorId="0" shapeId="0" xr:uid="{00000000-0006-0000-0500-00006B000000}">
      <text>
        <r>
          <rPr>
            <sz val="9"/>
            <color indexed="81"/>
            <rFont val="Tahoma"/>
            <family val="2"/>
          </rPr>
          <t>Balance from AA (SIV)</t>
        </r>
      </text>
    </comment>
    <comment ref="IN161" authorId="0" shapeId="0" xr:uid="{00000000-0006-0000-0500-00006C000000}">
      <text>
        <r>
          <rPr>
            <sz val="9"/>
            <color indexed="81"/>
            <rFont val="Tahoma"/>
            <family val="2"/>
          </rPr>
          <t>Balance of expiring Actual Adjustment plus balance of expiring 3rd previous quarter Balance Adjustment</t>
        </r>
      </text>
    </comment>
    <comment ref="HR164" authorId="0" shapeId="0" xr:uid="{00000000-0006-0000-0500-00006D000000}">
      <text>
        <r>
          <rPr>
            <sz val="9"/>
            <color indexed="81"/>
            <rFont val="Tahoma"/>
            <family val="2"/>
          </rPr>
          <t>Balance divided by twelve months sales</t>
        </r>
      </text>
    </comment>
    <comment ref="HS164" authorId="0" shapeId="0" xr:uid="{00000000-0006-0000-0500-00006E000000}">
      <text>
        <r>
          <rPr>
            <sz val="9"/>
            <color indexed="81"/>
            <rFont val="Tahoma"/>
            <family val="2"/>
          </rPr>
          <t>Check - does adjustment and balance have same sign</t>
        </r>
      </text>
    </comment>
    <comment ref="HP165" authorId="0" shapeId="0" xr:uid="{00000000-0006-0000-0500-00006F000000}">
      <text>
        <r>
          <rPr>
            <sz val="9"/>
            <color indexed="81"/>
            <rFont val="Tahoma"/>
            <family val="2"/>
          </rPr>
          <t>Balance from AA (SIV)</t>
        </r>
      </text>
    </comment>
    <comment ref="IT165" authorId="0" shapeId="0" xr:uid="{00000000-0006-0000-0500-000070000000}">
      <text>
        <r>
          <rPr>
            <sz val="9"/>
            <color indexed="81"/>
            <rFont val="Tahoma"/>
            <family val="2"/>
          </rPr>
          <t>Balance of expiring Actual Adjustment plus balance of expiring 3rd previous quarter Balance Adjustment</t>
        </r>
      </text>
    </comment>
    <comment ref="HX168" authorId="0" shapeId="0" xr:uid="{00000000-0006-0000-0500-000071000000}">
      <text>
        <r>
          <rPr>
            <sz val="9"/>
            <color indexed="81"/>
            <rFont val="Tahoma"/>
            <family val="2"/>
          </rPr>
          <t>Balance divided by twelve months sales</t>
        </r>
      </text>
    </comment>
    <comment ref="HY168" authorId="0" shapeId="0" xr:uid="{00000000-0006-0000-0500-000072000000}">
      <text>
        <r>
          <rPr>
            <sz val="9"/>
            <color indexed="81"/>
            <rFont val="Tahoma"/>
            <family val="2"/>
          </rPr>
          <t>Check - does adjustment and balance have same sign</t>
        </r>
      </text>
    </comment>
    <comment ref="HV169" authorId="0" shapeId="0" xr:uid="{00000000-0006-0000-0500-000073000000}">
      <text>
        <r>
          <rPr>
            <sz val="9"/>
            <color indexed="81"/>
            <rFont val="Tahoma"/>
            <family val="2"/>
          </rPr>
          <t>Balance from AA (SIV)</t>
        </r>
      </text>
    </comment>
    <comment ref="IZ169" authorId="0" shapeId="0" xr:uid="{00000000-0006-0000-0500-000074000000}">
      <text>
        <r>
          <rPr>
            <sz val="9"/>
            <color indexed="81"/>
            <rFont val="Tahoma"/>
            <family val="2"/>
          </rPr>
          <t>Balance of expiring Actual Adjustment plus balance of expiring 3rd previous quarter Balance Adjustment</t>
        </r>
      </text>
    </comment>
    <comment ref="ID172" authorId="0" shapeId="0" xr:uid="{00000000-0006-0000-0500-000075000000}">
      <text>
        <r>
          <rPr>
            <sz val="9"/>
            <color indexed="81"/>
            <rFont val="Tahoma"/>
            <family val="2"/>
          </rPr>
          <t>Balance divided by twelve months sales</t>
        </r>
      </text>
    </comment>
    <comment ref="IE172" authorId="0" shapeId="0" xr:uid="{00000000-0006-0000-0500-000076000000}">
      <text>
        <r>
          <rPr>
            <sz val="9"/>
            <color indexed="81"/>
            <rFont val="Tahoma"/>
            <family val="2"/>
          </rPr>
          <t>Check - does adjustment and balance have same sign</t>
        </r>
      </text>
    </comment>
    <comment ref="IB173" authorId="0" shapeId="0" xr:uid="{00000000-0006-0000-0500-000077000000}">
      <text>
        <r>
          <rPr>
            <sz val="9"/>
            <color indexed="81"/>
            <rFont val="Tahoma"/>
            <family val="2"/>
          </rPr>
          <t>Balance from AA (SIV)</t>
        </r>
      </text>
    </comment>
    <comment ref="JF173" authorId="0" shapeId="0" xr:uid="{00000000-0006-0000-0500-000078000000}">
      <text>
        <r>
          <rPr>
            <sz val="9"/>
            <color indexed="81"/>
            <rFont val="Tahoma"/>
            <family val="2"/>
          </rPr>
          <t>Balance of expiring Actual Adjustment plus balance of expiring 3rd previous quarter Balance Adjustment</t>
        </r>
      </text>
    </comment>
    <comment ref="IJ176" authorId="0" shapeId="0" xr:uid="{00000000-0006-0000-0500-000079000000}">
      <text>
        <r>
          <rPr>
            <sz val="9"/>
            <color indexed="81"/>
            <rFont val="Tahoma"/>
            <family val="2"/>
          </rPr>
          <t>Balance divided by twelve months sales</t>
        </r>
      </text>
    </comment>
    <comment ref="IK176" authorId="0" shapeId="0" xr:uid="{00000000-0006-0000-0500-00007A000000}">
      <text>
        <r>
          <rPr>
            <sz val="9"/>
            <color indexed="81"/>
            <rFont val="Tahoma"/>
            <family val="2"/>
          </rPr>
          <t>Check - does adjustment and balance have same sign</t>
        </r>
      </text>
    </comment>
    <comment ref="IH177" authorId="0" shapeId="0" xr:uid="{00000000-0006-0000-0500-00007B000000}">
      <text>
        <r>
          <rPr>
            <sz val="9"/>
            <color indexed="81"/>
            <rFont val="Tahoma"/>
            <family val="2"/>
          </rPr>
          <t>Balance from AA (SIV)</t>
        </r>
      </text>
    </comment>
    <comment ref="JL177" authorId="0" shapeId="0" xr:uid="{00000000-0006-0000-0500-00007C000000}">
      <text>
        <r>
          <rPr>
            <sz val="9"/>
            <color indexed="81"/>
            <rFont val="Tahoma"/>
            <family val="2"/>
          </rPr>
          <t>Balance of expiring Actual Adjustment plus balance of expiring 3rd previous quarter Balance Adjustment</t>
        </r>
      </text>
    </comment>
    <comment ref="IP180" authorId="0" shapeId="0" xr:uid="{00000000-0006-0000-0500-00007D000000}">
      <text>
        <r>
          <rPr>
            <sz val="9"/>
            <color indexed="81"/>
            <rFont val="Tahoma"/>
            <family val="2"/>
          </rPr>
          <t>Balance divided by twelve months sales</t>
        </r>
      </text>
    </comment>
    <comment ref="IQ180" authorId="0" shapeId="0" xr:uid="{00000000-0006-0000-0500-00007E000000}">
      <text>
        <r>
          <rPr>
            <sz val="9"/>
            <color indexed="81"/>
            <rFont val="Tahoma"/>
            <family val="2"/>
          </rPr>
          <t>Check - does adjustment and balance have same sign</t>
        </r>
      </text>
    </comment>
    <comment ref="IN181" authorId="0" shapeId="0" xr:uid="{00000000-0006-0000-0500-00007F000000}">
      <text>
        <r>
          <rPr>
            <sz val="9"/>
            <color indexed="81"/>
            <rFont val="Tahoma"/>
            <family val="2"/>
          </rPr>
          <t>Balance from AA (SIV)</t>
        </r>
      </text>
    </comment>
    <comment ref="JR181" authorId="0" shapeId="0" xr:uid="{00000000-0006-0000-0500-000080000000}">
      <text>
        <r>
          <rPr>
            <sz val="9"/>
            <color indexed="81"/>
            <rFont val="Tahoma"/>
            <family val="2"/>
          </rPr>
          <t>Balance of expiring Actual Adjustment plus balance of expiring 3rd previous quarter Balance Adjustment</t>
        </r>
      </text>
    </comment>
    <comment ref="IV184" authorId="0" shapeId="0" xr:uid="{00000000-0006-0000-0500-000081000000}">
      <text>
        <r>
          <rPr>
            <sz val="9"/>
            <color indexed="81"/>
            <rFont val="Tahoma"/>
            <family val="2"/>
          </rPr>
          <t>Balance divided by twelve months sales</t>
        </r>
      </text>
    </comment>
    <comment ref="IW184" authorId="0" shapeId="0" xr:uid="{00000000-0006-0000-0500-000082000000}">
      <text>
        <r>
          <rPr>
            <sz val="9"/>
            <color indexed="81"/>
            <rFont val="Tahoma"/>
            <family val="2"/>
          </rPr>
          <t>Check - does adjustment and balance have same sign</t>
        </r>
      </text>
    </comment>
    <comment ref="IT185" authorId="0" shapeId="0" xr:uid="{00000000-0006-0000-0500-000083000000}">
      <text>
        <r>
          <rPr>
            <sz val="9"/>
            <color indexed="81"/>
            <rFont val="Tahoma"/>
            <family val="2"/>
          </rPr>
          <t>Balance from AA (SIV)</t>
        </r>
      </text>
    </comment>
    <comment ref="JX185" authorId="0" shapeId="0" xr:uid="{00000000-0006-0000-0500-000084000000}">
      <text>
        <r>
          <rPr>
            <sz val="9"/>
            <color indexed="81"/>
            <rFont val="Tahoma"/>
            <family val="2"/>
          </rPr>
          <t>Balance of expiring Actual Adjustment plus balance of expiring 3rd previous quarter Balance Adjustment</t>
        </r>
      </text>
    </comment>
    <comment ref="JB188" authorId="0" shapeId="0" xr:uid="{00000000-0006-0000-0500-000085000000}">
      <text>
        <r>
          <rPr>
            <sz val="9"/>
            <color indexed="81"/>
            <rFont val="Tahoma"/>
            <family val="2"/>
          </rPr>
          <t>Balance divided by twelve months sales</t>
        </r>
      </text>
    </comment>
    <comment ref="JC188" authorId="0" shapeId="0" xr:uid="{00000000-0006-0000-0500-000086000000}">
      <text>
        <r>
          <rPr>
            <sz val="9"/>
            <color indexed="81"/>
            <rFont val="Tahoma"/>
            <family val="2"/>
          </rPr>
          <t>Check - does adjustment and balance have same sign</t>
        </r>
      </text>
    </comment>
    <comment ref="IZ189" authorId="0" shapeId="0" xr:uid="{00000000-0006-0000-0500-000087000000}">
      <text>
        <r>
          <rPr>
            <sz val="9"/>
            <color indexed="81"/>
            <rFont val="Tahoma"/>
            <family val="2"/>
          </rPr>
          <t>Balance from AA (SIV)</t>
        </r>
      </text>
    </comment>
    <comment ref="KD189" authorId="0" shapeId="0" xr:uid="{00000000-0006-0000-0500-000088000000}">
      <text>
        <r>
          <rPr>
            <sz val="9"/>
            <color indexed="81"/>
            <rFont val="Tahoma"/>
            <family val="2"/>
          </rPr>
          <t>Balance of expiring Actual Adjustment plus balance of expiring 3rd previous quarter Balance Adjustment</t>
        </r>
      </text>
    </comment>
    <comment ref="JH192" authorId="0" shapeId="0" xr:uid="{00000000-0006-0000-0500-000089000000}">
      <text>
        <r>
          <rPr>
            <sz val="9"/>
            <color indexed="81"/>
            <rFont val="Tahoma"/>
            <family val="2"/>
          </rPr>
          <t>Balance divided by twelve months sales</t>
        </r>
      </text>
    </comment>
    <comment ref="JI192" authorId="0" shapeId="0" xr:uid="{00000000-0006-0000-0500-00008A000000}">
      <text>
        <r>
          <rPr>
            <sz val="9"/>
            <color indexed="81"/>
            <rFont val="Tahoma"/>
            <family val="2"/>
          </rPr>
          <t>Check - does adjustment and balance have same sign</t>
        </r>
      </text>
    </comment>
    <comment ref="JF193" authorId="0" shapeId="0" xr:uid="{00000000-0006-0000-0500-00008B000000}">
      <text>
        <r>
          <rPr>
            <sz val="9"/>
            <color indexed="81"/>
            <rFont val="Tahoma"/>
            <family val="2"/>
          </rPr>
          <t>Balance from AA (SIV)</t>
        </r>
      </text>
    </comment>
    <comment ref="KJ193" authorId="0" shapeId="0" xr:uid="{00000000-0006-0000-0500-00008C000000}">
      <text>
        <r>
          <rPr>
            <sz val="9"/>
            <color indexed="81"/>
            <rFont val="Tahoma"/>
            <family val="2"/>
          </rPr>
          <t>Balance of expiring Actual Adjustment plus balance of expiring 3rd previous quarter Balance Adjustment</t>
        </r>
      </text>
    </comment>
    <comment ref="JN196" authorId="0" shapeId="0" xr:uid="{00000000-0006-0000-0500-00008D000000}">
      <text>
        <r>
          <rPr>
            <sz val="9"/>
            <color indexed="81"/>
            <rFont val="Tahoma"/>
            <family val="2"/>
          </rPr>
          <t>Balance divided by twelve months sales</t>
        </r>
      </text>
    </comment>
    <comment ref="JO196" authorId="0" shapeId="0" xr:uid="{00000000-0006-0000-0500-00008E000000}">
      <text>
        <r>
          <rPr>
            <sz val="9"/>
            <color indexed="81"/>
            <rFont val="Tahoma"/>
            <family val="2"/>
          </rPr>
          <t>Check - does adjustment and balance have same sign</t>
        </r>
      </text>
    </comment>
    <comment ref="JL197" authorId="0" shapeId="0" xr:uid="{00000000-0006-0000-0500-00008F000000}">
      <text>
        <r>
          <rPr>
            <sz val="9"/>
            <color indexed="81"/>
            <rFont val="Tahoma"/>
            <family val="2"/>
          </rPr>
          <t>Balance from AA (SIV)</t>
        </r>
      </text>
    </comment>
    <comment ref="KP197" authorId="0" shapeId="0" xr:uid="{00000000-0006-0000-0500-000090000000}">
      <text>
        <r>
          <rPr>
            <sz val="9"/>
            <color indexed="81"/>
            <rFont val="Tahoma"/>
            <family val="2"/>
          </rPr>
          <t>Balance of expiring Actual Adjustment plus balance of expiring 3rd previous quarter Balance Adjustment</t>
        </r>
      </text>
    </comment>
    <comment ref="JT200" authorId="0" shapeId="0" xr:uid="{D44BC2AE-AC96-422C-B6D1-D492AD93FE88}">
      <text>
        <r>
          <rPr>
            <sz val="9"/>
            <color indexed="81"/>
            <rFont val="Tahoma"/>
            <family val="2"/>
          </rPr>
          <t>Balance divided by twelve months sales</t>
        </r>
      </text>
    </comment>
    <comment ref="JU200" authorId="0" shapeId="0" xr:uid="{ACF64283-A135-44FA-BFF2-22C01C918B51}">
      <text>
        <r>
          <rPr>
            <sz val="9"/>
            <color indexed="81"/>
            <rFont val="Tahoma"/>
            <family val="2"/>
          </rPr>
          <t>Check - does adjustment and balance have same sign</t>
        </r>
      </text>
    </comment>
    <comment ref="JR201" authorId="0" shapeId="0" xr:uid="{4EB51441-D585-4F59-9548-F705B8FB58C5}">
      <text>
        <r>
          <rPr>
            <sz val="9"/>
            <color indexed="81"/>
            <rFont val="Tahoma"/>
            <family val="2"/>
          </rPr>
          <t>Balance from AA (SIV)</t>
        </r>
      </text>
    </comment>
    <comment ref="KV201" authorId="0" shapeId="0" xr:uid="{D19A767E-F0FA-4E17-808E-6C3CEE57A8D9}">
      <text>
        <r>
          <rPr>
            <sz val="9"/>
            <color indexed="81"/>
            <rFont val="Tahoma"/>
            <family val="2"/>
          </rPr>
          <t>Balance of expiring Actual Adjustment plus balance of expiring 3rd previous quarter Balance Adjustment</t>
        </r>
      </text>
    </comment>
    <comment ref="JZ204" authorId="0" shapeId="0" xr:uid="{8756F656-AF56-4C26-A48C-37CE68FF7145}">
      <text>
        <r>
          <rPr>
            <sz val="9"/>
            <color indexed="81"/>
            <rFont val="Tahoma"/>
            <family val="2"/>
          </rPr>
          <t>Balance divided by twelve months sales</t>
        </r>
      </text>
    </comment>
    <comment ref="KA204" authorId="0" shapeId="0" xr:uid="{A98CEA38-31D5-4B33-9083-96D1A195ED9B}">
      <text>
        <r>
          <rPr>
            <sz val="9"/>
            <color indexed="81"/>
            <rFont val="Tahoma"/>
            <family val="2"/>
          </rPr>
          <t>Check - does adjustment and balance have same sign</t>
        </r>
      </text>
    </comment>
    <comment ref="JX205" authorId="0" shapeId="0" xr:uid="{DB2531A8-7A77-491D-BC7F-B20CDDD87D5A}">
      <text>
        <r>
          <rPr>
            <sz val="9"/>
            <color indexed="81"/>
            <rFont val="Tahoma"/>
            <family val="2"/>
          </rPr>
          <t>Balance from AA (SIV)</t>
        </r>
      </text>
    </comment>
    <comment ref="LB205" authorId="0" shapeId="0" xr:uid="{13ED2A93-D424-4831-A02A-1B3B6728D399}">
      <text>
        <r>
          <rPr>
            <sz val="9"/>
            <color indexed="81"/>
            <rFont val="Tahoma"/>
            <family val="2"/>
          </rPr>
          <t>Balance of expiring Actual Adjustment plus balance of expiring 3rd previous quarter Balance Adjustment</t>
        </r>
      </text>
    </comment>
    <comment ref="KF208" authorId="0" shapeId="0" xr:uid="{B9DFAF5F-3883-4761-B706-89ED49328D27}">
      <text>
        <r>
          <rPr>
            <sz val="9"/>
            <color indexed="81"/>
            <rFont val="Tahoma"/>
            <family val="2"/>
          </rPr>
          <t>Balance divided by twelve months sales</t>
        </r>
      </text>
    </comment>
    <comment ref="KG208" authorId="0" shapeId="0" xr:uid="{E4DB430F-163D-4BFA-8188-CF0FD2A007D3}">
      <text>
        <r>
          <rPr>
            <sz val="9"/>
            <color indexed="81"/>
            <rFont val="Tahoma"/>
            <family val="2"/>
          </rPr>
          <t>Check - does adjustment and balance have same sign</t>
        </r>
      </text>
    </comment>
    <comment ref="KD209" authorId="0" shapeId="0" xr:uid="{6386B221-7F67-4293-BB56-298555071D64}">
      <text>
        <r>
          <rPr>
            <sz val="9"/>
            <color indexed="81"/>
            <rFont val="Tahoma"/>
            <family val="2"/>
          </rPr>
          <t>Balance from AA (SIV)</t>
        </r>
      </text>
    </comment>
    <comment ref="LH209" authorId="0" shapeId="0" xr:uid="{8B31E8D3-8D1C-48DE-A864-C0C90C5977F0}">
      <text>
        <r>
          <rPr>
            <sz val="9"/>
            <color indexed="81"/>
            <rFont val="Tahoma"/>
            <family val="2"/>
          </rPr>
          <t>Balance of expiring Actual Adjustment plus balance of expiring 3rd previous quarter Balance Adjustment</t>
        </r>
      </text>
    </comment>
    <comment ref="KL212" authorId="0" shapeId="0" xr:uid="{9ECBBC84-663C-4929-B5BB-59F0CFBD1C2C}">
      <text>
        <r>
          <rPr>
            <sz val="9"/>
            <color indexed="81"/>
            <rFont val="Tahoma"/>
            <family val="2"/>
          </rPr>
          <t>Balance divided by twelve months sales</t>
        </r>
      </text>
    </comment>
    <comment ref="KM212" authorId="0" shapeId="0" xr:uid="{92ED2281-E804-4531-BDDD-85A9834E60CC}">
      <text>
        <r>
          <rPr>
            <sz val="9"/>
            <color indexed="81"/>
            <rFont val="Tahoma"/>
            <family val="2"/>
          </rPr>
          <t>Check - does adjustment and balance have same sign</t>
        </r>
      </text>
    </comment>
    <comment ref="KJ213" authorId="0" shapeId="0" xr:uid="{9CD11109-862B-4B79-BF4C-8264685C0B2F}">
      <text>
        <r>
          <rPr>
            <sz val="9"/>
            <color indexed="81"/>
            <rFont val="Tahoma"/>
            <family val="2"/>
          </rPr>
          <t>Balance from AA (SIV)</t>
        </r>
      </text>
    </comment>
    <comment ref="LN213" authorId="0" shapeId="0" xr:uid="{F3796B60-0EE7-45DA-AF15-6760F76D416E}">
      <text>
        <r>
          <rPr>
            <sz val="9"/>
            <color indexed="81"/>
            <rFont val="Tahoma"/>
            <family val="2"/>
          </rPr>
          <t>Balance of expiring Actual Adjustment plus balance of expiring 3rd previous quarter Balance Adjustment</t>
        </r>
      </text>
    </comment>
    <comment ref="KR216" authorId="0" shapeId="0" xr:uid="{C0AC6C18-66F8-4114-B863-B90F0F3B77C5}">
      <text>
        <r>
          <rPr>
            <sz val="9"/>
            <color indexed="81"/>
            <rFont val="Tahoma"/>
            <family val="2"/>
          </rPr>
          <t>Balance divided by twelve months sales</t>
        </r>
      </text>
    </comment>
    <comment ref="KS216" authorId="0" shapeId="0" xr:uid="{09626810-3AC0-4F81-A693-A8A17F98D693}">
      <text>
        <r>
          <rPr>
            <sz val="9"/>
            <color indexed="81"/>
            <rFont val="Tahoma"/>
            <family val="2"/>
          </rPr>
          <t>Check - does adjustment and balance have same sign</t>
        </r>
      </text>
    </comment>
    <comment ref="KP217" authorId="0" shapeId="0" xr:uid="{2D549FDE-529E-47B9-B584-CC6854D596ED}">
      <text>
        <r>
          <rPr>
            <sz val="9"/>
            <color indexed="81"/>
            <rFont val="Tahoma"/>
            <family val="2"/>
          </rPr>
          <t>Balance from AA (SIV)</t>
        </r>
      </text>
    </comment>
    <comment ref="LT217" authorId="0" shapeId="0" xr:uid="{1C8B25DC-6E24-4D8E-ADE3-6601CB8CE9AC}">
      <text>
        <r>
          <rPr>
            <sz val="9"/>
            <color indexed="81"/>
            <rFont val="Tahoma"/>
            <family val="2"/>
          </rPr>
          <t>Balance of expiring Actual Adjustment plus balance of expiring 3rd previous quarter Balance Adjustment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KR216" authorId="0" shapeId="0" xr:uid="{46DA1024-3B9B-4A4D-8392-1A18D16E2D15}">
      <text>
        <r>
          <rPr>
            <sz val="9"/>
            <color indexed="81"/>
            <rFont val="Tahoma"/>
            <family val="2"/>
          </rPr>
          <t>Balance divided by twelve months sales</t>
        </r>
      </text>
    </comment>
    <comment ref="KS216" authorId="0" shapeId="0" xr:uid="{745BCC05-6DC5-4DB4-B455-2CFBE734B771}">
      <text>
        <r>
          <rPr>
            <sz val="9"/>
            <color indexed="81"/>
            <rFont val="Tahoma"/>
            <family val="2"/>
          </rPr>
          <t>Check - does adjustment and balance have same sign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FN7" authorId="0" shapeId="0" xr:uid="{7A180DAA-98BA-48FF-B7F5-95CD4A8779CB}">
      <text>
        <r>
          <rPr>
            <b/>
            <sz val="9"/>
            <color indexed="81"/>
            <rFont val="Tahoma"/>
            <family val="2"/>
          </rPr>
          <t>Thomas Hartline:</t>
        </r>
        <r>
          <rPr>
            <sz val="9"/>
            <color indexed="81"/>
            <rFont val="Tahoma"/>
            <family val="2"/>
          </rPr>
          <t xml:space="preserve">
Prior GCA inadvertantly carried one additional month</t>
        </r>
      </text>
    </comment>
    <comment ref="FZ7" authorId="0" shapeId="0" xr:uid="{73E24A16-3447-448B-8A01-256742A60005}">
      <text>
        <r>
          <rPr>
            <b/>
            <sz val="9"/>
            <color indexed="81"/>
            <rFont val="Tahoma"/>
            <family val="2"/>
          </rPr>
          <t>Thomas Hartline:</t>
        </r>
        <r>
          <rPr>
            <sz val="9"/>
            <color indexed="81"/>
            <rFont val="Tahoma"/>
            <family val="2"/>
          </rPr>
          <t xml:space="preserve">
GCA charged this month was $6.4673</t>
        </r>
      </text>
    </comment>
    <comment ref="GL7" authorId="0" shapeId="0" xr:uid="{AFBB7E8B-757E-411B-B2E6-3A5107F8DDD6}">
      <text>
        <r>
          <rPr>
            <b/>
            <sz val="9"/>
            <color indexed="81"/>
            <rFont val="Tahoma"/>
            <family val="2"/>
          </rPr>
          <t xml:space="preserve">Thomas Hartline:
</t>
        </r>
        <r>
          <rPr>
            <sz val="9"/>
            <color indexed="81"/>
            <rFont val="Tahoma"/>
            <family val="2"/>
          </rPr>
          <t>Original submission corrected to proper quarter</t>
        </r>
      </text>
    </comment>
    <comment ref="GR7" authorId="0" shapeId="0" xr:uid="{835817E5-6032-4C94-8326-177755DBF22B}">
      <text>
        <r>
          <rPr>
            <b/>
            <sz val="9"/>
            <color indexed="81"/>
            <rFont val="Tahoma"/>
            <family val="2"/>
          </rPr>
          <t>Thomas Hartline:</t>
        </r>
        <r>
          <rPr>
            <sz val="9"/>
            <color indexed="81"/>
            <rFont val="Tahoma"/>
            <family val="2"/>
          </rPr>
          <t xml:space="preserve">
Corrected to proper quarter EGC.</t>
        </r>
      </text>
    </comment>
    <comment ref="GT7" authorId="0" shapeId="0" xr:uid="{70C0098D-0C8F-4569-A434-CDA8FE6079F4}">
      <text>
        <r>
          <rPr>
            <b/>
            <sz val="9"/>
            <color indexed="81"/>
            <rFont val="Tahoma"/>
            <family val="2"/>
          </rPr>
          <t>Thomas Hartline:</t>
        </r>
        <r>
          <rPr>
            <sz val="9"/>
            <color indexed="81"/>
            <rFont val="Tahoma"/>
            <family val="2"/>
          </rPr>
          <t xml:space="preserve">
GCA charged this month was $8.9337</t>
        </r>
      </text>
    </comment>
    <comment ref="FL11" authorId="0" shapeId="0" xr:uid="{FAC9ACCE-9228-4003-BBD8-C97B7331AF7D}">
      <text>
        <r>
          <rPr>
            <b/>
            <sz val="9"/>
            <color indexed="81"/>
            <rFont val="Tahoma"/>
            <family val="2"/>
          </rPr>
          <t>Thomas Hartline:</t>
        </r>
        <r>
          <rPr>
            <sz val="9"/>
            <color indexed="81"/>
            <rFont val="Tahoma"/>
            <family val="2"/>
          </rPr>
          <t xml:space="preserve">
Prior GCA inadvertantly carried one additional month</t>
        </r>
      </text>
    </comment>
    <comment ref="FX11" authorId="0" shapeId="0" xr:uid="{9C49FCF1-18A6-439F-9A46-10CBBF072AD8}">
      <text>
        <r>
          <rPr>
            <b/>
            <sz val="9"/>
            <color indexed="81"/>
            <rFont val="Tahoma"/>
            <family val="2"/>
          </rPr>
          <t>Thomas Hartline:</t>
        </r>
        <r>
          <rPr>
            <sz val="9"/>
            <color indexed="81"/>
            <rFont val="Tahoma"/>
            <family val="2"/>
          </rPr>
          <t xml:space="preserve">
GCA charged this month was $6.4673</t>
        </r>
      </text>
    </comment>
    <comment ref="GJ11" authorId="0" shapeId="0" xr:uid="{AF69E052-7D6A-48CF-8005-E6350BB3D1EA}">
      <text>
        <r>
          <rPr>
            <b/>
            <sz val="9"/>
            <color indexed="81"/>
            <rFont val="Tahoma"/>
            <family val="2"/>
          </rPr>
          <t xml:space="preserve">Thomas Hartline:
</t>
        </r>
        <r>
          <rPr>
            <sz val="9"/>
            <color indexed="81"/>
            <rFont val="Tahoma"/>
            <family val="2"/>
          </rPr>
          <t>Original submission corrected to proper quarter</t>
        </r>
      </text>
    </comment>
    <comment ref="GP11" authorId="0" shapeId="0" xr:uid="{5350521E-6B57-469D-ABE4-91A60EF90EB2}">
      <text>
        <r>
          <rPr>
            <b/>
            <sz val="9"/>
            <color indexed="81"/>
            <rFont val="Tahoma"/>
            <family val="2"/>
          </rPr>
          <t>Thomas Hartline:</t>
        </r>
        <r>
          <rPr>
            <sz val="9"/>
            <color indexed="81"/>
            <rFont val="Tahoma"/>
            <family val="2"/>
          </rPr>
          <t xml:space="preserve">
Corrected to proper quarter EGC.</t>
        </r>
      </text>
    </comment>
    <comment ref="GR11" authorId="0" shapeId="0" xr:uid="{36EDA895-05C2-4CCC-B696-9C0A9A8955B1}">
      <text>
        <r>
          <rPr>
            <b/>
            <sz val="9"/>
            <color indexed="81"/>
            <rFont val="Tahoma"/>
            <family val="2"/>
          </rPr>
          <t>Thomas Hartline:</t>
        </r>
        <r>
          <rPr>
            <sz val="9"/>
            <color indexed="81"/>
            <rFont val="Tahoma"/>
            <family val="2"/>
          </rPr>
          <t xml:space="preserve">
GCA charged this month was $8.9337</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Thomas Hartline</author>
  </authors>
  <commentList>
    <comment ref="L14" authorId="0" shapeId="0" xr:uid="{B6DB316B-17CE-4DB5-B12E-B2E43121B3B9}">
      <text>
        <r>
          <rPr>
            <b/>
            <sz val="9"/>
            <color indexed="81"/>
            <rFont val="Tahoma"/>
            <family val="2"/>
          </rPr>
          <t>Thomas Hartline:</t>
        </r>
        <r>
          <rPr>
            <sz val="9"/>
            <color indexed="81"/>
            <rFont val="Tahoma"/>
            <family val="2"/>
          </rPr>
          <t xml:space="preserve">
20-012
Corrected w/DR2
was repeated from March</t>
        </r>
      </text>
    </comment>
  </commentList>
</comments>
</file>

<file path=xl/sharedStrings.xml><?xml version="1.0" encoding="utf-8"?>
<sst xmlns="http://schemas.openxmlformats.org/spreadsheetml/2006/main" count="425" uniqueCount="196">
  <si>
    <t>Component</t>
  </si>
  <si>
    <t>Actual Adjustment (AA)</t>
  </si>
  <si>
    <t>Expected Gas Cost</t>
  </si>
  <si>
    <t>Expected Gas Cost (EGC)</t>
  </si>
  <si>
    <t>Period</t>
  </si>
  <si>
    <t>Reporting Months</t>
  </si>
  <si>
    <t>February</t>
  </si>
  <si>
    <t>March</t>
  </si>
  <si>
    <t>April</t>
  </si>
  <si>
    <t>Filing date (on or about)</t>
  </si>
  <si>
    <t>June</t>
  </si>
  <si>
    <t>July</t>
  </si>
  <si>
    <t>August</t>
  </si>
  <si>
    <t>September</t>
  </si>
  <si>
    <t>October</t>
  </si>
  <si>
    <t>November</t>
  </si>
  <si>
    <t>December</t>
  </si>
  <si>
    <t>May</t>
  </si>
  <si>
    <t>January</t>
  </si>
  <si>
    <t>Total forecasted cost</t>
  </si>
  <si>
    <t>Effective date (&amp; 1st forecast month)</t>
  </si>
  <si>
    <t>Spectra
(East TN) demand</t>
  </si>
  <si>
    <t>per MCF</t>
  </si>
  <si>
    <t>MCF/MMBtu (from supplier)</t>
  </si>
  <si>
    <t>Converted price per MCF</t>
  </si>
  <si>
    <t>Subtotal forecasted purchases</t>
  </si>
  <si>
    <t>Subtotal forecasted</t>
  </si>
  <si>
    <t>Transportation</t>
  </si>
  <si>
    <t>Prior year purchases in MMBtu</t>
  </si>
  <si>
    <t>divide by sales</t>
  </si>
  <si>
    <t>Invoices</t>
  </si>
  <si>
    <t>Supply</t>
  </si>
  <si>
    <t>Spectra</t>
  </si>
  <si>
    <t>B&amp;W</t>
  </si>
  <si>
    <t>Total cost</t>
  </si>
  <si>
    <t>Estimated</t>
  </si>
  <si>
    <t>Actual</t>
  </si>
  <si>
    <t>Sales in MCF</t>
  </si>
  <si>
    <t>Allocation</t>
  </si>
  <si>
    <t>Cost per MCF</t>
  </si>
  <si>
    <t>Delta</t>
  </si>
  <si>
    <t>Monthly cost difference</t>
  </si>
  <si>
    <t>KY%</t>
  </si>
  <si>
    <t>Total cost difference</t>
  </si>
  <si>
    <t>Twelve months sales</t>
  </si>
  <si>
    <t>Actual Adjustment</t>
  </si>
  <si>
    <t>+</t>
  </si>
  <si>
    <t>Balance Adjustment(BA)</t>
  </si>
  <si>
    <t>=</t>
  </si>
  <si>
    <t>Gas Cost Recovery Rate</t>
  </si>
  <si>
    <t>A. Expected Gas Cost Calculation</t>
  </si>
  <si>
    <t>Total EGC</t>
  </si>
  <si>
    <t>EGC</t>
  </si>
  <si>
    <t>/</t>
  </si>
  <si>
    <t>B. Refund Adjustment Calculation</t>
  </si>
  <si>
    <t>C. Actual Adjustment Calculation</t>
  </si>
  <si>
    <t>Actual Adjustment for reporting period</t>
  </si>
  <si>
    <t>Previous quarter AA</t>
  </si>
  <si>
    <t>Second previous quarter AA</t>
  </si>
  <si>
    <t>Third previous quarter AA</t>
  </si>
  <si>
    <t>Other cost adjustments</t>
  </si>
  <si>
    <t>D. Balance Adjustment Calculation</t>
  </si>
  <si>
    <t>Balance Adjustment for reporting period</t>
  </si>
  <si>
    <t>Previous quarter BA</t>
  </si>
  <si>
    <t>Second previous quarter BA</t>
  </si>
  <si>
    <t>Third previous quarter BA</t>
  </si>
  <si>
    <t>Balance Adjustment</t>
  </si>
  <si>
    <t>Supplier or NYMEX</t>
  </si>
  <si>
    <t>Forecasted price per MMBtu</t>
  </si>
  <si>
    <t>Previous quarter</t>
  </si>
  <si>
    <t>Second previous quarter</t>
  </si>
  <si>
    <t>Third previous quarter</t>
  </si>
  <si>
    <t>Balance adjustment BA</t>
  </si>
  <si>
    <t>Third previous qrtr BA AA</t>
  </si>
  <si>
    <t>Second previous qrtr BA AA</t>
  </si>
  <si>
    <t>Previous qrtr BA AA</t>
  </si>
  <si>
    <t>Balance key</t>
  </si>
  <si>
    <t>-</t>
  </si>
  <si>
    <t>under charged incrs rate</t>
  </si>
  <si>
    <t>over charged decrs rate</t>
  </si>
  <si>
    <t>multiply by allowed purchases (sales / 1)</t>
  </si>
  <si>
    <t>Need to adjust for City gate reading to pick up well gas.</t>
  </si>
  <si>
    <t>Average-&gt;</t>
  </si>
  <si>
    <t>-&gt;Actual</t>
  </si>
  <si>
    <t>Total</t>
  </si>
  <si>
    <t>Actual adjustment AA</t>
  </si>
  <si>
    <t>Sales</t>
  </si>
  <si>
    <t>Residential</t>
  </si>
  <si>
    <t>Number</t>
  </si>
  <si>
    <t>CC</t>
  </si>
  <si>
    <t>PGA</t>
  </si>
  <si>
    <t>Quantity</t>
  </si>
  <si>
    <t>Amount</t>
  </si>
  <si>
    <t>Customer charge</t>
  </si>
  <si>
    <t>Tariff</t>
  </si>
  <si>
    <t>Commercial</t>
  </si>
  <si>
    <t>Pre Navitas</t>
  </si>
  <si>
    <t>Post Gasco</t>
  </si>
  <si>
    <t>Refund Adjustment for reporting period</t>
  </si>
  <si>
    <t>Previous quarter RA</t>
  </si>
  <si>
    <t>Second previous quarter RA</t>
  </si>
  <si>
    <t>Third previous quarter RA</t>
  </si>
  <si>
    <t>Refund Adjustment</t>
  </si>
  <si>
    <t>Summary</t>
  </si>
  <si>
    <t>3rd Previous Qrtr BA</t>
  </si>
  <si>
    <t>2rd Previous Qrtr BA</t>
  </si>
  <si>
    <t>Previous Qrtr BA</t>
  </si>
  <si>
    <t>Current Qrt BA</t>
  </si>
  <si>
    <t>Current Qrt AA</t>
  </si>
  <si>
    <t>3rd Previous Qrtr AA</t>
  </si>
  <si>
    <t>2rd Previous Qrtr AA</t>
  </si>
  <si>
    <t>Previous Qrtr AA</t>
  </si>
  <si>
    <t xml:space="preserve">under charged </t>
  </si>
  <si>
    <t xml:space="preserve">over charged </t>
  </si>
  <si>
    <t>Refund Adjustment (RA)</t>
  </si>
  <si>
    <t>Fourth previous quarter</t>
  </si>
  <si>
    <t>Petrol</t>
  </si>
  <si>
    <t>Current quarter RA</t>
  </si>
  <si>
    <t>X</t>
  </si>
  <si>
    <t>Current quarter</t>
  </si>
  <si>
    <t>Petrol &amp; FWM (B&amp;W)</t>
  </si>
  <si>
    <t>Data from Proyected Cash Flow / Revenue Overview, KYNG TAB</t>
  </si>
  <si>
    <t>B&amp;W flow</t>
  </si>
  <si>
    <t>b</t>
  </si>
  <si>
    <t>p</t>
  </si>
  <si>
    <t>f</t>
  </si>
  <si>
    <t>2nd</t>
  </si>
  <si>
    <t>3rd</t>
  </si>
  <si>
    <t>OK RLM 09/26</t>
  </si>
  <si>
    <t>'15-'19 Ave</t>
  </si>
  <si>
    <t>Hardwired numbers to conform to order</t>
  </si>
  <si>
    <t xml:space="preserve">Checked that correct figures referenced from sales tab </t>
  </si>
  <si>
    <t>LTM</t>
  </si>
  <si>
    <t>AA Ordered</t>
  </si>
  <si>
    <t>original GCA submission</t>
  </si>
  <si>
    <t>Total KY &amp; TN sales MCF</t>
  </si>
  <si>
    <t>Byrds/Fentress sales CCF</t>
  </si>
  <si>
    <t>2020-00430-----&gt;</t>
  </si>
  <si>
    <t>Allocation (100% w/FERC)</t>
  </si>
  <si>
    <t>Spectra adj Nov 10 - Oct 11</t>
  </si>
  <si>
    <t>Invoice</t>
  </si>
  <si>
    <t>Spectra old contract</t>
  </si>
  <si>
    <t>TN tariff</t>
  </si>
  <si>
    <t>FERC tariff</t>
  </si>
  <si>
    <t>Supply Cost: Petrol</t>
  </si>
  <si>
    <t>Trans Cost: Enbridge (aka Spectra)</t>
  </si>
  <si>
    <t>Trans Cost: B&amp;W Pipeline</t>
  </si>
  <si>
    <t>Invoice (contract 250)</t>
  </si>
  <si>
    <t>Original cost difference</t>
  </si>
  <si>
    <t>/ specificed 12 mo sales</t>
  </si>
  <si>
    <t>5-yr Average</t>
  </si>
  <si>
    <t>5-yr average sales in MCF</t>
  </si>
  <si>
    <t>t</t>
  </si>
  <si>
    <t>less EGC in effect</t>
  </si>
  <si>
    <t>Supply Cost: Sparta (aka FWM)</t>
  </si>
  <si>
    <t>HW</t>
  </si>
  <si>
    <t>Note -  Match last two places to the first expected billing month (e.g. - X.XX06 is May usage billed June 7th)</t>
  </si>
  <si>
    <r>
      <rPr>
        <b/>
        <sz val="10"/>
        <rFont val="Arial"/>
        <family val="2"/>
      </rPr>
      <t xml:space="preserve">Future quarter </t>
    </r>
    <r>
      <rPr>
        <sz val="10"/>
        <rFont val="Arial"/>
        <family val="2"/>
      </rPr>
      <t>[not a part]</t>
    </r>
  </si>
  <si>
    <t>Usage beginning</t>
  </si>
  <si>
    <t>Month</t>
  </si>
  <si>
    <t>Reported</t>
  </si>
  <si>
    <t>EGC Revenue</t>
  </si>
  <si>
    <t>Delta (under)/over</t>
  </si>
  <si>
    <t>Total amount over reported, e.g. - reported as charged to customer but not actually charged.</t>
  </si>
  <si>
    <t>Notes</t>
  </si>
  <si>
    <t>EGC application</t>
  </si>
  <si>
    <t>Cover page</t>
  </si>
  <si>
    <t>Updated</t>
  </si>
  <si>
    <t>BA</t>
  </si>
  <si>
    <t>2019-00241 JAN 14, 2020 Order</t>
  </si>
  <si>
    <t>RA</t>
  </si>
  <si>
    <t>Post interim EGC</t>
  </si>
  <si>
    <t>Interim delta</t>
  </si>
  <si>
    <t>----- include balance here -----&gt;</t>
  </si>
  <si>
    <t>Order 2020-00103</t>
  </si>
  <si>
    <t>for September 7, 2020 billing date</t>
  </si>
  <si>
    <t>Note change to cell KL200 &amp; KL204 conforming with order 2020-00103</t>
  </si>
  <si>
    <t>Adjusted interim EGC to final EGC for August, September, and October 2019</t>
  </si>
  <si>
    <t>Removed</t>
  </si>
  <si>
    <t>Reconciled amount of 2019-00241 JAN 14, 2020 Order</t>
  </si>
  <si>
    <t>Modified notes</t>
  </si>
  <si>
    <t>Adjusted to reflect expected actual</t>
  </si>
  <si>
    <t>Rolling 5-yr Average</t>
  </si>
  <si>
    <t>B&amp;W
FERC Tariff</t>
  </si>
  <si>
    <t>x</t>
  </si>
  <si>
    <t>chk</t>
  </si>
  <si>
    <t>2020-00103 APR 30, 2020 Order</t>
  </si>
  <si>
    <t>B&amp;W FERC Tariff</t>
  </si>
  <si>
    <t>2020-00430</t>
  </si>
  <si>
    <t xml:space="preserve">ordered in 2020-00103 in cell HX18 </t>
  </si>
  <si>
    <t>and moved from RA to AA</t>
  </si>
  <si>
    <t xml:space="preserve">From FX27 to HL27 returned to original submission figure in row 30 and posted $16,586.46 affect </t>
  </si>
  <si>
    <t>2019-00430</t>
  </si>
  <si>
    <t>Added tab to track special B&amp;W FERC tariff</t>
  </si>
  <si>
    <t>Broke out B&amp;W FERC tariff</t>
  </si>
  <si>
    <t>Broke out B&amp;W FERC retroactive tariff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</si>
</sst>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yy;@"/>
    <numFmt numFmtId="167" formatCode="_(* #,##0.0000_);_(* \(#,##0.0000\);_(* &quot;-&quot;??_);_(@_)"/>
    <numFmt numFmtId="168" formatCode="_(&quot;$&quot;* #,##0.0000_);_(&quot;$&quot;* \(#,##0.0000\);_(&quot;$&quot;* &quot;-&quot;??_);_(@_)"/>
    <numFmt numFmtId="169" formatCode="_(&quot;$&quot;* #,##0.0000_);_(&quot;$&quot;* \(#,##0.0000\);_(&quot;$&quot;* &quot;-&quot;????_);_(@_)"/>
    <numFmt numFmtId="170" formatCode="mm/dd/yy;@"/>
    <numFmt numFmtId="171" formatCode="[$-409]mmmmm;@"/>
    <numFmt numFmtId="172" formatCode="_(* #,##0.0000_);_(* \(#,##0.0000\);_(* &quot;-&quot;????_);_(@_)"/>
    <numFmt numFmtId="173" formatCode="_(* #,##0.0000_);_(* \(#,##0.0000\);_(* &quot;-&quot;_);_(@_)"/>
    <numFmt numFmtId="174" formatCode="_(* #,##0.00000_);_(* \(#,##0.00000\);_(* &quot;-&quot;?????_);_(@_)"/>
    <numFmt numFmtId="175" formatCode="#,##0.0000_);\(#,##0.0000\)"/>
  </numFmts>
  <fonts count="11" x14ac:knownFonts="1">
    <font>
      <sz val="10"/>
      <name val="Arial"/>
    </font>
    <font>
      <sz val="10"/>
      <name val="Arial"/>
      <family val="2"/>
    </font>
    <font>
      <sz val="10"/>
      <name val="Arial"/>
      <family val="2"/>
    </font>
    <font>
      <b/>
      <sz val="10"/>
      <name val="Arial"/>
      <family val="2"/>
    </font>
    <font>
      <sz val="9"/>
      <color indexed="81"/>
      <name val="Tahoma"/>
      <family val="2"/>
    </font>
    <font>
      <sz val="10"/>
      <color rgb="FFFF0000"/>
      <name val="Arial"/>
      <family val="2"/>
    </font>
    <font>
      <b/>
      <u/>
      <sz val="10"/>
      <name val="Arial"/>
      <family val="2"/>
    </font>
    <font>
      <b/>
      <sz val="9"/>
      <color indexed="81"/>
      <name val="Tahoma"/>
      <family val="2"/>
    </font>
    <font>
      <sz val="10"/>
      <color theme="1"/>
      <name val="Arial"/>
      <family val="2"/>
    </font>
    <font>
      <sz val="10"/>
      <name val="Arial"/>
      <family val="2"/>
    </font>
    <font>
      <sz val="8"/>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theme="1"/>
      </left>
      <right/>
      <top/>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0" fontId="1" fillId="0" borderId="0"/>
  </cellStyleXfs>
  <cellXfs count="270">
    <xf numFmtId="0" fontId="0" fillId="0" borderId="0" xfId="0"/>
    <xf numFmtId="0" fontId="0" fillId="0" borderId="1" xfId="0" applyBorder="1" applyAlignment="1">
      <alignment horizontal="center"/>
    </xf>
    <xf numFmtId="0" fontId="0" fillId="0" borderId="0" xfId="0" applyAlignment="1">
      <alignment horizontal="right"/>
    </xf>
    <xf numFmtId="164" fontId="0" fillId="0" borderId="0" xfId="0" applyNumberFormat="1"/>
    <xf numFmtId="0" fontId="0" fillId="0" borderId="1" xfId="0" applyBorder="1"/>
    <xf numFmtId="0" fontId="0" fillId="0" borderId="0" xfId="0" applyAlignment="1">
      <alignment wrapText="1"/>
    </xf>
    <xf numFmtId="0" fontId="2" fillId="0" borderId="0" xfId="0" applyFont="1" applyAlignment="1">
      <alignment wrapText="1"/>
    </xf>
    <xf numFmtId="0" fontId="2" fillId="0" borderId="0" xfId="0" applyFont="1"/>
    <xf numFmtId="0" fontId="0" fillId="0" borderId="3" xfId="0" applyBorder="1"/>
    <xf numFmtId="0" fontId="2" fillId="0" borderId="3" xfId="0" applyFont="1" applyBorder="1"/>
    <xf numFmtId="0" fontId="0" fillId="0" borderId="0" xfId="0" applyBorder="1"/>
    <xf numFmtId="0" fontId="2" fillId="0" borderId="0" xfId="0" applyFont="1" applyBorder="1"/>
    <xf numFmtId="0" fontId="2" fillId="0" borderId="1" xfId="0" applyFont="1" applyBorder="1"/>
    <xf numFmtId="0" fontId="2" fillId="0" borderId="0" xfId="0" applyFont="1" applyAlignment="1">
      <alignment horizontal="center" wrapText="1"/>
    </xf>
    <xf numFmtId="0" fontId="0" fillId="0" borderId="0" xfId="0" applyAlignment="1">
      <alignment horizontal="center" wrapText="1"/>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16" fontId="0" fillId="0" borderId="3" xfId="0" applyNumberFormat="1" applyBorder="1" applyAlignment="1">
      <alignment horizontal="center"/>
    </xf>
    <xf numFmtId="0" fontId="0" fillId="0" borderId="0" xfId="0" applyBorder="1" applyAlignment="1">
      <alignment horizontal="center"/>
    </xf>
    <xf numFmtId="16"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1" xfId="0" applyFont="1" applyBorder="1" applyAlignment="1">
      <alignment wrapText="1"/>
    </xf>
    <xf numFmtId="43" fontId="0" fillId="0" borderId="0" xfId="0" applyNumberFormat="1"/>
    <xf numFmtId="0" fontId="2" fillId="0" borderId="0" xfId="0" applyFont="1" applyAlignment="1">
      <alignment horizontal="right"/>
    </xf>
    <xf numFmtId="0" fontId="3" fillId="0" borderId="0" xfId="0" applyFont="1" applyAlignment="1">
      <alignment horizontal="right"/>
    </xf>
    <xf numFmtId="43" fontId="2" fillId="0" borderId="0" xfId="0" applyNumberFormat="1" applyFont="1"/>
    <xf numFmtId="0" fontId="2" fillId="0" borderId="1" xfId="0" applyFont="1" applyBorder="1" applyAlignment="1">
      <alignment horizontal="center"/>
    </xf>
    <xf numFmtId="166" fontId="2" fillId="0" borderId="0" xfId="0" applyNumberFormat="1" applyFont="1" applyAlignment="1">
      <alignment horizontal="center"/>
    </xf>
    <xf numFmtId="166" fontId="0" fillId="0" borderId="0" xfId="0" applyNumberFormat="1" applyAlignment="1">
      <alignment horizontal="center"/>
    </xf>
    <xf numFmtId="41" fontId="0" fillId="0" borderId="0" xfId="0" applyNumberFormat="1"/>
    <xf numFmtId="0" fontId="0" fillId="0" borderId="0" xfId="0" applyAlignment="1">
      <alignment horizontal="left"/>
    </xf>
    <xf numFmtId="43" fontId="0" fillId="2" borderId="0" xfId="0" applyNumberFormat="1" applyFill="1"/>
    <xf numFmtId="43" fontId="2" fillId="3" borderId="0" xfId="0" applyNumberFormat="1" applyFont="1" applyFill="1"/>
    <xf numFmtId="43" fontId="2" fillId="3" borderId="1" xfId="0" applyNumberFormat="1" applyFont="1" applyFill="1" applyBorder="1"/>
    <xf numFmtId="43" fontId="0" fillId="2" borderId="1" xfId="0" applyNumberFormat="1" applyFill="1" applyBorder="1"/>
    <xf numFmtId="43" fontId="0" fillId="3" borderId="0" xfId="0" applyNumberFormat="1" applyFill="1"/>
    <xf numFmtId="43" fontId="0" fillId="3" borderId="1" xfId="0" applyNumberFormat="1" applyFill="1" applyBorder="1"/>
    <xf numFmtId="167" fontId="0" fillId="3" borderId="0" xfId="0" applyNumberFormat="1" applyFill="1"/>
    <xf numFmtId="167" fontId="0" fillId="0" borderId="0" xfId="0" applyNumberFormat="1"/>
    <xf numFmtId="164" fontId="0" fillId="3" borderId="0" xfId="0" applyNumberFormat="1" applyFill="1"/>
    <xf numFmtId="164" fontId="0" fillId="4" borderId="0" xfId="0" applyNumberFormat="1" applyFill="1"/>
    <xf numFmtId="167" fontId="0" fillId="2" borderId="0" xfId="0" applyNumberFormat="1" applyFill="1"/>
    <xf numFmtId="167" fontId="0" fillId="3" borderId="1" xfId="0" applyNumberFormat="1" applyFill="1" applyBorder="1"/>
    <xf numFmtId="2" fontId="2" fillId="3" borderId="0" xfId="0" applyNumberFormat="1" applyFont="1" applyFill="1"/>
    <xf numFmtId="3" fontId="2" fillId="2" borderId="0" xfId="0" applyNumberFormat="1" applyFont="1" applyFill="1"/>
    <xf numFmtId="3" fontId="2" fillId="2" borderId="0" xfId="0" applyNumberFormat="1" applyFont="1" applyFill="1" applyBorder="1"/>
    <xf numFmtId="3" fontId="2" fillId="2" borderId="1" xfId="0" applyNumberFormat="1" applyFont="1" applyFill="1" applyBorder="1"/>
    <xf numFmtId="2" fontId="2" fillId="2" borderId="0" xfId="0" applyNumberFormat="1" applyFont="1" applyFill="1"/>
    <xf numFmtId="43" fontId="2" fillId="2" borderId="0" xfId="0" applyNumberFormat="1" applyFont="1" applyFill="1"/>
    <xf numFmtId="0" fontId="0" fillId="0" borderId="0" xfId="0" applyFill="1"/>
    <xf numFmtId="0" fontId="2" fillId="0" borderId="0" xfId="0" applyFont="1" applyFill="1" applyAlignment="1">
      <alignment horizontal="right"/>
    </xf>
    <xf numFmtId="43" fontId="0" fillId="0" borderId="0" xfId="0" applyNumberFormat="1" applyFill="1"/>
    <xf numFmtId="0" fontId="2" fillId="0" borderId="0" xfId="0" applyFont="1" applyFill="1"/>
    <xf numFmtId="0" fontId="2" fillId="0" borderId="0" xfId="0" applyFont="1" applyFill="1" applyAlignment="1"/>
    <xf numFmtId="9" fontId="0" fillId="2" borderId="0" xfId="1" applyFont="1" applyFill="1"/>
    <xf numFmtId="3" fontId="0" fillId="5" borderId="0" xfId="0" applyNumberFormat="1" applyFill="1"/>
    <xf numFmtId="44" fontId="3" fillId="6" borderId="0" xfId="0" applyNumberFormat="1" applyFont="1" applyFill="1"/>
    <xf numFmtId="0" fontId="2" fillId="0" borderId="0" xfId="0" quotePrefix="1" applyFont="1"/>
    <xf numFmtId="0" fontId="2" fillId="0" borderId="0" xfId="0" quotePrefix="1" applyFont="1" applyBorder="1"/>
    <xf numFmtId="44" fontId="0" fillId="5" borderId="0" xfId="0" applyNumberFormat="1" applyFill="1"/>
    <xf numFmtId="3" fontId="0" fillId="5" borderId="1" xfId="0" applyNumberFormat="1" applyFill="1" applyBorder="1"/>
    <xf numFmtId="0" fontId="0" fillId="0" borderId="2" xfId="0" applyBorder="1"/>
    <xf numFmtId="0" fontId="0" fillId="0" borderId="0" xfId="0" applyFont="1" applyFill="1" applyBorder="1"/>
    <xf numFmtId="167" fontId="0" fillId="0" borderId="1" xfId="0" applyNumberFormat="1" applyBorder="1"/>
    <xf numFmtId="167" fontId="0" fillId="5" borderId="0" xfId="0" applyNumberFormat="1" applyFill="1"/>
    <xf numFmtId="168" fontId="0" fillId="2" borderId="0" xfId="0" applyNumberFormat="1" applyFill="1"/>
    <xf numFmtId="169" fontId="0" fillId="2" borderId="0" xfId="0" applyNumberFormat="1" applyFill="1"/>
    <xf numFmtId="0" fontId="0" fillId="7" borderId="0" xfId="0" applyFill="1"/>
    <xf numFmtId="0" fontId="0" fillId="7" borderId="1" xfId="0" applyFill="1" applyBorder="1"/>
    <xf numFmtId="166" fontId="0" fillId="7" borderId="0" xfId="0" applyNumberFormat="1" applyFill="1" applyAlignment="1">
      <alignment horizontal="center"/>
    </xf>
    <xf numFmtId="43" fontId="0" fillId="7" borderId="0" xfId="0" applyNumberFormat="1" applyFill="1"/>
    <xf numFmtId="164" fontId="0" fillId="7" borderId="0" xfId="0" applyNumberFormat="1" applyFill="1"/>
    <xf numFmtId="167" fontId="0" fillId="7" borderId="0" xfId="0" applyNumberFormat="1" applyFill="1"/>
    <xf numFmtId="164" fontId="0" fillId="0" borderId="0" xfId="0" applyNumberFormat="1" applyFill="1"/>
    <xf numFmtId="167" fontId="0" fillId="0" borderId="0" xfId="0" applyNumberFormat="1" applyFill="1"/>
    <xf numFmtId="0" fontId="3" fillId="0" borderId="0" xfId="0" applyFont="1" applyFill="1" applyAlignment="1">
      <alignment horizontal="right"/>
    </xf>
    <xf numFmtId="43" fontId="3" fillId="0" borderId="0" xfId="0" applyNumberFormat="1" applyFont="1" applyFill="1"/>
    <xf numFmtId="170" fontId="2" fillId="0" borderId="0" xfId="0" applyNumberFormat="1" applyFont="1"/>
    <xf numFmtId="170" fontId="0" fillId="0" borderId="0" xfId="0" applyNumberFormat="1"/>
    <xf numFmtId="0" fontId="0" fillId="0" borderId="5" xfId="0" applyBorder="1"/>
    <xf numFmtId="43" fontId="0" fillId="2" borderId="5" xfId="0" applyNumberFormat="1" applyFill="1" applyBorder="1"/>
    <xf numFmtId="0" fontId="0" fillId="0" borderId="5" xfId="0" applyFill="1" applyBorder="1"/>
    <xf numFmtId="43" fontId="0" fillId="2" borderId="10" xfId="0" applyNumberFormat="1" applyFill="1" applyBorder="1"/>
    <xf numFmtId="43" fontId="0" fillId="0" borderId="5" xfId="0" applyNumberFormat="1" applyFill="1" applyBorder="1"/>
    <xf numFmtId="43" fontId="0" fillId="3" borderId="5" xfId="0" applyNumberFormat="1" applyFill="1" applyBorder="1"/>
    <xf numFmtId="0" fontId="3" fillId="0" borderId="0" xfId="0" applyFont="1"/>
    <xf numFmtId="170" fontId="2" fillId="0" borderId="0" xfId="0" applyNumberFormat="1" applyFont="1" applyBorder="1"/>
    <xf numFmtId="170" fontId="0" fillId="0" borderId="0" xfId="0" applyNumberFormat="1" applyBorder="1"/>
    <xf numFmtId="171" fontId="0" fillId="0" borderId="0" xfId="0" applyNumberFormat="1" applyBorder="1"/>
    <xf numFmtId="41" fontId="0" fillId="0" borderId="0" xfId="0" applyNumberFormat="1" applyFill="1"/>
    <xf numFmtId="41" fontId="0" fillId="0" borderId="0" xfId="0" applyNumberFormat="1" applyBorder="1"/>
    <xf numFmtId="43" fontId="0" fillId="5" borderId="5" xfId="0" applyNumberFormat="1" applyFill="1" applyBorder="1"/>
    <xf numFmtId="172" fontId="0" fillId="5" borderId="0" xfId="0" applyNumberFormat="1" applyFill="1"/>
    <xf numFmtId="0" fontId="0" fillId="8" borderId="0" xfId="0" applyFill="1"/>
    <xf numFmtId="166" fontId="0" fillId="0" borderId="5" xfId="0" applyNumberFormat="1" applyBorder="1"/>
    <xf numFmtId="166" fontId="0" fillId="0" borderId="0" xfId="0" applyNumberFormat="1"/>
    <xf numFmtId="166" fontId="3" fillId="0" borderId="0" xfId="0" applyNumberFormat="1" applyFont="1"/>
    <xf numFmtId="43" fontId="2" fillId="6" borderId="7" xfId="0" applyNumberFormat="1" applyFont="1" applyFill="1" applyBorder="1"/>
    <xf numFmtId="167" fontId="3" fillId="6" borderId="0" xfId="0" applyNumberFormat="1" applyFont="1" applyFill="1"/>
    <xf numFmtId="167" fontId="2" fillId="6" borderId="7" xfId="0" applyNumberFormat="1" applyFont="1" applyFill="1" applyBorder="1"/>
    <xf numFmtId="167" fontId="0" fillId="3" borderId="5" xfId="0" applyNumberFormat="1" applyFill="1" applyBorder="1"/>
    <xf numFmtId="43" fontId="0" fillId="0" borderId="5" xfId="0" applyNumberFormat="1" applyBorder="1"/>
    <xf numFmtId="43" fontId="2" fillId="2" borderId="0" xfId="0" applyNumberFormat="1" applyFont="1" applyFill="1" applyBorder="1"/>
    <xf numFmtId="2" fontId="2" fillId="2" borderId="0" xfId="0" applyNumberFormat="1" applyFont="1" applyFill="1" applyBorder="1"/>
    <xf numFmtId="43" fontId="2" fillId="0" borderId="0" xfId="0" applyNumberFormat="1" applyFont="1" applyBorder="1"/>
    <xf numFmtId="3" fontId="2" fillId="6" borderId="3" xfId="0" applyNumberFormat="1" applyFont="1" applyFill="1" applyBorder="1"/>
    <xf numFmtId="3" fontId="2" fillId="2" borderId="3" xfId="0" applyNumberFormat="1" applyFont="1" applyFill="1" applyBorder="1"/>
    <xf numFmtId="43" fontId="2" fillId="2" borderId="3" xfId="0" applyNumberFormat="1" applyFont="1" applyFill="1" applyBorder="1"/>
    <xf numFmtId="0" fontId="0" fillId="0" borderId="0" xfId="0" applyFill="1" applyBorder="1"/>
    <xf numFmtId="41" fontId="3" fillId="0" borderId="0" xfId="0" applyNumberFormat="1" applyFont="1" applyFill="1" applyBorder="1"/>
    <xf numFmtId="41" fontId="0" fillId="0" borderId="0" xfId="0" applyNumberFormat="1" applyFill="1" applyBorder="1"/>
    <xf numFmtId="1" fontId="2" fillId="5" borderId="0" xfId="0" applyNumberFormat="1" applyFont="1" applyFill="1"/>
    <xf numFmtId="1" fontId="2" fillId="5" borderId="0" xfId="0" applyNumberFormat="1" applyFont="1" applyFill="1" applyBorder="1"/>
    <xf numFmtId="41" fontId="3" fillId="5" borderId="5" xfId="0" applyNumberFormat="1" applyFont="1" applyFill="1" applyBorder="1"/>
    <xf numFmtId="0" fontId="2" fillId="0" borderId="11" xfId="0" applyFont="1" applyBorder="1"/>
    <xf numFmtId="0" fontId="2" fillId="0" borderId="5" xfId="0" quotePrefix="1" applyFont="1" applyBorder="1" applyAlignment="1">
      <alignment horizontal="right"/>
    </xf>
    <xf numFmtId="167" fontId="0" fillId="0" borderId="5" xfId="0" applyNumberFormat="1" applyFill="1" applyBorder="1"/>
    <xf numFmtId="0" fontId="2" fillId="0" borderId="0" xfId="0" quotePrefix="1" applyFont="1" applyBorder="1" applyAlignment="1">
      <alignment horizontal="right"/>
    </xf>
    <xf numFmtId="170" fontId="2" fillId="0" borderId="0" xfId="0" applyNumberFormat="1" applyFont="1" applyBorder="1" applyAlignment="1">
      <alignment horizontal="center"/>
    </xf>
    <xf numFmtId="3" fontId="0" fillId="0" borderId="0" xfId="0" applyNumberFormat="1" applyFill="1"/>
    <xf numFmtId="166" fontId="1" fillId="0" borderId="5" xfId="0" applyNumberFormat="1" applyFont="1" applyBorder="1"/>
    <xf numFmtId="41" fontId="3" fillId="5" borderId="0" xfId="0" applyNumberFormat="1" applyFont="1" applyFill="1" applyBorder="1"/>
    <xf numFmtId="0" fontId="1" fillId="0" borderId="1" xfId="0" applyFont="1" applyBorder="1" applyAlignment="1">
      <alignment wrapText="1"/>
    </xf>
    <xf numFmtId="0" fontId="2" fillId="0" borderId="3" xfId="0" applyFont="1" applyBorder="1" applyAlignment="1">
      <alignment horizontal="center"/>
    </xf>
    <xf numFmtId="0" fontId="1" fillId="0" borderId="0" xfId="0" applyFont="1" applyAlignment="1">
      <alignment horizontal="right"/>
    </xf>
    <xf numFmtId="0" fontId="1" fillId="0" borderId="0" xfId="0" applyFont="1"/>
    <xf numFmtId="43" fontId="0" fillId="2" borderId="3" xfId="0" applyNumberFormat="1" applyFill="1" applyBorder="1"/>
    <xf numFmtId="43" fontId="5" fillId="3" borderId="1" xfId="0" applyNumberFormat="1" applyFont="1" applyFill="1" applyBorder="1"/>
    <xf numFmtId="0" fontId="6" fillId="0" borderId="0" xfId="0" applyFont="1"/>
    <xf numFmtId="166" fontId="1" fillId="0" borderId="0" xfId="0" applyNumberFormat="1" applyFont="1"/>
    <xf numFmtId="41" fontId="0" fillId="0" borderId="3" xfId="0" applyNumberFormat="1" applyBorder="1"/>
    <xf numFmtId="41" fontId="3" fillId="0" borderId="5" xfId="0" applyNumberFormat="1" applyFont="1" applyFill="1" applyBorder="1"/>
    <xf numFmtId="0" fontId="3" fillId="0" borderId="0" xfId="0" applyFont="1" applyFill="1"/>
    <xf numFmtId="173" fontId="1" fillId="0" borderId="0" xfId="0" applyNumberFormat="1" applyFont="1" applyFill="1" applyBorder="1"/>
    <xf numFmtId="41" fontId="1" fillId="0" borderId="0" xfId="0" applyNumberFormat="1" applyFont="1" applyFill="1" applyBorder="1"/>
    <xf numFmtId="174" fontId="1" fillId="0" borderId="0" xfId="0" applyNumberFormat="1" applyFont="1" applyFill="1" applyBorder="1"/>
    <xf numFmtId="0" fontId="0" fillId="0" borderId="4" xfId="0" applyBorder="1"/>
    <xf numFmtId="0" fontId="1" fillId="0" borderId="3" xfId="0" applyFont="1" applyBorder="1" applyAlignment="1">
      <alignment horizontal="right"/>
    </xf>
    <xf numFmtId="0" fontId="2" fillId="0" borderId="0" xfId="0" applyFont="1" applyFill="1" applyBorder="1"/>
    <xf numFmtId="0" fontId="3" fillId="0" borderId="0" xfId="0" applyFont="1" applyFill="1" applyBorder="1"/>
    <xf numFmtId="173" fontId="0" fillId="0" borderId="0" xfId="0" applyNumberFormat="1" applyFill="1" applyBorder="1"/>
    <xf numFmtId="43" fontId="0" fillId="0" borderId="0" xfId="0" applyNumberFormat="1" applyFill="1" applyBorder="1"/>
    <xf numFmtId="167" fontId="0" fillId="0" borderId="0" xfId="0" applyNumberFormat="1" applyFill="1" applyBorder="1"/>
    <xf numFmtId="0" fontId="2" fillId="0" borderId="0" xfId="0" applyFont="1" applyFill="1" applyBorder="1" applyAlignment="1">
      <alignment horizontal="right"/>
    </xf>
    <xf numFmtId="0" fontId="3" fillId="0" borderId="0" xfId="0" applyFont="1" applyFill="1" applyBorder="1" applyAlignment="1">
      <alignment horizontal="right"/>
    </xf>
    <xf numFmtId="0" fontId="1" fillId="0" borderId="0" xfId="0" applyFont="1" applyFill="1" applyBorder="1" applyAlignment="1">
      <alignment horizontal="right"/>
    </xf>
    <xf numFmtId="167" fontId="2" fillId="0" borderId="0" xfId="0" applyNumberFormat="1" applyFont="1" applyFill="1" applyBorder="1"/>
    <xf numFmtId="43" fontId="2" fillId="0" borderId="0" xfId="0" applyNumberFormat="1" applyFont="1" applyFill="1" applyBorder="1"/>
    <xf numFmtId="167" fontId="0" fillId="2" borderId="5" xfId="0" applyNumberFormat="1" applyFill="1" applyBorder="1"/>
    <xf numFmtId="167" fontId="0" fillId="2" borderId="10" xfId="0" applyNumberFormat="1" applyFill="1" applyBorder="1"/>
    <xf numFmtId="168" fontId="2" fillId="2" borderId="0" xfId="2" applyNumberFormat="1" applyFont="1" applyFill="1"/>
    <xf numFmtId="168" fontId="0" fillId="2" borderId="3" xfId="0" applyNumberFormat="1" applyFill="1" applyBorder="1"/>
    <xf numFmtId="167" fontId="0" fillId="2" borderId="0" xfId="0" applyNumberFormat="1" applyFill="1" applyBorder="1"/>
    <xf numFmtId="43" fontId="0" fillId="2" borderId="0" xfId="0" applyNumberFormat="1" applyFill="1" applyBorder="1"/>
    <xf numFmtId="167" fontId="0" fillId="0" borderId="11" xfId="0" applyNumberFormat="1" applyFill="1" applyBorder="1"/>
    <xf numFmtId="43" fontId="0" fillId="0" borderId="11" xfId="0" applyNumberFormat="1" applyFill="1" applyBorder="1"/>
    <xf numFmtId="167" fontId="2" fillId="0" borderId="5" xfId="0" applyNumberFormat="1" applyFont="1" applyFill="1" applyBorder="1"/>
    <xf numFmtId="167" fontId="2" fillId="3" borderId="0" xfId="0" applyNumberFormat="1" applyFont="1" applyFill="1" applyBorder="1"/>
    <xf numFmtId="167" fontId="2" fillId="3" borderId="5" xfId="0" applyNumberFormat="1" applyFont="1" applyFill="1" applyBorder="1"/>
    <xf numFmtId="167" fontId="0" fillId="0" borderId="5" xfId="0" applyNumberFormat="1" applyBorder="1"/>
    <xf numFmtId="167" fontId="0" fillId="0" borderId="0" xfId="0" applyNumberFormat="1" applyBorder="1"/>
    <xf numFmtId="43" fontId="0" fillId="3" borderId="0" xfId="0" applyNumberFormat="1" applyFill="1" applyBorder="1"/>
    <xf numFmtId="167" fontId="0" fillId="0" borderId="3" xfId="0" applyNumberFormat="1" applyBorder="1"/>
    <xf numFmtId="167" fontId="0" fillId="0" borderId="4" xfId="0" applyNumberFormat="1" applyBorder="1"/>
    <xf numFmtId="167" fontId="0" fillId="0" borderId="6" xfId="0" applyNumberFormat="1" applyBorder="1"/>
    <xf numFmtId="0" fontId="0" fillId="0" borderId="6" xfId="0" applyBorder="1"/>
    <xf numFmtId="43" fontId="0" fillId="9" borderId="5" xfId="0" applyNumberFormat="1" applyFill="1" applyBorder="1"/>
    <xf numFmtId="43" fontId="0" fillId="10" borderId="5" xfId="0" applyNumberFormat="1" applyFill="1" applyBorder="1"/>
    <xf numFmtId="43" fontId="0" fillId="10" borderId="0" xfId="0" applyNumberFormat="1" applyFill="1" applyBorder="1"/>
    <xf numFmtId="41" fontId="0" fillId="0" borderId="5" xfId="0" applyNumberFormat="1" applyBorder="1"/>
    <xf numFmtId="164" fontId="0" fillId="0" borderId="5" xfId="0" applyNumberFormat="1" applyFill="1" applyBorder="1"/>
    <xf numFmtId="43" fontId="0" fillId="11" borderId="5" xfId="0" applyNumberFormat="1" applyFill="1" applyBorder="1"/>
    <xf numFmtId="41" fontId="1" fillId="0" borderId="0" xfId="0" applyNumberFormat="1" applyFont="1" applyFill="1"/>
    <xf numFmtId="0" fontId="0" fillId="0" borderId="0" xfId="0"/>
    <xf numFmtId="167" fontId="0" fillId="3" borderId="1" xfId="0" applyNumberFormat="1" applyFill="1" applyBorder="1"/>
    <xf numFmtId="0" fontId="1" fillId="0" borderId="1" xfId="0" applyFont="1" applyBorder="1" applyAlignment="1">
      <alignment horizontal="center"/>
    </xf>
    <xf numFmtId="43" fontId="1" fillId="3" borderId="1" xfId="0" applyNumberFormat="1" applyFont="1" applyFill="1" applyBorder="1"/>
    <xf numFmtId="0" fontId="0" fillId="0" borderId="11" xfId="0" applyBorder="1"/>
    <xf numFmtId="43" fontId="8" fillId="3" borderId="1" xfId="0" applyNumberFormat="1" applyFont="1" applyFill="1" applyBorder="1"/>
    <xf numFmtId="175" fontId="0" fillId="0" borderId="0" xfId="0" applyNumberFormat="1" applyFill="1" applyBorder="1"/>
    <xf numFmtId="172" fontId="2" fillId="6" borderId="7" xfId="0" applyNumberFormat="1" applyFont="1" applyFill="1" applyBorder="1"/>
    <xf numFmtId="0" fontId="0" fillId="0" borderId="11" xfId="0" applyFill="1" applyBorder="1"/>
    <xf numFmtId="0" fontId="0" fillId="0" borderId="12" xfId="0" applyBorder="1"/>
    <xf numFmtId="2" fontId="2" fillId="0" borderId="0" xfId="0" applyNumberFormat="1" applyFont="1" applyFill="1"/>
    <xf numFmtId="43" fontId="0" fillId="9" borderId="0" xfId="0" applyNumberFormat="1" applyFill="1" applyBorder="1"/>
    <xf numFmtId="166" fontId="0" fillId="0" borderId="0" xfId="0" applyNumberFormat="1" applyBorder="1"/>
    <xf numFmtId="166" fontId="0" fillId="0" borderId="11" xfId="0" applyNumberFormat="1" applyBorder="1"/>
    <xf numFmtId="0" fontId="1" fillId="0" borderId="0" xfId="0" applyFont="1" applyFill="1" applyBorder="1"/>
    <xf numFmtId="0" fontId="1" fillId="0" borderId="0" xfId="4" applyFont="1" applyBorder="1"/>
    <xf numFmtId="164" fontId="0" fillId="0" borderId="0" xfId="3" applyNumberFormat="1" applyFont="1"/>
    <xf numFmtId="164" fontId="0" fillId="0" borderId="0" xfId="3" applyNumberFormat="1" applyFont="1" applyFill="1"/>
    <xf numFmtId="0" fontId="3" fillId="0" borderId="0" xfId="0" applyFont="1" applyFill="1" applyAlignment="1">
      <alignment horizontal="center"/>
    </xf>
    <xf numFmtId="43" fontId="0" fillId="0" borderId="0" xfId="0" applyNumberFormat="1" applyBorder="1"/>
    <xf numFmtId="165" fontId="1" fillId="3" borderId="0" xfId="0" applyNumberFormat="1" applyFont="1" applyFill="1"/>
    <xf numFmtId="167" fontId="0" fillId="0" borderId="11" xfId="0" applyNumberFormat="1" applyBorder="1"/>
    <xf numFmtId="43" fontId="1" fillId="3" borderId="0" xfId="0" applyNumberFormat="1" applyFont="1" applyFill="1" applyBorder="1"/>
    <xf numFmtId="43" fontId="1" fillId="0" borderId="0" xfId="0" applyNumberFormat="1" applyFont="1" applyFill="1" applyBorder="1"/>
    <xf numFmtId="0" fontId="1" fillId="0" borderId="0" xfId="0" applyFont="1" applyAlignment="1">
      <alignment horizontal="left"/>
    </xf>
    <xf numFmtId="43" fontId="2" fillId="0" borderId="1" xfId="0" applyNumberFormat="1" applyFont="1" applyFill="1" applyBorder="1"/>
    <xf numFmtId="164" fontId="0" fillId="2" borderId="0" xfId="0" applyNumberFormat="1" applyFill="1"/>
    <xf numFmtId="44" fontId="0" fillId="3" borderId="0" xfId="0" applyNumberFormat="1" applyFill="1"/>
    <xf numFmtId="44" fontId="2" fillId="3" borderId="0" xfId="0" applyNumberFormat="1" applyFont="1" applyFill="1"/>
    <xf numFmtId="44" fontId="8" fillId="3" borderId="1" xfId="0" applyNumberFormat="1" applyFont="1" applyFill="1" applyBorder="1"/>
    <xf numFmtId="0" fontId="1" fillId="0" borderId="0" xfId="0" quotePrefix="1" applyFont="1" applyBorder="1"/>
    <xf numFmtId="0" fontId="0" fillId="0" borderId="0" xfId="0" applyFill="1" applyBorder="1" applyAlignment="1">
      <alignment horizontal="right"/>
    </xf>
    <xf numFmtId="167" fontId="3" fillId="0" borderId="0" xfId="0" applyNumberFormat="1" applyFont="1" applyFill="1"/>
    <xf numFmtId="0" fontId="10" fillId="0" borderId="0" xfId="4" applyFont="1" applyFill="1" applyBorder="1"/>
    <xf numFmtId="0" fontId="1" fillId="0" borderId="0" xfId="0" applyFont="1" applyFill="1" applyAlignment="1"/>
    <xf numFmtId="0" fontId="10" fillId="0" borderId="0" xfId="0" applyFont="1"/>
    <xf numFmtId="43" fontId="10" fillId="0" borderId="0" xfId="0" applyNumberFormat="1" applyFont="1"/>
    <xf numFmtId="43" fontId="10" fillId="0" borderId="0" xfId="0" applyNumberFormat="1" applyFont="1" applyFill="1"/>
    <xf numFmtId="43" fontId="10" fillId="0" borderId="0" xfId="0" applyNumberFormat="1" applyFont="1" applyFill="1" applyAlignment="1">
      <alignment horizontal="center"/>
    </xf>
    <xf numFmtId="0" fontId="10" fillId="0" borderId="0" xfId="0" applyFont="1" applyFill="1"/>
    <xf numFmtId="164" fontId="10" fillId="0" borderId="0" xfId="0" applyNumberFormat="1" applyFont="1"/>
    <xf numFmtId="164" fontId="10" fillId="0" borderId="0" xfId="3" applyNumberFormat="1" applyFont="1"/>
    <xf numFmtId="164" fontId="10" fillId="0" borderId="0" xfId="3" applyNumberFormat="1" applyFont="1" applyFill="1"/>
    <xf numFmtId="164" fontId="10" fillId="13" borderId="0" xfId="3" applyNumberFormat="1" applyFont="1" applyFill="1"/>
    <xf numFmtId="164" fontId="10" fillId="12" borderId="0" xfId="3" applyNumberFormat="1" applyFont="1" applyFill="1"/>
    <xf numFmtId="164" fontId="10" fillId="3" borderId="0" xfId="0" applyNumberFormat="1" applyFont="1" applyFill="1"/>
    <xf numFmtId="0" fontId="1" fillId="0" borderId="0" xfId="0" applyFont="1" applyFill="1"/>
    <xf numFmtId="0" fontId="1" fillId="14" borderId="0" xfId="0" applyFont="1" applyFill="1"/>
    <xf numFmtId="43" fontId="5" fillId="0" borderId="0" xfId="0" applyNumberFormat="1" applyFont="1" applyFill="1" applyBorder="1"/>
    <xf numFmtId="43" fontId="1" fillId="2" borderId="1" xfId="0" applyNumberFormat="1" applyFont="1" applyFill="1" applyBorder="1"/>
    <xf numFmtId="0" fontId="10" fillId="0" borderId="0" xfId="0" applyFont="1" applyAlignment="1">
      <alignment horizontal="right"/>
    </xf>
    <xf numFmtId="0" fontId="1" fillId="0" borderId="0" xfId="0" applyFont="1" applyAlignment="1"/>
    <xf numFmtId="164" fontId="10" fillId="0" borderId="0" xfId="0" applyNumberFormat="1" applyFont="1" applyFill="1"/>
    <xf numFmtId="43" fontId="2" fillId="0" borderId="0" xfId="0" applyNumberFormat="1" applyFont="1" applyFill="1"/>
    <xf numFmtId="0" fontId="1" fillId="0" borderId="0" xfId="0" applyFont="1" applyFill="1" applyAlignment="1">
      <alignment horizontal="right"/>
    </xf>
    <xf numFmtId="43" fontId="1" fillId="0" borderId="0" xfId="0" applyNumberFormat="1" applyFont="1" applyFill="1"/>
    <xf numFmtId="0" fontId="1" fillId="0" borderId="8" xfId="0" applyFont="1" applyBorder="1" applyAlignment="1">
      <alignment horizontal="center"/>
    </xf>
    <xf numFmtId="14" fontId="0" fillId="0" borderId="0" xfId="0" applyNumberFormat="1" applyBorder="1" applyAlignment="1">
      <alignment horizontal="center"/>
    </xf>
    <xf numFmtId="14" fontId="0" fillId="0" borderId="5" xfId="0" applyNumberFormat="1" applyBorder="1" applyAlignment="1">
      <alignment horizontal="center"/>
    </xf>
    <xf numFmtId="166" fontId="1" fillId="0" borderId="0" xfId="0" applyNumberFormat="1" applyFont="1" applyAlignment="1">
      <alignment horizontal="right"/>
    </xf>
    <xf numFmtId="0" fontId="1" fillId="0" borderId="0" xfId="4" applyFont="1" applyFill="1" applyBorder="1"/>
    <xf numFmtId="0" fontId="2" fillId="0" borderId="0" xfId="0" applyFont="1" applyFill="1" applyBorder="1" applyAlignment="1">
      <alignment horizontal="center"/>
    </xf>
    <xf numFmtId="0" fontId="1" fillId="0" borderId="0" xfId="0" applyFont="1" applyFill="1" applyBorder="1" applyAlignment="1">
      <alignment horizontal="center"/>
    </xf>
    <xf numFmtId="166" fontId="2" fillId="0" borderId="0" xfId="0" applyNumberFormat="1" applyFont="1" applyFill="1" applyBorder="1" applyAlignment="1">
      <alignment horizontal="center"/>
    </xf>
    <xf numFmtId="166" fontId="0" fillId="0" borderId="0" xfId="0" applyNumberFormat="1" applyFill="1" applyBorder="1" applyAlignment="1">
      <alignment horizontal="center"/>
    </xf>
    <xf numFmtId="166" fontId="1" fillId="0" borderId="0" xfId="0" applyNumberFormat="1" applyFont="1" applyFill="1" applyBorder="1" applyAlignment="1">
      <alignment horizontal="right"/>
    </xf>
    <xf numFmtId="164" fontId="0" fillId="0" borderId="0" xfId="0" applyNumberFormat="1" applyFill="1" applyBorder="1"/>
    <xf numFmtId="3" fontId="0" fillId="0" borderId="0" xfId="0" applyNumberFormat="1" applyFill="1" applyBorder="1"/>
    <xf numFmtId="167" fontId="3" fillId="0" borderId="0" xfId="0" applyNumberFormat="1" applyFont="1" applyFill="1" applyBorder="1"/>
    <xf numFmtId="43" fontId="3" fillId="0" borderId="0" xfId="0" applyNumberFormat="1" applyFont="1" applyFill="1" applyBorder="1"/>
    <xf numFmtId="0" fontId="1" fillId="0" borderId="0" xfId="0" applyFont="1" applyFill="1" applyBorder="1" applyAlignment="1"/>
    <xf numFmtId="0" fontId="2" fillId="0" borderId="0" xfId="0" applyFont="1" applyFill="1" applyBorder="1" applyAlignment="1"/>
    <xf numFmtId="9" fontId="0" fillId="0" borderId="0" xfId="1" applyFont="1" applyFill="1" applyBorder="1"/>
    <xf numFmtId="164" fontId="0" fillId="0" borderId="0" xfId="3" applyNumberFormat="1" applyFont="1" applyFill="1" applyBorder="1"/>
    <xf numFmtId="0" fontId="10" fillId="0" borderId="0" xfId="0" applyFont="1" applyFill="1" applyBorder="1"/>
    <xf numFmtId="43" fontId="10" fillId="0" borderId="0" xfId="0" applyNumberFormat="1" applyFont="1" applyFill="1" applyBorder="1"/>
    <xf numFmtId="43" fontId="10" fillId="0" borderId="0" xfId="0" applyNumberFormat="1" applyFont="1" applyFill="1" applyBorder="1" applyAlignment="1">
      <alignment horizontal="center"/>
    </xf>
    <xf numFmtId="164" fontId="10" fillId="0" borderId="0" xfId="0" applyNumberFormat="1" applyFont="1" applyFill="1" applyBorder="1"/>
    <xf numFmtId="164" fontId="10" fillId="0" borderId="0" xfId="3" applyNumberFormat="1" applyFont="1" applyFill="1" applyBorder="1"/>
    <xf numFmtId="44" fontId="0" fillId="0" borderId="0" xfId="0" applyNumberFormat="1" applyFill="1" applyBorder="1"/>
    <xf numFmtId="0" fontId="0" fillId="0" borderId="0" xfId="0" applyFill="1" applyBorder="1" applyAlignment="1">
      <alignment horizontal="left"/>
    </xf>
    <xf numFmtId="44" fontId="2" fillId="0" borderId="0" xfId="0" applyNumberFormat="1" applyFont="1" applyFill="1" applyBorder="1"/>
    <xf numFmtId="0" fontId="10" fillId="0" borderId="0" xfId="0" applyFont="1" applyFill="1" applyBorder="1" applyAlignment="1">
      <alignment horizontal="right"/>
    </xf>
    <xf numFmtId="43" fontId="8" fillId="0" borderId="0" xfId="0" applyNumberFormat="1" applyFont="1" applyFill="1" applyBorder="1"/>
    <xf numFmtId="44" fontId="8" fillId="0" borderId="0" xfId="0" applyNumberFormat="1" applyFont="1" applyFill="1" applyBorder="1"/>
    <xf numFmtId="164" fontId="0" fillId="0" borderId="3" xfId="0" applyNumberFormat="1" applyFill="1" applyBorder="1"/>
    <xf numFmtId="164" fontId="2" fillId="0" borderId="0" xfId="0" applyNumberFormat="1" applyFont="1" applyFill="1" applyBorder="1" applyAlignment="1">
      <alignment horizontal="right"/>
    </xf>
    <xf numFmtId="165" fontId="0" fillId="0" borderId="0" xfId="0" applyNumberFormat="1"/>
    <xf numFmtId="44" fontId="0" fillId="0" borderId="0" xfId="0" applyNumberFormat="1"/>
    <xf numFmtId="43" fontId="2" fillId="0" borderId="5" xfId="0" applyNumberFormat="1" applyFont="1" applyFill="1" applyBorder="1"/>
    <xf numFmtId="167" fontId="0" fillId="3" borderId="0" xfId="0" applyNumberFormat="1" applyFill="1" applyBorder="1"/>
    <xf numFmtId="43" fontId="0" fillId="0" borderId="13" xfId="0" applyNumberFormat="1" applyFill="1" applyBorder="1"/>
    <xf numFmtId="43" fontId="0" fillId="0" borderId="0" xfId="0" quotePrefix="1" applyNumberFormat="1"/>
    <xf numFmtId="167" fontId="2" fillId="6" borderId="5" xfId="0" applyNumberFormat="1" applyFont="1" applyFill="1" applyBorder="1"/>
    <xf numFmtId="167" fontId="2" fillId="2" borderId="0" xfId="0" applyNumberFormat="1" applyFont="1" applyFill="1"/>
  </cellXfs>
  <cellStyles count="5">
    <cellStyle name="Comma" xfId="3" builtinId="3"/>
    <cellStyle name="Currency" xfId="2" builtinId="4"/>
    <cellStyle name="Normal" xfId="0" builtinId="0"/>
    <cellStyle name="Normal 2" xfId="4"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9"/>
  <sheetViews>
    <sheetView zoomScaleNormal="100" workbookViewId="0">
      <selection activeCell="C42" sqref="C42"/>
    </sheetView>
  </sheetViews>
  <sheetFormatPr defaultRowHeight="12.75" x14ac:dyDescent="0.35"/>
  <cols>
    <col min="1" max="1" width="1.73046875" customWidth="1"/>
    <col min="2" max="2" width="11.73046875" customWidth="1"/>
    <col min="3" max="3" width="1.73046875" customWidth="1"/>
    <col min="4" max="4" width="11.73046875" customWidth="1"/>
    <col min="5" max="5" width="1.73046875" customWidth="1"/>
    <col min="6" max="6" width="11.73046875" customWidth="1"/>
    <col min="7" max="7" width="1.73046875" customWidth="1"/>
    <col min="8" max="8" width="11.73046875" customWidth="1"/>
    <col min="9" max="9" width="1.73046875" customWidth="1"/>
    <col min="10" max="10" width="11.73046875" customWidth="1"/>
    <col min="11" max="11" width="1.73046875" customWidth="1"/>
    <col min="12" max="12" width="11.73046875" customWidth="1"/>
    <col min="13" max="13" width="1.73046875" customWidth="1"/>
    <col min="14" max="14" width="11.73046875" customWidth="1"/>
    <col min="15" max="15" width="1.73046875" customWidth="1"/>
    <col min="16" max="16" width="11.73046875" customWidth="1"/>
    <col min="17" max="17" width="1.73046875" customWidth="1"/>
    <col min="18" max="18" width="11.73046875" customWidth="1"/>
    <col min="19" max="19" width="1.73046875" customWidth="1"/>
    <col min="20" max="20" width="11.73046875" customWidth="1"/>
    <col min="21" max="21" width="1.73046875" customWidth="1"/>
    <col min="22" max="22" width="11.73046875" customWidth="1"/>
    <col min="23" max="23" width="1.73046875" customWidth="1"/>
    <col min="24" max="24" width="11.73046875" customWidth="1"/>
    <col min="25" max="25" width="1.73046875" customWidth="1"/>
    <col min="26" max="26" width="11.73046875" customWidth="1"/>
    <col min="27" max="27" width="1.73046875" customWidth="1"/>
  </cols>
  <sheetData>
    <row r="2" spans="1:10" s="5" customFormat="1" ht="51" x14ac:dyDescent="0.35">
      <c r="B2" s="13" t="s">
        <v>4</v>
      </c>
      <c r="C2" s="14"/>
      <c r="D2" s="13" t="s">
        <v>9</v>
      </c>
      <c r="E2" s="14"/>
      <c r="F2" s="13" t="s">
        <v>5</v>
      </c>
      <c r="G2" s="14"/>
      <c r="H2" s="13" t="s">
        <v>20</v>
      </c>
    </row>
    <row r="3" spans="1:10" ht="13.15" x14ac:dyDescent="0.4">
      <c r="B3" s="15"/>
      <c r="C3" s="8"/>
      <c r="D3" s="18">
        <v>40633</v>
      </c>
      <c r="E3" s="8"/>
      <c r="F3" s="9" t="s">
        <v>15</v>
      </c>
      <c r="G3" s="8"/>
      <c r="H3" s="20">
        <v>40664</v>
      </c>
    </row>
    <row r="4" spans="1:10" ht="13.15" x14ac:dyDescent="0.4">
      <c r="B4" s="16"/>
      <c r="C4" s="10"/>
      <c r="D4" s="19"/>
      <c r="E4" s="10"/>
      <c r="F4" s="11" t="s">
        <v>16</v>
      </c>
      <c r="G4" s="10"/>
      <c r="H4" s="21"/>
    </row>
    <row r="5" spans="1:10" ht="13.15" x14ac:dyDescent="0.4">
      <c r="B5" s="17"/>
      <c r="C5" s="4"/>
      <c r="D5" s="1"/>
      <c r="E5" s="4"/>
      <c r="F5" s="12" t="s">
        <v>18</v>
      </c>
      <c r="G5" s="4"/>
      <c r="H5" s="22"/>
    </row>
    <row r="6" spans="1:10" ht="13.15" x14ac:dyDescent="0.4">
      <c r="B6" s="15" t="s">
        <v>118</v>
      </c>
      <c r="C6" s="8"/>
      <c r="D6" s="18">
        <v>40724</v>
      </c>
      <c r="E6" s="8"/>
      <c r="F6" s="9" t="s">
        <v>6</v>
      </c>
      <c r="G6" s="8"/>
      <c r="H6" s="20">
        <v>40756</v>
      </c>
      <c r="J6" s="127" t="s">
        <v>175</v>
      </c>
    </row>
    <row r="7" spans="1:10" ht="13.15" x14ac:dyDescent="0.4">
      <c r="B7" s="16"/>
      <c r="C7" s="10"/>
      <c r="D7" s="19"/>
      <c r="E7" s="10"/>
      <c r="F7" s="11" t="s">
        <v>7</v>
      </c>
      <c r="G7" s="10"/>
      <c r="H7" s="21"/>
    </row>
    <row r="8" spans="1:10" ht="13.15" x14ac:dyDescent="0.4">
      <c r="B8" s="17"/>
      <c r="C8" s="4"/>
      <c r="D8" s="1"/>
      <c r="E8" s="4"/>
      <c r="F8" s="12" t="s">
        <v>8</v>
      </c>
      <c r="G8" s="4"/>
      <c r="H8" s="22"/>
    </row>
    <row r="9" spans="1:10" ht="13.15" x14ac:dyDescent="0.4">
      <c r="B9" s="15"/>
      <c r="C9" s="8"/>
      <c r="D9" s="18">
        <v>40816</v>
      </c>
      <c r="E9" s="8"/>
      <c r="F9" s="9" t="s">
        <v>17</v>
      </c>
      <c r="G9" s="8"/>
      <c r="H9" s="20">
        <v>40848</v>
      </c>
    </row>
    <row r="10" spans="1:10" ht="13.15" x14ac:dyDescent="0.4">
      <c r="B10" s="16"/>
      <c r="C10" s="10"/>
      <c r="D10" s="19"/>
      <c r="E10" s="10"/>
      <c r="F10" s="11" t="s">
        <v>10</v>
      </c>
      <c r="G10" s="10"/>
      <c r="H10" s="21"/>
    </row>
    <row r="11" spans="1:10" ht="13.15" x14ac:dyDescent="0.4">
      <c r="B11" s="17"/>
      <c r="C11" s="4"/>
      <c r="D11" s="1"/>
      <c r="E11" s="4"/>
      <c r="F11" s="12" t="s">
        <v>11</v>
      </c>
      <c r="G11" s="4"/>
      <c r="H11" s="22"/>
    </row>
    <row r="12" spans="1:10" ht="13.15" x14ac:dyDescent="0.4">
      <c r="B12" s="15"/>
      <c r="C12" s="8"/>
      <c r="D12" s="18">
        <v>40908</v>
      </c>
      <c r="E12" s="8"/>
      <c r="F12" s="9" t="s">
        <v>12</v>
      </c>
      <c r="G12" s="8"/>
      <c r="H12" s="20">
        <v>40575</v>
      </c>
    </row>
    <row r="13" spans="1:10" x14ac:dyDescent="0.35">
      <c r="B13" s="231"/>
      <c r="C13" s="10"/>
      <c r="D13" s="232"/>
      <c r="E13" s="10"/>
      <c r="F13" s="11" t="s">
        <v>13</v>
      </c>
      <c r="G13" s="10"/>
      <c r="H13" s="233"/>
    </row>
    <row r="14" spans="1:10" ht="13.15" x14ac:dyDescent="0.4">
      <c r="B14" s="17"/>
      <c r="C14" s="4"/>
      <c r="D14" s="1"/>
      <c r="E14" s="4"/>
      <c r="F14" s="12" t="s">
        <v>14</v>
      </c>
      <c r="G14" s="4"/>
      <c r="H14" s="22"/>
    </row>
    <row r="16" spans="1:10" x14ac:dyDescent="0.35">
      <c r="A16" s="127" t="s">
        <v>164</v>
      </c>
    </row>
    <row r="17" spans="2:3" x14ac:dyDescent="0.35">
      <c r="B17" s="127" t="s">
        <v>86</v>
      </c>
    </row>
    <row r="19" spans="2:3" x14ac:dyDescent="0.35">
      <c r="B19" s="127" t="s">
        <v>165</v>
      </c>
    </row>
    <row r="20" spans="2:3" x14ac:dyDescent="0.35">
      <c r="C20" s="127"/>
    </row>
    <row r="21" spans="2:3" s="175" customFormat="1" x14ac:dyDescent="0.35">
      <c r="B21" s="127" t="s">
        <v>192</v>
      </c>
      <c r="C21" s="127"/>
    </row>
    <row r="22" spans="2:3" s="175" customFormat="1" x14ac:dyDescent="0.35">
      <c r="C22" s="127" t="s">
        <v>193</v>
      </c>
    </row>
    <row r="23" spans="2:3" s="175" customFormat="1" x14ac:dyDescent="0.35">
      <c r="C23" s="127"/>
    </row>
    <row r="24" spans="2:3" s="175" customFormat="1" x14ac:dyDescent="0.35">
      <c r="B24" s="127" t="s">
        <v>168</v>
      </c>
      <c r="C24" s="127"/>
    </row>
    <row r="25" spans="2:3" s="175" customFormat="1" x14ac:dyDescent="0.35">
      <c r="C25" s="127" t="s">
        <v>176</v>
      </c>
    </row>
    <row r="26" spans="2:3" s="175" customFormat="1" x14ac:dyDescent="0.35">
      <c r="C26" s="127"/>
    </row>
    <row r="27" spans="2:3" x14ac:dyDescent="0.35">
      <c r="B27" s="127" t="s">
        <v>45</v>
      </c>
    </row>
    <row r="28" spans="2:3" x14ac:dyDescent="0.35">
      <c r="C28" s="127" t="s">
        <v>177</v>
      </c>
    </row>
    <row r="29" spans="2:3" s="175" customFormat="1" x14ac:dyDescent="0.35">
      <c r="C29" s="127" t="s">
        <v>179</v>
      </c>
    </row>
    <row r="30" spans="2:3" s="175" customFormat="1" x14ac:dyDescent="0.35">
      <c r="C30" s="127" t="s">
        <v>190</v>
      </c>
    </row>
    <row r="31" spans="2:3" s="175" customFormat="1" x14ac:dyDescent="0.35">
      <c r="C31" s="127" t="s">
        <v>191</v>
      </c>
    </row>
    <row r="32" spans="2:3" s="175" customFormat="1" x14ac:dyDescent="0.35">
      <c r="C32" s="127" t="s">
        <v>189</v>
      </c>
    </row>
    <row r="33" spans="2:3" s="175" customFormat="1" x14ac:dyDescent="0.35">
      <c r="C33" s="127"/>
    </row>
    <row r="35" spans="2:3" s="175" customFormat="1" x14ac:dyDescent="0.35">
      <c r="B35" s="127" t="s">
        <v>170</v>
      </c>
    </row>
    <row r="36" spans="2:3" s="175" customFormat="1" x14ac:dyDescent="0.35">
      <c r="C36" s="127" t="s">
        <v>178</v>
      </c>
    </row>
    <row r="37" spans="2:3" s="175" customFormat="1" x14ac:dyDescent="0.35"/>
    <row r="38" spans="2:3" x14ac:dyDescent="0.35">
      <c r="B38" s="127" t="s">
        <v>52</v>
      </c>
    </row>
    <row r="39" spans="2:3" x14ac:dyDescent="0.35">
      <c r="C39" s="127" t="s">
        <v>181</v>
      </c>
    </row>
    <row r="40" spans="2:3" s="175" customFormat="1" x14ac:dyDescent="0.35">
      <c r="C40" s="127" t="s">
        <v>194</v>
      </c>
    </row>
    <row r="41" spans="2:3" s="175" customFormat="1" x14ac:dyDescent="0.35">
      <c r="C41" s="127" t="s">
        <v>195</v>
      </c>
    </row>
    <row r="43" spans="2:3" x14ac:dyDescent="0.35">
      <c r="B43" s="127" t="s">
        <v>103</v>
      </c>
    </row>
    <row r="44" spans="2:3" x14ac:dyDescent="0.35">
      <c r="C44" s="127" t="s">
        <v>167</v>
      </c>
    </row>
    <row r="46" spans="2:3" x14ac:dyDescent="0.35">
      <c r="B46" s="127" t="s">
        <v>166</v>
      </c>
    </row>
    <row r="47" spans="2:3" x14ac:dyDescent="0.35">
      <c r="C47" s="127" t="s">
        <v>180</v>
      </c>
    </row>
    <row r="49" spans="3:3" x14ac:dyDescent="0.35">
      <c r="C49" s="127"/>
    </row>
  </sheetData>
  <pageMargins left="1" right="1" top="1.5" bottom="1.5" header="0.75" footer="0.5"/>
  <pageSetup orientation="portrait" r:id="rId1"/>
  <headerFooter>
    <oddHeader>&amp;L&amp;"Arial,Bold"Quarterly Report&amp;"Arial,Regular"
Gas cost recovery rate calculation&amp;R&amp;"Arial,Bold"Navitas KY NG, LLC</oddHeader>
    <oddFooter>&amp;CPage 1&amp;R&amp;D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2"/>
  <sheetViews>
    <sheetView workbookViewId="0">
      <selection activeCell="V25" sqref="V25"/>
    </sheetView>
  </sheetViews>
  <sheetFormatPr defaultRowHeight="12.75" x14ac:dyDescent="0.35"/>
  <cols>
    <col min="1" max="2" width="1.73046875" customWidth="1"/>
    <col min="3" max="3" width="20.73046875" customWidth="1"/>
    <col min="4" max="5" width="1.73046875" customWidth="1"/>
    <col min="6" max="6" width="10.73046875" customWidth="1"/>
    <col min="7" max="7" width="1.73046875" customWidth="1"/>
    <col min="8" max="8" width="10.73046875" customWidth="1"/>
    <col min="9" max="9" width="1.73046875" customWidth="1"/>
    <col min="10" max="10" width="10.73046875" customWidth="1"/>
    <col min="11" max="11" width="1.73046875" customWidth="1"/>
    <col min="12" max="12" width="10.73046875" customWidth="1"/>
    <col min="13" max="13" width="1.73046875" customWidth="1"/>
    <col min="14" max="14" width="10.73046875" customWidth="1"/>
    <col min="15" max="15" width="1.73046875" customWidth="1"/>
    <col min="16" max="16" width="10.73046875" customWidth="1"/>
    <col min="17" max="17" width="1.73046875" customWidth="1"/>
    <col min="18" max="18" width="10.73046875" customWidth="1"/>
    <col min="19" max="19" width="1.73046875" customWidth="1"/>
    <col min="20" max="20" width="10.73046875" customWidth="1"/>
    <col min="21" max="21" width="1.73046875" customWidth="1"/>
    <col min="22" max="22" width="10.73046875" customWidth="1"/>
    <col min="23" max="23" width="1.73046875" customWidth="1"/>
    <col min="24" max="24" width="10.73046875" customWidth="1"/>
    <col min="25" max="25" width="1.73046875" customWidth="1"/>
    <col min="26" max="26" width="10.73046875" customWidth="1"/>
    <col min="27" max="27" width="1.73046875" customWidth="1"/>
    <col min="28" max="28" width="10.73046875" customWidth="1"/>
    <col min="29" max="29" width="1.73046875" customWidth="1"/>
  </cols>
  <sheetData>
    <row r="1" spans="1:30" ht="13.15" x14ac:dyDescent="0.4">
      <c r="A1" s="130" t="s">
        <v>86</v>
      </c>
      <c r="F1" s="131">
        <v>40574</v>
      </c>
      <c r="G1" s="97"/>
      <c r="H1" s="131">
        <v>40602</v>
      </c>
      <c r="I1" s="97"/>
      <c r="J1" s="97">
        <v>40633</v>
      </c>
      <c r="K1" s="97"/>
      <c r="L1" s="97">
        <v>40663</v>
      </c>
      <c r="M1" s="97"/>
      <c r="N1" s="97">
        <v>40694</v>
      </c>
      <c r="O1" s="97"/>
      <c r="P1" s="97">
        <v>40724</v>
      </c>
      <c r="Q1" s="97"/>
      <c r="R1" s="97">
        <v>40755</v>
      </c>
      <c r="S1" s="97"/>
      <c r="T1" s="97">
        <v>40786</v>
      </c>
      <c r="U1" s="97"/>
      <c r="V1" s="97">
        <v>40816</v>
      </c>
      <c r="W1" s="97"/>
      <c r="X1" s="97">
        <v>40847</v>
      </c>
      <c r="Y1" s="97"/>
      <c r="Z1" s="97">
        <v>40877</v>
      </c>
      <c r="AA1" s="97"/>
      <c r="AB1" s="97">
        <v>40908</v>
      </c>
    </row>
    <row r="2" spans="1:30" x14ac:dyDescent="0.35">
      <c r="A2" s="127" t="s">
        <v>87</v>
      </c>
      <c r="F2" s="31"/>
      <c r="G2" s="31"/>
      <c r="H2" s="31"/>
      <c r="I2" s="31"/>
      <c r="J2" s="31"/>
      <c r="K2" s="31"/>
      <c r="L2" s="31"/>
      <c r="M2" s="31"/>
      <c r="N2" s="31"/>
      <c r="O2" s="31"/>
      <c r="P2" s="31"/>
      <c r="Q2" s="31"/>
      <c r="R2" s="31"/>
      <c r="S2" s="31"/>
      <c r="T2" s="31"/>
      <c r="U2" s="31"/>
      <c r="V2" s="31"/>
      <c r="W2" s="31"/>
      <c r="X2" s="31"/>
      <c r="Y2" s="31"/>
      <c r="Z2" s="31"/>
      <c r="AA2" s="31"/>
      <c r="AB2" s="31"/>
    </row>
    <row r="3" spans="1:30" x14ac:dyDescent="0.35">
      <c r="B3" s="127" t="s">
        <v>88</v>
      </c>
      <c r="F3" s="31"/>
      <c r="G3" s="31"/>
      <c r="H3" s="31"/>
      <c r="I3" s="31"/>
      <c r="J3" s="31"/>
      <c r="K3" s="31"/>
      <c r="L3" s="31"/>
      <c r="M3" s="31"/>
      <c r="N3" s="31"/>
      <c r="O3" s="31"/>
      <c r="P3" s="31"/>
      <c r="Q3" s="31"/>
      <c r="R3" s="31"/>
      <c r="S3" s="31"/>
      <c r="T3" s="31"/>
      <c r="U3" s="31"/>
      <c r="V3" s="31"/>
      <c r="W3" s="31"/>
      <c r="X3" s="31"/>
      <c r="Y3" s="31"/>
      <c r="Z3" s="31"/>
      <c r="AA3" s="31"/>
      <c r="AB3" s="31"/>
    </row>
    <row r="4" spans="1:30" x14ac:dyDescent="0.35">
      <c r="C4" s="127" t="s">
        <v>89</v>
      </c>
      <c r="F4" s="31"/>
      <c r="G4" s="31"/>
      <c r="H4" s="31"/>
      <c r="I4" s="31"/>
      <c r="J4" s="31">
        <v>74</v>
      </c>
      <c r="K4" s="31"/>
      <c r="L4" s="31">
        <v>73</v>
      </c>
      <c r="M4" s="31"/>
      <c r="N4" s="31">
        <v>73</v>
      </c>
      <c r="O4" s="31"/>
      <c r="P4" s="31">
        <v>71</v>
      </c>
      <c r="Q4" s="31"/>
      <c r="R4" s="31">
        <v>71</v>
      </c>
      <c r="S4" s="31"/>
      <c r="T4" s="31">
        <v>71</v>
      </c>
      <c r="U4" s="31"/>
      <c r="V4" s="31">
        <v>70</v>
      </c>
      <c r="W4" s="31"/>
      <c r="X4" s="31">
        <v>70</v>
      </c>
      <c r="Y4" s="31"/>
      <c r="Z4" s="31">
        <v>71</v>
      </c>
      <c r="AA4" s="31"/>
      <c r="AB4" s="31">
        <v>71</v>
      </c>
      <c r="AD4" s="31">
        <f>AVERAGE(J4:AB4)</f>
        <v>71.5</v>
      </c>
    </row>
    <row r="5" spans="1:30" x14ac:dyDescent="0.35">
      <c r="C5" s="127" t="s">
        <v>90</v>
      </c>
      <c r="F5" s="31"/>
      <c r="G5" s="31"/>
      <c r="H5" s="31"/>
      <c r="I5" s="31"/>
      <c r="J5" s="31">
        <v>69</v>
      </c>
      <c r="K5" s="31"/>
      <c r="L5" s="31">
        <v>70</v>
      </c>
      <c r="M5" s="31"/>
      <c r="N5" s="31">
        <v>62</v>
      </c>
      <c r="O5" s="31"/>
      <c r="P5" s="31">
        <v>40</v>
      </c>
      <c r="Q5" s="31"/>
      <c r="R5" s="31">
        <v>28</v>
      </c>
      <c r="S5" s="31"/>
      <c r="T5" s="31">
        <v>27</v>
      </c>
      <c r="U5" s="31"/>
      <c r="V5" s="31">
        <v>33</v>
      </c>
      <c r="W5" s="31"/>
      <c r="X5" s="31">
        <v>55</v>
      </c>
      <c r="Y5" s="31"/>
      <c r="Z5" s="31">
        <v>65</v>
      </c>
      <c r="AA5" s="31"/>
      <c r="AB5" s="31">
        <v>68</v>
      </c>
      <c r="AD5" s="31">
        <f>AVERAGE(J5:AB5)</f>
        <v>51.7</v>
      </c>
    </row>
    <row r="6" spans="1:30" x14ac:dyDescent="0.35">
      <c r="B6" s="127" t="s">
        <v>91</v>
      </c>
      <c r="F6" s="31"/>
      <c r="G6" s="31"/>
      <c r="H6" s="31"/>
      <c r="I6" s="31"/>
      <c r="J6" s="31"/>
      <c r="K6" s="31"/>
      <c r="L6" s="31"/>
      <c r="M6" s="31"/>
      <c r="N6" s="31"/>
      <c r="O6" s="31"/>
      <c r="P6" s="31"/>
      <c r="Q6" s="31"/>
      <c r="R6" s="31"/>
      <c r="S6" s="31"/>
      <c r="T6" s="31"/>
      <c r="U6" s="31"/>
      <c r="V6" s="31"/>
      <c r="W6" s="31"/>
      <c r="X6" s="31"/>
      <c r="Y6" s="31"/>
      <c r="Z6" s="31"/>
      <c r="AA6" s="31"/>
      <c r="AB6" s="31"/>
    </row>
    <row r="7" spans="1:30" x14ac:dyDescent="0.35">
      <c r="C7" s="127" t="s">
        <v>90</v>
      </c>
      <c r="F7" s="31"/>
      <c r="G7" s="31"/>
      <c r="H7" s="31"/>
      <c r="I7" s="31"/>
      <c r="J7" s="31">
        <v>330</v>
      </c>
      <c r="K7" s="31"/>
      <c r="L7" s="31">
        <v>148</v>
      </c>
      <c r="M7" s="31"/>
      <c r="N7" s="31">
        <v>85</v>
      </c>
      <c r="O7" s="31"/>
      <c r="P7" s="31">
        <v>36</v>
      </c>
      <c r="Q7" s="31"/>
      <c r="R7" s="31">
        <v>19</v>
      </c>
      <c r="S7" s="31"/>
      <c r="T7" s="31">
        <v>23</v>
      </c>
      <c r="U7" s="31"/>
      <c r="V7" s="31">
        <v>25</v>
      </c>
      <c r="W7" s="31"/>
      <c r="X7" s="31">
        <v>96</v>
      </c>
      <c r="Y7" s="31"/>
      <c r="Z7" s="31">
        <v>291</v>
      </c>
      <c r="AA7" s="31"/>
      <c r="AB7" s="31">
        <v>479</v>
      </c>
      <c r="AD7" s="31">
        <f>SUM(J7:AB7)</f>
        <v>1532</v>
      </c>
    </row>
    <row r="8" spans="1:30" x14ac:dyDescent="0.35">
      <c r="B8" s="127" t="s">
        <v>92</v>
      </c>
      <c r="F8" s="31"/>
      <c r="G8" s="31"/>
      <c r="H8" s="31"/>
      <c r="I8" s="31"/>
      <c r="J8" s="31"/>
      <c r="K8" s="31"/>
      <c r="L8" s="31"/>
      <c r="M8" s="31"/>
      <c r="N8" s="31"/>
      <c r="O8" s="31"/>
      <c r="P8" s="31"/>
      <c r="Q8" s="31"/>
      <c r="R8" s="31"/>
      <c r="S8" s="31"/>
      <c r="T8" s="31"/>
      <c r="U8" s="31"/>
      <c r="V8" s="31"/>
      <c r="W8" s="31"/>
      <c r="X8" s="31"/>
      <c r="Y8" s="31"/>
      <c r="Z8" s="31"/>
      <c r="AA8" s="31"/>
      <c r="AB8" s="31"/>
    </row>
    <row r="9" spans="1:30" x14ac:dyDescent="0.35">
      <c r="C9" s="127" t="s">
        <v>93</v>
      </c>
      <c r="F9" s="31"/>
      <c r="G9" s="31"/>
      <c r="H9" s="31"/>
      <c r="I9" s="31"/>
      <c r="J9" s="31">
        <v>592</v>
      </c>
      <c r="K9" s="31"/>
      <c r="L9" s="31">
        <v>584</v>
      </c>
      <c r="M9" s="31"/>
      <c r="N9" s="31">
        <v>584</v>
      </c>
      <c r="O9" s="31"/>
      <c r="P9" s="31">
        <v>568</v>
      </c>
      <c r="Q9" s="31"/>
      <c r="R9" s="31">
        <v>568</v>
      </c>
      <c r="S9" s="31"/>
      <c r="T9" s="31">
        <v>568</v>
      </c>
      <c r="U9" s="31"/>
      <c r="V9" s="31">
        <v>560</v>
      </c>
      <c r="W9" s="31"/>
      <c r="X9" s="31">
        <v>560</v>
      </c>
      <c r="Y9" s="31"/>
      <c r="Z9" s="31">
        <v>568</v>
      </c>
      <c r="AA9" s="31"/>
      <c r="AB9" s="31">
        <v>568</v>
      </c>
      <c r="AD9" s="31">
        <f t="shared" ref="AD9:AD11" si="0">SUM(J9:AB9)</f>
        <v>5720</v>
      </c>
    </row>
    <row r="10" spans="1:30" x14ac:dyDescent="0.35">
      <c r="C10" s="127" t="s">
        <v>94</v>
      </c>
      <c r="F10" s="31"/>
      <c r="G10" s="31"/>
      <c r="H10" s="31"/>
      <c r="I10" s="31"/>
      <c r="J10" s="31">
        <v>1525</v>
      </c>
      <c r="K10" s="31"/>
      <c r="L10" s="31">
        <v>684</v>
      </c>
      <c r="M10" s="31"/>
      <c r="N10" s="31">
        <v>392</v>
      </c>
      <c r="O10" s="31"/>
      <c r="P10" s="31">
        <v>168</v>
      </c>
      <c r="Q10" s="31"/>
      <c r="R10" s="31">
        <v>89</v>
      </c>
      <c r="S10" s="31"/>
      <c r="T10" s="31">
        <v>104</v>
      </c>
      <c r="U10" s="31"/>
      <c r="V10" s="31">
        <v>116</v>
      </c>
      <c r="W10" s="31"/>
      <c r="X10" s="31">
        <v>442</v>
      </c>
      <c r="Y10" s="31"/>
      <c r="Z10" s="31">
        <v>1344</v>
      </c>
      <c r="AA10" s="31"/>
      <c r="AB10" s="31">
        <v>2214</v>
      </c>
      <c r="AD10" s="31">
        <f t="shared" si="0"/>
        <v>7078</v>
      </c>
    </row>
    <row r="11" spans="1:30" x14ac:dyDescent="0.35">
      <c r="C11" s="127" t="s">
        <v>90</v>
      </c>
      <c r="F11" s="31"/>
      <c r="G11" s="31"/>
      <c r="H11" s="31"/>
      <c r="I11" s="31"/>
      <c r="J11" s="31">
        <v>2030</v>
      </c>
      <c r="K11" s="31"/>
      <c r="L11" s="31">
        <v>1168</v>
      </c>
      <c r="M11" s="31"/>
      <c r="N11" s="31">
        <v>668</v>
      </c>
      <c r="O11" s="31"/>
      <c r="P11" s="31">
        <v>287</v>
      </c>
      <c r="Q11" s="31"/>
      <c r="R11" s="31">
        <v>134</v>
      </c>
      <c r="S11" s="31"/>
      <c r="T11" s="31">
        <v>157</v>
      </c>
      <c r="U11" s="31"/>
      <c r="V11" s="31">
        <v>175</v>
      </c>
      <c r="W11" s="31"/>
      <c r="X11" s="31">
        <v>662</v>
      </c>
      <c r="Y11" s="31"/>
      <c r="Z11" s="31">
        <v>2016</v>
      </c>
      <c r="AA11" s="31"/>
      <c r="AB11" s="31">
        <v>3320</v>
      </c>
      <c r="AD11" s="31">
        <f t="shared" si="0"/>
        <v>10617</v>
      </c>
    </row>
    <row r="12" spans="1:30" x14ac:dyDescent="0.35">
      <c r="A12" s="127" t="s">
        <v>95</v>
      </c>
      <c r="F12" s="31"/>
      <c r="G12" s="31"/>
      <c r="H12" s="31"/>
      <c r="I12" s="31"/>
      <c r="J12" s="31"/>
      <c r="K12" s="31"/>
      <c r="L12" s="31"/>
      <c r="M12" s="31"/>
      <c r="N12" s="31"/>
      <c r="O12" s="31"/>
      <c r="P12" s="31"/>
      <c r="Q12" s="31"/>
      <c r="R12" s="31"/>
      <c r="S12" s="31"/>
      <c r="T12" s="31"/>
      <c r="U12" s="31"/>
      <c r="V12" s="31"/>
      <c r="W12" s="31"/>
      <c r="X12" s="31"/>
      <c r="Y12" s="31"/>
      <c r="Z12" s="31"/>
      <c r="AA12" s="31"/>
      <c r="AB12" s="31"/>
      <c r="AD12" s="132">
        <f>SUM(AD9:AD11)</f>
        <v>23415</v>
      </c>
    </row>
    <row r="13" spans="1:30" x14ac:dyDescent="0.35">
      <c r="B13" s="127" t="s">
        <v>88</v>
      </c>
      <c r="F13" s="31"/>
      <c r="G13" s="31"/>
      <c r="H13" s="31"/>
      <c r="I13" s="31"/>
      <c r="J13" s="31"/>
      <c r="K13" s="31"/>
      <c r="L13" s="31"/>
      <c r="M13" s="31"/>
      <c r="N13" s="31"/>
      <c r="O13" s="31"/>
      <c r="P13" s="31"/>
      <c r="Q13" s="31"/>
      <c r="R13" s="31"/>
      <c r="S13" s="31"/>
      <c r="T13" s="31"/>
      <c r="U13" s="31"/>
      <c r="V13" s="31"/>
      <c r="W13" s="31"/>
      <c r="X13" s="31"/>
      <c r="Y13" s="31"/>
      <c r="Z13" s="31"/>
      <c r="AA13" s="31"/>
      <c r="AB13" s="31"/>
    </row>
    <row r="14" spans="1:30" x14ac:dyDescent="0.35">
      <c r="C14" s="127" t="s">
        <v>89</v>
      </c>
      <c r="F14" s="31"/>
      <c r="G14" s="31"/>
      <c r="H14" s="31"/>
      <c r="I14" s="31"/>
      <c r="J14" s="31">
        <v>55</v>
      </c>
      <c r="K14" s="31"/>
      <c r="L14" s="31">
        <v>55</v>
      </c>
      <c r="M14" s="31"/>
      <c r="N14" s="31">
        <v>55</v>
      </c>
      <c r="O14" s="31"/>
      <c r="P14" s="31">
        <v>54</v>
      </c>
      <c r="Q14" s="31"/>
      <c r="R14" s="31">
        <v>54</v>
      </c>
      <c r="S14" s="31"/>
      <c r="T14" s="31">
        <v>53</v>
      </c>
      <c r="U14" s="31"/>
      <c r="V14" s="31">
        <v>54</v>
      </c>
      <c r="W14" s="31"/>
      <c r="X14" s="31">
        <v>54</v>
      </c>
      <c r="Y14" s="31"/>
      <c r="Z14" s="31">
        <v>54</v>
      </c>
      <c r="AA14" s="31"/>
      <c r="AB14" s="31">
        <v>54</v>
      </c>
      <c r="AD14" s="31">
        <f>AVERAGE(J14:AB14)</f>
        <v>54.2</v>
      </c>
    </row>
    <row r="15" spans="1:30" x14ac:dyDescent="0.35">
      <c r="C15" s="127" t="s">
        <v>90</v>
      </c>
      <c r="F15" s="31"/>
      <c r="G15" s="31"/>
      <c r="H15" s="31"/>
      <c r="I15" s="31"/>
      <c r="J15" s="31">
        <v>53</v>
      </c>
      <c r="K15" s="31"/>
      <c r="L15" s="31">
        <v>53</v>
      </c>
      <c r="M15" s="31"/>
      <c r="N15" s="31">
        <v>49</v>
      </c>
      <c r="O15" s="31"/>
      <c r="P15" s="31">
        <v>43</v>
      </c>
      <c r="Q15" s="31"/>
      <c r="R15" s="31">
        <v>32</v>
      </c>
      <c r="S15" s="31"/>
      <c r="T15" s="31">
        <v>34</v>
      </c>
      <c r="U15" s="31"/>
      <c r="V15" s="31">
        <v>32</v>
      </c>
      <c r="W15" s="31"/>
      <c r="X15" s="31">
        <v>44</v>
      </c>
      <c r="Y15" s="31"/>
      <c r="Z15" s="31">
        <v>50</v>
      </c>
      <c r="AA15" s="31"/>
      <c r="AB15" s="31">
        <v>51</v>
      </c>
      <c r="AD15" s="31">
        <f>AVERAGE(J15:AB15)</f>
        <v>44.1</v>
      </c>
    </row>
    <row r="16" spans="1:30" x14ac:dyDescent="0.35">
      <c r="B16" s="127" t="s">
        <v>91</v>
      </c>
      <c r="F16" s="31"/>
      <c r="G16" s="31"/>
      <c r="H16" s="31"/>
      <c r="I16" s="31"/>
      <c r="J16" s="31"/>
      <c r="K16" s="31"/>
      <c r="L16" s="31"/>
      <c r="M16" s="31"/>
      <c r="N16" s="31"/>
      <c r="O16" s="31"/>
      <c r="P16" s="31"/>
      <c r="Q16" s="31"/>
      <c r="R16" s="31"/>
      <c r="S16" s="31"/>
      <c r="T16" s="31"/>
      <c r="U16" s="31"/>
      <c r="V16" s="31"/>
      <c r="W16" s="31"/>
      <c r="X16" s="31"/>
      <c r="Y16" s="31"/>
      <c r="Z16" s="31"/>
      <c r="AA16" s="31"/>
      <c r="AB16" s="31"/>
    </row>
    <row r="17" spans="2:30" x14ac:dyDescent="0.35">
      <c r="C17" s="127" t="s">
        <v>90</v>
      </c>
      <c r="F17" s="31"/>
      <c r="G17" s="31"/>
      <c r="H17" s="31"/>
      <c r="I17" s="31"/>
      <c r="J17" s="31">
        <v>2397</v>
      </c>
      <c r="K17" s="31"/>
      <c r="L17" s="31">
        <v>1525</v>
      </c>
      <c r="M17" s="31"/>
      <c r="N17" s="31">
        <v>1216</v>
      </c>
      <c r="O17" s="31"/>
      <c r="P17" s="31">
        <v>1092</v>
      </c>
      <c r="Q17" s="31"/>
      <c r="R17" s="31">
        <v>720</v>
      </c>
      <c r="S17" s="31"/>
      <c r="T17" s="31">
        <v>855</v>
      </c>
      <c r="U17" s="31"/>
      <c r="V17" s="31">
        <v>785</v>
      </c>
      <c r="W17" s="31"/>
      <c r="X17" s="31">
        <v>1158</v>
      </c>
      <c r="Y17" s="31"/>
      <c r="Z17" s="31">
        <v>2311</v>
      </c>
      <c r="AA17" s="31"/>
      <c r="AB17" s="31">
        <v>2856</v>
      </c>
      <c r="AD17" s="31">
        <f>SUM(J17:AB17)</f>
        <v>14915</v>
      </c>
    </row>
    <row r="18" spans="2:30" x14ac:dyDescent="0.35">
      <c r="B18" s="127" t="s">
        <v>92</v>
      </c>
      <c r="F18" s="31"/>
      <c r="G18" s="31"/>
      <c r="H18" s="31"/>
      <c r="I18" s="31"/>
      <c r="J18" s="31"/>
      <c r="K18" s="31"/>
      <c r="L18" s="31"/>
      <c r="M18" s="31"/>
      <c r="N18" s="31"/>
      <c r="O18" s="31"/>
      <c r="P18" s="31"/>
      <c r="Q18" s="31"/>
      <c r="R18" s="31"/>
      <c r="S18" s="31"/>
      <c r="T18" s="31"/>
      <c r="U18" s="31"/>
      <c r="V18" s="31"/>
      <c r="W18" s="31"/>
      <c r="X18" s="31"/>
      <c r="Y18" s="31"/>
      <c r="Z18" s="31"/>
      <c r="AA18" s="31"/>
      <c r="AB18" s="31"/>
    </row>
    <row r="19" spans="2:30" x14ac:dyDescent="0.35">
      <c r="C19" s="127" t="s">
        <v>93</v>
      </c>
      <c r="F19" s="31"/>
      <c r="G19" s="31"/>
      <c r="H19" s="31"/>
      <c r="I19" s="31"/>
      <c r="J19" s="31">
        <v>1439</v>
      </c>
      <c r="K19" s="31"/>
      <c r="L19" s="31">
        <v>1439</v>
      </c>
      <c r="M19" s="31"/>
      <c r="N19" s="31">
        <v>1439</v>
      </c>
      <c r="O19" s="31"/>
      <c r="P19" s="31">
        <v>1431</v>
      </c>
      <c r="Q19" s="31"/>
      <c r="R19" s="31">
        <v>1431</v>
      </c>
      <c r="S19" s="31"/>
      <c r="T19" s="31">
        <v>1396</v>
      </c>
      <c r="U19" s="31"/>
      <c r="V19" s="31">
        <v>1431</v>
      </c>
      <c r="W19" s="31"/>
      <c r="X19" s="31">
        <v>1431</v>
      </c>
      <c r="Y19" s="31"/>
      <c r="Z19" s="31">
        <v>1431</v>
      </c>
      <c r="AA19" s="31"/>
      <c r="AB19" s="31">
        <v>1431</v>
      </c>
      <c r="AD19" s="31">
        <f t="shared" ref="AD19:AD21" si="1">SUM(J19:AB19)</f>
        <v>14299</v>
      </c>
    </row>
    <row r="20" spans="2:30" x14ac:dyDescent="0.35">
      <c r="C20" s="127" t="s">
        <v>94</v>
      </c>
      <c r="F20" s="31"/>
      <c r="G20" s="31"/>
      <c r="H20" s="31"/>
      <c r="I20" s="31"/>
      <c r="J20" s="31">
        <v>8677</v>
      </c>
      <c r="K20" s="31"/>
      <c r="L20" s="31">
        <v>5520</v>
      </c>
      <c r="M20" s="31"/>
      <c r="N20" s="31">
        <v>4402</v>
      </c>
      <c r="O20" s="31"/>
      <c r="P20" s="31">
        <v>3954</v>
      </c>
      <c r="Q20" s="31"/>
      <c r="R20" s="31">
        <v>2607</v>
      </c>
      <c r="S20" s="31"/>
      <c r="T20" s="31">
        <v>3093</v>
      </c>
      <c r="U20" s="31"/>
      <c r="V20" s="31">
        <v>2841</v>
      </c>
      <c r="W20" s="31"/>
      <c r="X20" s="31">
        <v>4191</v>
      </c>
      <c r="Y20" s="31"/>
      <c r="Z20" s="31">
        <v>8367</v>
      </c>
      <c r="AA20" s="31"/>
      <c r="AB20" s="31">
        <v>10339</v>
      </c>
      <c r="AD20" s="31">
        <f t="shared" si="1"/>
        <v>53991</v>
      </c>
    </row>
    <row r="21" spans="2:30" x14ac:dyDescent="0.35">
      <c r="C21" s="127" t="s">
        <v>90</v>
      </c>
      <c r="F21" s="31"/>
      <c r="G21" s="31"/>
      <c r="H21" s="31"/>
      <c r="I21" s="31"/>
      <c r="J21" s="31">
        <v>21348</v>
      </c>
      <c r="K21" s="31"/>
      <c r="L21" s="31">
        <v>12019</v>
      </c>
      <c r="M21" s="31"/>
      <c r="N21" s="31">
        <v>9583</v>
      </c>
      <c r="O21" s="31"/>
      <c r="P21" s="31">
        <v>8610</v>
      </c>
      <c r="Q21" s="31"/>
      <c r="R21" s="31">
        <v>4988</v>
      </c>
      <c r="S21" s="31"/>
      <c r="T21" s="31">
        <v>5918</v>
      </c>
      <c r="U21" s="31"/>
      <c r="V21" s="31">
        <v>5436</v>
      </c>
      <c r="W21" s="31"/>
      <c r="X21" s="31">
        <v>8019</v>
      </c>
      <c r="Y21" s="31"/>
      <c r="Z21" s="31">
        <v>16008</v>
      </c>
      <c r="AA21" s="31"/>
      <c r="AB21" s="31">
        <v>19781</v>
      </c>
      <c r="AD21" s="31">
        <f t="shared" si="1"/>
        <v>111710</v>
      </c>
    </row>
    <row r="22" spans="2:30" x14ac:dyDescent="0.35">
      <c r="AD22" s="132">
        <f>SUM(AD19:AD21)</f>
        <v>180000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tabSelected="1" topLeftCell="A16" zoomScaleNormal="100" workbookViewId="0">
      <selection activeCell="J35" sqref="J35"/>
    </sheetView>
  </sheetViews>
  <sheetFormatPr defaultRowHeight="12.75" x14ac:dyDescent="0.35"/>
  <cols>
    <col min="1" max="2" width="1.73046875" customWidth="1"/>
    <col min="3" max="3" width="20.73046875" customWidth="1"/>
    <col min="4" max="5" width="1.73046875" customWidth="1"/>
    <col min="6" max="6" width="12.73046875" customWidth="1"/>
    <col min="7" max="7" width="1.73046875" customWidth="1"/>
    <col min="8" max="8" width="12.73046875" customWidth="1"/>
    <col min="9" max="9" width="1.73046875" customWidth="1"/>
    <col min="10" max="10" width="12.73046875" customWidth="1"/>
    <col min="11" max="11" width="1.73046875" customWidth="1"/>
    <col min="12" max="12" width="17.1328125" customWidth="1"/>
    <col min="13" max="13" width="1.73046875" customWidth="1"/>
    <col min="14" max="14" width="12.73046875" customWidth="1"/>
    <col min="15" max="15" width="1.73046875" customWidth="1"/>
    <col min="16" max="16" width="12.73046875" customWidth="1"/>
    <col min="17" max="17" width="1.73046875" customWidth="1"/>
    <col min="18" max="18" width="12.73046875" customWidth="1"/>
    <col min="19" max="19" width="1.73046875" customWidth="1"/>
    <col min="20" max="20" width="12.73046875" customWidth="1"/>
    <col min="21" max="21" width="1.73046875" customWidth="1"/>
    <col min="22" max="22" width="12.73046875" customWidth="1"/>
    <col min="23" max="23" width="1.73046875" customWidth="1"/>
    <col min="24" max="24" width="12.73046875" customWidth="1"/>
    <col min="25" max="25" width="1.73046875" customWidth="1"/>
  </cols>
  <sheetData>
    <row r="1" spans="1:14" x14ac:dyDescent="0.35">
      <c r="A1" s="12" t="s">
        <v>0</v>
      </c>
      <c r="B1" s="4"/>
      <c r="C1" s="4"/>
      <c r="D1" s="4"/>
      <c r="E1" s="4"/>
      <c r="F1" s="4"/>
      <c r="G1" s="4"/>
      <c r="H1" s="4"/>
      <c r="I1" s="4"/>
      <c r="J1" s="4"/>
      <c r="K1" s="4"/>
      <c r="L1" s="4"/>
      <c r="M1" s="4"/>
    </row>
    <row r="2" spans="1:14" x14ac:dyDescent="0.35">
      <c r="B2" s="7" t="s">
        <v>3</v>
      </c>
      <c r="J2" s="40">
        <f>ROUND(J12,4)</f>
        <v>7.3909000000000002</v>
      </c>
      <c r="L2" s="7"/>
    </row>
    <row r="3" spans="1:14" x14ac:dyDescent="0.35">
      <c r="A3" s="59" t="s">
        <v>46</v>
      </c>
      <c r="B3" s="127" t="s">
        <v>114</v>
      </c>
      <c r="J3" s="40">
        <f>ROUND(J20,4)</f>
        <v>0</v>
      </c>
    </row>
    <row r="4" spans="1:14" x14ac:dyDescent="0.35">
      <c r="A4" s="59" t="s">
        <v>46</v>
      </c>
      <c r="B4" s="7" t="s">
        <v>1</v>
      </c>
      <c r="J4" s="40">
        <f>ROUND(J28,4)</f>
        <v>0.46820000000000001</v>
      </c>
    </row>
    <row r="5" spans="1:14" x14ac:dyDescent="0.35">
      <c r="A5" s="60" t="s">
        <v>46</v>
      </c>
      <c r="B5" s="11" t="s">
        <v>47</v>
      </c>
      <c r="C5" s="10"/>
      <c r="D5" s="10"/>
      <c r="E5" s="10"/>
      <c r="J5" s="65">
        <f>ROUND(J35,4)</f>
        <v>0.1336</v>
      </c>
    </row>
    <row r="6" spans="1:14" x14ac:dyDescent="0.35">
      <c r="A6" s="59" t="s">
        <v>48</v>
      </c>
      <c r="B6" s="7" t="s">
        <v>49</v>
      </c>
      <c r="J6" s="68">
        <f>SUM(J2:J5)</f>
        <v>7.992700000000001</v>
      </c>
    </row>
    <row r="7" spans="1:14" ht="13.15" thickBot="1" x14ac:dyDescent="0.4">
      <c r="A7" s="63"/>
      <c r="B7" s="63"/>
      <c r="C7" s="63"/>
      <c r="D7" s="63"/>
      <c r="E7" s="63"/>
      <c r="F7" s="63"/>
      <c r="G7" s="63"/>
      <c r="H7" s="63"/>
      <c r="I7" s="63"/>
      <c r="J7" s="63"/>
      <c r="K7" s="63"/>
      <c r="L7" s="63"/>
      <c r="M7" s="63"/>
    </row>
    <row r="8" spans="1:14" ht="13.15" thickTop="1" x14ac:dyDescent="0.35"/>
    <row r="9" spans="1:14" x14ac:dyDescent="0.35">
      <c r="A9" s="12" t="s">
        <v>50</v>
      </c>
      <c r="B9" s="4"/>
      <c r="C9" s="4"/>
      <c r="D9" s="4"/>
      <c r="E9" s="4"/>
      <c r="F9" s="4"/>
      <c r="G9" s="4"/>
      <c r="H9" s="4"/>
      <c r="I9" s="4"/>
      <c r="J9" s="4"/>
      <c r="K9" s="4"/>
      <c r="L9" s="4"/>
      <c r="M9" s="4"/>
    </row>
    <row r="10" spans="1:14" x14ac:dyDescent="0.35">
      <c r="B10" s="7" t="s">
        <v>51</v>
      </c>
      <c r="J10" s="61">
        <f>'EGC (SII)'!R35</f>
        <v>731041.72530560999</v>
      </c>
    </row>
    <row r="11" spans="1:14" x14ac:dyDescent="0.35">
      <c r="A11" s="59" t="s">
        <v>53</v>
      </c>
      <c r="B11" s="7" t="s">
        <v>44</v>
      </c>
      <c r="J11" s="62">
        <f>'EGC (SII)'!R34</f>
        <v>98911.56</v>
      </c>
      <c r="L11" s="7"/>
      <c r="N11" s="175"/>
    </row>
    <row r="12" spans="1:14" x14ac:dyDescent="0.35">
      <c r="C12" s="7" t="s">
        <v>52</v>
      </c>
      <c r="J12" s="67">
        <f>J10/J11</f>
        <v>7.390862355275865</v>
      </c>
      <c r="L12" s="7"/>
    </row>
    <row r="14" spans="1:14" x14ac:dyDescent="0.35">
      <c r="A14" s="12" t="s">
        <v>54</v>
      </c>
      <c r="B14" s="4"/>
      <c r="C14" s="4"/>
      <c r="D14" s="4"/>
      <c r="E14" s="4"/>
      <c r="F14" s="4"/>
      <c r="G14" s="4"/>
      <c r="H14" s="4"/>
      <c r="I14" s="4"/>
      <c r="J14" s="4"/>
      <c r="K14" s="4"/>
      <c r="L14" s="4"/>
      <c r="M14" s="4"/>
    </row>
    <row r="15" spans="1:14" x14ac:dyDescent="0.35">
      <c r="B15" s="127" t="s">
        <v>98</v>
      </c>
      <c r="J15" s="66">
        <f>'RA (SIII)'!KL212</f>
        <v>0</v>
      </c>
    </row>
    <row r="16" spans="1:14" x14ac:dyDescent="0.35">
      <c r="A16" s="59" t="s">
        <v>46</v>
      </c>
      <c r="B16" s="127" t="s">
        <v>99</v>
      </c>
      <c r="J16" s="66">
        <v>0</v>
      </c>
    </row>
    <row r="17" spans="1:13" x14ac:dyDescent="0.35">
      <c r="A17" s="59" t="s">
        <v>46</v>
      </c>
      <c r="B17" s="127" t="s">
        <v>100</v>
      </c>
      <c r="J17" s="66">
        <v>0</v>
      </c>
    </row>
    <row r="18" spans="1:13" x14ac:dyDescent="0.35">
      <c r="A18" s="59" t="s">
        <v>46</v>
      </c>
      <c r="B18" s="127" t="s">
        <v>101</v>
      </c>
      <c r="J18" s="66">
        <v>0</v>
      </c>
    </row>
    <row r="19" spans="1:13" x14ac:dyDescent="0.35">
      <c r="A19" s="59" t="s">
        <v>46</v>
      </c>
      <c r="B19" s="7" t="s">
        <v>60</v>
      </c>
      <c r="J19" s="65"/>
    </row>
    <row r="20" spans="1:13" x14ac:dyDescent="0.35">
      <c r="A20" s="59" t="s">
        <v>48</v>
      </c>
      <c r="B20" s="127" t="s">
        <v>102</v>
      </c>
      <c r="J20" s="68">
        <f>SUM(J15:J19)</f>
        <v>0</v>
      </c>
    </row>
    <row r="22" spans="1:13" x14ac:dyDescent="0.35">
      <c r="A22" s="12" t="s">
        <v>55</v>
      </c>
      <c r="B22" s="4"/>
      <c r="C22" s="4"/>
      <c r="D22" s="4"/>
      <c r="E22" s="4"/>
      <c r="F22" s="4"/>
      <c r="G22" s="4"/>
      <c r="H22" s="4"/>
      <c r="I22" s="4"/>
      <c r="J22" s="4"/>
      <c r="K22" s="4"/>
      <c r="L22" s="4"/>
      <c r="M22" s="4"/>
    </row>
    <row r="23" spans="1:13" x14ac:dyDescent="0.35">
      <c r="B23" s="7" t="s">
        <v>56</v>
      </c>
      <c r="J23" s="66">
        <f>'BA (SV)'!KR17</f>
        <v>0.35716851610626471</v>
      </c>
      <c r="L23" s="127"/>
    </row>
    <row r="24" spans="1:13" x14ac:dyDescent="0.35">
      <c r="A24" s="59" t="s">
        <v>46</v>
      </c>
      <c r="B24" s="7" t="s">
        <v>57</v>
      </c>
      <c r="J24" s="66">
        <f>'BA (SV)'!KR16</f>
        <v>0.24979999999999999</v>
      </c>
    </row>
    <row r="25" spans="1:13" x14ac:dyDescent="0.35">
      <c r="A25" s="59" t="s">
        <v>46</v>
      </c>
      <c r="B25" s="7" t="s">
        <v>58</v>
      </c>
      <c r="J25" s="66">
        <f>'BA (SV)'!KR15</f>
        <v>0</v>
      </c>
    </row>
    <row r="26" spans="1:13" x14ac:dyDescent="0.35">
      <c r="A26" s="59" t="s">
        <v>46</v>
      </c>
      <c r="B26" s="7" t="s">
        <v>59</v>
      </c>
      <c r="J26" s="66">
        <f>'BA (SV)'!KR14</f>
        <v>-0.13880000000000001</v>
      </c>
    </row>
    <row r="27" spans="1:13" x14ac:dyDescent="0.35">
      <c r="A27" s="59" t="s">
        <v>46</v>
      </c>
      <c r="B27" s="7" t="s">
        <v>60</v>
      </c>
      <c r="J27" s="65"/>
    </row>
    <row r="28" spans="1:13" x14ac:dyDescent="0.35">
      <c r="A28" s="59" t="s">
        <v>48</v>
      </c>
      <c r="B28" s="7" t="s">
        <v>45</v>
      </c>
      <c r="J28" s="68">
        <f>SUM(J23:J27)</f>
        <v>0.46816851610626464</v>
      </c>
    </row>
    <row r="30" spans="1:13" x14ac:dyDescent="0.35">
      <c r="A30" s="12" t="s">
        <v>61</v>
      </c>
      <c r="B30" s="4"/>
      <c r="C30" s="4"/>
      <c r="D30" s="4"/>
      <c r="E30" s="4"/>
      <c r="F30" s="4"/>
      <c r="G30" s="4"/>
      <c r="H30" s="4"/>
      <c r="I30" s="4"/>
      <c r="J30" s="4"/>
      <c r="K30" s="4"/>
      <c r="L30" s="4"/>
      <c r="M30" s="4"/>
    </row>
    <row r="31" spans="1:13" x14ac:dyDescent="0.35">
      <c r="B31" s="64" t="s">
        <v>62</v>
      </c>
      <c r="J31" s="94">
        <f>'BA (SV)'!KR11</f>
        <v>8.5550143581165417E-2</v>
      </c>
      <c r="L31" s="127"/>
    </row>
    <row r="32" spans="1:13" x14ac:dyDescent="0.35">
      <c r="A32" s="59" t="s">
        <v>46</v>
      </c>
      <c r="B32" s="7" t="s">
        <v>63</v>
      </c>
      <c r="J32" s="94">
        <f>'BA (SV)'!KR10</f>
        <v>5.2750225391356997E-4</v>
      </c>
    </row>
    <row r="33" spans="1:10" x14ac:dyDescent="0.35">
      <c r="A33" s="59" t="s">
        <v>46</v>
      </c>
      <c r="B33" s="7" t="s">
        <v>64</v>
      </c>
      <c r="J33" s="94">
        <f>'BA (SV)'!KR9</f>
        <v>0</v>
      </c>
    </row>
    <row r="34" spans="1:10" x14ac:dyDescent="0.35">
      <c r="A34" s="59" t="s">
        <v>46</v>
      </c>
      <c r="B34" s="7" t="s">
        <v>65</v>
      </c>
      <c r="J34" s="94">
        <f>'BA (SV)'!KR8</f>
        <v>4.7500000000000001E-2</v>
      </c>
    </row>
    <row r="35" spans="1:10" x14ac:dyDescent="0.35">
      <c r="A35" s="59" t="s">
        <v>48</v>
      </c>
      <c r="B35" s="7" t="s">
        <v>66</v>
      </c>
      <c r="J35" s="153">
        <f>SUM(J31:J34)</f>
        <v>0.13357764583507897</v>
      </c>
    </row>
  </sheetData>
  <pageMargins left="0.5" right="0.5" top="1" bottom="1" header="0.5" footer="0.5"/>
  <pageSetup orientation="portrait" r:id="rId1"/>
  <headerFooter>
    <oddHeader>&amp;C&amp;"Arial,Bold"Schedule I&amp;"Arial,Regular"
Gas Cost Recovery Rate Summary&amp;R&amp;"Arial,Bold"Navitas KY NG, LLC</oddHeader>
    <oddFooter>&amp;CPage 2&amp;R&amp;D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V35"/>
  <sheetViews>
    <sheetView topLeftCell="A25" zoomScaleNormal="100" workbookViewId="0">
      <selection activeCell="L4" sqref="L4"/>
    </sheetView>
  </sheetViews>
  <sheetFormatPr defaultColWidth="9.1328125" defaultRowHeight="12.75" x14ac:dyDescent="0.35"/>
  <cols>
    <col min="1" max="1" width="1.265625" style="7" customWidth="1"/>
    <col min="2" max="2" width="12.73046875" style="7" customWidth="1"/>
    <col min="3" max="3" width="1.265625" style="7" customWidth="1"/>
    <col min="4" max="4" width="12.73046875" style="7" customWidth="1"/>
    <col min="5" max="5" width="1.265625" style="7" customWidth="1"/>
    <col min="6" max="6" width="12.73046875" style="7" customWidth="1"/>
    <col min="7" max="7" width="1.265625" style="7" customWidth="1"/>
    <col min="8" max="8" width="12.73046875" style="7" customWidth="1"/>
    <col min="9" max="9" width="1.265625" style="7" customWidth="1"/>
    <col min="10" max="10" width="12.73046875" style="7" customWidth="1"/>
    <col min="11" max="11" width="1.265625" style="7" customWidth="1"/>
    <col min="12" max="12" width="12.73046875" style="7" customWidth="1"/>
    <col min="13" max="13" width="1.265625" style="7" customWidth="1"/>
    <col min="14" max="14" width="12.73046875" style="7" customWidth="1"/>
    <col min="15" max="15" width="1.265625" style="7" customWidth="1"/>
    <col min="16" max="16" width="12.73046875" style="7" customWidth="1"/>
    <col min="17" max="17" width="1.265625" style="7" customWidth="1"/>
    <col min="18" max="18" width="13.265625" style="7" bestFit="1" customWidth="1"/>
    <col min="19" max="19" width="1.265625" style="7" customWidth="1"/>
    <col min="20" max="20" width="12.73046875" style="7" customWidth="1"/>
    <col min="21" max="21" width="1.73046875" style="7" customWidth="1"/>
    <col min="22" max="22" width="12.73046875" style="7" customWidth="1"/>
    <col min="23" max="23" width="1.73046875" style="7" customWidth="1"/>
    <col min="24" max="24" width="12.73046875" style="7" customWidth="1"/>
    <col min="25" max="25" width="1.73046875" style="7" customWidth="1"/>
    <col min="26" max="16384" width="9.1328125" style="7"/>
  </cols>
  <sheetData>
    <row r="2" spans="2:17" s="6" customFormat="1" ht="50.35" customHeight="1" x14ac:dyDescent="0.35">
      <c r="B2" s="23" t="s">
        <v>67</v>
      </c>
      <c r="D2" s="124"/>
      <c r="F2" s="124" t="s">
        <v>151</v>
      </c>
      <c r="H2" s="23" t="s">
        <v>23</v>
      </c>
      <c r="J2" s="23" t="s">
        <v>28</v>
      </c>
      <c r="L2" s="23" t="s">
        <v>68</v>
      </c>
      <c r="N2" s="23" t="s">
        <v>24</v>
      </c>
      <c r="P2" s="23" t="s">
        <v>25</v>
      </c>
    </row>
    <row r="3" spans="2:17" x14ac:dyDescent="0.35">
      <c r="B3" s="127" t="s">
        <v>116</v>
      </c>
      <c r="D3" s="7" t="s">
        <v>18</v>
      </c>
      <c r="F3" s="113">
        <f>Sales!F20</f>
        <v>11157.119999999999</v>
      </c>
      <c r="H3" s="195">
        <v>1.0660000000000001</v>
      </c>
      <c r="J3" s="47">
        <f t="shared" ref="J3:J5" si="0">ROUND(F3*H3,0)</f>
        <v>11893</v>
      </c>
      <c r="L3" s="45">
        <v>3.9859</v>
      </c>
      <c r="N3" s="49">
        <f t="shared" ref="N3:N5" si="1">L3*H3</f>
        <v>4.2489694</v>
      </c>
      <c r="P3" s="50">
        <f t="shared" ref="P3:P5" si="2">F3*N3</f>
        <v>47406.261472127997</v>
      </c>
      <c r="Q3" s="27"/>
    </row>
    <row r="4" spans="2:17" x14ac:dyDescent="0.35">
      <c r="B4" s="127" t="s">
        <v>116</v>
      </c>
      <c r="D4" s="7" t="s">
        <v>6</v>
      </c>
      <c r="F4" s="113">
        <f>Sales!H20</f>
        <v>11142.119999999999</v>
      </c>
      <c r="H4" s="195">
        <v>1.0669999999999999</v>
      </c>
      <c r="J4" s="47">
        <f t="shared" si="0"/>
        <v>11889</v>
      </c>
      <c r="L4" s="45">
        <f>L3</f>
        <v>3.9859</v>
      </c>
      <c r="N4" s="49">
        <f t="shared" si="1"/>
        <v>4.2529553</v>
      </c>
      <c r="P4" s="50">
        <f t="shared" si="2"/>
        <v>47386.938307235992</v>
      </c>
      <c r="Q4" s="27"/>
    </row>
    <row r="5" spans="2:17" s="11" customFormat="1" x14ac:dyDescent="0.35">
      <c r="B5" s="127" t="s">
        <v>116</v>
      </c>
      <c r="D5" s="7" t="s">
        <v>7</v>
      </c>
      <c r="F5" s="114">
        <f>Sales!J20</f>
        <v>11152.539999999999</v>
      </c>
      <c r="H5" s="195">
        <v>1.071</v>
      </c>
      <c r="J5" s="47">
        <f t="shared" si="0"/>
        <v>11944</v>
      </c>
      <c r="L5" s="45">
        <f t="shared" ref="L5:L14" si="3">L4</f>
        <v>3.9859</v>
      </c>
      <c r="N5" s="105">
        <f t="shared" si="1"/>
        <v>4.2688988999999999</v>
      </c>
      <c r="P5" s="104">
        <f t="shared" si="2"/>
        <v>47609.065738205994</v>
      </c>
      <c r="Q5" s="106"/>
    </row>
    <row r="6" spans="2:17" x14ac:dyDescent="0.35">
      <c r="B6" s="127" t="s">
        <v>116</v>
      </c>
      <c r="D6" s="7" t="s">
        <v>8</v>
      </c>
      <c r="F6" s="113">
        <f>Sales!L20</f>
        <v>8966.24</v>
      </c>
      <c r="H6" s="195">
        <v>1.0649999999999999</v>
      </c>
      <c r="J6" s="47">
        <f t="shared" ref="J6:J14" si="4">ROUND(F6*H6,0)</f>
        <v>9549</v>
      </c>
      <c r="L6" s="45">
        <f t="shared" si="3"/>
        <v>3.9859</v>
      </c>
      <c r="N6" s="49">
        <f>L6*H6</f>
        <v>4.2449835</v>
      </c>
      <c r="P6" s="50">
        <f t="shared" ref="P6:P13" si="5">F6*N6</f>
        <v>38061.540857039996</v>
      </c>
      <c r="Q6" s="27"/>
    </row>
    <row r="7" spans="2:17" x14ac:dyDescent="0.35">
      <c r="B7" s="127" t="s">
        <v>116</v>
      </c>
      <c r="D7" s="127" t="s">
        <v>17</v>
      </c>
      <c r="F7" s="113">
        <f>Sales!N20</f>
        <v>6925.6</v>
      </c>
      <c r="H7" s="195">
        <v>1.0660000000000001</v>
      </c>
      <c r="J7" s="47">
        <f t="shared" si="4"/>
        <v>7383</v>
      </c>
      <c r="L7" s="45">
        <f t="shared" si="3"/>
        <v>3.9859</v>
      </c>
      <c r="N7" s="49">
        <f t="shared" ref="N7:N14" si="6">L7*H7</f>
        <v>4.2489694</v>
      </c>
      <c r="P7" s="50">
        <f t="shared" si="5"/>
        <v>29426.662476640002</v>
      </c>
      <c r="Q7" s="27"/>
    </row>
    <row r="8" spans="2:17" x14ac:dyDescent="0.35">
      <c r="B8" s="127" t="s">
        <v>116</v>
      </c>
      <c r="D8" s="127" t="s">
        <v>10</v>
      </c>
      <c r="F8" s="114">
        <f>Sales!P20</f>
        <v>5577.6</v>
      </c>
      <c r="H8" s="195">
        <v>1.0629999999999999</v>
      </c>
      <c r="J8" s="47">
        <f>ROUND(F8*H8,0)</f>
        <v>5929</v>
      </c>
      <c r="L8" s="45">
        <f t="shared" si="3"/>
        <v>3.9859</v>
      </c>
      <c r="N8" s="49">
        <f t="shared" si="6"/>
        <v>4.2370117</v>
      </c>
      <c r="P8" s="104">
        <f>F8*N8</f>
        <v>23632.356457920003</v>
      </c>
      <c r="Q8" s="27"/>
    </row>
    <row r="9" spans="2:17" x14ac:dyDescent="0.35">
      <c r="B9" s="127" t="s">
        <v>116</v>
      </c>
      <c r="D9" s="127" t="s">
        <v>11</v>
      </c>
      <c r="F9" s="114">
        <f>Sales!R20</f>
        <v>5064.2</v>
      </c>
      <c r="H9" s="195">
        <v>1.0649999999999999</v>
      </c>
      <c r="J9" s="47">
        <f>ROUND(F9*H9,0)</f>
        <v>5393</v>
      </c>
      <c r="L9" s="45">
        <f t="shared" si="3"/>
        <v>3.9859</v>
      </c>
      <c r="N9" s="49">
        <f t="shared" si="6"/>
        <v>4.2449835</v>
      </c>
      <c r="P9" s="50">
        <f>F9*N9</f>
        <v>21497.445440699998</v>
      </c>
      <c r="Q9" s="27"/>
    </row>
    <row r="10" spans="2:17" x14ac:dyDescent="0.35">
      <c r="B10" s="127" t="s">
        <v>116</v>
      </c>
      <c r="D10" s="7" t="s">
        <v>12</v>
      </c>
      <c r="F10" s="114">
        <f>Sales!T20</f>
        <v>5674.6</v>
      </c>
      <c r="H10" s="195">
        <v>1.0660000000000001</v>
      </c>
      <c r="J10" s="47">
        <f t="shared" si="4"/>
        <v>6049</v>
      </c>
      <c r="L10" s="45">
        <f t="shared" si="3"/>
        <v>3.9859</v>
      </c>
      <c r="N10" s="49">
        <f t="shared" si="6"/>
        <v>4.2489694</v>
      </c>
      <c r="P10" s="50">
        <f t="shared" si="5"/>
        <v>24111.20175724</v>
      </c>
      <c r="Q10" s="27"/>
    </row>
    <row r="11" spans="2:17" x14ac:dyDescent="0.35">
      <c r="B11" s="127" t="s">
        <v>116</v>
      </c>
      <c r="D11" s="7" t="s">
        <v>13</v>
      </c>
      <c r="F11" s="114">
        <f>Sales!V20</f>
        <v>5643.16</v>
      </c>
      <c r="H11" s="195">
        <v>1.0669999999999999</v>
      </c>
      <c r="J11" s="47">
        <f t="shared" si="4"/>
        <v>6021</v>
      </c>
      <c r="L11" s="45">
        <f t="shared" si="3"/>
        <v>3.9859</v>
      </c>
      <c r="N11" s="49">
        <f t="shared" si="6"/>
        <v>4.2529553</v>
      </c>
      <c r="P11" s="50">
        <f t="shared" si="5"/>
        <v>24000.107230747999</v>
      </c>
      <c r="Q11" s="27"/>
    </row>
    <row r="12" spans="2:17" x14ac:dyDescent="0.35">
      <c r="B12" s="127" t="s">
        <v>116</v>
      </c>
      <c r="D12" s="7" t="s">
        <v>14</v>
      </c>
      <c r="F12" s="114">
        <f>Sales!X20</f>
        <v>6536.26</v>
      </c>
      <c r="H12" s="195">
        <v>1.0680000000000001</v>
      </c>
      <c r="J12" s="47">
        <f t="shared" si="4"/>
        <v>6981</v>
      </c>
      <c r="L12" s="45">
        <f t="shared" si="3"/>
        <v>3.9859</v>
      </c>
      <c r="N12" s="49">
        <f t="shared" si="6"/>
        <v>4.2569412</v>
      </c>
      <c r="P12" s="50">
        <f t="shared" si="5"/>
        <v>27824.474487912001</v>
      </c>
      <c r="Q12" s="27"/>
    </row>
    <row r="13" spans="2:17" x14ac:dyDescent="0.35">
      <c r="B13" s="127" t="s">
        <v>116</v>
      </c>
      <c r="D13" s="7" t="s">
        <v>15</v>
      </c>
      <c r="F13" s="114">
        <f>Sales!Z20</f>
        <v>10360.960000000001</v>
      </c>
      <c r="H13" s="195">
        <v>1.0660000000000001</v>
      </c>
      <c r="J13" s="47">
        <f t="shared" si="4"/>
        <v>11045</v>
      </c>
      <c r="L13" s="45">
        <f t="shared" si="3"/>
        <v>3.9859</v>
      </c>
      <c r="N13" s="49">
        <f t="shared" si="6"/>
        <v>4.2489694</v>
      </c>
      <c r="P13" s="50">
        <f t="shared" si="5"/>
        <v>44023.401994624001</v>
      </c>
      <c r="Q13" s="27"/>
    </row>
    <row r="14" spans="2:17" x14ac:dyDescent="0.35">
      <c r="B14" s="127" t="s">
        <v>116</v>
      </c>
      <c r="D14" s="7" t="s">
        <v>16</v>
      </c>
      <c r="F14" s="114">
        <f>Sales!AB20</f>
        <v>10711.16</v>
      </c>
      <c r="H14" s="195">
        <v>1.0640000000000001</v>
      </c>
      <c r="J14" s="47">
        <f t="shared" si="4"/>
        <v>11397</v>
      </c>
      <c r="L14" s="45">
        <f t="shared" si="3"/>
        <v>3.9859</v>
      </c>
      <c r="N14" s="49">
        <f t="shared" si="6"/>
        <v>4.2409976</v>
      </c>
      <c r="P14" s="50">
        <f>F14*N14</f>
        <v>45426.003853216003</v>
      </c>
      <c r="Q14" s="27"/>
    </row>
    <row r="15" spans="2:17" x14ac:dyDescent="0.35">
      <c r="F15" s="107">
        <f>SUM(F3:F14)</f>
        <v>98911.56</v>
      </c>
      <c r="J15" s="108">
        <f>SUM(J3:J14)</f>
        <v>105473</v>
      </c>
      <c r="L15" s="185"/>
      <c r="P15" s="109">
        <f>SUM(P3:P14)</f>
        <v>420405.46007361001</v>
      </c>
      <c r="Q15" s="27"/>
    </row>
    <row r="17" spans="2:22" ht="38.25" x14ac:dyDescent="0.35">
      <c r="B17" s="28" t="s">
        <v>27</v>
      </c>
      <c r="D17" s="124"/>
      <c r="H17" s="23" t="s">
        <v>21</v>
      </c>
      <c r="I17" s="6"/>
      <c r="J17" s="124" t="s">
        <v>183</v>
      </c>
      <c r="L17" s="124" t="s">
        <v>188</v>
      </c>
      <c r="N17" s="124" t="s">
        <v>122</v>
      </c>
      <c r="O17" s="6"/>
      <c r="P17" s="23" t="s">
        <v>26</v>
      </c>
      <c r="Q17" s="6"/>
      <c r="R17" s="23" t="s">
        <v>19</v>
      </c>
    </row>
    <row r="18" spans="2:22" x14ac:dyDescent="0.35">
      <c r="D18" s="7" t="s">
        <v>18</v>
      </c>
      <c r="H18" s="50">
        <f>1625*0.93</f>
        <v>1511.25</v>
      </c>
      <c r="I18" s="27"/>
      <c r="J18" s="269">
        <v>2.7172000000000001</v>
      </c>
      <c r="L18" s="269">
        <v>0.24</v>
      </c>
      <c r="N18" s="50">
        <f>(J18+L18)*F3</f>
        <v>32993.835264000001</v>
      </c>
      <c r="O18" s="27"/>
      <c r="P18" s="50">
        <f t="shared" ref="P18:P29" si="7">H18+N18</f>
        <v>34505.085264000001</v>
      </c>
      <c r="Q18" s="27"/>
      <c r="R18" s="50">
        <f t="shared" ref="R18:R29" si="8">P3+P18</f>
        <v>81911.346736128005</v>
      </c>
    </row>
    <row r="19" spans="2:22" x14ac:dyDescent="0.35">
      <c r="D19" s="7" t="s">
        <v>6</v>
      </c>
      <c r="H19" s="50">
        <f>H18</f>
        <v>1511.25</v>
      </c>
      <c r="I19" s="27"/>
      <c r="J19" s="269">
        <v>2.7172000000000001</v>
      </c>
      <c r="L19" s="269">
        <v>0.24</v>
      </c>
      <c r="N19" s="50">
        <f t="shared" ref="N19:N29" si="9">(J19+L19)*F4</f>
        <v>32949.477264000001</v>
      </c>
      <c r="O19" s="27"/>
      <c r="P19" s="50">
        <f t="shared" si="7"/>
        <v>34460.727264000001</v>
      </c>
      <c r="Q19" s="27"/>
      <c r="R19" s="50">
        <f t="shared" si="8"/>
        <v>81847.665571235993</v>
      </c>
    </row>
    <row r="20" spans="2:22" x14ac:dyDescent="0.35">
      <c r="D20" s="7" t="s">
        <v>7</v>
      </c>
      <c r="H20" s="50">
        <f t="shared" ref="H20:H29" si="10">H19</f>
        <v>1511.25</v>
      </c>
      <c r="I20" s="27"/>
      <c r="J20" s="269">
        <v>2.7172000000000001</v>
      </c>
      <c r="L20" s="269">
        <v>0.24</v>
      </c>
      <c r="N20" s="50">
        <f t="shared" si="9"/>
        <v>32980.291288</v>
      </c>
      <c r="O20" s="27"/>
      <c r="P20" s="50">
        <f t="shared" si="7"/>
        <v>34491.541288</v>
      </c>
      <c r="Q20" s="27"/>
      <c r="R20" s="104">
        <f t="shared" si="8"/>
        <v>82100.607026205995</v>
      </c>
    </row>
    <row r="21" spans="2:22" s="11" customFormat="1" x14ac:dyDescent="0.35">
      <c r="D21" s="7" t="s">
        <v>8</v>
      </c>
      <c r="H21" s="50">
        <f t="shared" si="10"/>
        <v>1511.25</v>
      </c>
      <c r="I21" s="106"/>
      <c r="J21" s="269">
        <v>2.7172000000000001</v>
      </c>
      <c r="L21" s="269">
        <v>0.24</v>
      </c>
      <c r="M21" s="7"/>
      <c r="N21" s="50">
        <f t="shared" si="9"/>
        <v>26514.964928000001</v>
      </c>
      <c r="O21" s="106"/>
      <c r="P21" s="50">
        <f t="shared" si="7"/>
        <v>28026.214928000001</v>
      </c>
      <c r="Q21" s="106"/>
      <c r="R21" s="104">
        <f t="shared" si="8"/>
        <v>66087.755785040004</v>
      </c>
    </row>
    <row r="22" spans="2:22" x14ac:dyDescent="0.35">
      <c r="D22" s="127" t="s">
        <v>17</v>
      </c>
      <c r="H22" s="50">
        <f t="shared" si="10"/>
        <v>1511.25</v>
      </c>
      <c r="I22" s="27"/>
      <c r="J22" s="269">
        <v>2.7172000000000001</v>
      </c>
      <c r="L22" s="269">
        <v>0.24</v>
      </c>
      <c r="N22" s="50">
        <f t="shared" si="9"/>
        <v>20480.384320000005</v>
      </c>
      <c r="O22" s="27"/>
      <c r="P22" s="50">
        <f t="shared" si="7"/>
        <v>21991.634320000005</v>
      </c>
      <c r="Q22" s="27"/>
      <c r="R22" s="104">
        <f t="shared" si="8"/>
        <v>51418.296796640003</v>
      </c>
    </row>
    <row r="23" spans="2:22" x14ac:dyDescent="0.35">
      <c r="D23" s="127" t="s">
        <v>10</v>
      </c>
      <c r="H23" s="50">
        <f t="shared" si="10"/>
        <v>1511.25</v>
      </c>
      <c r="I23" s="27"/>
      <c r="J23" s="269">
        <v>2.7172000000000001</v>
      </c>
      <c r="L23" s="269">
        <v>0.24</v>
      </c>
      <c r="N23" s="50">
        <f t="shared" si="9"/>
        <v>16494.078720000001</v>
      </c>
      <c r="O23" s="27"/>
      <c r="P23" s="50">
        <f t="shared" si="7"/>
        <v>18005.328720000001</v>
      </c>
      <c r="Q23" s="27"/>
      <c r="R23" s="104">
        <f t="shared" si="8"/>
        <v>41637.685177920008</v>
      </c>
    </row>
    <row r="24" spans="2:22" x14ac:dyDescent="0.35">
      <c r="D24" s="127" t="s">
        <v>11</v>
      </c>
      <c r="H24" s="50">
        <f t="shared" si="10"/>
        <v>1511.25</v>
      </c>
      <c r="I24" s="27"/>
      <c r="J24" s="269">
        <v>2.7172000000000001</v>
      </c>
      <c r="L24" s="269">
        <v>0.24</v>
      </c>
      <c r="N24" s="50">
        <f t="shared" si="9"/>
        <v>14975.85224</v>
      </c>
      <c r="O24" s="27"/>
      <c r="P24" s="50">
        <f t="shared" si="7"/>
        <v>16487.10224</v>
      </c>
      <c r="Q24" s="27"/>
      <c r="R24" s="104">
        <f t="shared" si="8"/>
        <v>37984.547680699994</v>
      </c>
    </row>
    <row r="25" spans="2:22" x14ac:dyDescent="0.35">
      <c r="D25" s="7" t="s">
        <v>12</v>
      </c>
      <c r="H25" s="50">
        <f t="shared" si="10"/>
        <v>1511.25</v>
      </c>
      <c r="I25" s="27"/>
      <c r="J25" s="269">
        <v>2.7172000000000001</v>
      </c>
      <c r="L25" s="269">
        <v>0.24</v>
      </c>
      <c r="N25" s="50">
        <f t="shared" si="9"/>
        <v>16780.927120000004</v>
      </c>
      <c r="O25" s="27"/>
      <c r="P25" s="50">
        <f t="shared" si="7"/>
        <v>18292.177120000004</v>
      </c>
      <c r="Q25" s="27"/>
      <c r="R25" s="104">
        <f t="shared" si="8"/>
        <v>42403.37887724</v>
      </c>
    </row>
    <row r="26" spans="2:22" x14ac:dyDescent="0.35">
      <c r="D26" s="7" t="s">
        <v>13</v>
      </c>
      <c r="H26" s="50">
        <f t="shared" si="10"/>
        <v>1511.25</v>
      </c>
      <c r="I26" s="27"/>
      <c r="J26" s="269">
        <v>2.7172000000000001</v>
      </c>
      <c r="L26" s="269">
        <v>0.24</v>
      </c>
      <c r="N26" s="50">
        <f t="shared" si="9"/>
        <v>16687.952752000001</v>
      </c>
      <c r="O26" s="27"/>
      <c r="P26" s="50">
        <f t="shared" si="7"/>
        <v>18199.202752000001</v>
      </c>
      <c r="Q26" s="27"/>
      <c r="R26" s="104">
        <f t="shared" si="8"/>
        <v>42199.309982748004</v>
      </c>
    </row>
    <row r="27" spans="2:22" x14ac:dyDescent="0.35">
      <c r="D27" s="7" t="s">
        <v>14</v>
      </c>
      <c r="H27" s="50">
        <f t="shared" si="10"/>
        <v>1511.25</v>
      </c>
      <c r="I27" s="27"/>
      <c r="J27" s="269">
        <v>2.7172000000000001</v>
      </c>
      <c r="L27" s="269">
        <v>0.24</v>
      </c>
      <c r="N27" s="50">
        <f t="shared" si="9"/>
        <v>19329.028072000001</v>
      </c>
      <c r="O27" s="27"/>
      <c r="P27" s="50">
        <f t="shared" si="7"/>
        <v>20840.278072000001</v>
      </c>
      <c r="Q27" s="27"/>
      <c r="R27" s="104">
        <f t="shared" si="8"/>
        <v>48664.752559911998</v>
      </c>
    </row>
    <row r="28" spans="2:22" x14ac:dyDescent="0.35">
      <c r="D28" s="7" t="s">
        <v>15</v>
      </c>
      <c r="H28" s="50">
        <f t="shared" si="10"/>
        <v>1511.25</v>
      </c>
      <c r="I28" s="27"/>
      <c r="J28" s="269">
        <v>2.7172000000000001</v>
      </c>
      <c r="L28" s="269">
        <v>0.24</v>
      </c>
      <c r="N28" s="50">
        <f t="shared" si="9"/>
        <v>30639.430912000007</v>
      </c>
      <c r="O28" s="27"/>
      <c r="P28" s="50">
        <f t="shared" si="7"/>
        <v>32150.680912000007</v>
      </c>
      <c r="Q28" s="27"/>
      <c r="R28" s="104">
        <f t="shared" si="8"/>
        <v>76174.082906624011</v>
      </c>
    </row>
    <row r="29" spans="2:22" x14ac:dyDescent="0.35">
      <c r="D29" s="7" t="s">
        <v>16</v>
      </c>
      <c r="H29" s="50">
        <f t="shared" si="10"/>
        <v>1511.25</v>
      </c>
      <c r="I29" s="27"/>
      <c r="J29" s="269">
        <v>2.7172000000000001</v>
      </c>
      <c r="L29" s="269">
        <v>0.24</v>
      </c>
      <c r="N29" s="50">
        <f t="shared" si="9"/>
        <v>31675.042352000004</v>
      </c>
      <c r="O29" s="27"/>
      <c r="P29" s="50">
        <f t="shared" si="7"/>
        <v>33186.292352000004</v>
      </c>
      <c r="Q29" s="27"/>
      <c r="R29" s="104">
        <f t="shared" si="8"/>
        <v>78612.296205216</v>
      </c>
    </row>
    <row r="30" spans="2:22" x14ac:dyDescent="0.35">
      <c r="L30" s="27"/>
      <c r="M30" s="27"/>
      <c r="N30" s="27"/>
      <c r="O30" s="27"/>
      <c r="P30" s="109">
        <f>SUM(P18:P29)</f>
        <v>310636.26523200009</v>
      </c>
      <c r="Q30" s="27"/>
      <c r="R30" s="109">
        <f>SUM(R18:R29)</f>
        <v>731041.72530560999</v>
      </c>
      <c r="V30" s="27"/>
    </row>
    <row r="31" spans="2:22" x14ac:dyDescent="0.35">
      <c r="L31" s="27"/>
      <c r="M31" s="27"/>
      <c r="N31" s="27"/>
      <c r="O31" s="27"/>
      <c r="P31" s="27"/>
      <c r="Q31" s="27"/>
      <c r="R31" s="27"/>
    </row>
    <row r="32" spans="2:22" x14ac:dyDescent="0.35">
      <c r="P32" s="25" t="s">
        <v>29</v>
      </c>
      <c r="R32" s="48">
        <f>F15</f>
        <v>98911.56</v>
      </c>
    </row>
    <row r="33" spans="14:18" x14ac:dyDescent="0.35">
      <c r="N33" s="126" t="s">
        <v>156</v>
      </c>
      <c r="P33" s="25" t="s">
        <v>22</v>
      </c>
      <c r="R33" s="152">
        <f>R30/R32</f>
        <v>7.390862355275865</v>
      </c>
    </row>
    <row r="34" spans="14:18" x14ac:dyDescent="0.35">
      <c r="P34" s="25" t="s">
        <v>80</v>
      </c>
      <c r="R34" s="46">
        <f>F15</f>
        <v>98911.56</v>
      </c>
    </row>
    <row r="35" spans="14:18" ht="13.15" x14ac:dyDescent="0.4">
      <c r="P35" s="26" t="s">
        <v>2</v>
      </c>
      <c r="R35" s="58">
        <f>R33*R34</f>
        <v>731041.72530560999</v>
      </c>
    </row>
  </sheetData>
  <pageMargins left="0.5" right="0.5" top="1" bottom="1" header="0.5" footer="0.5"/>
  <pageSetup scale="94" orientation="landscape" r:id="rId1"/>
  <headerFooter>
    <oddHeader>&amp;C&amp;"Arial,Bold"Schedule II&amp;"Arial,Regular"
Expected Gas Cost&amp;R&amp;"Arial,Bold"Navitas KY NG, LLC</oddHeader>
    <oddFooter>&amp;CPage 3&amp;R&amp;D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H215"/>
  <sheetViews>
    <sheetView zoomScale="75" zoomScaleNormal="75" workbookViewId="0">
      <pane xSplit="5" ySplit="6" topLeftCell="F7" activePane="bottomRight" state="frozen"/>
      <selection pane="topRight" activeCell="F1" sqref="F1"/>
      <selection pane="bottomLeft" activeCell="A7" sqref="A7"/>
      <selection pane="bottomRight" activeCell="KJ214" sqref="KJ214"/>
    </sheetView>
  </sheetViews>
  <sheetFormatPr defaultRowHeight="12.75" x14ac:dyDescent="0.35"/>
  <cols>
    <col min="1" max="2" width="1.73046875" customWidth="1"/>
    <col min="3" max="3" width="20.73046875" customWidth="1"/>
    <col min="4" max="5" width="1.73046875" customWidth="1"/>
    <col min="6" max="6" width="11.73046875" hidden="1" customWidth="1"/>
    <col min="7" max="7" width="1.265625" hidden="1" customWidth="1"/>
    <col min="8" max="8" width="11.73046875" hidden="1" customWidth="1"/>
    <col min="9" max="9" width="1.265625" hidden="1" customWidth="1"/>
    <col min="10" max="10" width="11.73046875" hidden="1" customWidth="1"/>
    <col min="11" max="11" width="1.265625" hidden="1" customWidth="1"/>
    <col min="12" max="12" width="11.73046875" hidden="1" customWidth="1"/>
    <col min="13" max="13" width="1.265625" hidden="1" customWidth="1"/>
    <col min="14" max="14" width="11.73046875" hidden="1" customWidth="1"/>
    <col min="15" max="15" width="1.265625" hidden="1" customWidth="1"/>
    <col min="16" max="16" width="11.73046875" hidden="1" customWidth="1"/>
    <col min="17" max="17" width="1.265625" hidden="1" customWidth="1"/>
    <col min="18" max="18" width="11.73046875" hidden="1" customWidth="1"/>
    <col min="19" max="19" width="1.265625" hidden="1" customWidth="1"/>
    <col min="20" max="20" width="11.73046875" hidden="1" customWidth="1"/>
    <col min="21" max="21" width="1.265625" hidden="1" customWidth="1"/>
    <col min="22" max="22" width="11.73046875" hidden="1" customWidth="1"/>
    <col min="23" max="23" width="1.265625" hidden="1" customWidth="1"/>
    <col min="24" max="24" width="11.73046875" hidden="1" customWidth="1"/>
    <col min="25" max="25" width="1.265625" hidden="1" customWidth="1"/>
    <col min="26" max="26" width="11.73046875" hidden="1" customWidth="1"/>
    <col min="27" max="27" width="1.265625" hidden="1" customWidth="1"/>
    <col min="28" max="28" width="11.73046875" hidden="1" customWidth="1"/>
    <col min="29" max="29" width="1.265625" hidden="1" customWidth="1"/>
    <col min="30" max="30" width="11.73046875" hidden="1" customWidth="1"/>
    <col min="31" max="31" width="1.265625" hidden="1" customWidth="1"/>
    <col min="32" max="32" width="11.73046875" hidden="1" customWidth="1"/>
    <col min="33" max="33" width="1.265625" hidden="1" customWidth="1"/>
    <col min="34" max="34" width="11.73046875" hidden="1" customWidth="1"/>
    <col min="35" max="35" width="1.265625" hidden="1" customWidth="1"/>
    <col min="36" max="36" width="11.73046875" hidden="1" customWidth="1"/>
    <col min="37" max="37" width="1.265625" hidden="1" customWidth="1"/>
    <col min="38" max="38" width="11.73046875" hidden="1" customWidth="1"/>
    <col min="39" max="39" width="1.265625" hidden="1" customWidth="1"/>
    <col min="40" max="40" width="11.73046875" hidden="1" customWidth="1"/>
    <col min="41" max="41" width="1.265625" hidden="1" customWidth="1"/>
    <col min="42" max="42" width="11.73046875" hidden="1" customWidth="1"/>
    <col min="43" max="43" width="1.265625" hidden="1" customWidth="1"/>
    <col min="44" max="44" width="11.73046875" hidden="1" customWidth="1"/>
    <col min="45" max="45" width="1.265625" hidden="1" customWidth="1"/>
    <col min="46" max="46" width="11.73046875" hidden="1" customWidth="1"/>
    <col min="47" max="47" width="1.265625" hidden="1" customWidth="1"/>
    <col min="48" max="48" width="11.73046875" hidden="1" customWidth="1"/>
    <col min="49" max="49" width="1.265625" hidden="1" customWidth="1"/>
    <col min="50" max="50" width="11.73046875" hidden="1" customWidth="1"/>
    <col min="51" max="51" width="1.265625" hidden="1" customWidth="1"/>
    <col min="52" max="52" width="11.73046875" hidden="1" customWidth="1"/>
    <col min="53" max="53" width="1.265625" hidden="1" customWidth="1"/>
    <col min="54" max="54" width="11.73046875" hidden="1" customWidth="1"/>
    <col min="55" max="55" width="1.265625" hidden="1" customWidth="1"/>
    <col min="56" max="56" width="11.73046875" hidden="1" customWidth="1"/>
    <col min="57" max="57" width="1.265625" hidden="1" customWidth="1"/>
    <col min="58" max="58" width="11.73046875" hidden="1" customWidth="1"/>
    <col min="59" max="59" width="1.265625" hidden="1" customWidth="1"/>
    <col min="60" max="60" width="11.73046875" hidden="1" customWidth="1"/>
    <col min="61" max="61" width="1.265625" hidden="1" customWidth="1"/>
    <col min="62" max="62" width="11.73046875" hidden="1" customWidth="1"/>
    <col min="63" max="63" width="1.265625" hidden="1" customWidth="1"/>
    <col min="64" max="64" width="11.73046875" hidden="1" customWidth="1"/>
    <col min="65" max="65" width="1.265625" hidden="1" customWidth="1"/>
    <col min="66" max="66" width="11.73046875" hidden="1" customWidth="1"/>
    <col min="67" max="67" width="1.265625" hidden="1" customWidth="1"/>
    <col min="68" max="68" width="11.73046875" hidden="1" customWidth="1"/>
    <col min="69" max="69" width="1.265625" hidden="1" customWidth="1"/>
    <col min="70" max="70" width="11.73046875" hidden="1" customWidth="1"/>
    <col min="71" max="71" width="1.265625" hidden="1" customWidth="1"/>
    <col min="72" max="72" width="11.73046875" hidden="1" customWidth="1"/>
    <col min="73" max="73" width="1.265625" hidden="1" customWidth="1"/>
    <col min="74" max="74" width="11.73046875" hidden="1" customWidth="1"/>
    <col min="75" max="75" width="1.265625" hidden="1" customWidth="1"/>
    <col min="76" max="76" width="11.73046875" hidden="1" customWidth="1"/>
    <col min="77" max="77" width="1.265625" hidden="1" customWidth="1"/>
    <col min="78" max="78" width="11.73046875" hidden="1" customWidth="1"/>
    <col min="79" max="79" width="1.265625" hidden="1" customWidth="1"/>
    <col min="80" max="80" width="11.73046875" hidden="1" customWidth="1"/>
    <col min="81" max="81" width="1.265625" hidden="1" customWidth="1"/>
    <col min="82" max="82" width="11.73046875" hidden="1" customWidth="1"/>
    <col min="83" max="83" width="1.265625" hidden="1" customWidth="1"/>
    <col min="84" max="84" width="11.73046875" hidden="1" customWidth="1"/>
    <col min="85" max="85" width="1.265625" hidden="1" customWidth="1"/>
    <col min="86" max="86" width="11.73046875" hidden="1" customWidth="1"/>
    <col min="87" max="87" width="1.265625" hidden="1" customWidth="1"/>
    <col min="88" max="88" width="11.73046875" hidden="1" customWidth="1"/>
    <col min="89" max="89" width="1.265625" hidden="1" customWidth="1"/>
    <col min="90" max="90" width="11.73046875" hidden="1" customWidth="1"/>
    <col min="91" max="91" width="1.265625" hidden="1" customWidth="1"/>
    <col min="92" max="92" width="11.73046875" hidden="1" customWidth="1"/>
    <col min="93" max="93" width="1.265625" hidden="1" customWidth="1"/>
    <col min="94" max="94" width="11.73046875" hidden="1" customWidth="1"/>
    <col min="95" max="95" width="1.265625" hidden="1" customWidth="1"/>
    <col min="96" max="96" width="11.73046875" hidden="1" customWidth="1"/>
    <col min="97" max="97" width="1.265625" hidden="1" customWidth="1"/>
    <col min="98" max="98" width="11.73046875" hidden="1" customWidth="1"/>
    <col min="99" max="99" width="1.265625" hidden="1" customWidth="1"/>
    <col min="100" max="100" width="11.73046875" hidden="1" customWidth="1"/>
    <col min="101" max="101" width="1.265625" hidden="1" customWidth="1"/>
    <col min="102" max="102" width="11.73046875" hidden="1" customWidth="1"/>
    <col min="103" max="103" width="1.265625" hidden="1" customWidth="1"/>
    <col min="104" max="104" width="11.73046875" hidden="1" customWidth="1"/>
    <col min="105" max="105" width="1.265625" hidden="1" customWidth="1"/>
    <col min="106" max="106" width="11.73046875" hidden="1" customWidth="1"/>
    <col min="107" max="107" width="1.265625" hidden="1" customWidth="1"/>
    <col min="108" max="108" width="11.73046875" hidden="1" customWidth="1"/>
    <col min="109" max="109" width="1.265625" hidden="1" customWidth="1"/>
    <col min="110" max="110" width="11.73046875" hidden="1" customWidth="1"/>
    <col min="111" max="111" width="1.265625" hidden="1" customWidth="1"/>
    <col min="112" max="112" width="11.73046875" hidden="1" customWidth="1"/>
    <col min="113" max="113" width="1.265625" hidden="1" customWidth="1"/>
    <col min="114" max="114" width="11.73046875" hidden="1" customWidth="1"/>
    <col min="115" max="115" width="1.265625" hidden="1" customWidth="1"/>
    <col min="116" max="116" width="11.73046875" hidden="1" customWidth="1"/>
    <col min="117" max="117" width="1.265625" hidden="1" customWidth="1"/>
    <col min="118" max="118" width="11.73046875" hidden="1" customWidth="1"/>
    <col min="119" max="119" width="1.265625" hidden="1" customWidth="1"/>
    <col min="120" max="120" width="11.73046875" hidden="1" customWidth="1"/>
    <col min="121" max="121" width="1.265625" hidden="1" customWidth="1"/>
    <col min="122" max="122" width="11.73046875" hidden="1" customWidth="1"/>
    <col min="123" max="123" width="1.265625" hidden="1" customWidth="1"/>
    <col min="124" max="124" width="11.73046875" hidden="1" customWidth="1"/>
    <col min="125" max="125" width="1.265625" hidden="1" customWidth="1"/>
    <col min="126" max="126" width="11.73046875" hidden="1" customWidth="1"/>
    <col min="127" max="127" width="1.265625" hidden="1" customWidth="1"/>
    <col min="128" max="128" width="11.73046875" hidden="1" customWidth="1"/>
    <col min="129" max="129" width="1.265625" hidden="1" customWidth="1"/>
    <col min="130" max="130" width="11.73046875" hidden="1" customWidth="1"/>
    <col min="131" max="131" width="1.265625" hidden="1" customWidth="1"/>
    <col min="132" max="132" width="11.73046875" hidden="1" customWidth="1"/>
    <col min="133" max="133" width="1.265625" hidden="1" customWidth="1"/>
    <col min="134" max="134" width="11.73046875" hidden="1" customWidth="1"/>
    <col min="135" max="135" width="1.265625" hidden="1" customWidth="1"/>
    <col min="136" max="136" width="11.73046875" hidden="1" customWidth="1"/>
    <col min="137" max="137" width="1.265625" hidden="1" customWidth="1"/>
    <col min="138" max="138" width="11.73046875" hidden="1" customWidth="1"/>
    <col min="139" max="139" width="1.265625" hidden="1" customWidth="1"/>
    <col min="140" max="140" width="11.73046875" hidden="1" customWidth="1"/>
    <col min="141" max="141" width="1.265625" hidden="1" customWidth="1"/>
    <col min="142" max="142" width="11.73046875" hidden="1" customWidth="1"/>
    <col min="143" max="143" width="1.265625" hidden="1" customWidth="1"/>
    <col min="144" max="144" width="11.73046875" hidden="1" customWidth="1"/>
    <col min="145" max="145" width="1.265625" hidden="1" customWidth="1"/>
    <col min="146" max="146" width="11.73046875" style="175" hidden="1" customWidth="1"/>
    <col min="147" max="147" width="1.265625" style="175" hidden="1" customWidth="1"/>
    <col min="148" max="148" width="11.73046875" style="175" hidden="1" customWidth="1"/>
    <col min="149" max="149" width="1.265625" style="175" hidden="1" customWidth="1"/>
    <col min="150" max="150" width="11.73046875" style="175" hidden="1" customWidth="1"/>
    <col min="151" max="151" width="1.265625" hidden="1" customWidth="1"/>
    <col min="152" max="152" width="11.73046875" style="175" hidden="1" customWidth="1"/>
    <col min="153" max="153" width="1.265625" style="175" hidden="1" customWidth="1"/>
    <col min="154" max="154" width="11.73046875" style="175" hidden="1" customWidth="1"/>
    <col min="155" max="155" width="1.265625" style="175" hidden="1" customWidth="1"/>
    <col min="156" max="156" width="11.73046875" style="175" hidden="1" customWidth="1"/>
    <col min="157" max="157" width="1.265625" style="175" hidden="1" customWidth="1"/>
    <col min="158" max="294" width="1.3984375" hidden="1" customWidth="1"/>
    <col min="295" max="295" width="1.3984375" customWidth="1"/>
    <col min="296" max="296" width="11.59765625" customWidth="1"/>
    <col min="297" max="297" width="1.3984375" customWidth="1"/>
    <col min="298" max="298" width="11.59765625" customWidth="1"/>
    <col min="299" max="299" width="1.3984375" customWidth="1"/>
    <col min="300" max="300" width="11.59765625" customWidth="1"/>
    <col min="301" max="301" width="1.3984375" customWidth="1"/>
    <col min="302" max="302" width="11.59765625" customWidth="1"/>
    <col min="303" max="303" width="1.3984375" customWidth="1"/>
    <col min="304" max="304" width="11.59765625" customWidth="1"/>
    <col min="305" max="305" width="1.3984375" customWidth="1"/>
    <col min="306" max="306" width="11.59765625" customWidth="1"/>
    <col min="307" max="307" width="1.3984375" customWidth="1"/>
    <col min="308" max="308" width="11.59765625" customWidth="1"/>
    <col min="309" max="309" width="1.3984375" customWidth="1"/>
    <col min="310" max="310" width="11.59765625" customWidth="1"/>
    <col min="311" max="311" width="1.3984375" customWidth="1"/>
    <col min="312" max="312" width="11.59765625" customWidth="1"/>
    <col min="313" max="313" width="1.3984375" customWidth="1"/>
    <col min="314" max="314" width="11.59765625" customWidth="1"/>
    <col min="315" max="315" width="1.3984375" customWidth="1"/>
    <col min="316" max="316" width="11.59765625" customWidth="1"/>
    <col min="317" max="317" width="1.3984375" customWidth="1"/>
    <col min="318" max="318" width="11.59765625" customWidth="1"/>
    <col min="319" max="319" width="1.3984375" customWidth="1"/>
    <col min="320" max="320" width="11.59765625" customWidth="1"/>
    <col min="321" max="321" width="1.3984375" customWidth="1"/>
    <col min="322" max="322" width="11.59765625" customWidth="1"/>
  </cols>
  <sheetData>
    <row r="1" spans="1:320" x14ac:dyDescent="0.35">
      <c r="A1" s="7" t="s">
        <v>76</v>
      </c>
      <c r="T1" s="24"/>
      <c r="V1" s="24"/>
      <c r="X1" s="24"/>
      <c r="Z1" s="24"/>
      <c r="AB1" s="24"/>
      <c r="AD1" s="24"/>
      <c r="AF1" s="24"/>
      <c r="AH1" s="24"/>
      <c r="AJ1" s="24"/>
      <c r="AL1" s="24"/>
      <c r="AN1" s="24"/>
      <c r="AP1" s="24"/>
      <c r="AR1" s="24"/>
      <c r="AT1" s="24"/>
      <c r="AV1" s="24"/>
      <c r="AX1" s="24"/>
      <c r="AZ1" s="24"/>
      <c r="BB1" s="24"/>
      <c r="BD1" s="24"/>
      <c r="BF1" s="24"/>
      <c r="BH1" s="24"/>
      <c r="BJ1" s="24"/>
      <c r="BL1" s="24"/>
      <c r="BN1" s="24"/>
      <c r="BP1" s="24"/>
      <c r="BR1" s="24"/>
      <c r="BT1" s="24">
        <f>BT19+BT23+BT27+BT31+BT35+BT39+BT43+BT47+BT51+BT55+BT59+BT63+BT67+BT71+BT75</f>
        <v>0</v>
      </c>
      <c r="BV1" s="24">
        <f>BV19+BV23+BV27+BV31+BV35+BV39+BV43+BV47+BV51+BV55+BV59+BV63+BV67+BV71+BV75</f>
        <v>0</v>
      </c>
      <c r="BX1" s="24">
        <f>BX19+BX23+BX27+BX31+BX35+BX39+BX43+BX47+BX51+BX55+BX59+BX63+BX67+BX71+BX75</f>
        <v>0</v>
      </c>
      <c r="BZ1" s="24">
        <f>BZ19+BZ23+BZ27+BZ31+BZ35+BZ39+BZ43+BZ47+BZ51+BZ55+BZ59+BZ63+BZ67+BZ71+BZ75</f>
        <v>0</v>
      </c>
      <c r="CB1" s="24">
        <f>CB19+CB23+CB27+CB31+CB35+CB39+CB43+CB47+CB51+CB55+CB59+CB63+CB67+CB71+CB75</f>
        <v>0</v>
      </c>
      <c r="CD1" s="24">
        <f>CD19+CD23+CD27+CD31+CD35+CD39+CD43+CD47+CD51+CD55+CD59+CD63+CD67+CD71+CD75</f>
        <v>0</v>
      </c>
      <c r="CF1" s="24">
        <f>CF19+CF23+CF27+CF31+CF35+CF39+CF43+CF47+CF51+CF55+CF59+CF63+CF67+CF71+CF75</f>
        <v>0</v>
      </c>
      <c r="CH1" s="24">
        <f>CH19+CH23+CH27+CH31+CH35+CH39+CH43+CH47+CH51+CH55+CH59+CH63+CH67+CH71+CH75</f>
        <v>0</v>
      </c>
      <c r="CJ1" s="24">
        <f>CJ19+CJ23+CJ27+CJ31+CJ35+CJ39+CJ43+CJ47+CJ51+CJ55+CJ59+CJ63+CJ67+CJ71+CJ75</f>
        <v>0</v>
      </c>
      <c r="CL1" s="24">
        <f>CL19+CL23+CL27+CL31+CL35+CL39+CL43+CL47+CL51+CL55+CL59+CL63+CL67+CL71+CL75</f>
        <v>0</v>
      </c>
      <c r="CN1" s="24">
        <f>CN19+CN23+CN27+CN31+CN35+CN39+CN43+CN47+CN51+CN55+CN59+CN63+CN67+CN71+CN75</f>
        <v>0</v>
      </c>
      <c r="CP1" s="24">
        <f>CP19+CP23+CP27+CP31+CP35+CP39+CP43+CP47+CP51+CP55+CP59+CP63+CP67+CP71+CP75</f>
        <v>0</v>
      </c>
      <c r="CR1" s="24">
        <f>CR19+CR23+CR27+CR31+CR35+CR39+CR43+CR47+CR51+CR55+CR59+CR63+CR67+CR71+CR75</f>
        <v>0</v>
      </c>
      <c r="CT1" s="24">
        <f>CT19+CT23+CT27+CT31+CT35+CT39+CT43+CT47+CT51+CT55+CT59+CT63+CT67+CT71+CT75</f>
        <v>0</v>
      </c>
      <c r="CV1" s="24">
        <f>CV19+CV23+CV27+CV31+CV35+CV39+CV43+CV47+CV51+CV55+CV59+CV63+CV67+CV71+CV75</f>
        <v>0</v>
      </c>
      <c r="CX1" s="24">
        <f>CX19+CX23+CX27+CX31+CX35+CX39+CX43+CX47+CX51+CX55+CX59+CX63+CX67+CX71+CX75</f>
        <v>0</v>
      </c>
      <c r="CZ1" s="24">
        <f>CZ19+CZ23+CZ27+CZ31+CZ35+CZ39+CZ43+CZ47+CZ51+CZ55+CZ59+CZ63+CZ67+CZ71+CZ75+CZ79</f>
        <v>-22832.756138893288</v>
      </c>
      <c r="DB1" s="24">
        <f>DB19+DB23+DB27+DB31+DB35+DB39+DB43+DB47+DB51+DB55+DB59+DB63+DB67+DB71+DB75+DB79</f>
        <v>-22056.544560952334</v>
      </c>
      <c r="DD1" s="24">
        <f>DD19+DD23+DD27+DD31+DD35+DD39+DD43+DD47+DD51+DD55+DD59+DD63+DD67+DD71+DD75+DD79</f>
        <v>-21134.368869672864</v>
      </c>
      <c r="DF1" s="24">
        <f>DF19+DF23+DF27+DF31+DF35+DF39+DF43+DF47+DF51+DF55+DF59+DF63+DF67+DF71+DF75+DF79</f>
        <v>-20051.941339157089</v>
      </c>
      <c r="DH1" s="24">
        <f>DH19+DH23+DH27+DH31+DH35+DH39+DH43+DH47+DH51+DH55+DH59+DH63+DH67+DH71+DH75+DH79</f>
        <v>-19127.031576872487</v>
      </c>
      <c r="DJ1" s="24">
        <f>DJ19+DJ23+DJ27+DJ31+DJ35+DJ39+DJ43+DJ47+DJ51+DJ55+DJ59+DJ63+DJ67+DJ71+DJ75+DJ79</f>
        <v>-17528.217409742203</v>
      </c>
      <c r="DL1" s="24">
        <f>DL19+DL23+DL27+DL31+DL35+DL39+DL43+DL47+DL51+DL55+DL59+DL63+DL67+DL71+DL75+DL79</f>
        <v>-14289.048835371401</v>
      </c>
      <c r="DN1" s="24">
        <f>DN19+DN23+DN27+DN31+DN35+DN39+DN43+DN47+DN51+DN55+DN59+DN63+DN67+DN71+DN75+DN79</f>
        <v>-11772.380573066534</v>
      </c>
      <c r="DP1" s="24">
        <f>DP19+DP23+DP27+DP31+DP35+DP39+DP43+DP47+DP51+DP55+DP59+DP63+DP67+DP71+DP75+DP79</f>
        <v>-6416.6882573678113</v>
      </c>
      <c r="DR1" s="24">
        <f>DR19+DR23+DR27+DR31+DR35+DR39+DR43+DR47+DR51+DR55+DR59+DR63+DR67+DR71+DR75+DR79</f>
        <v>-2620.4747646610167</v>
      </c>
      <c r="DT1" s="24">
        <f>DT19+DT23+DT27+DT31+DT35+DT39+DT43+DT47+DT51+DT55+DT59+DT63+DT67+DT71+DT75+DT79</f>
        <v>2124.5495626655702</v>
      </c>
      <c r="DV1" s="24">
        <f>DV19+DV23+DV27+DV31+DV35+DV39+DV43+DV47+DV51+DV55+DV59+DV63+DV67+DV71+DV75+DV79</f>
        <v>4356.6980487589244</v>
      </c>
      <c r="DX1" s="24">
        <f>DX19+DX23+DX27+DX31+DX35+DX39+DX43+DX47+DX51+DX55+DX59+DX63+DX67+DX71+DX75+DX79</f>
        <v>4356.6980487589244</v>
      </c>
      <c r="DZ1" s="24">
        <f>DZ19+DZ23+DZ27+DZ31+DZ35+DZ39+DZ43+DZ47+DZ51+DZ55+DZ59+DZ63+DZ67+DZ71+DZ75+DZ79</f>
        <v>4356.6980487589244</v>
      </c>
      <c r="EB1" s="24">
        <f>EB19+EB23+EB27+EB31+EB35+EB39+EB43+EB47+EB51+EB55+EB59+EB63+EB67+EB71+EB75+EB79</f>
        <v>4356.6980487589244</v>
      </c>
      <c r="ED1" s="24">
        <f>ED19+ED23+ED27+ED31+ED35+ED39+ED43+ED47+ED51+ED55+ED59+ED63+ED67+ED71+ED75+ED79</f>
        <v>0</v>
      </c>
      <c r="EF1" s="24">
        <f>EF19+EF23+EF27+EF31+EF35+EF39+EF43+EF47+EF51+EF55+EF59+EF63+EF67+EF71+EF75+EF79</f>
        <v>0</v>
      </c>
      <c r="EH1" s="24">
        <f>EH19+EH23+EH27+EH31+EH35+EH39+EH43+EH47+EH51+EH55+EH59+EH63+EH67+EH71+EH75+EH79</f>
        <v>0</v>
      </c>
      <c r="EJ1" s="24">
        <f>EJ19+EJ23+EJ27+EJ31+EJ35+EJ39+EJ43+EJ47+EJ51+EJ55+EJ59+EJ63+EJ67+EJ71+EJ75+EJ79</f>
        <v>0</v>
      </c>
      <c r="EL1" s="24">
        <f>EL19+EL23+EL27+EL31+EL35+EL39+EL43+EL47+EL51+EL55+EL59+EL63+EL67+EL71+EL75+EL79</f>
        <v>0</v>
      </c>
      <c r="EN1" s="24">
        <f>EN19+EN23+EN27+EN31+EN35+EN39+EN43+EN47+EN51+EN55+EN59+EN63+EN67+EN71+EN75+EN79</f>
        <v>0</v>
      </c>
      <c r="EP1" s="24">
        <f>EP19+EP23+EP27+EP31+EP35+EP39+EP43+EP47+EP51+EP55+EP59+EP63+EP67+EP71+EP75+EP79</f>
        <v>0</v>
      </c>
      <c r="ER1" s="24">
        <f>ER19+ER23+ER27+ER31+ER35+ER39+ER43+ER47+ER51+ER55+ER59+ER63+ER67+ER71+ER75+ER79</f>
        <v>0</v>
      </c>
      <c r="ET1" s="24">
        <f>ET19+ET23+ET27+ET31+ET35+ET39+ET43+ET47+ET51+ET55+ET59+ET63+ET67+ET71+ET75+ET79</f>
        <v>0</v>
      </c>
      <c r="EV1" s="24">
        <f>EV19+EV23+EV27+EV31+EV35+EV39+EV43+EV47+EV51+EV55+EV59+EV63+EV67+EV71+EV75+EV79</f>
        <v>0</v>
      </c>
      <c r="EX1" s="24">
        <f>EX19+EX23+EX27+EX31+EX35+EX39+EX43+EX47+EX51+EX55+EX59+EX63+EX67+EX71+EX75+EX79</f>
        <v>0</v>
      </c>
      <c r="EZ1" s="24">
        <f>EZ19+EZ23+EZ27+EZ31+EZ35+EZ39+EZ43+EZ47+EZ51+EZ55+EZ59+EZ63+EZ67+EZ71+EZ75+EZ79</f>
        <v>0</v>
      </c>
    </row>
    <row r="2" spans="1:320" x14ac:dyDescent="0.35">
      <c r="B2" s="59" t="s">
        <v>46</v>
      </c>
      <c r="C2" s="7" t="s">
        <v>78</v>
      </c>
    </row>
    <row r="3" spans="1:320" x14ac:dyDescent="0.35">
      <c r="B3" s="59" t="s">
        <v>77</v>
      </c>
      <c r="C3" s="7" t="s">
        <v>79</v>
      </c>
      <c r="AJ3" s="31">
        <f>SUM(N5:AJ5)</f>
        <v>27251</v>
      </c>
      <c r="BH3" s="31"/>
      <c r="FB3" s="175"/>
    </row>
    <row r="4" spans="1:320" s="80" customFormat="1" ht="13.15" x14ac:dyDescent="0.4">
      <c r="A4" s="79"/>
      <c r="F4" s="96">
        <v>39568</v>
      </c>
      <c r="G4" s="97"/>
      <c r="H4" s="97">
        <v>39599</v>
      </c>
      <c r="I4" s="97"/>
      <c r="J4" s="97">
        <v>39629</v>
      </c>
      <c r="K4" s="97"/>
      <c r="L4" s="96">
        <v>39660</v>
      </c>
      <c r="M4" s="97"/>
      <c r="N4" s="97">
        <v>39691</v>
      </c>
      <c r="O4" s="97"/>
      <c r="P4" s="97">
        <v>39721</v>
      </c>
      <c r="Q4" s="97"/>
      <c r="R4" s="96">
        <v>39752</v>
      </c>
      <c r="S4" s="97"/>
      <c r="T4" s="97">
        <v>39782</v>
      </c>
      <c r="U4" s="97"/>
      <c r="V4" s="97">
        <v>39813</v>
      </c>
      <c r="W4" s="97"/>
      <c r="X4" s="96">
        <v>39844</v>
      </c>
      <c r="Y4" s="97"/>
      <c r="Z4" s="97">
        <v>39872</v>
      </c>
      <c r="AA4" s="97"/>
      <c r="AB4" s="97">
        <v>39903</v>
      </c>
      <c r="AC4" s="97"/>
      <c r="AD4" s="96">
        <v>39933</v>
      </c>
      <c r="AE4" s="97"/>
      <c r="AF4" s="97">
        <v>39964</v>
      </c>
      <c r="AG4" s="97"/>
      <c r="AH4" s="97">
        <v>39994</v>
      </c>
      <c r="AI4" s="97"/>
      <c r="AJ4" s="96">
        <v>40025</v>
      </c>
      <c r="AK4" s="97"/>
      <c r="AL4" s="97">
        <v>40056</v>
      </c>
      <c r="AM4" s="97"/>
      <c r="AN4" s="97">
        <v>40086</v>
      </c>
      <c r="AO4" s="97"/>
      <c r="AP4" s="96">
        <v>40117</v>
      </c>
      <c r="AQ4" s="97"/>
      <c r="AR4" s="97">
        <v>40147</v>
      </c>
      <c r="AS4" s="97"/>
      <c r="AT4" s="97">
        <v>40178</v>
      </c>
      <c r="AU4" s="97"/>
      <c r="AV4" s="96">
        <v>40209</v>
      </c>
      <c r="AW4" s="97"/>
      <c r="AX4" s="97">
        <v>40237</v>
      </c>
      <c r="AY4" s="97"/>
      <c r="AZ4" s="97">
        <v>40268</v>
      </c>
      <c r="BA4" s="97"/>
      <c r="BB4" s="96">
        <v>40298</v>
      </c>
      <c r="BC4" s="97"/>
      <c r="BD4" s="97">
        <v>40329</v>
      </c>
      <c r="BE4" s="97"/>
      <c r="BF4" s="97">
        <v>40359</v>
      </c>
      <c r="BG4" s="97"/>
      <c r="BH4" s="96">
        <v>40390</v>
      </c>
      <c r="BI4" s="97"/>
      <c r="BJ4" s="97">
        <v>40421</v>
      </c>
      <c r="BK4" s="97"/>
      <c r="BL4" s="97">
        <v>40451</v>
      </c>
      <c r="BM4" s="97"/>
      <c r="BN4" s="96">
        <v>40482</v>
      </c>
      <c r="BO4" s="97"/>
      <c r="BP4" s="97">
        <v>40512</v>
      </c>
      <c r="BQ4" s="97"/>
      <c r="BR4" s="97">
        <v>40543</v>
      </c>
      <c r="BS4" s="97"/>
      <c r="BT4" s="96">
        <v>40574</v>
      </c>
      <c r="BU4" s="97"/>
      <c r="BV4" s="98">
        <v>40602</v>
      </c>
      <c r="BW4" s="97"/>
      <c r="BX4" s="97">
        <v>40633</v>
      </c>
      <c r="BY4" s="97"/>
      <c r="BZ4" s="96">
        <v>40663</v>
      </c>
      <c r="CA4" s="97"/>
      <c r="CB4" s="97">
        <v>40694</v>
      </c>
      <c r="CC4" s="97"/>
      <c r="CD4" s="97">
        <v>40724</v>
      </c>
      <c r="CE4" s="97"/>
      <c r="CF4" s="96">
        <v>40755</v>
      </c>
      <c r="CG4" s="97"/>
      <c r="CH4" s="97">
        <v>40786</v>
      </c>
      <c r="CI4" s="97"/>
      <c r="CJ4" s="97">
        <v>40816</v>
      </c>
      <c r="CK4" s="97"/>
      <c r="CL4" s="96">
        <v>40847</v>
      </c>
      <c r="CM4" s="97"/>
      <c r="CN4" s="97">
        <v>40877</v>
      </c>
      <c r="CO4" s="97"/>
      <c r="CP4" s="97">
        <v>40908</v>
      </c>
      <c r="CQ4" s="97"/>
      <c r="CR4" s="96">
        <v>40939</v>
      </c>
      <c r="CS4" s="97"/>
      <c r="CT4" s="97">
        <v>40967</v>
      </c>
      <c r="CU4" s="97"/>
      <c r="CV4" s="97">
        <v>40999</v>
      </c>
      <c r="CW4" s="97"/>
      <c r="CX4" s="96">
        <v>41029</v>
      </c>
      <c r="CY4" s="97"/>
      <c r="CZ4" s="97">
        <v>41060</v>
      </c>
      <c r="DA4" s="97"/>
      <c r="DB4" s="97">
        <v>41090</v>
      </c>
      <c r="DC4" s="97"/>
      <c r="DD4" s="96">
        <v>41121</v>
      </c>
      <c r="DE4" s="97"/>
      <c r="DF4" s="97">
        <v>41152</v>
      </c>
      <c r="DG4" s="97"/>
      <c r="DH4" s="97">
        <v>41182</v>
      </c>
      <c r="DI4" s="97"/>
      <c r="DJ4" s="96">
        <v>41213</v>
      </c>
      <c r="DK4" s="97"/>
      <c r="DL4" s="97">
        <v>41243</v>
      </c>
      <c r="DM4" s="97"/>
      <c r="DN4" s="97">
        <v>41274</v>
      </c>
      <c r="DO4" s="97"/>
      <c r="DP4" s="96">
        <v>41305</v>
      </c>
      <c r="DQ4" s="97"/>
      <c r="DR4" s="97">
        <v>41333</v>
      </c>
      <c r="DS4" s="97"/>
      <c r="DT4" s="97">
        <v>41364</v>
      </c>
      <c r="DU4" s="97"/>
      <c r="DV4" s="96">
        <v>41394</v>
      </c>
      <c r="DW4" s="97"/>
      <c r="DX4" s="97">
        <v>41425</v>
      </c>
      <c r="DY4" s="97"/>
      <c r="DZ4" s="97">
        <v>41455</v>
      </c>
      <c r="EA4" s="97"/>
      <c r="EB4" s="96">
        <v>41486</v>
      </c>
      <c r="EC4" s="97"/>
      <c r="ED4" s="97">
        <v>41517</v>
      </c>
      <c r="EE4" s="97"/>
      <c r="EF4" s="97">
        <v>41547</v>
      </c>
      <c r="EG4" s="97"/>
      <c r="EH4" s="96">
        <v>41578</v>
      </c>
      <c r="EJ4" s="97">
        <v>41608</v>
      </c>
      <c r="EK4" s="97"/>
      <c r="EL4" s="97">
        <v>41639</v>
      </c>
      <c r="EM4" s="97"/>
      <c r="EN4" s="122">
        <v>41670</v>
      </c>
      <c r="EP4" s="97">
        <v>41698</v>
      </c>
      <c r="EQ4" s="97"/>
      <c r="ER4" s="97">
        <v>41729</v>
      </c>
      <c r="ES4" s="97"/>
      <c r="ET4" s="122">
        <v>41759</v>
      </c>
      <c r="EU4" s="97"/>
      <c r="EV4" s="97">
        <v>41790</v>
      </c>
      <c r="EW4" s="97"/>
      <c r="EX4" s="97">
        <v>41820</v>
      </c>
      <c r="EY4" s="97"/>
      <c r="EZ4" s="122">
        <v>41851</v>
      </c>
      <c r="FA4" s="97"/>
      <c r="KL4" s="97">
        <v>43982</v>
      </c>
      <c r="KM4" s="97"/>
      <c r="KN4" s="97">
        <v>44012</v>
      </c>
      <c r="KO4" s="97"/>
      <c r="KP4" s="96">
        <v>44043</v>
      </c>
      <c r="KQ4" s="97"/>
      <c r="KR4" s="97">
        <v>44074</v>
      </c>
      <c r="KS4" s="97"/>
      <c r="KT4" s="97">
        <v>44104</v>
      </c>
      <c r="KU4" s="97"/>
      <c r="KV4" s="96">
        <v>44135</v>
      </c>
      <c r="KW4" s="97"/>
      <c r="KX4" s="97">
        <v>44165</v>
      </c>
      <c r="KY4" s="97"/>
      <c r="KZ4" s="97">
        <v>44196</v>
      </c>
      <c r="LA4" s="97"/>
      <c r="LB4" s="122">
        <v>44227</v>
      </c>
      <c r="LC4" s="97"/>
      <c r="LD4" s="97">
        <v>44255</v>
      </c>
      <c r="LE4" s="97"/>
      <c r="LF4" s="97">
        <v>44286</v>
      </c>
      <c r="LG4" s="97"/>
      <c r="LH4" s="122">
        <v>44316</v>
      </c>
    </row>
    <row r="5" spans="1:320" ht="13.15" x14ac:dyDescent="0.4">
      <c r="A5" s="7" t="s">
        <v>37</v>
      </c>
      <c r="F5" s="115">
        <f>Sales!L4</f>
        <v>1428</v>
      </c>
      <c r="H5" s="123">
        <f>Sales!N4</f>
        <v>1408</v>
      </c>
      <c r="J5" s="123">
        <f>Sales!P4</f>
        <v>637</v>
      </c>
      <c r="L5" s="115">
        <f>Sales!R4</f>
        <v>786</v>
      </c>
      <c r="N5" s="123">
        <f>Sales!T4</f>
        <v>683</v>
      </c>
      <c r="O5" s="87"/>
      <c r="P5" s="123">
        <f>Sales!V4</f>
        <v>851</v>
      </c>
      <c r="Q5" s="87"/>
      <c r="R5" s="115">
        <f>Sales!X4</f>
        <v>1129</v>
      </c>
      <c r="T5" s="123">
        <f>Sales!Z4</f>
        <v>3712</v>
      </c>
      <c r="U5" s="87"/>
      <c r="V5" s="123">
        <f>Sales!AB4</f>
        <v>3441</v>
      </c>
      <c r="W5" s="87"/>
      <c r="X5" s="115">
        <f>Sales!F5</f>
        <v>5621</v>
      </c>
      <c r="Z5" s="123">
        <f>Sales!H5</f>
        <v>4445</v>
      </c>
      <c r="AB5" s="123">
        <f>Sales!J5</f>
        <v>3436</v>
      </c>
      <c r="AC5" s="87"/>
      <c r="AD5" s="115">
        <f>Sales!L5</f>
        <v>1575</v>
      </c>
      <c r="AE5" s="87"/>
      <c r="AF5" s="123">
        <f>Sales!N5</f>
        <v>952</v>
      </c>
      <c r="AH5" s="123">
        <f>Sales!P5</f>
        <v>680</v>
      </c>
      <c r="AI5" s="87"/>
      <c r="AJ5" s="115">
        <f>Sales!R5</f>
        <v>726</v>
      </c>
      <c r="AL5" s="123">
        <f>Sales!T5</f>
        <v>669</v>
      </c>
      <c r="AM5" s="87"/>
      <c r="AN5" s="123">
        <f>Sales!V5</f>
        <v>749</v>
      </c>
      <c r="AO5" s="87"/>
      <c r="AP5" s="115">
        <f>Sales!X5</f>
        <v>1336</v>
      </c>
      <c r="AR5" s="123">
        <f>Sales!Z5</f>
        <v>1726</v>
      </c>
      <c r="AS5" s="87"/>
      <c r="AT5" s="123">
        <f>Sales!AB5</f>
        <v>5564</v>
      </c>
      <c r="AU5" s="87"/>
      <c r="AV5" s="115">
        <f>Sales!F6</f>
        <v>5820</v>
      </c>
      <c r="AX5" s="123">
        <f>Sales!H6</f>
        <v>6407</v>
      </c>
      <c r="AZ5" s="123">
        <f>Sales!J6</f>
        <v>4116</v>
      </c>
      <c r="BA5" s="87"/>
      <c r="BB5" s="115">
        <f>Sales!L6</f>
        <v>1569</v>
      </c>
      <c r="BC5" s="87"/>
      <c r="BD5" s="123">
        <f>Sales!N6</f>
        <v>999</v>
      </c>
      <c r="BF5" s="123">
        <f>Sales!P6</f>
        <v>1082</v>
      </c>
      <c r="BG5" s="87"/>
      <c r="BH5" s="115">
        <f>Sales!R6</f>
        <v>771</v>
      </c>
      <c r="BJ5" s="123">
        <f>Sales!T6</f>
        <v>644</v>
      </c>
      <c r="BK5" s="87"/>
      <c r="BL5" s="123">
        <f>Sales!V6</f>
        <v>1097</v>
      </c>
      <c r="BM5" s="87"/>
      <c r="BN5" s="115">
        <f>Sales!X6</f>
        <v>1384</v>
      </c>
      <c r="BP5" s="123">
        <f>Sales!Z6</f>
        <v>1726</v>
      </c>
      <c r="BQ5" s="87"/>
      <c r="BR5" s="123">
        <f>Sales!AB6</f>
        <v>5564</v>
      </c>
      <c r="BT5" s="115">
        <f>Sales!F7</f>
        <v>5820</v>
      </c>
      <c r="BV5" s="123">
        <f>Sales!H7</f>
        <v>6407</v>
      </c>
      <c r="BX5" s="123">
        <f>Sales!J7</f>
        <v>2726.9</v>
      </c>
      <c r="BY5" s="87"/>
      <c r="BZ5" s="115">
        <f>Sales!L7</f>
        <v>1673.1</v>
      </c>
      <c r="CB5" s="123">
        <f>Sales!N7</f>
        <v>1300.7</v>
      </c>
      <c r="CC5" s="87"/>
      <c r="CD5" s="123">
        <f>Sales!P7</f>
        <v>1128.8</v>
      </c>
      <c r="CE5" s="87"/>
      <c r="CF5" s="115">
        <f>Sales!R7</f>
        <v>739.4</v>
      </c>
      <c r="CH5" s="123">
        <f>Sales!T7</f>
        <v>877.1</v>
      </c>
      <c r="CJ5" s="123">
        <f>Sales!V7</f>
        <v>810</v>
      </c>
      <c r="CL5" s="115">
        <f>Sales!X7</f>
        <v>1253.3</v>
      </c>
      <c r="CN5" s="123">
        <f>Sales!Z7</f>
        <v>2602.1999999999998</v>
      </c>
      <c r="CP5" s="123">
        <f>Sales!AB7</f>
        <v>3335.3</v>
      </c>
      <c r="CR5" s="115">
        <f>Sales!F8</f>
        <v>5134.3</v>
      </c>
      <c r="CT5" s="123">
        <v>5277.8</v>
      </c>
      <c r="CV5" s="123">
        <v>3139.38</v>
      </c>
      <c r="CX5" s="115">
        <v>1543.42</v>
      </c>
      <c r="CZ5" s="123">
        <f>Sales!N8</f>
        <v>1253</v>
      </c>
      <c r="DB5" s="123">
        <f>Sales!P8</f>
        <v>880.1</v>
      </c>
      <c r="DD5" s="123">
        <f>Sales!R8</f>
        <v>1045.5999999999999</v>
      </c>
      <c r="DE5" s="179"/>
      <c r="DF5" s="123">
        <f>Sales!T8</f>
        <v>1227.3</v>
      </c>
      <c r="DH5" s="123">
        <f>Sales!V8</f>
        <v>1048.7</v>
      </c>
      <c r="DJ5" s="123">
        <f>Sales!X8</f>
        <v>1812.8</v>
      </c>
      <c r="DK5" s="179"/>
      <c r="DL5" s="123">
        <f>Sales!Z8</f>
        <v>3672.7</v>
      </c>
      <c r="DN5" s="123">
        <f>Sales!AB8</f>
        <v>2853.5</v>
      </c>
      <c r="DP5" s="115">
        <f>Sales!F9</f>
        <v>6072.5</v>
      </c>
      <c r="DR5" s="123">
        <f>Sales!H9</f>
        <v>4304.3</v>
      </c>
      <c r="DT5" s="123">
        <f>Sales!J9</f>
        <v>5380.1</v>
      </c>
      <c r="DV5" s="115">
        <f>Sales!L9</f>
        <v>2530.9</v>
      </c>
      <c r="DX5" s="123">
        <f>Sales!N9</f>
        <v>1603</v>
      </c>
      <c r="DZ5" s="123">
        <f>Sales!P9</f>
        <v>911.2</v>
      </c>
      <c r="EB5" s="115">
        <f>Sales!R9</f>
        <v>809.8</v>
      </c>
      <c r="ED5" s="115">
        <f>Sales!T9</f>
        <v>1047.2</v>
      </c>
      <c r="EF5" s="115">
        <f>Sales!V9</f>
        <v>1050.7</v>
      </c>
      <c r="EH5" s="115">
        <f>Sales!X9</f>
        <v>1618.4</v>
      </c>
      <c r="EJ5" s="123">
        <f>Sales!Z9</f>
        <v>2334</v>
      </c>
      <c r="EL5" s="123">
        <f>Sales!AB9</f>
        <v>3906</v>
      </c>
      <c r="EN5" s="115">
        <f>Sales!F10</f>
        <v>6465</v>
      </c>
      <c r="EP5" s="123">
        <f>Sales!H10</f>
        <v>5710</v>
      </c>
      <c r="ER5" s="123">
        <f>Sales!J10</f>
        <v>3962</v>
      </c>
      <c r="ET5" s="115">
        <f>Sales!L10</f>
        <v>2176</v>
      </c>
      <c r="EV5" s="123">
        <f>Sales!N10</f>
        <v>1037</v>
      </c>
      <c r="EX5" s="123">
        <f>Sales!P10</f>
        <v>999</v>
      </c>
      <c r="EZ5" s="123">
        <f>Sales!R10</f>
        <v>957</v>
      </c>
      <c r="KL5" s="115">
        <f>Sales!N20</f>
        <v>6925.6</v>
      </c>
      <c r="KM5" s="175"/>
      <c r="KN5" s="115">
        <f>Sales!P20</f>
        <v>5577.6</v>
      </c>
      <c r="KO5" s="175"/>
      <c r="KP5" s="115">
        <f>Sales!R20</f>
        <v>5064.2</v>
      </c>
      <c r="KQ5" s="175"/>
      <c r="KR5" s="115">
        <f>Sales!T20</f>
        <v>5674.6</v>
      </c>
      <c r="KS5" s="175"/>
      <c r="KT5" s="123">
        <f>Sales!V20</f>
        <v>5643.16</v>
      </c>
      <c r="KU5" s="175"/>
      <c r="KV5" s="115">
        <f>Sales!X20</f>
        <v>6536.26</v>
      </c>
      <c r="KW5" s="175"/>
      <c r="KX5" s="115">
        <f>Sales!Z20</f>
        <v>10360.960000000001</v>
      </c>
      <c r="KY5" s="175"/>
      <c r="KZ5" s="115">
        <f>Sales!AB20</f>
        <v>10711.16</v>
      </c>
      <c r="LA5" s="175"/>
      <c r="LB5" s="115">
        <f>Sales!F20</f>
        <v>11157.119999999999</v>
      </c>
      <c r="LC5" s="175"/>
      <c r="LD5" s="123">
        <f>Sales!H20</f>
        <v>11142.119999999999</v>
      </c>
      <c r="LE5" s="10"/>
      <c r="LF5" s="123">
        <f>Sales!J20</f>
        <v>11152.539999999999</v>
      </c>
      <c r="LG5" s="175"/>
      <c r="LH5" s="115">
        <f>Sales!L20</f>
        <v>8966.24</v>
      </c>
    </row>
    <row r="6" spans="1:320" s="51" customFormat="1" ht="13.15" x14ac:dyDescent="0.4">
      <c r="A6" s="54"/>
      <c r="F6" s="133"/>
      <c r="H6" s="111"/>
      <c r="J6" s="111"/>
      <c r="L6" s="133"/>
      <c r="N6" s="111"/>
      <c r="O6" s="134"/>
      <c r="P6" s="111"/>
      <c r="Q6" s="134"/>
      <c r="R6" s="133"/>
      <c r="T6" s="111"/>
      <c r="U6" s="134"/>
      <c r="V6" s="111"/>
      <c r="W6" s="134"/>
      <c r="X6" s="133"/>
      <c r="Z6" s="111"/>
      <c r="AB6" s="111"/>
      <c r="AC6" s="134"/>
      <c r="AD6" s="133"/>
      <c r="AE6" s="134"/>
      <c r="AF6" s="111"/>
      <c r="AH6" s="111"/>
      <c r="AI6" s="134"/>
      <c r="AJ6" s="133"/>
      <c r="AL6" s="111"/>
      <c r="AM6" s="134"/>
      <c r="AN6" s="111"/>
      <c r="AO6" s="134"/>
      <c r="AP6" s="133"/>
      <c r="AR6" s="111"/>
      <c r="AS6" s="134"/>
      <c r="AT6" s="111"/>
      <c r="AU6" s="134"/>
      <c r="AV6" s="133"/>
      <c r="AX6" s="111"/>
      <c r="AZ6" s="111"/>
      <c r="BA6" s="134"/>
      <c r="BB6" s="133"/>
      <c r="BC6" s="134"/>
      <c r="BD6" s="111"/>
      <c r="BF6" s="111"/>
      <c r="BG6" s="134"/>
      <c r="BH6" s="133"/>
      <c r="BJ6" s="111"/>
      <c r="BK6" s="134"/>
      <c r="BL6" s="111"/>
      <c r="BM6" s="134"/>
      <c r="BN6" s="133"/>
      <c r="BP6" s="111"/>
      <c r="BQ6" s="134"/>
      <c r="BR6" s="111"/>
      <c r="BT6" s="133"/>
      <c r="BV6" s="111"/>
      <c r="BX6" s="111"/>
      <c r="BY6" s="134"/>
      <c r="BZ6" s="133"/>
      <c r="CB6" s="111"/>
      <c r="CC6" s="134"/>
      <c r="CD6" s="111"/>
      <c r="CE6" s="134"/>
      <c r="CF6" s="133"/>
      <c r="CH6" s="111"/>
      <c r="CJ6" s="111"/>
      <c r="CL6" s="133"/>
      <c r="CN6" s="111"/>
      <c r="CP6" s="111"/>
      <c r="CR6" s="133"/>
      <c r="CT6" s="111"/>
      <c r="CV6" s="111"/>
      <c r="CX6" s="133"/>
      <c r="CZ6" s="111"/>
      <c r="DB6" s="111"/>
      <c r="DD6" s="133"/>
      <c r="DF6" s="111"/>
      <c r="DH6" s="111"/>
      <c r="DJ6" s="133"/>
      <c r="DL6" s="111"/>
      <c r="DN6" s="111"/>
      <c r="DP6" s="133"/>
      <c r="DR6" s="111"/>
      <c r="DT6" s="111"/>
      <c r="DV6" s="133"/>
      <c r="DX6" s="111"/>
      <c r="DZ6" s="111"/>
      <c r="EB6" s="133"/>
      <c r="ED6" s="111"/>
      <c r="EF6" s="111"/>
      <c r="EH6" s="133"/>
      <c r="EJ6" s="111"/>
      <c r="EL6" s="111"/>
      <c r="EN6" s="133"/>
      <c r="EP6" s="111"/>
      <c r="ER6" s="111"/>
      <c r="ET6" s="133"/>
      <c r="EV6" s="111"/>
      <c r="EX6" s="111"/>
      <c r="EZ6" s="133"/>
    </row>
    <row r="7" spans="1:320" s="110" customFormat="1" ht="13.15" x14ac:dyDescent="0.4">
      <c r="A7" s="140"/>
      <c r="F7" s="111"/>
      <c r="H7" s="111"/>
      <c r="J7" s="111"/>
      <c r="L7" s="111"/>
      <c r="N7" s="111"/>
      <c r="O7" s="141"/>
      <c r="P7" s="111"/>
      <c r="Q7" s="141"/>
      <c r="R7" s="111"/>
      <c r="T7" s="111"/>
      <c r="U7" s="141"/>
      <c r="V7" s="111"/>
      <c r="W7" s="141"/>
      <c r="X7" s="111"/>
      <c r="Z7" s="111"/>
      <c r="AB7" s="111"/>
      <c r="AC7" s="141"/>
      <c r="AD7" s="111"/>
      <c r="AE7" s="141"/>
      <c r="AF7" s="111"/>
      <c r="AH7" s="111"/>
      <c r="AI7" s="141"/>
      <c r="AJ7" s="111"/>
      <c r="AL7" s="111"/>
      <c r="AM7" s="141"/>
      <c r="AN7" s="111"/>
      <c r="AO7" s="141"/>
      <c r="AP7" s="111"/>
      <c r="AR7" s="111"/>
      <c r="AS7" s="141"/>
      <c r="AT7" s="111"/>
      <c r="AU7" s="141"/>
      <c r="AV7" s="111"/>
      <c r="AX7" s="111"/>
      <c r="AZ7" s="111"/>
      <c r="BA7" s="141"/>
      <c r="BB7" s="111"/>
      <c r="BC7" s="141"/>
      <c r="BD7" s="111"/>
      <c r="BF7" s="111"/>
      <c r="BG7" s="141"/>
      <c r="BH7" s="111"/>
      <c r="BJ7" s="111"/>
      <c r="BK7" s="141"/>
      <c r="BL7" s="111"/>
      <c r="BM7" s="141"/>
      <c r="BN7" s="111"/>
      <c r="BP7" s="111"/>
      <c r="BQ7" s="141"/>
      <c r="BR7" s="111"/>
      <c r="BT7" s="111"/>
      <c r="BV7" s="111"/>
      <c r="BX7" s="136"/>
      <c r="BY7" s="141"/>
      <c r="BZ7" s="136"/>
      <c r="CB7" s="136"/>
      <c r="CC7" s="141"/>
      <c r="CD7" s="136"/>
      <c r="CE7" s="141"/>
      <c r="CF7" s="136"/>
      <c r="CH7" s="136"/>
      <c r="CJ7" s="136"/>
      <c r="CL7" s="136"/>
      <c r="CN7" s="136"/>
      <c r="CP7" s="136"/>
      <c r="CR7" s="136"/>
      <c r="CT7" s="136"/>
      <c r="CV7" s="136"/>
      <c r="CX7" s="111"/>
      <c r="CZ7" s="111"/>
      <c r="DB7" s="111"/>
      <c r="DD7" s="111"/>
      <c r="DF7" s="111"/>
      <c r="DH7" s="111"/>
      <c r="DJ7" s="111"/>
      <c r="DL7" s="111"/>
      <c r="DN7" s="111"/>
      <c r="DP7" s="111"/>
      <c r="DR7" s="111"/>
      <c r="DT7" s="111"/>
      <c r="DV7" s="111"/>
      <c r="DX7" s="111"/>
      <c r="DZ7" s="111"/>
      <c r="EB7" s="111"/>
      <c r="ED7" s="111"/>
      <c r="EF7" s="111"/>
      <c r="EH7" s="111"/>
      <c r="EJ7" s="111"/>
      <c r="EL7" s="111"/>
      <c r="EN7" s="111"/>
      <c r="EP7" s="111"/>
      <c r="ER7" s="111"/>
      <c r="ET7" s="111"/>
      <c r="EV7" s="111"/>
      <c r="EX7" s="111"/>
      <c r="EZ7" s="111"/>
    </row>
    <row r="8" spans="1:320" s="110" customFormat="1" ht="13.15" hidden="1" x14ac:dyDescent="0.4">
      <c r="A8" s="140"/>
      <c r="F8" s="111"/>
      <c r="H8" s="111"/>
      <c r="J8" s="111"/>
      <c r="L8" s="111"/>
      <c r="N8" s="111"/>
      <c r="O8" s="141"/>
      <c r="P8" s="111"/>
      <c r="Q8" s="141"/>
      <c r="R8" s="111"/>
      <c r="T8" s="111"/>
      <c r="U8" s="141"/>
      <c r="V8" s="111"/>
      <c r="W8" s="141"/>
      <c r="X8" s="111"/>
      <c r="Z8" s="111"/>
      <c r="AB8" s="111"/>
      <c r="AC8" s="141"/>
      <c r="AD8" s="111"/>
      <c r="AE8" s="141"/>
      <c r="AF8" s="111"/>
      <c r="AH8" s="111"/>
      <c r="AI8" s="141"/>
      <c r="AJ8" s="111"/>
      <c r="AL8" s="111"/>
      <c r="AM8" s="141"/>
      <c r="AN8" s="111"/>
      <c r="AO8" s="141"/>
      <c r="AP8" s="111"/>
      <c r="AR8" s="111"/>
      <c r="AS8" s="141"/>
      <c r="AT8" s="111"/>
      <c r="AU8" s="141"/>
      <c r="AV8" s="111"/>
      <c r="AX8" s="111"/>
      <c r="AZ8" s="111"/>
      <c r="BA8" s="141"/>
      <c r="BB8" s="111"/>
      <c r="BC8" s="141"/>
      <c r="BD8" s="111"/>
      <c r="BF8" s="111"/>
      <c r="BG8" s="141"/>
      <c r="BH8" s="111"/>
      <c r="BJ8" s="111"/>
      <c r="BK8" s="141"/>
      <c r="BL8" s="111"/>
      <c r="BM8" s="141"/>
      <c r="BN8" s="111"/>
      <c r="BP8" s="111"/>
      <c r="BQ8" s="141"/>
      <c r="BR8" s="111"/>
      <c r="BT8" s="111"/>
      <c r="BV8" s="111"/>
      <c r="BX8" s="136"/>
      <c r="BY8" s="141"/>
      <c r="BZ8" s="136"/>
      <c r="CB8" s="136"/>
      <c r="CC8" s="141"/>
      <c r="CD8" s="136"/>
      <c r="CE8" s="141"/>
      <c r="CF8" s="136"/>
      <c r="CH8" s="136"/>
      <c r="CJ8" s="136"/>
      <c r="CL8" s="136"/>
      <c r="CN8" s="136"/>
      <c r="CP8" s="136"/>
      <c r="CR8" s="136"/>
      <c r="CT8" s="136"/>
      <c r="CV8" s="136"/>
      <c r="CX8" s="111"/>
      <c r="CZ8" s="111"/>
      <c r="DB8" s="111"/>
      <c r="DD8" s="111"/>
      <c r="DF8" s="111"/>
      <c r="DH8" s="111"/>
      <c r="DJ8" s="111"/>
      <c r="DL8" s="111"/>
      <c r="DN8" s="111"/>
      <c r="DP8" s="111"/>
      <c r="DR8" s="111"/>
      <c r="DT8" s="111"/>
      <c r="DV8" s="111"/>
      <c r="DX8" s="111"/>
      <c r="DZ8" s="111"/>
      <c r="EB8" s="111"/>
      <c r="ED8" s="111"/>
      <c r="EF8" s="111"/>
      <c r="EH8" s="111"/>
      <c r="EJ8" s="111"/>
      <c r="EL8" s="111"/>
      <c r="EN8" s="111"/>
      <c r="EP8" s="111"/>
      <c r="ER8" s="111"/>
      <c r="ET8" s="111"/>
      <c r="EV8" s="111"/>
      <c r="EX8" s="111"/>
      <c r="EZ8" s="111"/>
    </row>
    <row r="9" spans="1:320" s="110" customFormat="1" ht="13.15" hidden="1" x14ac:dyDescent="0.4">
      <c r="A9" s="140"/>
      <c r="F9" s="111"/>
      <c r="H9" s="111"/>
      <c r="J9" s="111"/>
      <c r="L9" s="111"/>
      <c r="N9" s="111"/>
      <c r="O9" s="141"/>
      <c r="P9" s="111"/>
      <c r="Q9" s="141"/>
      <c r="R9" s="111"/>
      <c r="T9" s="111"/>
      <c r="U9" s="141"/>
      <c r="V9" s="111"/>
      <c r="W9" s="141"/>
      <c r="X9" s="111"/>
      <c r="Z9" s="111"/>
      <c r="AB9" s="111"/>
      <c r="AC9" s="141"/>
      <c r="AD9" s="111"/>
      <c r="AE9" s="141"/>
      <c r="AF9" s="111"/>
      <c r="AH9" s="111"/>
      <c r="AI9" s="141"/>
      <c r="AJ9" s="111"/>
      <c r="AL9" s="111"/>
      <c r="AM9" s="141"/>
      <c r="AN9" s="111"/>
      <c r="AO9" s="141"/>
      <c r="AP9" s="111"/>
      <c r="AR9" s="111"/>
      <c r="AS9" s="141"/>
      <c r="AT9" s="111"/>
      <c r="AU9" s="141"/>
      <c r="AV9" s="111"/>
      <c r="AX9" s="111"/>
      <c r="AZ9" s="111"/>
      <c r="BA9" s="141"/>
      <c r="BB9" s="111"/>
      <c r="BC9" s="141"/>
      <c r="BD9" s="111"/>
      <c r="BF9" s="111"/>
      <c r="BG9" s="141"/>
      <c r="BH9" s="111"/>
      <c r="BJ9" s="111"/>
      <c r="BK9" s="141"/>
      <c r="BL9" s="111"/>
      <c r="BM9" s="141"/>
      <c r="BN9" s="111"/>
      <c r="BP9" s="111"/>
      <c r="BQ9" s="141"/>
      <c r="BR9" s="111"/>
      <c r="BT9" s="111"/>
      <c r="BV9" s="111"/>
      <c r="BX9" s="137"/>
      <c r="BY9" s="141"/>
      <c r="BZ9" s="137"/>
      <c r="CB9" s="137"/>
      <c r="CC9" s="141"/>
      <c r="CD9" s="137"/>
      <c r="CE9" s="141"/>
      <c r="CF9" s="137"/>
      <c r="CH9" s="137"/>
      <c r="CJ9" s="137"/>
      <c r="CL9" s="137"/>
      <c r="CN9" s="137"/>
      <c r="CP9" s="137"/>
      <c r="CR9" s="137"/>
      <c r="CT9" s="137"/>
      <c r="CV9" s="137"/>
      <c r="CX9" s="111"/>
      <c r="CZ9" s="111"/>
      <c r="DB9" s="111"/>
      <c r="DD9" s="111"/>
      <c r="DF9" s="111"/>
      <c r="DH9" s="111"/>
      <c r="DJ9" s="111"/>
      <c r="DL9" s="111"/>
      <c r="DN9" s="111"/>
      <c r="DP9" s="111"/>
      <c r="DR9" s="111"/>
      <c r="DT9" s="111"/>
      <c r="DV9" s="111"/>
      <c r="DX9" s="111"/>
      <c r="DZ9" s="111"/>
      <c r="EB9" s="111"/>
      <c r="ED9" s="111"/>
      <c r="EF9" s="111"/>
      <c r="EH9" s="111"/>
      <c r="EJ9" s="111"/>
      <c r="EL9" s="111"/>
      <c r="EN9" s="111"/>
      <c r="EP9" s="111"/>
      <c r="ER9" s="111"/>
      <c r="ET9" s="111"/>
      <c r="EV9" s="111"/>
      <c r="EX9" s="111"/>
      <c r="EZ9" s="111"/>
    </row>
    <row r="10" spans="1:320" s="110" customFormat="1" ht="13.15" hidden="1" x14ac:dyDescent="0.4">
      <c r="A10" s="140"/>
      <c r="F10" s="111"/>
      <c r="H10" s="111"/>
      <c r="J10" s="111"/>
      <c r="L10" s="111"/>
      <c r="N10" s="111"/>
      <c r="O10" s="141"/>
      <c r="P10" s="111"/>
      <c r="Q10" s="141"/>
      <c r="R10" s="111"/>
      <c r="T10" s="111"/>
      <c r="U10" s="141"/>
      <c r="V10" s="111"/>
      <c r="W10" s="141"/>
      <c r="X10" s="111"/>
      <c r="Z10" s="111"/>
      <c r="AB10" s="111"/>
      <c r="AC10" s="141"/>
      <c r="AD10" s="111"/>
      <c r="AE10" s="141"/>
      <c r="AF10" s="111"/>
      <c r="AH10" s="111"/>
      <c r="AI10" s="141"/>
      <c r="AJ10" s="111"/>
      <c r="AL10" s="111"/>
      <c r="AM10" s="141"/>
      <c r="AN10" s="111"/>
      <c r="AO10" s="141"/>
      <c r="AP10" s="111"/>
      <c r="AR10" s="111"/>
      <c r="AS10" s="141"/>
      <c r="AT10" s="111"/>
      <c r="AU10" s="141"/>
      <c r="AV10" s="111"/>
      <c r="AX10" s="111"/>
      <c r="AZ10" s="111"/>
      <c r="BA10" s="141"/>
      <c r="BB10" s="111"/>
      <c r="BC10" s="141"/>
      <c r="BD10" s="111"/>
      <c r="BF10" s="111"/>
      <c r="BG10" s="141"/>
      <c r="BH10" s="111"/>
      <c r="BJ10" s="111"/>
      <c r="BK10" s="141"/>
      <c r="BL10" s="111"/>
      <c r="BM10" s="141"/>
      <c r="BN10" s="111"/>
      <c r="BP10" s="111"/>
      <c r="BQ10" s="141"/>
      <c r="BR10" s="111"/>
      <c r="BT10" s="111"/>
      <c r="BV10" s="111"/>
      <c r="BX10" s="111"/>
      <c r="BY10" s="141"/>
      <c r="BZ10" s="111"/>
      <c r="CB10" s="111"/>
      <c r="CC10" s="141"/>
      <c r="CD10" s="111"/>
      <c r="CE10" s="141"/>
      <c r="CF10" s="111"/>
      <c r="CH10" s="111"/>
      <c r="CJ10" s="111"/>
      <c r="CL10" s="111"/>
      <c r="CN10" s="111"/>
      <c r="CP10" s="111"/>
      <c r="CR10" s="111"/>
      <c r="CT10" s="111"/>
      <c r="CV10" s="111"/>
      <c r="CX10" s="111"/>
      <c r="CZ10" s="111"/>
      <c r="DB10" s="111"/>
      <c r="DD10" s="111"/>
      <c r="DF10" s="111"/>
      <c r="DH10" s="111"/>
      <c r="DJ10" s="111"/>
      <c r="DL10" s="111"/>
      <c r="DN10" s="111"/>
      <c r="DP10" s="111"/>
      <c r="DR10" s="111"/>
      <c r="DT10" s="111"/>
      <c r="DV10" s="111"/>
      <c r="DX10" s="111"/>
      <c r="DZ10" s="111"/>
      <c r="EB10" s="111"/>
      <c r="ED10" s="111"/>
      <c r="EF10" s="111"/>
      <c r="EH10" s="111"/>
      <c r="EJ10" s="111"/>
      <c r="EL10" s="111"/>
      <c r="EN10" s="111"/>
      <c r="EP10" s="111"/>
      <c r="ER10" s="111"/>
      <c r="ET10" s="111"/>
      <c r="EV10" s="111"/>
      <c r="EX10" s="111"/>
      <c r="EZ10" s="111"/>
    </row>
    <row r="11" spans="1:320" s="110" customFormat="1" ht="13.15" hidden="1" x14ac:dyDescent="0.4">
      <c r="A11" s="140"/>
      <c r="F11" s="111"/>
      <c r="H11" s="111"/>
      <c r="J11" s="111"/>
      <c r="L11" s="111"/>
      <c r="N11" s="111"/>
      <c r="O11" s="141"/>
      <c r="P11" s="111"/>
      <c r="Q11" s="141"/>
      <c r="R11" s="111"/>
      <c r="T11" s="111"/>
      <c r="U11" s="141"/>
      <c r="V11" s="111"/>
      <c r="W11" s="141"/>
      <c r="X11" s="111"/>
      <c r="Z11" s="111"/>
      <c r="AB11" s="111"/>
      <c r="AC11" s="141"/>
      <c r="AD11" s="111"/>
      <c r="AE11" s="141"/>
      <c r="AF11" s="111"/>
      <c r="AH11" s="111"/>
      <c r="AI11" s="141"/>
      <c r="AJ11" s="111"/>
      <c r="AL11" s="111"/>
      <c r="AM11" s="141"/>
      <c r="AN11" s="111"/>
      <c r="AO11" s="141"/>
      <c r="AP11" s="111"/>
      <c r="AR11" s="111"/>
      <c r="AS11" s="141"/>
      <c r="AT11" s="111"/>
      <c r="AU11" s="141"/>
      <c r="AV11" s="111"/>
      <c r="AX11" s="111"/>
      <c r="AZ11" s="111"/>
      <c r="BA11" s="141"/>
      <c r="BB11" s="111"/>
      <c r="BC11" s="141"/>
      <c r="BD11" s="111"/>
      <c r="BF11" s="111"/>
      <c r="BG11" s="141"/>
      <c r="BH11" s="111"/>
      <c r="BJ11" s="111"/>
      <c r="BK11" s="141"/>
      <c r="BL11" s="111"/>
      <c r="BM11" s="141"/>
      <c r="BN11" s="111"/>
      <c r="BP11" s="111"/>
      <c r="BQ11" s="141"/>
      <c r="BR11" s="111"/>
      <c r="BT11" s="111"/>
      <c r="BV11" s="111"/>
      <c r="BX11" s="135"/>
      <c r="BY11" s="141"/>
      <c r="BZ11" s="111"/>
      <c r="CB11" s="135"/>
      <c r="CC11" s="141"/>
      <c r="CD11" s="135"/>
      <c r="CE11" s="141"/>
      <c r="CF11" s="135"/>
      <c r="CH11" s="135"/>
      <c r="CJ11" s="135"/>
      <c r="CL11" s="135"/>
      <c r="CN11" s="135"/>
      <c r="CP11" s="135"/>
      <c r="CR11" s="135"/>
      <c r="CT11" s="135"/>
      <c r="CU11" s="135"/>
      <c r="CV11" s="135"/>
      <c r="CW11" s="135"/>
      <c r="CX11" s="135"/>
      <c r="CZ11" s="111"/>
      <c r="DB11" s="111"/>
      <c r="DD11" s="111"/>
      <c r="DF11" s="111"/>
      <c r="DH11" s="111"/>
      <c r="DJ11" s="111"/>
      <c r="DL11" s="111"/>
      <c r="DN11" s="111"/>
      <c r="DP11" s="111"/>
      <c r="DR11" s="111"/>
      <c r="DT11" s="111"/>
      <c r="DV11" s="111"/>
      <c r="DX11" s="111"/>
      <c r="DZ11" s="111"/>
      <c r="EB11" s="111"/>
      <c r="ED11" s="111"/>
      <c r="EF11" s="111"/>
      <c r="EH11" s="111"/>
      <c r="EJ11" s="111"/>
      <c r="EL11" s="111"/>
      <c r="EN11" s="111"/>
      <c r="EP11" s="111"/>
      <c r="ER11" s="111"/>
      <c r="ET11" s="111"/>
      <c r="EV11" s="111"/>
      <c r="EX11" s="111"/>
      <c r="EZ11" s="111"/>
    </row>
    <row r="12" spans="1:320" s="110" customFormat="1" ht="13.15" hidden="1" x14ac:dyDescent="0.4">
      <c r="A12" s="140"/>
      <c r="F12" s="111"/>
      <c r="H12" s="111"/>
      <c r="J12" s="111"/>
      <c r="L12" s="111"/>
      <c r="N12" s="111"/>
      <c r="O12" s="141"/>
      <c r="P12" s="111"/>
      <c r="Q12" s="141"/>
      <c r="R12" s="111"/>
      <c r="T12" s="111"/>
      <c r="U12" s="141"/>
      <c r="V12" s="111"/>
      <c r="W12" s="141"/>
      <c r="X12" s="111"/>
      <c r="Z12" s="111"/>
      <c r="AB12" s="111"/>
      <c r="AC12" s="141"/>
      <c r="AD12" s="111"/>
      <c r="AE12" s="141"/>
      <c r="AF12" s="111"/>
      <c r="AH12" s="111"/>
      <c r="AI12" s="141"/>
      <c r="AJ12" s="111"/>
      <c r="AL12" s="111"/>
      <c r="AM12" s="141"/>
      <c r="AN12" s="111"/>
      <c r="AO12" s="141"/>
      <c r="AP12" s="111"/>
      <c r="AR12" s="111"/>
      <c r="AS12" s="141"/>
      <c r="AT12" s="111"/>
      <c r="AU12" s="141"/>
      <c r="AV12" s="111"/>
      <c r="AX12" s="111"/>
      <c r="AZ12" s="111"/>
      <c r="BA12" s="141"/>
      <c r="BB12" s="111"/>
      <c r="BC12" s="141"/>
      <c r="BD12" s="111"/>
      <c r="BF12" s="111"/>
      <c r="BG12" s="141"/>
      <c r="BH12" s="111"/>
      <c r="BJ12" s="111"/>
      <c r="BK12" s="141"/>
      <c r="BL12" s="111"/>
      <c r="BM12" s="141"/>
      <c r="BN12" s="111"/>
      <c r="BP12" s="111"/>
      <c r="BQ12" s="141"/>
      <c r="BR12" s="111"/>
      <c r="BT12" s="111"/>
      <c r="BV12" s="111"/>
      <c r="BX12" s="135"/>
      <c r="BY12" s="141"/>
      <c r="BZ12" s="135"/>
      <c r="CB12" s="135"/>
      <c r="CC12" s="141"/>
      <c r="CD12" s="135"/>
      <c r="CE12" s="141"/>
      <c r="CF12" s="135"/>
      <c r="CH12" s="135"/>
      <c r="CJ12" s="135"/>
      <c r="CL12" s="135"/>
      <c r="CN12" s="135"/>
      <c r="CP12" s="135"/>
      <c r="CR12" s="135"/>
      <c r="CT12" s="135"/>
      <c r="CU12" s="135"/>
      <c r="CV12" s="135"/>
      <c r="CW12" s="135"/>
      <c r="CX12" s="135"/>
      <c r="CZ12" s="111"/>
      <c r="DB12" s="111"/>
      <c r="DD12" s="111"/>
      <c r="DF12" s="111"/>
      <c r="DH12" s="111"/>
      <c r="DJ12" s="111"/>
      <c r="DL12" s="111"/>
      <c r="DN12" s="111"/>
      <c r="DP12" s="111"/>
      <c r="DR12" s="111"/>
      <c r="DT12" s="111"/>
      <c r="DV12" s="111"/>
      <c r="DX12" s="111"/>
      <c r="DZ12" s="111"/>
      <c r="EB12" s="111"/>
      <c r="ED12" s="111"/>
      <c r="EF12" s="111"/>
      <c r="EH12" s="111"/>
      <c r="EJ12" s="111"/>
      <c r="EL12" s="111"/>
      <c r="EN12" s="111"/>
      <c r="EP12" s="111"/>
      <c r="ER12" s="111"/>
      <c r="ET12" s="111"/>
      <c r="EV12" s="111"/>
      <c r="EX12" s="111"/>
      <c r="EZ12" s="111"/>
    </row>
    <row r="13" spans="1:320" s="110" customFormat="1" ht="13.15" hidden="1" x14ac:dyDescent="0.4">
      <c r="A13" s="140"/>
      <c r="F13" s="111"/>
      <c r="H13" s="111"/>
      <c r="J13" s="111"/>
      <c r="L13" s="111"/>
      <c r="N13" s="111"/>
      <c r="O13" s="141"/>
      <c r="P13" s="111"/>
      <c r="Q13" s="141"/>
      <c r="R13" s="111"/>
      <c r="T13" s="111"/>
      <c r="U13" s="141"/>
      <c r="V13" s="111"/>
      <c r="W13" s="141"/>
      <c r="X13" s="111"/>
      <c r="Z13" s="111"/>
      <c r="AB13" s="111"/>
      <c r="AC13" s="141"/>
      <c r="AD13" s="111"/>
      <c r="AE13" s="141"/>
      <c r="AF13" s="111"/>
      <c r="AH13" s="111"/>
      <c r="AI13" s="141"/>
      <c r="AJ13" s="111"/>
      <c r="AL13" s="111"/>
      <c r="AM13" s="141"/>
      <c r="AN13" s="111"/>
      <c r="AO13" s="141"/>
      <c r="AP13" s="111"/>
      <c r="AR13" s="111"/>
      <c r="AS13" s="141"/>
      <c r="AT13" s="111"/>
      <c r="AU13" s="141"/>
      <c r="AV13" s="111"/>
      <c r="AX13" s="111"/>
      <c r="AZ13" s="111"/>
      <c r="BA13" s="141"/>
      <c r="BB13" s="111"/>
      <c r="BC13" s="141"/>
      <c r="BD13" s="111"/>
      <c r="BF13" s="111"/>
      <c r="BG13" s="141"/>
      <c r="BH13" s="111"/>
      <c r="BJ13" s="111"/>
      <c r="BK13" s="141"/>
      <c r="BL13" s="111"/>
      <c r="BM13" s="141"/>
      <c r="BN13" s="111"/>
      <c r="BP13" s="111"/>
      <c r="BQ13" s="141"/>
      <c r="BR13" s="111"/>
      <c r="BT13" s="111"/>
      <c r="BV13" s="111"/>
      <c r="BX13" s="135"/>
      <c r="BY13" s="141"/>
      <c r="BZ13" s="135"/>
      <c r="CB13" s="135"/>
      <c r="CC13" s="141"/>
      <c r="CD13" s="135"/>
      <c r="CE13" s="141"/>
      <c r="CF13" s="135"/>
      <c r="CH13" s="135"/>
      <c r="CJ13" s="135"/>
      <c r="CL13" s="135"/>
      <c r="CN13" s="135"/>
      <c r="CP13" s="135"/>
      <c r="CR13" s="135"/>
      <c r="CT13" s="135"/>
      <c r="CU13" s="142"/>
      <c r="CV13" s="135"/>
      <c r="CW13" s="142"/>
      <c r="CX13" s="135"/>
      <c r="CZ13" s="111"/>
      <c r="DB13" s="111"/>
      <c r="DD13" s="111"/>
      <c r="DF13" s="111"/>
      <c r="DH13" s="111"/>
      <c r="DJ13" s="111"/>
      <c r="DL13" s="111"/>
      <c r="DN13" s="111"/>
      <c r="DP13" s="111"/>
      <c r="DR13" s="111"/>
      <c r="DT13" s="111"/>
      <c r="DV13" s="111"/>
      <c r="DX13" s="111"/>
      <c r="DZ13" s="111"/>
      <c r="EB13" s="111"/>
      <c r="ED13" s="111"/>
      <c r="EF13" s="111"/>
      <c r="EH13" s="111"/>
      <c r="EJ13" s="111"/>
      <c r="EL13" s="111"/>
      <c r="EN13" s="111"/>
      <c r="EP13" s="111"/>
      <c r="ER13" s="111"/>
      <c r="ET13" s="111"/>
      <c r="EV13" s="111"/>
      <c r="EX13" s="111"/>
      <c r="EZ13" s="111"/>
    </row>
    <row r="14" spans="1:320" s="110" customFormat="1" ht="13.15" hidden="1" x14ac:dyDescent="0.4">
      <c r="A14" s="140"/>
      <c r="F14" s="111"/>
      <c r="H14" s="111"/>
      <c r="J14" s="111"/>
      <c r="L14" s="111"/>
      <c r="N14" s="111"/>
      <c r="O14" s="141"/>
      <c r="P14" s="111"/>
      <c r="Q14" s="141"/>
      <c r="R14" s="111"/>
      <c r="T14" s="111"/>
      <c r="U14" s="141"/>
      <c r="V14" s="111"/>
      <c r="W14" s="141"/>
      <c r="X14" s="111"/>
      <c r="Z14" s="111"/>
      <c r="AB14" s="111"/>
      <c r="AC14" s="141"/>
      <c r="AD14" s="111"/>
      <c r="AE14" s="141"/>
      <c r="AF14" s="111"/>
      <c r="AH14" s="111"/>
      <c r="AI14" s="141"/>
      <c r="AJ14" s="111"/>
      <c r="AL14" s="111"/>
      <c r="AM14" s="141"/>
      <c r="AN14" s="111"/>
      <c r="AO14" s="141"/>
      <c r="AP14" s="111"/>
      <c r="AR14" s="111"/>
      <c r="AS14" s="141"/>
      <c r="AT14" s="111"/>
      <c r="AU14" s="141"/>
      <c r="AV14" s="111"/>
      <c r="AX14" s="111"/>
      <c r="AZ14" s="111"/>
      <c r="BA14" s="141"/>
      <c r="BB14" s="111"/>
      <c r="BC14" s="141"/>
      <c r="BD14" s="111"/>
      <c r="BF14" s="111"/>
      <c r="BG14" s="141"/>
      <c r="BH14" s="111"/>
      <c r="BJ14" s="111"/>
      <c r="BK14" s="141"/>
      <c r="BL14" s="111"/>
      <c r="BM14" s="141"/>
      <c r="BN14" s="111"/>
      <c r="BP14" s="111"/>
      <c r="BQ14" s="141"/>
      <c r="BR14" s="111"/>
      <c r="BT14" s="111"/>
      <c r="BV14" s="111"/>
      <c r="BX14" s="135"/>
      <c r="BY14" s="141"/>
      <c r="BZ14" s="135"/>
      <c r="CB14" s="135"/>
      <c r="CC14" s="141"/>
      <c r="CD14" s="135"/>
      <c r="CE14" s="141"/>
      <c r="CF14" s="135"/>
      <c r="CH14" s="135"/>
      <c r="CJ14" s="135"/>
      <c r="CL14" s="135"/>
      <c r="CN14" s="135"/>
      <c r="CP14" s="135"/>
      <c r="CR14" s="135"/>
      <c r="CT14" s="135"/>
      <c r="CV14" s="135"/>
      <c r="CX14" s="135"/>
      <c r="CZ14" s="111"/>
      <c r="DB14" s="111"/>
      <c r="DD14" s="111"/>
      <c r="DF14" s="111"/>
      <c r="DH14" s="111"/>
      <c r="DJ14" s="111"/>
      <c r="DL14" s="111"/>
      <c r="DN14" s="111"/>
      <c r="DP14" s="111"/>
      <c r="DR14" s="111"/>
      <c r="DT14" s="111"/>
      <c r="DV14" s="111"/>
      <c r="DX14" s="111"/>
      <c r="DZ14" s="111"/>
      <c r="EB14" s="111"/>
      <c r="ED14" s="111"/>
      <c r="EF14" s="111"/>
      <c r="EH14" s="111"/>
      <c r="EJ14" s="111"/>
      <c r="EL14" s="111"/>
      <c r="EN14" s="111"/>
      <c r="EP14" s="111"/>
      <c r="ER14" s="111"/>
      <c r="ET14" s="111"/>
      <c r="EV14" s="111"/>
      <c r="EX14" s="111"/>
      <c r="EZ14" s="111"/>
    </row>
    <row r="15" spans="1:320" s="110" customFormat="1" hidden="1" x14ac:dyDescent="0.35"/>
    <row r="16" spans="1:320" s="110" customFormat="1" hidden="1" x14ac:dyDescent="0.35">
      <c r="AJ16" s="143"/>
      <c r="AP16" s="143"/>
      <c r="AV16" s="143"/>
      <c r="BB16" s="143"/>
      <c r="BH16" s="143"/>
      <c r="BN16" s="143"/>
      <c r="BT16" s="143"/>
      <c r="BZ16" s="143"/>
      <c r="CF16" s="143"/>
    </row>
    <row r="17" spans="3:84" s="110" customFormat="1" hidden="1" x14ac:dyDescent="0.35">
      <c r="AJ17" s="143"/>
    </row>
    <row r="18" spans="3:84" s="110" customFormat="1" hidden="1" x14ac:dyDescent="0.35">
      <c r="N18" s="143"/>
      <c r="P18" s="143"/>
      <c r="R18" s="143"/>
      <c r="T18" s="143"/>
      <c r="V18" s="143"/>
      <c r="X18" s="143"/>
      <c r="Z18" s="143"/>
      <c r="AB18" s="143"/>
      <c r="AD18" s="143"/>
      <c r="AF18" s="143"/>
      <c r="AH18" s="143"/>
      <c r="AJ18" s="143"/>
      <c r="AL18" s="143"/>
      <c r="AN18" s="143"/>
      <c r="AP18" s="143"/>
      <c r="AR18" s="143"/>
      <c r="AT18" s="143"/>
      <c r="AV18" s="143"/>
      <c r="AX18" s="143"/>
      <c r="AZ18" s="143"/>
      <c r="BB18" s="143"/>
      <c r="BD18" s="143"/>
      <c r="BF18" s="143"/>
      <c r="BH18" s="143"/>
      <c r="BJ18" s="143"/>
      <c r="BL18" s="143"/>
      <c r="BN18" s="143"/>
    </row>
    <row r="19" spans="3:84" s="110" customFormat="1" hidden="1" x14ac:dyDescent="0.35">
      <c r="L19" s="143"/>
      <c r="N19" s="143"/>
      <c r="P19" s="143"/>
      <c r="R19" s="143"/>
      <c r="T19" s="143"/>
      <c r="V19" s="143"/>
      <c r="X19" s="143"/>
      <c r="Z19" s="143"/>
      <c r="AB19" s="143"/>
      <c r="AD19" s="143"/>
      <c r="AF19" s="143"/>
      <c r="AH19" s="143"/>
      <c r="AJ19" s="143"/>
      <c r="AL19" s="143"/>
      <c r="AN19" s="143"/>
      <c r="AP19" s="143"/>
      <c r="AR19" s="143"/>
      <c r="AT19" s="143"/>
      <c r="AV19" s="143"/>
      <c r="AX19" s="143"/>
      <c r="AZ19" s="143"/>
      <c r="BB19" s="143"/>
      <c r="BD19" s="143"/>
      <c r="BF19" s="143"/>
      <c r="BH19" s="143"/>
      <c r="BJ19" s="143"/>
      <c r="BL19" s="143"/>
      <c r="BN19" s="143"/>
    </row>
    <row r="20" spans="3:84" s="110" customFormat="1" hidden="1" x14ac:dyDescent="0.35">
      <c r="AJ20" s="144"/>
    </row>
    <row r="21" spans="3:84" s="110" customFormat="1" hidden="1" x14ac:dyDescent="0.35">
      <c r="AP21" s="143"/>
    </row>
    <row r="22" spans="3:84" s="110" customFormat="1" hidden="1" x14ac:dyDescent="0.35">
      <c r="T22" s="143"/>
      <c r="V22" s="143"/>
      <c r="X22" s="143"/>
      <c r="Z22" s="143"/>
      <c r="AB22" s="143"/>
      <c r="AD22" s="143"/>
      <c r="AF22" s="143"/>
      <c r="AH22" s="143"/>
      <c r="AJ22" s="143"/>
      <c r="AL22" s="143"/>
      <c r="AN22" s="143"/>
      <c r="AP22" s="143"/>
      <c r="AR22" s="143"/>
      <c r="AT22" s="143"/>
      <c r="AV22" s="143"/>
      <c r="AX22" s="143"/>
      <c r="AZ22" s="143"/>
      <c r="BB22" s="143"/>
      <c r="BD22" s="143"/>
      <c r="BF22" s="143"/>
      <c r="BH22" s="143"/>
      <c r="BJ22" s="143"/>
      <c r="BL22" s="143"/>
      <c r="BN22" s="143"/>
      <c r="BP22" s="143"/>
      <c r="BR22" s="143"/>
      <c r="BT22" s="143"/>
      <c r="BV22" s="143"/>
    </row>
    <row r="23" spans="3:84" s="110" customFormat="1" hidden="1" x14ac:dyDescent="0.35">
      <c r="R23" s="143"/>
      <c r="T23" s="143"/>
      <c r="V23" s="143"/>
      <c r="X23" s="143"/>
      <c r="Z23" s="143"/>
      <c r="AB23" s="143"/>
      <c r="AD23" s="143"/>
      <c r="AF23" s="143"/>
      <c r="AH23" s="143"/>
      <c r="AJ23" s="143"/>
      <c r="AL23" s="143"/>
      <c r="AN23" s="143"/>
      <c r="AP23" s="143"/>
      <c r="AR23" s="143"/>
      <c r="AT23" s="143"/>
      <c r="AV23" s="143"/>
      <c r="AX23" s="143"/>
      <c r="AZ23" s="143"/>
      <c r="BB23" s="143"/>
      <c r="BD23" s="143"/>
      <c r="BF23" s="143"/>
      <c r="BH23" s="143"/>
      <c r="BJ23" s="143"/>
      <c r="BL23" s="143"/>
      <c r="BN23" s="143"/>
      <c r="BP23" s="143"/>
      <c r="BR23" s="143"/>
      <c r="BT23" s="143"/>
      <c r="BV23" s="143"/>
    </row>
    <row r="24" spans="3:84" s="110" customFormat="1" hidden="1" x14ac:dyDescent="0.35">
      <c r="AP24" s="144"/>
      <c r="AV24" s="144"/>
    </row>
    <row r="25" spans="3:84" s="110" customFormat="1" hidden="1" x14ac:dyDescent="0.35">
      <c r="AV25" s="143"/>
    </row>
    <row r="26" spans="3:84" s="110" customFormat="1" hidden="1" x14ac:dyDescent="0.35">
      <c r="Z26" s="144"/>
      <c r="AB26" s="143"/>
      <c r="AD26" s="143"/>
      <c r="AF26" s="143"/>
      <c r="AH26" s="143"/>
      <c r="AJ26" s="143"/>
      <c r="AL26" s="143"/>
      <c r="AN26" s="143"/>
      <c r="AP26" s="143"/>
      <c r="AR26" s="143"/>
      <c r="AT26" s="143"/>
      <c r="AV26" s="143"/>
      <c r="AX26" s="143"/>
      <c r="AZ26" s="143"/>
      <c r="BB26" s="143"/>
      <c r="BD26" s="143"/>
      <c r="BF26" s="143"/>
      <c r="BH26" s="143"/>
      <c r="BJ26" s="143"/>
      <c r="BL26" s="143"/>
      <c r="BN26" s="143"/>
      <c r="BP26" s="143"/>
      <c r="BR26" s="143"/>
      <c r="BT26" s="143"/>
      <c r="BV26" s="143"/>
      <c r="BX26" s="143"/>
      <c r="BZ26" s="143"/>
      <c r="CB26" s="143"/>
      <c r="CD26" s="143"/>
      <c r="CF26" s="143"/>
    </row>
    <row r="27" spans="3:84" s="110" customFormat="1" hidden="1" x14ac:dyDescent="0.35">
      <c r="X27" s="143"/>
      <c r="Z27" s="143"/>
      <c r="AB27" s="143"/>
      <c r="AD27" s="143"/>
      <c r="AF27" s="143"/>
      <c r="AH27" s="143"/>
      <c r="AJ27" s="143"/>
      <c r="AL27" s="143"/>
      <c r="AN27" s="143"/>
      <c r="AP27" s="143"/>
      <c r="AR27" s="143"/>
      <c r="AT27" s="143"/>
      <c r="AV27" s="143"/>
      <c r="AX27" s="143"/>
      <c r="AZ27" s="143"/>
      <c r="BB27" s="143"/>
      <c r="BD27" s="143"/>
      <c r="BF27" s="143"/>
      <c r="BH27" s="143"/>
      <c r="BJ27" s="143"/>
      <c r="BL27" s="143"/>
      <c r="BN27" s="143"/>
      <c r="BP27" s="143"/>
      <c r="BR27" s="143"/>
      <c r="BT27" s="143"/>
      <c r="BV27" s="143"/>
      <c r="BX27" s="143"/>
      <c r="BZ27" s="143"/>
      <c r="CB27" s="143"/>
      <c r="CD27" s="143"/>
      <c r="CF27" s="143"/>
    </row>
    <row r="28" spans="3:84" s="110" customFormat="1" hidden="1" x14ac:dyDescent="0.35">
      <c r="C28" s="145"/>
      <c r="AV28" s="144"/>
      <c r="BB28" s="144"/>
    </row>
    <row r="29" spans="3:84" s="110" customFormat="1" hidden="1" x14ac:dyDescent="0.35">
      <c r="BB29" s="143"/>
    </row>
    <row r="30" spans="3:84" s="110" customFormat="1" hidden="1" x14ac:dyDescent="0.35">
      <c r="H30" s="143"/>
      <c r="J30" s="143"/>
      <c r="L30" s="143"/>
      <c r="N30" s="143"/>
      <c r="P30" s="143"/>
      <c r="R30" s="143"/>
      <c r="T30" s="143"/>
      <c r="V30" s="143"/>
      <c r="X30" s="143"/>
      <c r="Z30" s="143"/>
      <c r="AB30" s="143"/>
      <c r="AC30" s="143"/>
      <c r="AF30" s="144"/>
      <c r="AH30" s="143"/>
      <c r="AJ30" s="143"/>
      <c r="AL30" s="143"/>
      <c r="AN30" s="143"/>
      <c r="AP30" s="143"/>
      <c r="AR30" s="143"/>
      <c r="AT30" s="143"/>
      <c r="AV30" s="143"/>
      <c r="AX30" s="143"/>
      <c r="AZ30" s="143"/>
      <c r="BB30" s="143"/>
      <c r="BD30" s="143"/>
      <c r="BF30" s="143"/>
      <c r="BH30" s="143"/>
      <c r="BJ30" s="143"/>
      <c r="BL30" s="143"/>
      <c r="BN30" s="143"/>
      <c r="BP30" s="143"/>
      <c r="BR30" s="143"/>
      <c r="BT30" s="143"/>
      <c r="BV30" s="143"/>
      <c r="BX30" s="143"/>
      <c r="BZ30" s="143"/>
      <c r="CB30" s="143"/>
      <c r="CD30" s="143"/>
      <c r="CF30" s="143"/>
    </row>
    <row r="31" spans="3:84" s="110" customFormat="1" hidden="1" x14ac:dyDescent="0.35">
      <c r="H31" s="143"/>
      <c r="J31" s="143"/>
      <c r="L31" s="143"/>
      <c r="N31" s="143"/>
      <c r="P31" s="143"/>
      <c r="R31" s="143"/>
      <c r="T31" s="143"/>
      <c r="V31" s="143"/>
      <c r="X31" s="143"/>
      <c r="Z31" s="143"/>
      <c r="AB31" s="143"/>
      <c r="AC31" s="143"/>
      <c r="AD31" s="143"/>
      <c r="AF31" s="143"/>
      <c r="AH31" s="143"/>
      <c r="AJ31" s="143"/>
      <c r="AL31" s="143"/>
      <c r="AN31" s="143"/>
      <c r="AP31" s="143"/>
      <c r="AR31" s="143"/>
      <c r="AT31" s="143"/>
      <c r="AV31" s="143"/>
      <c r="AX31" s="143"/>
      <c r="AZ31" s="143"/>
      <c r="BB31" s="143"/>
      <c r="BD31" s="143"/>
      <c r="BF31" s="143"/>
      <c r="BH31" s="143"/>
      <c r="BJ31" s="143"/>
      <c r="BL31" s="143"/>
      <c r="BN31" s="143"/>
      <c r="BP31" s="143"/>
      <c r="BR31" s="143"/>
      <c r="BT31" s="143"/>
      <c r="BV31" s="143"/>
      <c r="BX31" s="143"/>
      <c r="BZ31" s="143"/>
      <c r="CB31" s="143"/>
      <c r="CD31" s="143"/>
      <c r="CF31" s="143"/>
    </row>
    <row r="32" spans="3:84" s="110" customFormat="1" hidden="1" x14ac:dyDescent="0.35">
      <c r="C32" s="145"/>
      <c r="BB32" s="144"/>
      <c r="BH32" s="144"/>
    </row>
    <row r="33" spans="3:102" s="110" customFormat="1" hidden="1" x14ac:dyDescent="0.35">
      <c r="BH33" s="143"/>
    </row>
    <row r="34" spans="3:102" s="110" customFormat="1" hidden="1" x14ac:dyDescent="0.35">
      <c r="N34" s="143"/>
      <c r="P34" s="143"/>
      <c r="R34" s="143"/>
      <c r="T34" s="143"/>
      <c r="V34" s="143"/>
      <c r="X34" s="143"/>
      <c r="Z34" s="143"/>
      <c r="AB34" s="143"/>
      <c r="AC34" s="143"/>
      <c r="AL34" s="144"/>
      <c r="AN34" s="143"/>
      <c r="AP34" s="143"/>
      <c r="AR34" s="143"/>
      <c r="AT34" s="143"/>
      <c r="AV34" s="143"/>
      <c r="AX34" s="143"/>
      <c r="AZ34" s="143"/>
      <c r="BB34" s="143"/>
      <c r="BD34" s="143"/>
      <c r="BF34" s="143"/>
      <c r="BH34" s="143"/>
      <c r="BJ34" s="143"/>
      <c r="BL34" s="143"/>
      <c r="BN34" s="143"/>
      <c r="BP34" s="143"/>
      <c r="BR34" s="143"/>
      <c r="BT34" s="143"/>
      <c r="BV34" s="143"/>
      <c r="BX34" s="143"/>
      <c r="BZ34" s="143"/>
      <c r="CB34" s="143"/>
      <c r="CD34" s="143"/>
      <c r="CF34" s="143"/>
    </row>
    <row r="35" spans="3:102" s="110" customFormat="1" hidden="1" x14ac:dyDescent="0.35">
      <c r="N35" s="143"/>
      <c r="P35" s="143"/>
      <c r="R35" s="143"/>
      <c r="T35" s="143"/>
      <c r="V35" s="143"/>
      <c r="X35" s="143"/>
      <c r="Z35" s="143"/>
      <c r="AB35" s="143"/>
      <c r="AC35" s="143"/>
      <c r="AJ35" s="143"/>
      <c r="AL35" s="143"/>
      <c r="AN35" s="143"/>
      <c r="AP35" s="143"/>
      <c r="AR35" s="143"/>
      <c r="AT35" s="143"/>
      <c r="AV35" s="143"/>
      <c r="AX35" s="143"/>
      <c r="AZ35" s="143"/>
      <c r="BB35" s="143"/>
      <c r="BD35" s="143"/>
      <c r="BF35" s="143"/>
      <c r="BH35" s="143"/>
      <c r="BJ35" s="143"/>
      <c r="BL35" s="143"/>
      <c r="BN35" s="143"/>
      <c r="BP35" s="143"/>
      <c r="BR35" s="143"/>
      <c r="BT35" s="143"/>
      <c r="BV35" s="143"/>
      <c r="BX35" s="143"/>
      <c r="BZ35" s="143"/>
      <c r="CB35" s="143"/>
      <c r="CD35" s="143"/>
      <c r="CF35" s="143"/>
    </row>
    <row r="36" spans="3:102" s="110" customFormat="1" hidden="1" x14ac:dyDescent="0.35">
      <c r="C36" s="145"/>
      <c r="BH36" s="144"/>
      <c r="BN36" s="144"/>
      <c r="CR36" s="143"/>
    </row>
    <row r="37" spans="3:102" s="110" customFormat="1" hidden="1" x14ac:dyDescent="0.35">
      <c r="BN37" s="143"/>
    </row>
    <row r="38" spans="3:102" s="110" customFormat="1" hidden="1" x14ac:dyDescent="0.35">
      <c r="N38" s="143"/>
      <c r="P38" s="143"/>
      <c r="T38" s="143"/>
      <c r="V38" s="143"/>
      <c r="X38" s="143"/>
      <c r="Z38" s="143"/>
      <c r="AB38" s="143"/>
      <c r="AC38" s="143"/>
      <c r="AL38" s="143"/>
      <c r="AN38" s="143"/>
      <c r="AR38" s="144"/>
      <c r="AT38" s="143"/>
      <c r="AV38" s="143"/>
      <c r="AX38" s="143"/>
      <c r="AZ38" s="143"/>
      <c r="BB38" s="143"/>
      <c r="BD38" s="143"/>
      <c r="BF38" s="143"/>
      <c r="BH38" s="143"/>
      <c r="BJ38" s="143"/>
      <c r="BL38" s="143"/>
      <c r="BN38" s="143"/>
      <c r="BP38" s="143"/>
      <c r="BR38" s="143"/>
      <c r="BT38" s="143"/>
      <c r="BV38" s="143"/>
      <c r="BX38" s="143"/>
      <c r="BZ38" s="143"/>
      <c r="CB38" s="143"/>
      <c r="CD38" s="143"/>
      <c r="CF38" s="143"/>
      <c r="CH38" s="143"/>
      <c r="CJ38" s="143"/>
      <c r="CL38" s="143"/>
      <c r="CN38" s="143"/>
      <c r="CP38" s="143"/>
      <c r="CR38" s="143"/>
    </row>
    <row r="39" spans="3:102" s="110" customFormat="1" hidden="1" x14ac:dyDescent="0.35">
      <c r="N39" s="143"/>
      <c r="P39" s="143"/>
      <c r="T39" s="143"/>
      <c r="V39" s="143"/>
      <c r="X39" s="143"/>
      <c r="Z39" s="143"/>
      <c r="AB39" s="143"/>
      <c r="AC39" s="143"/>
      <c r="AL39" s="143"/>
      <c r="AN39" s="143"/>
      <c r="AP39" s="143"/>
      <c r="AR39" s="143"/>
      <c r="AT39" s="143"/>
      <c r="AV39" s="143"/>
      <c r="AX39" s="143"/>
      <c r="AZ39" s="143"/>
      <c r="BB39" s="143"/>
      <c r="BD39" s="143"/>
      <c r="BF39" s="143"/>
      <c r="BH39" s="143"/>
      <c r="BJ39" s="143"/>
      <c r="BL39" s="143"/>
      <c r="BN39" s="143"/>
      <c r="BP39" s="143"/>
      <c r="BR39" s="143"/>
      <c r="BT39" s="143"/>
      <c r="BV39" s="143"/>
      <c r="BX39" s="143"/>
      <c r="BZ39" s="143"/>
      <c r="CB39" s="143"/>
      <c r="CD39" s="143"/>
      <c r="CF39" s="143"/>
      <c r="CH39" s="143"/>
      <c r="CJ39" s="143"/>
      <c r="CL39" s="143"/>
      <c r="CN39" s="143"/>
      <c r="CP39" s="143"/>
      <c r="CR39" s="143"/>
    </row>
    <row r="40" spans="3:102" s="110" customFormat="1" hidden="1" x14ac:dyDescent="0.35">
      <c r="BN40" s="144"/>
    </row>
    <row r="41" spans="3:102" s="110" customFormat="1" hidden="1" x14ac:dyDescent="0.35">
      <c r="BT41" s="143"/>
    </row>
    <row r="42" spans="3:102" s="110" customFormat="1" hidden="1" x14ac:dyDescent="0.35">
      <c r="Z42" s="143"/>
      <c r="AB42" s="143"/>
      <c r="AC42" s="143"/>
      <c r="AX42" s="144"/>
      <c r="AZ42" s="143"/>
      <c r="BB42" s="143"/>
      <c r="BD42" s="143"/>
      <c r="BF42" s="143"/>
      <c r="BH42" s="143"/>
      <c r="BJ42" s="143"/>
      <c r="BL42" s="143"/>
      <c r="BN42" s="143"/>
      <c r="BP42" s="143"/>
      <c r="BR42" s="143"/>
      <c r="BT42" s="143"/>
      <c r="BV42" s="143"/>
      <c r="BX42" s="143"/>
      <c r="BZ42" s="143"/>
      <c r="CB42" s="143"/>
      <c r="CD42" s="143"/>
      <c r="CF42" s="143"/>
      <c r="CH42" s="143"/>
      <c r="CJ42" s="143"/>
      <c r="CL42" s="143"/>
      <c r="CN42" s="143"/>
      <c r="CP42" s="143"/>
      <c r="CR42" s="143"/>
    </row>
    <row r="43" spans="3:102" s="110" customFormat="1" hidden="1" x14ac:dyDescent="0.35">
      <c r="Z43" s="143"/>
      <c r="AB43" s="143"/>
      <c r="AC43" s="143"/>
      <c r="AV43" s="143"/>
      <c r="AX43" s="143"/>
      <c r="AZ43" s="143"/>
      <c r="BB43" s="143"/>
      <c r="BD43" s="143"/>
      <c r="BF43" s="143"/>
      <c r="BH43" s="143"/>
      <c r="BJ43" s="143"/>
      <c r="BL43" s="143"/>
      <c r="BN43" s="143"/>
      <c r="BP43" s="143"/>
      <c r="BR43" s="143"/>
      <c r="BT43" s="143"/>
      <c r="BV43" s="143"/>
      <c r="BX43" s="143"/>
      <c r="BZ43" s="143"/>
      <c r="CB43" s="143"/>
      <c r="CD43" s="143"/>
      <c r="CF43" s="143"/>
      <c r="CH43" s="143"/>
      <c r="CJ43" s="143"/>
      <c r="CL43" s="143"/>
      <c r="CN43" s="143"/>
      <c r="CP43" s="143"/>
      <c r="CR43" s="143"/>
    </row>
    <row r="44" spans="3:102" s="110" customFormat="1" hidden="1" x14ac:dyDescent="0.35">
      <c r="BT44" s="144"/>
      <c r="CF44" s="144"/>
    </row>
    <row r="45" spans="3:102" s="110" customFormat="1" hidden="1" x14ac:dyDescent="0.35">
      <c r="BZ45" s="143"/>
    </row>
    <row r="46" spans="3:102" s="110" customFormat="1" hidden="1" x14ac:dyDescent="0.35">
      <c r="BD46" s="144"/>
      <c r="BF46" s="143"/>
      <c r="BH46" s="143"/>
      <c r="BJ46" s="143"/>
      <c r="BL46" s="143"/>
      <c r="BN46" s="143"/>
      <c r="BP46" s="143"/>
      <c r="BR46" s="143"/>
      <c r="BT46" s="143"/>
      <c r="BV46" s="143"/>
      <c r="BX46" s="143"/>
      <c r="BZ46" s="143"/>
      <c r="CB46" s="143"/>
      <c r="CD46" s="143"/>
      <c r="CF46" s="143"/>
      <c r="CH46" s="143"/>
      <c r="CJ46" s="143"/>
      <c r="CL46" s="143"/>
      <c r="CN46" s="143"/>
      <c r="CP46" s="143"/>
      <c r="CR46" s="143"/>
      <c r="CT46" s="143"/>
      <c r="CV46" s="143"/>
      <c r="CX46" s="143"/>
    </row>
    <row r="47" spans="3:102" s="110" customFormat="1" ht="13.15" hidden="1" x14ac:dyDescent="0.4">
      <c r="C47" s="146"/>
      <c r="BB47" s="143"/>
      <c r="BD47" s="143"/>
      <c r="BF47" s="143"/>
      <c r="BH47" s="143"/>
      <c r="BJ47" s="143"/>
      <c r="BL47" s="143"/>
      <c r="BN47" s="143"/>
      <c r="BP47" s="143"/>
      <c r="BR47" s="143"/>
      <c r="BT47" s="143"/>
      <c r="BV47" s="143"/>
      <c r="BX47" s="143"/>
      <c r="BZ47" s="143"/>
      <c r="CB47" s="143"/>
      <c r="CD47" s="143"/>
      <c r="CF47" s="143"/>
      <c r="CH47" s="143"/>
      <c r="CJ47" s="143"/>
      <c r="CL47" s="143"/>
      <c r="CN47" s="143"/>
      <c r="CP47" s="143"/>
      <c r="CR47" s="143"/>
      <c r="CT47" s="143"/>
      <c r="CV47" s="143"/>
      <c r="CX47" s="143"/>
    </row>
    <row r="48" spans="3:102" s="110" customFormat="1" hidden="1" x14ac:dyDescent="0.35">
      <c r="BZ48" s="144"/>
    </row>
    <row r="49" spans="3:126" s="110" customFormat="1" hidden="1" x14ac:dyDescent="0.35">
      <c r="CF49" s="143"/>
    </row>
    <row r="50" spans="3:126" s="110" customFormat="1" hidden="1" x14ac:dyDescent="0.35">
      <c r="C50" s="145"/>
      <c r="BJ50" s="144"/>
      <c r="BL50" s="143"/>
      <c r="BN50" s="143"/>
      <c r="BP50" s="143"/>
      <c r="BR50" s="143"/>
      <c r="BT50" s="143"/>
      <c r="BV50" s="143"/>
      <c r="BX50" s="143"/>
      <c r="BZ50" s="143"/>
      <c r="CB50" s="143"/>
      <c r="CD50" s="143"/>
      <c r="CF50" s="143"/>
      <c r="CH50" s="143"/>
      <c r="CJ50" s="143"/>
      <c r="CL50" s="143"/>
      <c r="CN50" s="143"/>
      <c r="CP50" s="143"/>
      <c r="CR50" s="143"/>
      <c r="CT50" s="143"/>
      <c r="CV50" s="143"/>
      <c r="CX50" s="143"/>
      <c r="CZ50" s="143"/>
      <c r="DB50" s="143"/>
      <c r="DD50" s="143"/>
    </row>
    <row r="51" spans="3:126" s="110" customFormat="1" hidden="1" x14ac:dyDescent="0.35">
      <c r="BH51" s="143"/>
      <c r="BJ51" s="143"/>
      <c r="BL51" s="143"/>
      <c r="BN51" s="143"/>
      <c r="BP51" s="143"/>
      <c r="BR51" s="143"/>
      <c r="BT51" s="143"/>
      <c r="BV51" s="143"/>
      <c r="BX51" s="143"/>
      <c r="BZ51" s="143"/>
      <c r="CB51" s="143"/>
      <c r="CD51" s="143"/>
      <c r="CF51" s="143"/>
      <c r="CH51" s="143"/>
      <c r="CJ51" s="143"/>
      <c r="CL51" s="143"/>
      <c r="CN51" s="143"/>
      <c r="CP51" s="143"/>
      <c r="CR51" s="143"/>
      <c r="CT51" s="143"/>
      <c r="CV51" s="143"/>
      <c r="CX51" s="143"/>
      <c r="CZ51" s="143"/>
      <c r="DB51" s="143"/>
      <c r="DD51" s="143"/>
    </row>
    <row r="52" spans="3:126" s="110" customFormat="1" hidden="1" x14ac:dyDescent="0.35">
      <c r="CF52" s="144"/>
    </row>
    <row r="53" spans="3:126" s="110" customFormat="1" hidden="1" x14ac:dyDescent="0.35">
      <c r="CL53" s="143"/>
    </row>
    <row r="54" spans="3:126" s="110" customFormat="1" hidden="1" x14ac:dyDescent="0.35">
      <c r="C54" s="145"/>
      <c r="BJ54" s="143"/>
      <c r="BL54" s="143"/>
      <c r="BP54" s="144"/>
      <c r="BR54" s="143"/>
      <c r="BT54" s="143"/>
      <c r="BV54" s="143"/>
      <c r="BX54" s="143"/>
      <c r="BZ54" s="143"/>
      <c r="CB54" s="143"/>
      <c r="CD54" s="143"/>
      <c r="CF54" s="143"/>
      <c r="CH54" s="143"/>
      <c r="CJ54" s="143"/>
      <c r="CL54" s="143"/>
      <c r="CN54" s="143"/>
      <c r="CP54" s="143"/>
      <c r="CR54" s="143"/>
      <c r="CT54" s="143"/>
      <c r="CV54" s="143"/>
      <c r="CX54" s="143"/>
      <c r="CZ54" s="143"/>
      <c r="DB54" s="143"/>
      <c r="DD54" s="143"/>
      <c r="DF54" s="143"/>
      <c r="DH54" s="143"/>
      <c r="DJ54" s="143"/>
    </row>
    <row r="55" spans="3:126" s="110" customFormat="1" hidden="1" x14ac:dyDescent="0.35">
      <c r="BJ55" s="143"/>
      <c r="BL55" s="143"/>
      <c r="BN55" s="143"/>
      <c r="BP55" s="143"/>
      <c r="BR55" s="143"/>
      <c r="BT55" s="143"/>
      <c r="BV55" s="143"/>
      <c r="BX55" s="143"/>
      <c r="BZ55" s="143"/>
      <c r="CB55" s="143"/>
      <c r="CD55" s="143"/>
      <c r="CF55" s="143"/>
      <c r="CH55" s="143"/>
      <c r="CJ55" s="143"/>
      <c r="CL55" s="143"/>
      <c r="CN55" s="143"/>
      <c r="CP55" s="143"/>
      <c r="CR55" s="143"/>
      <c r="CT55" s="143"/>
      <c r="CV55" s="143"/>
      <c r="CX55" s="143"/>
      <c r="CZ55" s="143"/>
      <c r="DB55" s="143"/>
      <c r="DD55" s="143"/>
      <c r="DF55" s="143"/>
      <c r="DH55" s="143"/>
      <c r="DJ55" s="143"/>
    </row>
    <row r="56" spans="3:126" s="110" customFormat="1" hidden="1" x14ac:dyDescent="0.35">
      <c r="D56" s="147"/>
      <c r="CL56" s="148"/>
      <c r="CR56" s="148"/>
    </row>
    <row r="57" spans="3:126" s="110" customFormat="1" hidden="1" x14ac:dyDescent="0.35">
      <c r="D57" s="147"/>
    </row>
    <row r="58" spans="3:126" s="110" customFormat="1" hidden="1" x14ac:dyDescent="0.35">
      <c r="C58" s="145"/>
      <c r="BV58" s="144"/>
      <c r="BX58" s="143"/>
      <c r="BZ58" s="143"/>
      <c r="CB58" s="143"/>
      <c r="CD58" s="143"/>
      <c r="CF58" s="143"/>
      <c r="CH58" s="143"/>
      <c r="CJ58" s="143"/>
      <c r="CL58" s="143"/>
      <c r="CN58" s="144"/>
      <c r="CP58" s="143"/>
      <c r="CR58" s="143"/>
      <c r="CT58" s="143"/>
      <c r="CV58" s="143"/>
      <c r="CX58" s="143"/>
      <c r="CZ58" s="143"/>
      <c r="DB58" s="143"/>
      <c r="DD58" s="143"/>
      <c r="DF58" s="143"/>
      <c r="DH58" s="143"/>
      <c r="DJ58" s="143"/>
      <c r="DL58" s="143"/>
      <c r="DN58" s="143"/>
      <c r="DP58" s="143"/>
    </row>
    <row r="59" spans="3:126" s="110" customFormat="1" hidden="1" x14ac:dyDescent="0.35">
      <c r="BT59" s="143"/>
      <c r="BV59" s="143"/>
      <c r="BX59" s="143"/>
      <c r="BZ59" s="143"/>
      <c r="CB59" s="143"/>
      <c r="CD59" s="143"/>
      <c r="CF59" s="143"/>
      <c r="CH59" s="143"/>
      <c r="CJ59" s="143"/>
      <c r="CL59" s="143"/>
      <c r="CN59" s="143"/>
      <c r="CP59" s="143"/>
      <c r="CR59" s="143"/>
      <c r="CT59" s="143"/>
      <c r="CV59" s="143"/>
      <c r="CX59" s="143"/>
      <c r="CZ59" s="143"/>
      <c r="DB59" s="143"/>
      <c r="DD59" s="143"/>
      <c r="DF59" s="143"/>
      <c r="DH59" s="143"/>
      <c r="DJ59" s="143"/>
      <c r="DL59" s="143"/>
      <c r="DN59" s="143"/>
      <c r="DP59" s="143"/>
    </row>
    <row r="60" spans="3:126" s="110" customFormat="1" hidden="1" x14ac:dyDescent="0.35">
      <c r="CR60" s="148"/>
    </row>
    <row r="61" spans="3:126" s="110" customFormat="1" hidden="1" x14ac:dyDescent="0.35"/>
    <row r="62" spans="3:126" s="110" customFormat="1" ht="13.15" hidden="1" x14ac:dyDescent="0.4">
      <c r="C62" s="146"/>
      <c r="CB62" s="144"/>
      <c r="CD62" s="143"/>
      <c r="CF62" s="143"/>
      <c r="CH62" s="143"/>
      <c r="CJ62" s="143"/>
      <c r="CL62" s="143"/>
      <c r="CN62" s="143"/>
      <c r="CP62" s="143"/>
      <c r="CR62" s="143"/>
      <c r="CT62" s="143"/>
      <c r="CV62" s="143"/>
      <c r="CX62" s="143"/>
      <c r="CZ62" s="143"/>
      <c r="DB62" s="143"/>
      <c r="DD62" s="143"/>
      <c r="DF62" s="143"/>
      <c r="DH62" s="143"/>
      <c r="DJ62" s="143"/>
      <c r="DL62" s="143"/>
      <c r="DN62" s="143"/>
      <c r="DP62" s="143"/>
      <c r="DR62" s="143"/>
      <c r="DT62" s="143"/>
      <c r="DV62" s="143"/>
    </row>
    <row r="63" spans="3:126" s="110" customFormat="1" hidden="1" x14ac:dyDescent="0.35">
      <c r="BZ63" s="143"/>
      <c r="CB63" s="143"/>
      <c r="CD63" s="143"/>
      <c r="CF63" s="143"/>
      <c r="CH63" s="143"/>
      <c r="CJ63" s="143"/>
      <c r="CL63" s="143"/>
      <c r="CN63" s="143"/>
      <c r="CP63" s="143"/>
      <c r="CR63" s="143"/>
      <c r="CT63" s="143"/>
      <c r="CV63" s="143"/>
      <c r="CX63" s="143"/>
      <c r="CZ63" s="143"/>
      <c r="DB63" s="143"/>
      <c r="DD63" s="143"/>
      <c r="DF63" s="143"/>
      <c r="DH63" s="143"/>
      <c r="DJ63" s="143"/>
      <c r="DL63" s="143"/>
      <c r="DN63" s="143"/>
      <c r="DP63" s="143"/>
      <c r="DR63" s="143"/>
      <c r="DT63" s="143"/>
      <c r="DV63" s="143"/>
    </row>
    <row r="64" spans="3:126" s="110" customFormat="1" hidden="1" x14ac:dyDescent="0.35">
      <c r="CX64" s="149"/>
    </row>
    <row r="65" spans="3:157" s="110" customFormat="1" hidden="1" x14ac:dyDescent="0.35"/>
    <row r="66" spans="3:157" s="110" customFormat="1" hidden="1" x14ac:dyDescent="0.35">
      <c r="C66" s="145"/>
      <c r="CH66" s="144"/>
      <c r="CJ66" s="143"/>
      <c r="CL66" s="143"/>
      <c r="CN66" s="144"/>
      <c r="CP66" s="143"/>
      <c r="CR66" s="143"/>
      <c r="CT66" s="143"/>
      <c r="CV66" s="143"/>
      <c r="CX66" s="143"/>
      <c r="CZ66" s="143"/>
      <c r="DB66" s="143"/>
      <c r="DD66" s="143"/>
      <c r="DF66" s="143"/>
      <c r="DH66" s="143"/>
      <c r="DJ66" s="143"/>
      <c r="DL66" s="143"/>
      <c r="DN66" s="143"/>
      <c r="DP66" s="143"/>
      <c r="DR66" s="143"/>
      <c r="DT66" s="143"/>
      <c r="DV66" s="143"/>
      <c r="DX66" s="143"/>
      <c r="DZ66" s="143"/>
      <c r="EB66" s="143"/>
      <c r="ED66" s="143"/>
      <c r="EF66" s="143"/>
      <c r="EH66" s="143"/>
    </row>
    <row r="67" spans="3:157" s="110" customFormat="1" hidden="1" x14ac:dyDescent="0.35">
      <c r="C67" s="145"/>
      <c r="CF67" s="143"/>
      <c r="CH67" s="143"/>
      <c r="CJ67" s="143"/>
      <c r="CL67" s="143"/>
      <c r="CN67" s="143"/>
      <c r="CP67" s="143"/>
      <c r="CR67" s="143"/>
      <c r="CT67" s="143"/>
      <c r="CV67" s="143"/>
      <c r="CX67" s="143"/>
      <c r="CZ67" s="143"/>
      <c r="DB67" s="143"/>
      <c r="DD67" s="143"/>
      <c r="DF67" s="143"/>
      <c r="DH67" s="143"/>
      <c r="DJ67" s="143"/>
      <c r="DL67" s="143"/>
      <c r="DN67" s="143"/>
      <c r="DP67" s="143"/>
      <c r="DR67" s="143"/>
      <c r="DT67" s="143"/>
      <c r="DV67" s="143"/>
      <c r="DX67" s="143"/>
      <c r="DZ67" s="143"/>
      <c r="EB67" s="143"/>
      <c r="ED67" s="143"/>
      <c r="EF67" s="143"/>
      <c r="EH67" s="143"/>
    </row>
    <row r="68" spans="3:157" s="110" customFormat="1" hidden="1" x14ac:dyDescent="0.35">
      <c r="DD68" s="149"/>
    </row>
    <row r="69" spans="3:157" s="110" customFormat="1" hidden="1" x14ac:dyDescent="0.35"/>
    <row r="70" spans="3:157" s="110" customFormat="1" hidden="1" x14ac:dyDescent="0.35">
      <c r="C70" s="145"/>
      <c r="CN70" s="144"/>
      <c r="CP70" s="143"/>
      <c r="CR70" s="143"/>
      <c r="CT70" s="143"/>
      <c r="CV70" s="143"/>
      <c r="CX70" s="143"/>
      <c r="CZ70" s="143"/>
      <c r="DB70" s="143"/>
      <c r="DD70" s="143"/>
      <c r="DF70" s="143"/>
      <c r="DH70" s="143"/>
      <c r="DJ70" s="143"/>
      <c r="DL70" s="143"/>
      <c r="DN70" s="143"/>
      <c r="DP70" s="143"/>
      <c r="DR70" s="143"/>
      <c r="DT70" s="143"/>
      <c r="DV70" s="143"/>
      <c r="DX70" s="143"/>
      <c r="DZ70" s="143"/>
      <c r="EB70" s="143"/>
      <c r="ED70" s="143"/>
      <c r="EF70" s="143"/>
      <c r="EH70" s="143"/>
    </row>
    <row r="71" spans="3:157" s="110" customFormat="1" hidden="1" x14ac:dyDescent="0.35">
      <c r="C71" s="145"/>
      <c r="CL71" s="143"/>
      <c r="CN71" s="143"/>
      <c r="CP71" s="143"/>
      <c r="CR71" s="143"/>
      <c r="CT71" s="143"/>
      <c r="CV71" s="143"/>
      <c r="CX71" s="143"/>
      <c r="CZ71" s="143"/>
      <c r="DB71" s="143"/>
      <c r="DD71" s="143"/>
      <c r="DF71" s="143"/>
      <c r="DH71" s="143"/>
      <c r="DJ71" s="143"/>
      <c r="DL71" s="143"/>
      <c r="DN71" s="143"/>
      <c r="DP71" s="143"/>
      <c r="DR71" s="143"/>
      <c r="DT71" s="143"/>
      <c r="DV71" s="143"/>
      <c r="DX71" s="143"/>
      <c r="DZ71" s="143"/>
      <c r="EB71" s="143"/>
      <c r="ED71" s="143"/>
      <c r="EF71" s="143"/>
      <c r="EH71" s="143"/>
    </row>
    <row r="72" spans="3:157" s="110" customFormat="1" hidden="1" x14ac:dyDescent="0.35">
      <c r="DJ72" s="149"/>
    </row>
    <row r="73" spans="3:157" s="110" customFormat="1" hidden="1" x14ac:dyDescent="0.35"/>
    <row r="74" spans="3:157" s="110" customFormat="1" hidden="1" x14ac:dyDescent="0.35">
      <c r="C74" s="145"/>
      <c r="CT74" s="144"/>
      <c r="CV74" s="143"/>
      <c r="CX74" s="143"/>
      <c r="CZ74" s="143"/>
      <c r="DB74" s="143"/>
      <c r="DD74" s="143"/>
      <c r="DF74" s="143"/>
      <c r="DH74" s="143"/>
      <c r="DJ74" s="143"/>
      <c r="DL74" s="143"/>
      <c r="DN74" s="143"/>
      <c r="DP74" s="143"/>
      <c r="DR74" s="143"/>
      <c r="DT74" s="143"/>
      <c r="DV74" s="143"/>
      <c r="DX74" s="143"/>
      <c r="DZ74" s="143"/>
      <c r="EB74" s="143"/>
      <c r="ED74" s="143"/>
      <c r="EF74" s="143"/>
      <c r="EH74" s="143"/>
      <c r="EJ74" s="143"/>
      <c r="EL74" s="143"/>
      <c r="EN74" s="143"/>
      <c r="EP74" s="143"/>
      <c r="ER74" s="143"/>
      <c r="ET74" s="143"/>
      <c r="EV74" s="143"/>
      <c r="EX74" s="143"/>
      <c r="EZ74" s="143"/>
    </row>
    <row r="75" spans="3:157" s="110" customFormat="1" hidden="1" x14ac:dyDescent="0.35">
      <c r="C75" s="145"/>
      <c r="CR75" s="143"/>
      <c r="CT75" s="143"/>
      <c r="CV75" s="143"/>
      <c r="CX75" s="143"/>
      <c r="CZ75" s="143"/>
      <c r="DB75" s="143"/>
      <c r="DD75" s="143"/>
      <c r="DF75" s="143"/>
      <c r="DH75" s="143"/>
      <c r="DJ75" s="143"/>
      <c r="DL75" s="143"/>
      <c r="DN75" s="143"/>
      <c r="DP75" s="143"/>
      <c r="DR75" s="143"/>
      <c r="DT75" s="143"/>
      <c r="DV75" s="143"/>
      <c r="DX75" s="143"/>
      <c r="DZ75" s="143"/>
      <c r="EB75" s="143"/>
      <c r="ED75" s="143"/>
      <c r="EF75" s="143"/>
      <c r="EH75" s="143"/>
      <c r="EJ75" s="143"/>
      <c r="EL75" s="143"/>
      <c r="EN75" s="143"/>
      <c r="EP75" s="143"/>
      <c r="ER75" s="143"/>
      <c r="ET75" s="143"/>
      <c r="EV75" s="143"/>
      <c r="EX75" s="143"/>
      <c r="EZ75" s="143"/>
    </row>
    <row r="76" spans="3:157" s="110" customFormat="1" hidden="1" x14ac:dyDescent="0.35">
      <c r="DP76" s="149"/>
    </row>
    <row r="77" spans="3:157" s="10" customFormat="1" hidden="1" x14ac:dyDescent="0.35">
      <c r="C77"/>
      <c r="BI77"/>
      <c r="BJ77"/>
      <c r="BK77"/>
      <c r="BL77"/>
      <c r="BM77"/>
      <c r="CX77" s="81"/>
      <c r="CY77"/>
      <c r="CZ77"/>
      <c r="DA77"/>
      <c r="DB77"/>
      <c r="DC77"/>
      <c r="DD77" s="81"/>
      <c r="DE77"/>
      <c r="DF77"/>
      <c r="DG77"/>
      <c r="DH77"/>
      <c r="DI77"/>
      <c r="DJ77" s="81"/>
      <c r="DK77"/>
      <c r="DL77"/>
      <c r="DM77"/>
      <c r="DN77"/>
      <c r="DO77"/>
      <c r="DP77" s="81"/>
      <c r="DQ77"/>
      <c r="DR77"/>
      <c r="DS77"/>
      <c r="DT77"/>
      <c r="DU77"/>
      <c r="DV77" s="81"/>
      <c r="DW77"/>
      <c r="DX77"/>
      <c r="DY77"/>
      <c r="DZ77"/>
      <c r="EA77"/>
      <c r="EB77" s="81"/>
      <c r="EC77"/>
      <c r="ED77"/>
      <c r="EE77"/>
      <c r="EF77"/>
      <c r="EG77"/>
      <c r="EH77" s="81"/>
      <c r="EI77"/>
      <c r="EJ77"/>
      <c r="EK77"/>
      <c r="EL77"/>
      <c r="EM77"/>
      <c r="EN77" s="81"/>
      <c r="EO77"/>
      <c r="EP77" s="175"/>
      <c r="EQ77" s="175"/>
      <c r="ER77" s="175"/>
      <c r="ES77" s="175"/>
      <c r="ET77" s="81"/>
      <c r="EU77"/>
      <c r="EV77" s="175"/>
      <c r="EW77" s="175"/>
      <c r="EX77" s="175"/>
      <c r="EY77" s="175"/>
      <c r="EZ77" s="81"/>
      <c r="FA77" s="175"/>
    </row>
    <row r="78" spans="3:157" s="10" customFormat="1" ht="13.15" hidden="1" x14ac:dyDescent="0.4">
      <c r="C78" s="26" t="s">
        <v>117</v>
      </c>
      <c r="CX78" s="81"/>
      <c r="CY78"/>
      <c r="CZ78" s="66">
        <f>CX80</f>
        <v>-0.88195838875236265</v>
      </c>
      <c r="DA78" s="95"/>
      <c r="DB78" s="33">
        <f>CZ78</f>
        <v>-0.88195838875236265</v>
      </c>
      <c r="DC78"/>
      <c r="DD78" s="82">
        <f>DB78</f>
        <v>-0.88195838875236265</v>
      </c>
      <c r="DE78"/>
      <c r="DF78" s="33">
        <f>DD78</f>
        <v>-0.88195838875236265</v>
      </c>
      <c r="DG78"/>
      <c r="DH78" s="33">
        <f>DF78</f>
        <v>-0.88195838875236265</v>
      </c>
      <c r="DI78"/>
      <c r="DJ78" s="82">
        <f>DH78</f>
        <v>-0.88195838875236265</v>
      </c>
      <c r="DK78"/>
      <c r="DL78" s="33">
        <f>DJ78</f>
        <v>-0.88195838875236265</v>
      </c>
      <c r="DM78"/>
      <c r="DN78" s="33">
        <f>DL78</f>
        <v>-0.88195838875236265</v>
      </c>
      <c r="DO78"/>
      <c r="DP78" s="82">
        <f>DN78</f>
        <v>-0.88195838875236265</v>
      </c>
      <c r="DQ78"/>
      <c r="DR78" s="33">
        <f>DP78</f>
        <v>-0.88195838875236265</v>
      </c>
      <c r="DS78"/>
      <c r="DT78" s="33">
        <f>DR78</f>
        <v>-0.88195838875236265</v>
      </c>
      <c r="DU78"/>
      <c r="DV78" s="82">
        <f>DT78</f>
        <v>-0.88195838875236265</v>
      </c>
      <c r="DW78"/>
      <c r="DX78" s="143"/>
      <c r="DY78" s="110"/>
      <c r="DZ78" s="143"/>
      <c r="EA78" s="110"/>
      <c r="EB78" s="143"/>
      <c r="EC78" s="179"/>
      <c r="ED78" s="84"/>
      <c r="EE78"/>
      <c r="EF78" s="33"/>
      <c r="EG78"/>
      <c r="EH78" s="82"/>
      <c r="EI78"/>
      <c r="EJ78" s="33">
        <f>EH78</f>
        <v>0</v>
      </c>
      <c r="EK78"/>
      <c r="EL78" s="33">
        <f>EJ78</f>
        <v>0</v>
      </c>
      <c r="EM78"/>
      <c r="EN78" s="82">
        <f>EL78</f>
        <v>0</v>
      </c>
      <c r="EO78"/>
      <c r="EP78" s="33">
        <f>EN78</f>
        <v>0</v>
      </c>
      <c r="EQ78" s="175"/>
      <c r="ER78" s="33">
        <f>EP78</f>
        <v>0</v>
      </c>
      <c r="ES78" s="175"/>
      <c r="ET78" s="82">
        <f>ER78</f>
        <v>0</v>
      </c>
      <c r="EU78"/>
      <c r="EV78" s="33">
        <f>ET78</f>
        <v>0</v>
      </c>
      <c r="EW78" s="175"/>
      <c r="EX78" s="33">
        <f>EV78</f>
        <v>0</v>
      </c>
      <c r="EY78" s="175"/>
      <c r="EZ78" s="82">
        <f>EX78</f>
        <v>0</v>
      </c>
      <c r="FA78" s="175"/>
    </row>
    <row r="79" spans="3:157" s="10" customFormat="1" hidden="1" x14ac:dyDescent="0.35">
      <c r="C79" s="25"/>
      <c r="CX79" s="93">
        <f>-23937.85</f>
        <v>-23937.85</v>
      </c>
      <c r="CY79"/>
      <c r="CZ79" s="33">
        <f>CX79-(CZ$5*CZ78)</f>
        <v>-22832.756138893288</v>
      </c>
      <c r="DA79"/>
      <c r="DB79" s="33">
        <f>CZ79-(DB$5*DB78)</f>
        <v>-22056.544560952334</v>
      </c>
      <c r="DC79"/>
      <c r="DD79" s="82">
        <f>DB79-(DD$5*DD78)</f>
        <v>-21134.368869672864</v>
      </c>
      <c r="DE79"/>
      <c r="DF79" s="33">
        <f>DD79-(DF$5*DF78)</f>
        <v>-20051.941339157089</v>
      </c>
      <c r="DG79"/>
      <c r="DH79" s="33">
        <f>DF79-(DH$5*DH78)</f>
        <v>-19127.031576872487</v>
      </c>
      <c r="DI79"/>
      <c r="DJ79" s="82">
        <f>DH79-(DJ$5*DJ78)</f>
        <v>-17528.217409742203</v>
      </c>
      <c r="DK79"/>
      <c r="DL79" s="33">
        <f>DJ79-(DL$5*DL78)</f>
        <v>-14289.048835371401</v>
      </c>
      <c r="DM79"/>
      <c r="DN79" s="33">
        <f>DL79-(DN$5*DN78)</f>
        <v>-11772.380573066534</v>
      </c>
      <c r="DO79"/>
      <c r="DP79" s="82">
        <f>DN79-(DP$5*DP78)</f>
        <v>-6416.6882573678113</v>
      </c>
      <c r="DQ79"/>
      <c r="DR79" s="33">
        <f>DP79-(DR$5*DR78)</f>
        <v>-2620.4747646610167</v>
      </c>
      <c r="DS79"/>
      <c r="DT79" s="33">
        <f>DR79-(DT$5*DT78)</f>
        <v>2124.5495626655702</v>
      </c>
      <c r="DU79"/>
      <c r="DV79" s="82">
        <f>DT79-(DV$5*DV78)</f>
        <v>4356.6980487589244</v>
      </c>
      <c r="DW79"/>
      <c r="DX79" s="53">
        <f>DV79-(DX$5*DX78)</f>
        <v>4356.6980487589244</v>
      </c>
      <c r="DY79" s="51"/>
      <c r="DZ79" s="53">
        <f>DX79-(DZ$5*DZ78)</f>
        <v>4356.6980487589244</v>
      </c>
      <c r="EA79"/>
      <c r="EB79" s="169">
        <f>DZ79-(EB$5*EB78)</f>
        <v>4356.6980487589244</v>
      </c>
      <c r="EC79"/>
      <c r="ED79" s="33"/>
      <c r="EE79"/>
      <c r="EF79" s="33"/>
      <c r="EG79"/>
      <c r="EH79" s="82"/>
      <c r="EI79"/>
      <c r="EJ79" s="33">
        <f>EH79-(EJ$5*EJ78)</f>
        <v>0</v>
      </c>
      <c r="EK79"/>
      <c r="EL79" s="33">
        <f>EJ79-(EL$5*EL78)</f>
        <v>0</v>
      </c>
      <c r="EM79"/>
      <c r="EN79" s="82">
        <f>EL79-(EN$5*EN78)</f>
        <v>0</v>
      </c>
      <c r="EO79"/>
      <c r="EP79" s="33">
        <f>EN79-(EP$5*EP78)</f>
        <v>0</v>
      </c>
      <c r="EQ79" s="175"/>
      <c r="ER79" s="33">
        <f>EP79-(ER$5*ER78)</f>
        <v>0</v>
      </c>
      <c r="ES79" s="175"/>
      <c r="ET79" s="82">
        <f>ER79-(ET$5*ET78)</f>
        <v>0</v>
      </c>
      <c r="EU79"/>
      <c r="EV79" s="33">
        <f>ET79-(EV$5*EV78)</f>
        <v>0</v>
      </c>
      <c r="EW79" s="175"/>
      <c r="EX79" s="33">
        <f>EV79-(EX$5*EX78)</f>
        <v>0</v>
      </c>
      <c r="EY79" s="175"/>
      <c r="EZ79" s="168">
        <f>EX79-(EZ$5*EZ78)</f>
        <v>0</v>
      </c>
      <c r="FA79" s="175"/>
    </row>
    <row r="80" spans="3:157" s="10" customFormat="1" hidden="1" x14ac:dyDescent="0.35">
      <c r="CX80" s="99">
        <f>(CX79/SUM(CB$5:CX$5))</f>
        <v>-0.88195838875236265</v>
      </c>
      <c r="CY80"/>
      <c r="CZ80"/>
      <c r="DA80"/>
      <c r="DB80"/>
      <c r="DC80"/>
      <c r="DD80" s="81"/>
      <c r="DE80"/>
      <c r="DF80"/>
      <c r="DG80"/>
      <c r="DH80"/>
      <c r="DI80"/>
      <c r="DJ80" s="81"/>
      <c r="DK80"/>
      <c r="DL80"/>
      <c r="DM80"/>
      <c r="DN80"/>
      <c r="DO80"/>
      <c r="DP80" s="81"/>
      <c r="DQ80"/>
      <c r="DR80"/>
      <c r="DS80"/>
      <c r="DT80"/>
      <c r="DU80"/>
      <c r="DV80" s="149"/>
      <c r="DW80" s="179"/>
      <c r="DX80"/>
      <c r="DY80"/>
      <c r="DZ80"/>
      <c r="EA80"/>
      <c r="EB80" s="182">
        <f>(EB79/SUM(CZ$5:DV$5))</f>
        <v>0.13580094598939962</v>
      </c>
      <c r="EC80"/>
      <c r="ED80"/>
      <c r="EE80"/>
      <c r="EF80"/>
      <c r="EG80"/>
      <c r="EH80" s="81"/>
      <c r="EI80"/>
      <c r="EJ80"/>
      <c r="EK80"/>
      <c r="EL80"/>
      <c r="EM80"/>
      <c r="EN80" s="81"/>
      <c r="EO80"/>
      <c r="EP80" s="175"/>
      <c r="EQ80" s="175"/>
      <c r="ER80" s="175"/>
      <c r="ES80" s="175"/>
      <c r="ET80" s="81"/>
      <c r="EU80"/>
      <c r="EV80" s="175"/>
      <c r="EW80" s="175"/>
      <c r="EX80" s="175"/>
      <c r="EY80" s="175"/>
      <c r="EZ80" s="81"/>
      <c r="FA80" s="175"/>
    </row>
    <row r="81" spans="3:3" s="10" customFormat="1" hidden="1" x14ac:dyDescent="0.35"/>
    <row r="82" spans="3:3" s="10" customFormat="1" hidden="1" x14ac:dyDescent="0.35"/>
    <row r="83" spans="3:3" s="10" customFormat="1" hidden="1" x14ac:dyDescent="0.35"/>
    <row r="84" spans="3:3" s="10" customFormat="1" hidden="1" x14ac:dyDescent="0.35"/>
    <row r="85" spans="3:3" s="10" customFormat="1" hidden="1" x14ac:dyDescent="0.35"/>
    <row r="86" spans="3:3" s="10" customFormat="1" hidden="1" x14ac:dyDescent="0.35"/>
    <row r="87" spans="3:3" s="10" customFormat="1" hidden="1" x14ac:dyDescent="0.35"/>
    <row r="88" spans="3:3" s="10" customFormat="1" hidden="1" x14ac:dyDescent="0.35"/>
    <row r="89" spans="3:3" s="10" customFormat="1" hidden="1" x14ac:dyDescent="0.35"/>
    <row r="90" spans="3:3" s="10" customFormat="1" hidden="1" x14ac:dyDescent="0.35"/>
    <row r="91" spans="3:3" s="10" customFormat="1" hidden="1" x14ac:dyDescent="0.35"/>
    <row r="92" spans="3:3" s="10" customFormat="1" hidden="1" x14ac:dyDescent="0.35"/>
    <row r="93" spans="3:3" s="10" customFormat="1" hidden="1" x14ac:dyDescent="0.35"/>
    <row r="94" spans="3:3" hidden="1" x14ac:dyDescent="0.35">
      <c r="C94" s="10"/>
    </row>
    <row r="95" spans="3:3" hidden="1" x14ac:dyDescent="0.35">
      <c r="C95" s="10"/>
    </row>
    <row r="96" spans="3:3" hidden="1" x14ac:dyDescent="0.35">
      <c r="C96" s="10"/>
    </row>
    <row r="97" spans="3:3" hidden="1" x14ac:dyDescent="0.35">
      <c r="C97" s="10"/>
    </row>
    <row r="98" spans="3:3" hidden="1" x14ac:dyDescent="0.35">
      <c r="C98" s="10"/>
    </row>
    <row r="99" spans="3:3" hidden="1" x14ac:dyDescent="0.35">
      <c r="C99" s="10"/>
    </row>
    <row r="100" spans="3:3" hidden="1" x14ac:dyDescent="0.35">
      <c r="C100" s="10"/>
    </row>
    <row r="101" spans="3:3" hidden="1" x14ac:dyDescent="0.35">
      <c r="C101" s="10"/>
    </row>
    <row r="102" spans="3:3" hidden="1" x14ac:dyDescent="0.35"/>
    <row r="103" spans="3:3" hidden="1" x14ac:dyDescent="0.35"/>
    <row r="104" spans="3:3" hidden="1" x14ac:dyDescent="0.35"/>
    <row r="105" spans="3:3" hidden="1" x14ac:dyDescent="0.35"/>
    <row r="106" spans="3:3" hidden="1" x14ac:dyDescent="0.35"/>
    <row r="107" spans="3:3" hidden="1" x14ac:dyDescent="0.35"/>
    <row r="108" spans="3:3" hidden="1" x14ac:dyDescent="0.35"/>
    <row r="109" spans="3:3" hidden="1" x14ac:dyDescent="0.35"/>
    <row r="110" spans="3:3" hidden="1" x14ac:dyDescent="0.35"/>
    <row r="111" spans="3:3" hidden="1" x14ac:dyDescent="0.35"/>
    <row r="112" spans="3:3"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spans="296:320" hidden="1" x14ac:dyDescent="0.35"/>
    <row r="210" spans="296:320" hidden="1" x14ac:dyDescent="0.35"/>
    <row r="211" spans="296:320" x14ac:dyDescent="0.35">
      <c r="KJ211" s="81"/>
      <c r="KK211" s="175"/>
      <c r="KL211" s="175"/>
      <c r="KM211" s="175"/>
      <c r="KN211" s="175"/>
      <c r="KO211" s="175"/>
      <c r="KP211" s="81"/>
      <c r="KQ211" s="175"/>
      <c r="KR211" s="175"/>
      <c r="KS211" s="175"/>
      <c r="KT211" s="175"/>
      <c r="KU211" s="175"/>
      <c r="KV211" s="81"/>
      <c r="KW211" s="175"/>
      <c r="KX211" s="175"/>
      <c r="KY211" s="175"/>
      <c r="KZ211" s="175"/>
      <c r="LA211" s="175"/>
      <c r="LB211" s="81"/>
      <c r="LC211" s="175"/>
      <c r="LD211" s="175"/>
      <c r="LE211" s="175"/>
      <c r="LF211" s="175"/>
      <c r="LG211" s="175"/>
      <c r="LH211" s="81"/>
    </row>
    <row r="212" spans="296:320" x14ac:dyDescent="0.35">
      <c r="KJ212" s="81"/>
      <c r="KK212" s="175"/>
      <c r="KL212" s="66">
        <f>KJ214</f>
        <v>0</v>
      </c>
      <c r="KM212" s="95"/>
      <c r="KN212" s="43">
        <f>KL212</f>
        <v>0</v>
      </c>
      <c r="KO212" s="40"/>
      <c r="KP212" s="150">
        <f>KN212</f>
        <v>0</v>
      </c>
      <c r="KQ212" s="40"/>
      <c r="KR212" s="43">
        <f>KP212</f>
        <v>0</v>
      </c>
      <c r="KS212" s="40"/>
      <c r="KT212" s="43">
        <f>KR212</f>
        <v>0</v>
      </c>
      <c r="KU212" s="40"/>
      <c r="KV212" s="150">
        <f>KT212</f>
        <v>0</v>
      </c>
      <c r="KW212" s="40"/>
      <c r="KX212" s="43">
        <f>KV212</f>
        <v>0</v>
      </c>
      <c r="KY212" s="40"/>
      <c r="KZ212" s="43">
        <f>KX212</f>
        <v>0</v>
      </c>
      <c r="LA212" s="40"/>
      <c r="LB212" s="150">
        <f>KZ212</f>
        <v>0</v>
      </c>
      <c r="LC212" s="40"/>
      <c r="LD212" s="43">
        <f>LB212</f>
        <v>0</v>
      </c>
      <c r="LE212" s="40"/>
      <c r="LF212" s="43">
        <f>LD212</f>
        <v>0</v>
      </c>
      <c r="LG212" s="40"/>
      <c r="LH212" s="150">
        <f>LF212</f>
        <v>0</v>
      </c>
    </row>
    <row r="213" spans="296:320" x14ac:dyDescent="0.35">
      <c r="KJ213" s="93">
        <v>0</v>
      </c>
      <c r="KK213" s="175"/>
      <c r="KL213" s="33">
        <f>KJ213-(KL$5*KL212)</f>
        <v>0</v>
      </c>
      <c r="KM213" s="175"/>
      <c r="KN213" s="33">
        <f>KL213-(KN$5*KN212)</f>
        <v>0</v>
      </c>
      <c r="KO213" s="175"/>
      <c r="KP213" s="82">
        <f>KN213-(KP$5*KP212)</f>
        <v>0</v>
      </c>
      <c r="KQ213" s="175"/>
      <c r="KR213" s="33">
        <f>KP213-(KR$5*KR212)</f>
        <v>0</v>
      </c>
      <c r="KS213" s="175"/>
      <c r="KT213" s="33">
        <f>KR213-(KT$5*KT212)</f>
        <v>0</v>
      </c>
      <c r="KU213" s="175"/>
      <c r="KV213" s="82">
        <f>KT213-(KV$5*KV212)</f>
        <v>0</v>
      </c>
      <c r="KW213" s="175"/>
      <c r="KX213" s="33">
        <f>KV213-(KX$5*KX212)</f>
        <v>0</v>
      </c>
      <c r="KY213" s="175"/>
      <c r="KZ213" s="33">
        <f>KX213-(KZ$5*KZ212)</f>
        <v>0</v>
      </c>
      <c r="LA213" s="175"/>
      <c r="LB213" s="82">
        <f>KZ213-(LB$5*LB212)</f>
        <v>0</v>
      </c>
      <c r="LC213" s="175"/>
      <c r="LD213" s="33">
        <f>LB213-(LD$5*LD212)</f>
        <v>0</v>
      </c>
      <c r="LE213" s="175"/>
      <c r="LF213" s="33">
        <f>LD213-(LF$5*LF212)</f>
        <v>0</v>
      </c>
      <c r="LG213" s="175"/>
      <c r="LH213" s="82">
        <f>LF213-(LH$5*LH212)</f>
        <v>0</v>
      </c>
    </row>
    <row r="214" spans="296:320" x14ac:dyDescent="0.35">
      <c r="KJ214" s="101">
        <f>(KJ213/SUM(KL$5:LH$5))</f>
        <v>0</v>
      </c>
      <c r="KK214" s="175"/>
      <c r="KL214" s="175"/>
      <c r="KM214" s="175"/>
      <c r="KN214" s="175"/>
      <c r="KO214" s="175"/>
      <c r="KP214" s="81"/>
      <c r="KQ214" s="175"/>
      <c r="KR214" s="175"/>
      <c r="KS214" s="175"/>
      <c r="KT214" s="175"/>
      <c r="KU214" s="175"/>
      <c r="KV214" s="81"/>
      <c r="KW214" s="175"/>
      <c r="KX214" s="175"/>
      <c r="KY214" s="175"/>
      <c r="KZ214" s="175"/>
      <c r="LA214" s="175"/>
      <c r="LB214" s="81"/>
      <c r="LC214" s="175"/>
      <c r="LD214" s="175"/>
      <c r="LE214" s="175"/>
      <c r="LF214" s="175"/>
      <c r="LG214" s="175"/>
      <c r="LH214" s="264"/>
    </row>
    <row r="215" spans="296:320" x14ac:dyDescent="0.35">
      <c r="KJ215" s="10"/>
      <c r="KK215" s="10"/>
      <c r="KL215" s="10"/>
      <c r="KM215" s="10"/>
      <c r="KN215" s="10"/>
      <c r="KO215" s="10"/>
      <c r="KP215" s="10"/>
      <c r="KQ215" s="10"/>
      <c r="KR215" s="10"/>
      <c r="KS215" s="10"/>
      <c r="KT215" s="10"/>
      <c r="KU215" s="10"/>
      <c r="KV215" s="10"/>
      <c r="KW215" s="10"/>
      <c r="KX215" s="10"/>
      <c r="KY215" s="10"/>
      <c r="KZ215" s="10"/>
      <c r="LA215" s="10"/>
      <c r="LB215" s="10"/>
      <c r="LC215" s="10"/>
      <c r="LD215" s="10"/>
      <c r="LE215" s="10"/>
      <c r="LF215" s="10"/>
      <c r="LG215" s="10"/>
      <c r="LH215" s="10"/>
    </row>
  </sheetData>
  <pageMargins left="0.5" right="0.5" top="1" bottom="1" header="0.5" footer="0.5"/>
  <pageSetup scale="50" orientation="landscape" blackAndWhite="1" r:id="rId1"/>
  <headerFooter>
    <oddHeader>&amp;C&amp;"Arial,Bold"Schedule III&amp;"Arial,Regular"
Supplier Refund Adjustment&amp;R&amp;"Arial,Bold"Navitas KY NG, LLC</oddHeader>
    <oddFooter>&amp;CPage 4&amp;R&amp;D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K55"/>
  <sheetViews>
    <sheetView zoomScale="75" zoomScaleNormal="75" workbookViewId="0">
      <pane xSplit="4" ySplit="3" topLeftCell="HK7" activePane="bottomRight" state="frozen"/>
      <selection pane="topRight" activeCell="E1" sqref="E1"/>
      <selection pane="bottomLeft" activeCell="A4" sqref="A4"/>
      <selection pane="bottomRight" activeCell="FX27" sqref="FX27"/>
    </sheetView>
  </sheetViews>
  <sheetFormatPr defaultRowHeight="12.75" x14ac:dyDescent="0.35"/>
  <cols>
    <col min="1" max="2" width="1.73046875" customWidth="1"/>
    <col min="3" max="3" width="20.73046875" customWidth="1"/>
    <col min="4" max="5" width="1.73046875" customWidth="1"/>
    <col min="6" max="6" width="10.73046875" customWidth="1"/>
    <col min="7" max="7" width="1.73046875" customWidth="1"/>
    <col min="8" max="8" width="10.73046875" customWidth="1"/>
    <col min="9" max="9" width="1.73046875" customWidth="1"/>
    <col min="10" max="10" width="10.73046875" customWidth="1"/>
    <col min="11" max="11" width="1.73046875" customWidth="1"/>
    <col min="12" max="12" width="10.73046875" customWidth="1"/>
    <col min="13" max="13" width="1.73046875" customWidth="1"/>
    <col min="14" max="14" width="10.73046875" customWidth="1"/>
    <col min="15" max="15" width="1.73046875" customWidth="1"/>
    <col min="16" max="16" width="10.73046875" customWidth="1"/>
    <col min="17" max="17" width="1.73046875" customWidth="1"/>
    <col min="18" max="18" width="10.73046875" customWidth="1"/>
    <col min="19" max="19" width="1.73046875" customWidth="1"/>
    <col min="20" max="20" width="10.73046875" customWidth="1"/>
    <col min="21" max="21" width="1.73046875" customWidth="1"/>
    <col min="22" max="22" width="10.73046875" customWidth="1"/>
    <col min="23" max="23" width="1.73046875" customWidth="1"/>
    <col min="24" max="24" width="12.73046875" customWidth="1"/>
    <col min="25" max="25" width="1.73046875" customWidth="1"/>
    <col min="26" max="26" width="12.73046875" customWidth="1"/>
    <col min="27" max="27" width="1.73046875" customWidth="1"/>
    <col min="28" max="28" width="12.73046875" customWidth="1"/>
    <col min="29" max="29" width="1.73046875" customWidth="1"/>
    <col min="30" max="30" width="12.73046875" customWidth="1"/>
    <col min="31" max="31" width="1.73046875" customWidth="1"/>
    <col min="32" max="32" width="12.73046875" customWidth="1"/>
    <col min="33" max="33" width="1.73046875" customWidth="1"/>
    <col min="34" max="34" width="12.73046875" customWidth="1"/>
    <col min="35" max="35" width="1.73046875" customWidth="1"/>
    <col min="36" max="36" width="12.73046875" customWidth="1"/>
    <col min="37" max="37" width="1.73046875" customWidth="1"/>
    <col min="38" max="38" width="12.73046875" customWidth="1"/>
    <col min="39" max="39" width="1.73046875" customWidth="1"/>
    <col min="40" max="40" width="12.73046875" customWidth="1"/>
    <col min="41" max="41" width="1.73046875" customWidth="1"/>
    <col min="42" max="42" width="12.73046875" style="175" customWidth="1"/>
    <col min="43" max="43" width="1.73046875" style="175" customWidth="1"/>
    <col min="44" max="44" width="12.73046875" style="175" customWidth="1"/>
    <col min="45" max="45" width="1.73046875" style="175" customWidth="1"/>
    <col min="46" max="46" width="12.73046875" style="175" customWidth="1"/>
    <col min="47" max="47" width="1.73046875" style="175" customWidth="1"/>
    <col min="48" max="48" width="12.73046875" style="175" customWidth="1"/>
    <col min="49" max="49" width="1.73046875" style="175" customWidth="1"/>
    <col min="50" max="50" width="12.73046875" style="175" customWidth="1"/>
    <col min="51" max="51" width="1.73046875" style="175" customWidth="1"/>
    <col min="52" max="52" width="12.73046875" style="175" customWidth="1"/>
    <col min="53" max="53" width="1.73046875" style="175" customWidth="1"/>
    <col min="54" max="54" width="12.73046875" style="175" customWidth="1"/>
    <col min="55" max="55" width="1.73046875" style="175" customWidth="1"/>
    <col min="56" max="56" width="12.73046875" style="175" customWidth="1"/>
    <col min="57" max="57" width="1.73046875" style="175" customWidth="1"/>
    <col min="58" max="58" width="12.73046875" style="175" customWidth="1"/>
    <col min="59" max="59" width="1.73046875" style="175" customWidth="1"/>
    <col min="60" max="60" width="12.73046875" style="175" customWidth="1"/>
    <col min="61" max="61" width="1.73046875" style="175" customWidth="1"/>
    <col min="62" max="62" width="12.73046875" style="175" customWidth="1"/>
    <col min="63" max="63" width="1.73046875" style="175" customWidth="1"/>
    <col min="64" max="64" width="12.73046875" style="175" customWidth="1"/>
    <col min="65" max="65" width="1.73046875" style="175" customWidth="1"/>
    <col min="66" max="66" width="12.73046875" style="175" customWidth="1"/>
    <col min="67" max="67" width="1.73046875" style="175" customWidth="1"/>
    <col min="68" max="68" width="12.73046875" style="175" customWidth="1"/>
    <col min="69" max="69" width="1.73046875" style="175" customWidth="1"/>
    <col min="70" max="70" width="12.73046875" style="175" customWidth="1"/>
    <col min="71" max="71" width="1.73046875" style="175" customWidth="1"/>
    <col min="72" max="72" width="12.73046875" style="175" customWidth="1"/>
    <col min="73" max="73" width="1.73046875" style="175" customWidth="1"/>
    <col min="74" max="74" width="12.73046875" style="175" customWidth="1"/>
    <col min="75" max="75" width="1.73046875" style="175" customWidth="1"/>
    <col min="76" max="76" width="12.73046875" style="175" customWidth="1"/>
    <col min="77" max="77" width="1.73046875" style="175" customWidth="1"/>
    <col min="78" max="78" width="12.73046875" style="175" customWidth="1"/>
    <col min="79" max="79" width="1.73046875" style="175" customWidth="1"/>
    <col min="80" max="80" width="12.73046875" style="175" customWidth="1"/>
    <col min="81" max="81" width="1.73046875" style="175" customWidth="1"/>
    <col min="82" max="82" width="12.73046875" style="175" customWidth="1"/>
    <col min="83" max="83" width="1.73046875" style="175" customWidth="1"/>
    <col min="84" max="84" width="12.73046875" style="175" customWidth="1"/>
    <col min="85" max="85" width="1.73046875" style="175" customWidth="1"/>
    <col min="86" max="86" width="12.73046875" style="175" customWidth="1"/>
    <col min="87" max="87" width="1.73046875" style="175" customWidth="1"/>
    <col min="88" max="88" width="12.73046875" style="175" customWidth="1"/>
    <col min="89" max="89" width="1.73046875" style="175" customWidth="1"/>
    <col min="90" max="90" width="12.73046875" style="175" customWidth="1"/>
    <col min="91" max="91" width="1.73046875" style="175" customWidth="1"/>
    <col min="92" max="92" width="12.73046875" style="175" customWidth="1"/>
    <col min="93" max="93" width="1.73046875" style="175" customWidth="1"/>
    <col min="94" max="94" width="12.73046875" style="175" customWidth="1"/>
    <col min="95" max="95" width="1.73046875" style="175" customWidth="1"/>
    <col min="96" max="96" width="12.73046875" style="175" customWidth="1"/>
    <col min="97" max="97" width="1.73046875" style="175" customWidth="1"/>
    <col min="98" max="98" width="12.73046875" style="175" customWidth="1"/>
    <col min="99" max="99" width="1.73046875" style="175" customWidth="1"/>
    <col min="100" max="100" width="12.73046875" style="175" customWidth="1"/>
    <col min="101" max="101" width="1.73046875" style="175" customWidth="1"/>
    <col min="102" max="102" width="12.73046875" style="175" customWidth="1"/>
    <col min="103" max="103" width="1.73046875" style="175" customWidth="1"/>
    <col min="104" max="104" width="12.73046875" style="175" customWidth="1"/>
    <col min="105" max="105" width="1.73046875" style="175" customWidth="1"/>
    <col min="106" max="106" width="12.73046875" style="175" customWidth="1"/>
    <col min="107" max="107" width="1.73046875" style="175" customWidth="1"/>
    <col min="108" max="108" width="12.73046875" style="175" customWidth="1"/>
    <col min="109" max="109" width="1.73046875" style="175" customWidth="1"/>
    <col min="110" max="110" width="12.73046875" style="175" customWidth="1"/>
    <col min="111" max="111" width="1.73046875" style="175" customWidth="1"/>
    <col min="112" max="112" width="12.73046875" style="175" customWidth="1"/>
    <col min="113" max="113" width="1.73046875" style="175" customWidth="1"/>
    <col min="114" max="114" width="12.73046875" style="175" customWidth="1"/>
    <col min="115" max="115" width="1.73046875" style="175" customWidth="1"/>
    <col min="116" max="116" width="12.73046875" style="175" customWidth="1"/>
    <col min="117" max="117" width="1.73046875" style="175" customWidth="1"/>
    <col min="118" max="118" width="12.73046875" style="175" customWidth="1"/>
    <col min="119" max="119" width="1.73046875" style="175" customWidth="1"/>
    <col min="120" max="120" width="12.73046875" style="175" customWidth="1"/>
    <col min="121" max="121" width="1.73046875" style="175" customWidth="1"/>
    <col min="122" max="122" width="12.73046875" style="175" customWidth="1"/>
    <col min="123" max="123" width="1.73046875" style="175" customWidth="1"/>
    <col min="124" max="124" width="12.73046875" style="175" customWidth="1"/>
    <col min="125" max="125" width="1.73046875" style="175" customWidth="1"/>
    <col min="126" max="126" width="12.73046875" style="175" customWidth="1"/>
    <col min="127" max="127" width="1.73046875" style="175" customWidth="1"/>
    <col min="128" max="128" width="12.73046875" style="175" customWidth="1"/>
    <col min="129" max="129" width="1.73046875" style="175" customWidth="1"/>
    <col min="130" max="130" width="12.73046875" style="175" customWidth="1"/>
    <col min="131" max="131" width="1.73046875" style="175" customWidth="1"/>
    <col min="132" max="132" width="12.73046875" style="175" customWidth="1"/>
    <col min="133" max="133" width="1.73046875" style="175" customWidth="1"/>
    <col min="134" max="134" width="12.73046875" style="175" customWidth="1"/>
    <col min="135" max="135" width="1.73046875" style="175" customWidth="1"/>
    <col min="136" max="136" width="12.73046875" style="175" customWidth="1"/>
    <col min="137" max="137" width="1.73046875" style="175" customWidth="1"/>
    <col min="138" max="138" width="12.73046875" style="175" customWidth="1"/>
    <col min="139" max="139" width="1.73046875" style="175" customWidth="1"/>
    <col min="140" max="140" width="12.73046875" style="175" customWidth="1"/>
    <col min="141" max="141" width="1.73046875" style="175" customWidth="1"/>
    <col min="142" max="142" width="12.73046875" style="175" customWidth="1"/>
    <col min="143" max="143" width="1.73046875" style="175" customWidth="1"/>
    <col min="144" max="144" width="12.73046875" style="175" customWidth="1"/>
    <col min="145" max="145" width="1.73046875" style="175" customWidth="1"/>
    <col min="146" max="146" width="12.73046875" style="175" customWidth="1"/>
    <col min="147" max="147" width="1.73046875" style="175" customWidth="1"/>
    <col min="148" max="148" width="12.73046875" style="175" customWidth="1"/>
    <col min="149" max="149" width="1.73046875" style="175" customWidth="1"/>
    <col min="150" max="150" width="12.73046875" style="175" customWidth="1"/>
    <col min="151" max="151" width="1.73046875" style="175" customWidth="1"/>
    <col min="152" max="152" width="12.73046875" style="175" customWidth="1"/>
    <col min="153" max="153" width="1.73046875" style="175" customWidth="1"/>
    <col min="154" max="154" width="12.73046875" style="175" customWidth="1"/>
    <col min="155" max="155" width="1.73046875" style="175" customWidth="1"/>
    <col min="156" max="156" width="12.73046875" style="175" customWidth="1"/>
    <col min="157" max="157" width="1.73046875" style="175" customWidth="1"/>
    <col min="158" max="158" width="12.73046875" style="175" customWidth="1"/>
    <col min="159" max="159" width="1.73046875" style="175" customWidth="1"/>
    <col min="160" max="160" width="12.73046875" style="175" customWidth="1"/>
    <col min="161" max="161" width="1.73046875" style="175" customWidth="1"/>
    <col min="162" max="162" width="12.73046875" style="175" customWidth="1"/>
    <col min="163" max="163" width="1.73046875" style="175" customWidth="1"/>
    <col min="164" max="164" width="12.73046875" style="175" customWidth="1"/>
    <col min="165" max="165" width="1.73046875" style="175" customWidth="1"/>
    <col min="166" max="166" width="12.73046875" style="175" customWidth="1"/>
    <col min="167" max="167" width="1.73046875" style="175" customWidth="1"/>
    <col min="168" max="168" width="12.73046875" style="175" customWidth="1"/>
    <col min="169" max="169" width="1.73046875" style="175" customWidth="1"/>
    <col min="170" max="170" width="12.73046875" style="175" customWidth="1"/>
    <col min="171" max="171" width="1.73046875" style="175" customWidth="1"/>
    <col min="172" max="172" width="12.73046875" style="175" customWidth="1"/>
    <col min="173" max="173" width="0.86328125" style="175" customWidth="1"/>
    <col min="174" max="174" width="12.73046875" style="175" customWidth="1"/>
    <col min="175" max="175" width="1.73046875" style="175" customWidth="1"/>
    <col min="176" max="176" width="12.73046875" style="175" customWidth="1"/>
    <col min="177" max="177" width="1.73046875" style="175" customWidth="1"/>
    <col min="178" max="178" width="12.73046875" style="175" customWidth="1"/>
    <col min="179" max="179" width="0.86328125" style="175" customWidth="1"/>
    <col min="180" max="180" width="12.73046875" style="175" customWidth="1"/>
    <col min="181" max="181" width="1.73046875" style="175" customWidth="1"/>
    <col min="182" max="182" width="12.73046875" style="175" customWidth="1"/>
    <col min="183" max="183" width="1.73046875" style="175" customWidth="1"/>
    <col min="184" max="184" width="12.73046875" style="175" customWidth="1"/>
    <col min="185" max="185" width="0.86328125" style="175" customWidth="1"/>
    <col min="186" max="186" width="12.73046875" style="175" customWidth="1"/>
    <col min="187" max="187" width="1.73046875" style="175" customWidth="1"/>
    <col min="188" max="188" width="12.73046875" style="175" customWidth="1"/>
    <col min="189" max="189" width="1.73046875" style="175" customWidth="1"/>
    <col min="190" max="190" width="12.73046875" style="175" customWidth="1"/>
    <col min="191" max="191" width="0.86328125" style="175" customWidth="1"/>
    <col min="192" max="192" width="12.73046875" style="175" customWidth="1"/>
    <col min="193" max="193" width="1.73046875" style="175" customWidth="1"/>
    <col min="194" max="194" width="12.73046875" style="175" customWidth="1"/>
    <col min="195" max="195" width="1.73046875" style="175" customWidth="1"/>
    <col min="196" max="196" width="12.73046875" style="175" customWidth="1"/>
    <col min="197" max="197" width="0.86328125" style="175" customWidth="1"/>
    <col min="198" max="198" width="12.73046875" style="175" customWidth="1"/>
    <col min="199" max="199" width="1.73046875" style="175" customWidth="1"/>
    <col min="200" max="200" width="12.73046875" style="175" customWidth="1"/>
    <col min="201" max="201" width="1.73046875" style="175" customWidth="1"/>
    <col min="202" max="202" width="12.73046875" style="175" customWidth="1"/>
    <col min="203" max="203" width="0.86328125" style="175" customWidth="1"/>
    <col min="204" max="204" width="12.73046875" customWidth="1"/>
    <col min="205" max="205" width="1.73046875" customWidth="1"/>
    <col min="206" max="206" width="12.73046875" customWidth="1"/>
    <col min="207" max="207" width="1.73046875" customWidth="1"/>
    <col min="208" max="208" width="12.73046875" customWidth="1"/>
    <col min="209" max="209" width="0.86328125" style="175" customWidth="1"/>
    <col min="210" max="210" width="12.73046875" style="175" customWidth="1"/>
    <col min="211" max="211" width="1.73046875" style="175" customWidth="1"/>
    <col min="212" max="212" width="12.73046875" style="175" customWidth="1"/>
    <col min="213" max="213" width="1.73046875" style="175" customWidth="1"/>
    <col min="214" max="214" width="12.73046875" style="175" customWidth="1"/>
    <col min="215" max="215" width="0.86328125" style="175" customWidth="1"/>
    <col min="216" max="216" width="12.73046875" style="175" customWidth="1"/>
    <col min="217" max="217" width="1.73046875" style="175" customWidth="1"/>
    <col min="218" max="218" width="12.73046875" style="175" customWidth="1"/>
    <col min="219" max="219" width="1.73046875" style="175" customWidth="1"/>
    <col min="220" max="220" width="12.73046875" style="175" customWidth="1"/>
    <col min="221" max="221" width="0.86328125" style="175" customWidth="1"/>
    <col min="222" max="222" width="12.73046875" style="175" customWidth="1"/>
    <col min="223" max="223" width="1.73046875" style="175" customWidth="1"/>
    <col min="224" max="224" width="12.73046875" style="175" customWidth="1"/>
    <col min="225" max="225" width="1.73046875" style="175" customWidth="1"/>
    <col min="226" max="226" width="12.73046875" style="175" customWidth="1"/>
    <col min="227" max="227" width="0.86328125" style="175" customWidth="1"/>
    <col min="228" max="228" width="12.73046875" style="175" customWidth="1"/>
    <col min="229" max="229" width="1.73046875" style="175" customWidth="1"/>
    <col min="230" max="230" width="12.73046875" style="175" customWidth="1"/>
    <col min="231" max="231" width="1.73046875" style="175" customWidth="1"/>
    <col min="232" max="232" width="12.73046875" style="175" customWidth="1"/>
    <col min="233" max="233" width="0.86328125" style="175" customWidth="1"/>
    <col min="234" max="234" width="12.73046875" style="175" customWidth="1"/>
    <col min="235" max="235" width="1.73046875" style="175" customWidth="1"/>
    <col min="236" max="236" width="12.73046875" style="175" customWidth="1"/>
    <col min="237" max="237" width="1.73046875" style="175" customWidth="1"/>
    <col min="238" max="238" width="12.73046875" style="175" customWidth="1"/>
    <col min="239" max="239" width="0.86328125" style="175" customWidth="1"/>
    <col min="240" max="240" width="12.73046875" style="175" customWidth="1"/>
    <col min="241" max="241" width="1.73046875" style="175" customWidth="1"/>
    <col min="242" max="242" width="12.73046875" style="175" customWidth="1"/>
    <col min="243" max="243" width="1.73046875" style="175" customWidth="1"/>
    <col min="244" max="244" width="12.73046875" style="175" customWidth="1"/>
    <col min="245" max="245" width="0.86328125" style="175" customWidth="1"/>
  </cols>
  <sheetData>
    <row r="1" spans="1:245" ht="13.15" x14ac:dyDescent="0.4">
      <c r="F1" s="4"/>
      <c r="G1" s="4"/>
      <c r="H1" s="28"/>
      <c r="I1" s="4"/>
      <c r="J1" s="4"/>
      <c r="K1" s="69"/>
      <c r="L1" s="4"/>
      <c r="M1" s="4"/>
      <c r="N1" s="28"/>
      <c r="O1" s="10"/>
      <c r="P1" s="4"/>
      <c r="Q1" s="69"/>
      <c r="R1" s="4"/>
      <c r="S1" s="4"/>
      <c r="T1" s="177" t="s">
        <v>115</v>
      </c>
      <c r="U1" s="10"/>
      <c r="V1" s="4"/>
      <c r="W1" s="69"/>
      <c r="X1" s="4"/>
      <c r="Y1" s="4"/>
      <c r="Z1" s="28" t="s">
        <v>71</v>
      </c>
      <c r="AA1" s="4"/>
      <c r="AB1" s="4"/>
      <c r="AC1" s="69"/>
      <c r="AD1" s="4"/>
      <c r="AE1" s="4"/>
      <c r="AF1" s="28" t="s">
        <v>71</v>
      </c>
      <c r="AG1" s="4"/>
      <c r="AH1" s="4"/>
      <c r="AI1" s="69"/>
      <c r="AJ1" s="4"/>
      <c r="AK1" s="4"/>
      <c r="AL1" s="28" t="s">
        <v>71</v>
      </c>
      <c r="AM1" s="4"/>
      <c r="AN1" s="4"/>
      <c r="AO1" s="69"/>
      <c r="AP1" s="4"/>
      <c r="AQ1" s="4"/>
      <c r="AR1" s="177" t="s">
        <v>71</v>
      </c>
      <c r="AS1" s="4"/>
      <c r="AT1" s="4"/>
      <c r="AU1" s="69"/>
      <c r="AV1" s="4"/>
      <c r="AW1" s="4"/>
      <c r="AX1" s="177" t="s">
        <v>71</v>
      </c>
      <c r="AY1" s="4"/>
      <c r="AZ1" s="4"/>
      <c r="BA1" s="69"/>
      <c r="BB1" s="4"/>
      <c r="BC1" s="4"/>
      <c r="BD1" s="177" t="s">
        <v>71</v>
      </c>
      <c r="BE1" s="4"/>
      <c r="BF1" s="4"/>
      <c r="BG1" s="69"/>
      <c r="BH1" s="4"/>
      <c r="BI1" s="4"/>
      <c r="BJ1" s="28" t="s">
        <v>70</v>
      </c>
      <c r="BK1" s="4"/>
      <c r="BL1" s="4"/>
      <c r="BM1" s="69"/>
      <c r="BN1" s="4"/>
      <c r="BO1" s="4"/>
      <c r="BP1" s="28" t="s">
        <v>70</v>
      </c>
      <c r="BQ1" s="4"/>
      <c r="BR1" s="4"/>
      <c r="BS1" s="69"/>
      <c r="BT1" s="4"/>
      <c r="BU1" s="4"/>
      <c r="BV1" s="177" t="s">
        <v>71</v>
      </c>
      <c r="BW1" s="4"/>
      <c r="BX1" s="4"/>
      <c r="BY1" s="69"/>
      <c r="BZ1" s="4"/>
      <c r="CA1" s="4"/>
      <c r="CB1" s="177" t="s">
        <v>71</v>
      </c>
      <c r="CC1" s="4"/>
      <c r="CD1" s="4"/>
      <c r="CE1" s="69"/>
      <c r="CF1" s="4"/>
      <c r="CG1" s="4"/>
      <c r="CH1" s="177" t="s">
        <v>71</v>
      </c>
      <c r="CI1" s="4"/>
      <c r="CJ1" s="4"/>
      <c r="CK1" s="69"/>
      <c r="CL1" s="4"/>
      <c r="CM1" s="4"/>
      <c r="CN1" s="177" t="s">
        <v>71</v>
      </c>
      <c r="CO1" s="4"/>
      <c r="CP1" s="4"/>
      <c r="CQ1" s="69"/>
      <c r="CR1" s="4"/>
      <c r="CS1" s="4"/>
      <c r="CT1" s="177" t="s">
        <v>71</v>
      </c>
      <c r="CU1" s="4"/>
      <c r="CV1" s="4"/>
      <c r="CW1" s="69"/>
      <c r="CX1" s="4"/>
      <c r="CY1" s="4"/>
      <c r="CZ1" s="177" t="s">
        <v>71</v>
      </c>
      <c r="DA1" s="4"/>
      <c r="DB1" s="4"/>
      <c r="DC1" s="69"/>
      <c r="DD1" s="4"/>
      <c r="DE1" s="4"/>
      <c r="DF1" s="177" t="s">
        <v>71</v>
      </c>
      <c r="DG1" s="4"/>
      <c r="DH1" s="4"/>
      <c r="DI1" s="69"/>
      <c r="DJ1" s="4"/>
      <c r="DK1" s="4"/>
      <c r="DL1" s="177" t="s">
        <v>71</v>
      </c>
      <c r="DM1" s="4"/>
      <c r="DN1" s="4"/>
      <c r="DO1" s="69"/>
      <c r="DP1" s="4"/>
      <c r="DQ1" s="4"/>
      <c r="DR1" s="177" t="s">
        <v>71</v>
      </c>
      <c r="DS1" s="4"/>
      <c r="DT1" s="4"/>
      <c r="DU1" s="69"/>
      <c r="DV1" s="4"/>
      <c r="DW1" s="4"/>
      <c r="DX1" s="177" t="s">
        <v>71</v>
      </c>
      <c r="DY1" s="4"/>
      <c r="DZ1" s="4"/>
      <c r="EA1" s="69"/>
      <c r="EB1" s="4"/>
      <c r="EC1" s="4"/>
      <c r="ED1" s="177" t="s">
        <v>71</v>
      </c>
      <c r="EE1" s="4"/>
      <c r="EF1" s="4"/>
      <c r="EG1" s="69"/>
      <c r="EH1" s="4"/>
      <c r="EI1" s="4"/>
      <c r="EJ1" s="177" t="s">
        <v>71</v>
      </c>
      <c r="EK1" s="4"/>
      <c r="EL1" s="4"/>
      <c r="EM1" s="69"/>
      <c r="EN1" s="4"/>
      <c r="EO1" s="4"/>
      <c r="EP1" s="177" t="s">
        <v>71</v>
      </c>
      <c r="EQ1" s="4"/>
      <c r="ER1" s="4"/>
      <c r="ES1" s="69"/>
      <c r="ET1" s="4"/>
      <c r="EU1" s="4"/>
      <c r="EV1" s="177" t="s">
        <v>71</v>
      </c>
      <c r="EW1" s="4"/>
      <c r="EX1" s="4"/>
      <c r="EY1" s="69"/>
      <c r="EZ1" s="4"/>
      <c r="FA1" s="4"/>
      <c r="FB1" s="177" t="s">
        <v>71</v>
      </c>
      <c r="FC1" s="4"/>
      <c r="FD1" s="4"/>
      <c r="FE1" s="69"/>
      <c r="FF1" s="4"/>
      <c r="FG1" s="4"/>
      <c r="FH1" s="177" t="s">
        <v>71</v>
      </c>
      <c r="FI1" s="4"/>
      <c r="FJ1" s="4"/>
      <c r="FK1" s="69"/>
      <c r="FL1" s="4"/>
      <c r="FM1" s="4"/>
      <c r="FN1" s="177" t="s">
        <v>71</v>
      </c>
      <c r="FO1" s="4"/>
      <c r="FP1" s="4"/>
      <c r="FQ1" s="69"/>
      <c r="FR1" s="4"/>
      <c r="FS1" s="4"/>
      <c r="FT1" s="177" t="s">
        <v>71</v>
      </c>
      <c r="FU1" s="4"/>
      <c r="FV1" s="4"/>
      <c r="FW1" s="69"/>
      <c r="FX1" s="4"/>
      <c r="FY1" s="4"/>
      <c r="FZ1" s="177" t="s">
        <v>71</v>
      </c>
      <c r="GA1" s="4"/>
      <c r="GB1" s="4"/>
      <c r="GC1" s="69"/>
      <c r="GD1" s="4"/>
      <c r="GE1" s="4"/>
      <c r="GF1" s="177" t="s">
        <v>71</v>
      </c>
      <c r="GG1" s="4"/>
      <c r="GH1" s="4"/>
      <c r="GI1" s="69"/>
      <c r="GJ1" s="4"/>
      <c r="GK1" s="4"/>
      <c r="GL1" s="177" t="s">
        <v>71</v>
      </c>
      <c r="GM1" s="4"/>
      <c r="GN1" s="4"/>
      <c r="GO1" s="69"/>
      <c r="GP1" s="4"/>
      <c r="GQ1" s="4"/>
      <c r="GR1" s="177" t="s">
        <v>71</v>
      </c>
      <c r="GS1" s="4"/>
      <c r="GT1" s="4"/>
      <c r="GU1" s="69"/>
      <c r="GV1" s="4"/>
      <c r="GW1" s="4"/>
      <c r="GX1" s="177" t="s">
        <v>71</v>
      </c>
      <c r="GY1" s="4"/>
      <c r="GZ1" s="4"/>
      <c r="HA1" s="69"/>
      <c r="HB1" s="4"/>
      <c r="HC1" s="4"/>
      <c r="HD1" s="177" t="s">
        <v>71</v>
      </c>
      <c r="HE1" s="4"/>
      <c r="HF1" s="4"/>
      <c r="HG1" s="69"/>
      <c r="HH1" s="4"/>
      <c r="HI1" s="4"/>
      <c r="HJ1" s="28" t="s">
        <v>70</v>
      </c>
      <c r="HK1" s="4"/>
      <c r="HL1" s="4"/>
      <c r="HM1" s="69"/>
      <c r="HN1" s="4"/>
      <c r="HO1" s="4"/>
      <c r="HP1" s="28" t="s">
        <v>69</v>
      </c>
      <c r="HQ1" s="4"/>
      <c r="HR1" s="4"/>
      <c r="HS1" s="69"/>
      <c r="HT1" s="4"/>
      <c r="HU1" s="4"/>
      <c r="HV1" s="177" t="s">
        <v>119</v>
      </c>
      <c r="HW1" s="4"/>
      <c r="HX1" s="4"/>
      <c r="HY1" s="69"/>
      <c r="HZ1" s="4"/>
      <c r="IA1" s="4"/>
      <c r="IB1" s="177" t="s">
        <v>157</v>
      </c>
      <c r="IC1" s="4"/>
      <c r="ID1" s="4"/>
      <c r="IE1" s="69"/>
      <c r="IF1" s="4"/>
      <c r="IG1" s="4"/>
      <c r="IH1" s="177" t="s">
        <v>157</v>
      </c>
      <c r="II1" s="4"/>
      <c r="IJ1" s="4"/>
      <c r="IK1" s="69"/>
    </row>
    <row r="2" spans="1:245" x14ac:dyDescent="0.35">
      <c r="F2" s="4"/>
      <c r="G2" s="4"/>
      <c r="H2" s="4"/>
      <c r="I2" s="28" t="s">
        <v>35</v>
      </c>
      <c r="J2" s="4"/>
      <c r="K2" s="70"/>
      <c r="L2" s="4"/>
      <c r="N2" s="28" t="s">
        <v>36</v>
      </c>
      <c r="O2" s="125"/>
      <c r="P2" s="4"/>
      <c r="Q2" s="70"/>
      <c r="R2" s="4"/>
      <c r="T2" s="28" t="s">
        <v>36</v>
      </c>
      <c r="U2" s="125"/>
      <c r="V2" s="4"/>
      <c r="W2" s="69"/>
      <c r="X2" s="4"/>
      <c r="Z2" s="28" t="s">
        <v>36</v>
      </c>
      <c r="AA2" s="125"/>
      <c r="AB2" s="4"/>
      <c r="AC2" s="69"/>
      <c r="AD2" s="4"/>
      <c r="AF2" s="28" t="s">
        <v>36</v>
      </c>
      <c r="AG2" s="125"/>
      <c r="AH2" s="4"/>
      <c r="AI2" s="69"/>
      <c r="AJ2" s="4"/>
      <c r="AL2" s="28" t="s">
        <v>36</v>
      </c>
      <c r="AM2" s="125"/>
      <c r="AN2" s="4"/>
      <c r="AO2" s="69"/>
      <c r="AP2" s="4"/>
      <c r="AR2" s="28" t="s">
        <v>36</v>
      </c>
      <c r="AS2" s="125"/>
      <c r="AT2" s="4"/>
      <c r="AU2" s="69"/>
      <c r="AV2" s="4"/>
      <c r="AX2" s="28" t="s">
        <v>36</v>
      </c>
      <c r="AY2" s="125"/>
      <c r="AZ2" s="4"/>
      <c r="BA2" s="69"/>
      <c r="BB2" s="4"/>
      <c r="BD2" s="28" t="s">
        <v>36</v>
      </c>
      <c r="BE2" s="125"/>
      <c r="BF2" s="4"/>
      <c r="BG2" s="69"/>
      <c r="BH2" s="4"/>
      <c r="BJ2" s="28" t="s">
        <v>36</v>
      </c>
      <c r="BK2" s="125"/>
      <c r="BL2" s="4"/>
      <c r="BM2" s="69"/>
      <c r="BN2" s="4"/>
      <c r="BP2" s="28" t="s">
        <v>36</v>
      </c>
      <c r="BQ2" s="125"/>
      <c r="BR2" s="4"/>
      <c r="BS2" s="69"/>
      <c r="BT2" s="4"/>
      <c r="BV2" s="28" t="s">
        <v>36</v>
      </c>
      <c r="BW2" s="125"/>
      <c r="BX2" s="4"/>
      <c r="BY2" s="69"/>
      <c r="BZ2" s="4"/>
      <c r="CB2" s="28" t="s">
        <v>36</v>
      </c>
      <c r="CC2" s="125"/>
      <c r="CD2" s="4"/>
      <c r="CE2" s="69"/>
      <c r="CF2" s="4"/>
      <c r="CH2" s="28" t="s">
        <v>36</v>
      </c>
      <c r="CI2" s="125"/>
      <c r="CJ2" s="4"/>
      <c r="CK2" s="69"/>
      <c r="CL2" s="4"/>
      <c r="CN2" s="28" t="s">
        <v>36</v>
      </c>
      <c r="CO2" s="125"/>
      <c r="CP2" s="4"/>
      <c r="CQ2" s="69"/>
      <c r="CR2" s="4"/>
      <c r="CT2" s="28" t="s">
        <v>36</v>
      </c>
      <c r="CU2" s="125"/>
      <c r="CV2" s="4"/>
      <c r="CW2" s="69"/>
      <c r="CX2" s="4"/>
      <c r="CZ2" s="28" t="s">
        <v>36</v>
      </c>
      <c r="DA2" s="125"/>
      <c r="DB2" s="4"/>
      <c r="DC2" s="69"/>
      <c r="DD2" s="4"/>
      <c r="DF2" s="28" t="s">
        <v>36</v>
      </c>
      <c r="DG2" s="125"/>
      <c r="DH2" s="4"/>
      <c r="DI2" s="69"/>
      <c r="DJ2" s="4"/>
      <c r="DL2" s="28" t="s">
        <v>36</v>
      </c>
      <c r="DM2" s="125"/>
      <c r="DN2" s="4"/>
      <c r="DO2" s="69"/>
      <c r="DP2" s="4"/>
      <c r="DR2" s="28" t="s">
        <v>36</v>
      </c>
      <c r="DS2" s="125"/>
      <c r="DT2" s="4"/>
      <c r="DU2" s="69"/>
      <c r="DV2" s="4"/>
      <c r="DX2" s="28" t="s">
        <v>36</v>
      </c>
      <c r="DY2" s="125"/>
      <c r="DZ2" s="4"/>
      <c r="EA2" s="69"/>
      <c r="EB2" s="4"/>
      <c r="ED2" s="28" t="s">
        <v>36</v>
      </c>
      <c r="EE2" s="125"/>
      <c r="EF2" s="4"/>
      <c r="EG2" s="69"/>
      <c r="EH2" s="4"/>
      <c r="EJ2" s="28" t="s">
        <v>36</v>
      </c>
      <c r="EK2" s="125"/>
      <c r="EL2" s="4"/>
      <c r="EM2" s="69"/>
      <c r="EN2" s="4"/>
      <c r="EP2" s="28" t="s">
        <v>36</v>
      </c>
      <c r="EQ2" s="125"/>
      <c r="ER2" s="4"/>
      <c r="ES2" s="69"/>
      <c r="ET2" s="4"/>
      <c r="EV2" s="28" t="s">
        <v>36</v>
      </c>
      <c r="EW2" s="125"/>
      <c r="EX2" s="4"/>
      <c r="EY2" s="69"/>
      <c r="EZ2" s="4"/>
      <c r="FB2" s="28" t="s">
        <v>36</v>
      </c>
      <c r="FC2" s="125"/>
      <c r="FD2" s="4"/>
      <c r="FE2" s="69"/>
      <c r="FF2" s="4"/>
      <c r="FH2" s="28" t="s">
        <v>36</v>
      </c>
      <c r="FI2" s="125"/>
      <c r="FJ2" s="4"/>
      <c r="FK2" s="69"/>
      <c r="FL2" s="4"/>
      <c r="FN2" s="28" t="s">
        <v>36</v>
      </c>
      <c r="FO2" s="125"/>
      <c r="FP2" s="4"/>
      <c r="FQ2" s="69"/>
      <c r="FR2" s="4"/>
      <c r="FT2" s="28" t="s">
        <v>36</v>
      </c>
      <c r="FU2" s="125"/>
      <c r="FV2" s="4"/>
      <c r="FW2" s="69"/>
      <c r="FX2" s="4"/>
      <c r="FZ2" s="28" t="s">
        <v>36</v>
      </c>
      <c r="GA2" s="125"/>
      <c r="GB2" s="4"/>
      <c r="GC2" s="69"/>
      <c r="GD2" s="4"/>
      <c r="GF2" s="28" t="s">
        <v>36</v>
      </c>
      <c r="GG2" s="125"/>
      <c r="GH2" s="4"/>
      <c r="GI2" s="69"/>
      <c r="GJ2" s="4"/>
      <c r="GL2" s="28" t="s">
        <v>36</v>
      </c>
      <c r="GM2" s="125"/>
      <c r="GN2" s="4"/>
      <c r="GO2" s="69"/>
      <c r="GP2" s="4"/>
      <c r="GR2" s="28" t="s">
        <v>36</v>
      </c>
      <c r="GS2" s="125"/>
      <c r="GT2" s="4"/>
      <c r="GU2" s="69"/>
      <c r="GV2" s="4"/>
      <c r="GW2" s="175"/>
      <c r="GX2" s="28" t="s">
        <v>36</v>
      </c>
      <c r="GY2" s="125"/>
      <c r="GZ2" s="4"/>
      <c r="HA2" s="69"/>
      <c r="HB2" s="4"/>
      <c r="HD2" s="28" t="s">
        <v>36</v>
      </c>
      <c r="HE2" s="125"/>
      <c r="HF2" s="4"/>
      <c r="HG2" s="69"/>
      <c r="HH2" s="4"/>
      <c r="HJ2" s="28" t="s">
        <v>36</v>
      </c>
      <c r="HK2" s="125"/>
      <c r="HL2" s="4"/>
      <c r="HM2" s="69"/>
      <c r="HN2" s="4"/>
      <c r="HP2" s="28" t="s">
        <v>36</v>
      </c>
      <c r="HQ2" s="125"/>
      <c r="HR2" s="4"/>
      <c r="HS2" s="69"/>
      <c r="HT2" s="4"/>
      <c r="HV2" s="28" t="s">
        <v>36</v>
      </c>
      <c r="HW2" s="125"/>
      <c r="HX2" s="4"/>
      <c r="HY2" s="69"/>
      <c r="HZ2" s="4"/>
      <c r="IB2" s="28" t="s">
        <v>36</v>
      </c>
      <c r="IC2" s="125"/>
      <c r="ID2" s="4"/>
      <c r="IE2" s="69"/>
      <c r="IF2" s="4"/>
      <c r="IH2" s="28" t="s">
        <v>36</v>
      </c>
      <c r="II2" s="125"/>
      <c r="IJ2" s="4"/>
      <c r="IK2" s="69"/>
    </row>
    <row r="3" spans="1:245" s="30" customFormat="1" x14ac:dyDescent="0.35">
      <c r="A3" s="29"/>
      <c r="C3" s="234" t="s">
        <v>158</v>
      </c>
      <c r="F3" s="30">
        <v>40512</v>
      </c>
      <c r="H3" s="30">
        <v>40543</v>
      </c>
      <c r="J3" s="30">
        <v>40574</v>
      </c>
      <c r="K3" s="71"/>
      <c r="L3" s="30">
        <v>40602</v>
      </c>
      <c r="N3" s="30">
        <v>40633</v>
      </c>
      <c r="P3" s="30">
        <v>40663</v>
      </c>
      <c r="Q3" s="71"/>
      <c r="R3" s="30">
        <v>40694</v>
      </c>
      <c r="T3" s="30">
        <v>40724</v>
      </c>
      <c r="V3" s="30">
        <v>40755</v>
      </c>
      <c r="W3" s="71"/>
      <c r="X3" s="30">
        <v>40786</v>
      </c>
      <c r="Z3" s="30">
        <v>40816</v>
      </c>
      <c r="AB3" s="30">
        <v>40847</v>
      </c>
      <c r="AC3" s="71"/>
      <c r="AD3" s="30">
        <v>40877</v>
      </c>
      <c r="AF3" s="30">
        <v>40908</v>
      </c>
      <c r="AH3" s="30">
        <v>40939</v>
      </c>
      <c r="AI3" s="71"/>
      <c r="AJ3" s="30">
        <v>40967</v>
      </c>
      <c r="AL3" s="30">
        <v>40999</v>
      </c>
      <c r="AN3" s="30">
        <v>41029</v>
      </c>
      <c r="AO3" s="71"/>
      <c r="AP3" s="30">
        <v>41060</v>
      </c>
      <c r="AR3" s="30">
        <v>41090</v>
      </c>
      <c r="AT3" s="30">
        <v>41121</v>
      </c>
      <c r="AU3" s="71"/>
      <c r="AV3" s="30">
        <v>41152</v>
      </c>
      <c r="AX3" s="30">
        <v>41182</v>
      </c>
      <c r="AZ3" s="30">
        <v>41213</v>
      </c>
      <c r="BA3" s="71"/>
      <c r="BB3" s="30">
        <v>41243</v>
      </c>
      <c r="BD3" s="30">
        <v>41274</v>
      </c>
      <c r="BF3" s="30">
        <v>41305</v>
      </c>
      <c r="BG3" s="71"/>
      <c r="BH3" s="30">
        <v>41333</v>
      </c>
      <c r="BJ3" s="30">
        <v>41364</v>
      </c>
      <c r="BL3" s="30">
        <v>41394</v>
      </c>
      <c r="BM3" s="71"/>
      <c r="BN3" s="30">
        <v>41425</v>
      </c>
      <c r="BP3" s="30">
        <v>41455</v>
      </c>
      <c r="BR3" s="30">
        <v>41486</v>
      </c>
      <c r="BS3" s="71"/>
      <c r="BT3" s="30">
        <v>41517</v>
      </c>
      <c r="BV3" s="30">
        <v>41547</v>
      </c>
      <c r="BX3" s="30">
        <v>41578</v>
      </c>
      <c r="BY3" s="71"/>
      <c r="BZ3" s="30">
        <v>41608</v>
      </c>
      <c r="CB3" s="30">
        <v>41639</v>
      </c>
      <c r="CD3" s="30">
        <v>41670</v>
      </c>
      <c r="CE3" s="71"/>
      <c r="CF3" s="30">
        <v>41698</v>
      </c>
      <c r="CH3" s="30">
        <v>41729</v>
      </c>
      <c r="CJ3" s="30">
        <v>41759</v>
      </c>
      <c r="CK3" s="71"/>
      <c r="CL3" s="30">
        <v>41790</v>
      </c>
      <c r="CN3" s="30">
        <v>41820</v>
      </c>
      <c r="CP3" s="30">
        <v>41851</v>
      </c>
      <c r="CQ3" s="71"/>
      <c r="CR3" s="30">
        <v>41882</v>
      </c>
      <c r="CT3" s="30">
        <v>41912</v>
      </c>
      <c r="CV3" s="30">
        <v>41943</v>
      </c>
      <c r="CW3" s="71"/>
      <c r="CX3" s="30">
        <v>41973</v>
      </c>
      <c r="CZ3" s="30">
        <v>42004</v>
      </c>
      <c r="DB3" s="30">
        <v>42035</v>
      </c>
      <c r="DC3" s="71"/>
      <c r="DD3" s="30">
        <v>42063</v>
      </c>
      <c r="DF3" s="30">
        <v>42094</v>
      </c>
      <c r="DH3" s="30">
        <v>42124</v>
      </c>
      <c r="DI3" s="71"/>
      <c r="DJ3" s="30">
        <v>42155</v>
      </c>
      <c r="DL3" s="30">
        <v>42185</v>
      </c>
      <c r="DN3" s="30">
        <v>42216</v>
      </c>
      <c r="DO3" s="71"/>
      <c r="DP3" s="30">
        <v>42247</v>
      </c>
      <c r="DR3" s="30">
        <v>42277</v>
      </c>
      <c r="DT3" s="30">
        <v>42308</v>
      </c>
      <c r="DU3" s="71"/>
      <c r="DV3" s="30">
        <v>42338</v>
      </c>
      <c r="DX3" s="30">
        <v>42369</v>
      </c>
      <c r="DZ3" s="30">
        <v>42385</v>
      </c>
      <c r="EA3" s="71"/>
      <c r="EB3" s="30">
        <v>42429</v>
      </c>
      <c r="ED3" s="30">
        <v>42460</v>
      </c>
      <c r="EF3" s="30">
        <v>42490</v>
      </c>
      <c r="EG3" s="71"/>
      <c r="EH3" s="30">
        <v>42521</v>
      </c>
      <c r="EJ3" s="30">
        <v>42551</v>
      </c>
      <c r="EL3" s="30">
        <v>42582</v>
      </c>
      <c r="EM3" s="71"/>
      <c r="EN3" s="30">
        <v>42613</v>
      </c>
      <c r="EP3" s="30">
        <v>42643</v>
      </c>
      <c r="ER3" s="30">
        <v>42674</v>
      </c>
      <c r="ES3" s="71"/>
      <c r="ET3" s="30">
        <v>42704</v>
      </c>
      <c r="EV3" s="30">
        <v>42735</v>
      </c>
      <c r="EX3" s="30">
        <v>42766</v>
      </c>
      <c r="EY3" s="71"/>
      <c r="EZ3" s="30">
        <v>42794</v>
      </c>
      <c r="FB3" s="30">
        <v>42825</v>
      </c>
      <c r="FD3" s="30">
        <v>42855</v>
      </c>
      <c r="FE3" s="71"/>
      <c r="FF3" s="30">
        <v>42886</v>
      </c>
      <c r="FH3" s="30">
        <v>42916</v>
      </c>
      <c r="FJ3" s="30">
        <v>42947</v>
      </c>
      <c r="FK3" s="71"/>
      <c r="FL3" s="30">
        <v>42978</v>
      </c>
      <c r="FN3" s="30">
        <v>43008</v>
      </c>
      <c r="FP3" s="30">
        <v>43039</v>
      </c>
      <c r="FQ3" s="71"/>
      <c r="FR3" s="30">
        <v>43069</v>
      </c>
      <c r="FT3" s="30">
        <v>43100</v>
      </c>
      <c r="FV3" s="30">
        <v>43131</v>
      </c>
      <c r="FW3" s="71"/>
      <c r="FX3" s="30">
        <v>43159</v>
      </c>
      <c r="FZ3" s="30">
        <v>43190</v>
      </c>
      <c r="GB3" s="30">
        <v>43220</v>
      </c>
      <c r="GC3" s="71"/>
      <c r="GD3" s="30">
        <v>43250</v>
      </c>
      <c r="GF3" s="30">
        <v>43281</v>
      </c>
      <c r="GH3" s="30">
        <v>43312</v>
      </c>
      <c r="GI3" s="71"/>
      <c r="GJ3" s="30">
        <v>43343</v>
      </c>
      <c r="GL3" s="30">
        <v>43373</v>
      </c>
      <c r="GN3" s="30">
        <v>43404</v>
      </c>
      <c r="GO3" s="71"/>
      <c r="GP3" s="30">
        <v>43434</v>
      </c>
      <c r="GR3" s="30">
        <v>43465</v>
      </c>
      <c r="GT3" s="30">
        <v>43496</v>
      </c>
      <c r="GU3" s="71"/>
      <c r="GV3" s="30">
        <v>43497</v>
      </c>
      <c r="GX3" s="30">
        <v>43525</v>
      </c>
      <c r="GZ3" s="30">
        <v>43556</v>
      </c>
      <c r="HA3" s="71"/>
      <c r="HB3" s="30">
        <v>43586</v>
      </c>
      <c r="HD3" s="30">
        <v>43617</v>
      </c>
      <c r="HF3" s="30">
        <v>43647</v>
      </c>
      <c r="HG3" s="71"/>
      <c r="HH3" s="30">
        <v>43678</v>
      </c>
      <c r="HJ3" s="30">
        <v>43709</v>
      </c>
      <c r="HL3" s="30">
        <v>43739</v>
      </c>
      <c r="HM3" s="71"/>
      <c r="HN3" s="30">
        <v>43770</v>
      </c>
      <c r="HP3" s="30">
        <v>43800</v>
      </c>
      <c r="HR3" s="30">
        <v>43831</v>
      </c>
      <c r="HS3" s="71"/>
      <c r="HT3" s="30">
        <v>43862</v>
      </c>
      <c r="HV3" s="30">
        <v>43891</v>
      </c>
      <c r="HX3" s="30">
        <v>43922</v>
      </c>
      <c r="HY3" s="71"/>
      <c r="HZ3" s="30">
        <v>43952</v>
      </c>
      <c r="IB3" s="30">
        <v>43983</v>
      </c>
      <c r="ID3" s="30">
        <v>44013</v>
      </c>
      <c r="IE3" s="71"/>
      <c r="IF3" s="30">
        <v>44044</v>
      </c>
      <c r="IH3" s="30">
        <v>44075</v>
      </c>
      <c r="IJ3" s="30">
        <v>44105</v>
      </c>
      <c r="IK3" s="71"/>
    </row>
    <row r="4" spans="1:245" x14ac:dyDescent="0.35">
      <c r="A4" s="7" t="s">
        <v>30</v>
      </c>
      <c r="K4" s="69"/>
      <c r="Q4" s="69"/>
      <c r="W4" s="69"/>
      <c r="AC4" s="69"/>
      <c r="AI4" s="69"/>
      <c r="AO4" s="69"/>
      <c r="AU4" s="69"/>
      <c r="BA4" s="69"/>
      <c r="BG4" s="69"/>
      <c r="BM4" s="69"/>
      <c r="BS4" s="69"/>
      <c r="BY4" s="69"/>
      <c r="CE4" s="69"/>
      <c r="CK4" s="69"/>
      <c r="CQ4" s="69"/>
      <c r="CW4" s="69"/>
      <c r="DC4" s="69"/>
      <c r="DI4" s="69"/>
      <c r="DO4" s="69"/>
      <c r="DU4" s="69"/>
      <c r="EA4" s="69"/>
      <c r="EG4" s="69"/>
      <c r="EM4" s="69"/>
      <c r="ES4" s="69"/>
      <c r="EY4" s="69"/>
      <c r="FE4" s="69"/>
      <c r="FK4" s="69"/>
      <c r="FQ4" s="69"/>
      <c r="FW4" s="69"/>
      <c r="GC4" s="69"/>
      <c r="GI4" s="69"/>
      <c r="GO4" s="69"/>
      <c r="GU4" s="69"/>
      <c r="GV4" s="175"/>
      <c r="GW4" s="175"/>
      <c r="GX4" s="175"/>
      <c r="GY4" s="175"/>
      <c r="GZ4" s="175"/>
      <c r="HA4" s="69"/>
      <c r="HG4" s="69"/>
      <c r="HM4" s="69"/>
      <c r="HS4" s="69"/>
      <c r="HY4" s="69"/>
      <c r="IE4" s="69"/>
      <c r="IK4" s="69"/>
    </row>
    <row r="5" spans="1:245" x14ac:dyDescent="0.35">
      <c r="B5" s="7" t="s">
        <v>31</v>
      </c>
      <c r="K5" s="69"/>
      <c r="Q5" s="69"/>
      <c r="W5" s="69"/>
      <c r="AC5" s="69"/>
      <c r="AI5" s="69"/>
      <c r="AO5" s="69"/>
      <c r="AU5" s="69"/>
      <c r="BA5" s="69"/>
      <c r="BG5" s="69"/>
      <c r="BM5" s="69"/>
      <c r="BS5" s="69"/>
      <c r="BY5" s="69"/>
      <c r="CE5" s="69"/>
      <c r="CK5" s="69"/>
      <c r="CQ5" s="69"/>
      <c r="CW5" s="69"/>
      <c r="DC5" s="69"/>
      <c r="DI5" s="69"/>
      <c r="DO5" s="69"/>
      <c r="DU5" s="69"/>
      <c r="EA5" s="69"/>
      <c r="EG5" s="69"/>
      <c r="EM5" s="69"/>
      <c r="ES5" s="69"/>
      <c r="EY5" s="69"/>
      <c r="FE5" s="69"/>
      <c r="FK5" s="69"/>
      <c r="FQ5" s="69"/>
      <c r="FW5" s="69"/>
      <c r="GC5" s="69"/>
      <c r="GI5" s="69"/>
      <c r="GO5" s="69"/>
      <c r="GU5" s="69"/>
      <c r="GV5" s="175"/>
      <c r="GW5" s="175"/>
      <c r="GX5" s="175"/>
      <c r="GY5" s="175"/>
      <c r="GZ5" s="175"/>
      <c r="HA5" s="69"/>
      <c r="HG5" s="69"/>
      <c r="HM5" s="69"/>
      <c r="HS5" s="69"/>
      <c r="HY5" s="69"/>
      <c r="IE5" s="69"/>
      <c r="IK5" s="69"/>
    </row>
    <row r="6" spans="1:245" x14ac:dyDescent="0.35">
      <c r="C6" s="127" t="s">
        <v>120</v>
      </c>
      <c r="F6" s="33">
        <f>F37*F11</f>
        <v>6806.222099999999</v>
      </c>
      <c r="G6" s="24"/>
      <c r="H6" s="33">
        <f>H37*H11</f>
        <v>28678.5252</v>
      </c>
      <c r="I6" s="24"/>
      <c r="J6" s="33">
        <f>J37*J11</f>
        <v>29154.707999999995</v>
      </c>
      <c r="K6" s="72"/>
      <c r="L6" s="33">
        <f>L37*L11</f>
        <v>33421.474799999996</v>
      </c>
      <c r="N6" s="33">
        <f>N37*N11</f>
        <v>13039.21773</v>
      </c>
      <c r="O6" s="31"/>
      <c r="P6" s="33">
        <f>P37*P11</f>
        <v>8485.1266500000002</v>
      </c>
      <c r="Q6" s="72"/>
      <c r="R6" s="33">
        <f>R37*R11</f>
        <v>6448.4153549999992</v>
      </c>
      <c r="T6" s="33">
        <f>T37*T11</f>
        <v>5526.0968400000002</v>
      </c>
      <c r="U6" s="31"/>
      <c r="V6" s="33">
        <f>V37*V11</f>
        <v>3673.339199999999</v>
      </c>
      <c r="W6" s="69"/>
      <c r="X6" s="33">
        <f>X37*X11</f>
        <v>4375.5887700000003</v>
      </c>
      <c r="Z6" s="33">
        <f>Z37*Z11</f>
        <v>3571.3709999999996</v>
      </c>
      <c r="AA6" s="31"/>
      <c r="AB6" s="33">
        <f>AB37*AB11</f>
        <v>5071.9171049999995</v>
      </c>
      <c r="AC6" s="69"/>
      <c r="AD6" s="33">
        <f>AD37</f>
        <v>8939.4582380586689</v>
      </c>
      <c r="AF6" s="33">
        <f>AF37</f>
        <v>15004.115065178572</v>
      </c>
      <c r="AG6" s="31"/>
      <c r="AH6" s="33">
        <f>AH37</f>
        <v>17630.274651352374</v>
      </c>
      <c r="AI6" s="69"/>
      <c r="AJ6" s="33">
        <f>AJ37</f>
        <v>13971.648171581768</v>
      </c>
      <c r="AL6" s="33">
        <f>AL37</f>
        <v>5258.270584035783</v>
      </c>
      <c r="AM6" s="31"/>
      <c r="AN6" s="33">
        <f>AN37</f>
        <v>172.59706723133934</v>
      </c>
      <c r="AO6" s="69"/>
      <c r="AP6" s="33">
        <f>AP37+AP53</f>
        <v>14327.91036341126</v>
      </c>
      <c r="AR6" s="33">
        <f>AR37+AR53</f>
        <v>9894.2883575861342</v>
      </c>
      <c r="AS6" s="31"/>
      <c r="AT6" s="33">
        <f>AT37+AT53</f>
        <v>9828.3918429940659</v>
      </c>
      <c r="AU6" s="69"/>
      <c r="AV6" s="33">
        <f>AV37+AV53</f>
        <v>-11986.352566096712</v>
      </c>
      <c r="AX6" s="33">
        <f>AX37+AX53</f>
        <v>4169.3983828353576</v>
      </c>
      <c r="AY6" s="31"/>
      <c r="AZ6" s="33">
        <f>AZ37+AZ53</f>
        <v>7945.7728927768057</v>
      </c>
      <c r="BA6" s="69"/>
      <c r="BB6" s="33">
        <f>BB37+BB53</f>
        <v>13940.668160862102</v>
      </c>
      <c r="BD6" s="33">
        <f>BD37+BD53</f>
        <v>15091.99731597557</v>
      </c>
      <c r="BE6" s="31"/>
      <c r="BF6" s="33">
        <f>BF37+BF53</f>
        <v>25482.870692775221</v>
      </c>
      <c r="BG6" s="69"/>
      <c r="BH6" s="33">
        <f>BH37+BH53</f>
        <v>20996.970373167183</v>
      </c>
      <c r="BJ6" s="33">
        <f>BJ37+BJ53</f>
        <v>25679.41265671642</v>
      </c>
      <c r="BK6" s="31"/>
      <c r="BL6" s="33">
        <f>BL37+BL53</f>
        <v>15026.788218669299</v>
      </c>
      <c r="BM6" s="69"/>
      <c r="BN6" s="33">
        <f>BN37+BN53</f>
        <v>11536.517338821826</v>
      </c>
      <c r="BP6" s="33">
        <f>BP37+BP53</f>
        <v>6181.1307822808667</v>
      </c>
      <c r="BQ6" s="31"/>
      <c r="BR6" s="33">
        <f>BR37+BR53</f>
        <v>4044.1714761495487</v>
      </c>
      <c r="BS6" s="69"/>
      <c r="BT6" s="33">
        <f>BT37+BT53</f>
        <v>5326.9040989704981</v>
      </c>
      <c r="BV6" s="33">
        <f>BV37+BV53</f>
        <v>5445.9134935273705</v>
      </c>
      <c r="BW6" s="31"/>
      <c r="BX6" s="33">
        <f>BX37+BX53</f>
        <v>8644.7742367791288</v>
      </c>
      <c r="BY6" s="69"/>
      <c r="BZ6" s="33">
        <f>BZ37+BZ53</f>
        <v>17863.421798235155</v>
      </c>
      <c r="CB6" s="33">
        <f>CB37+CB53</f>
        <v>35561.884019712583</v>
      </c>
      <c r="CC6" s="31"/>
      <c r="CD6" s="33">
        <f>CD37+CD53</f>
        <v>53882.511418269234</v>
      </c>
      <c r="CE6" s="69"/>
      <c r="CF6" s="33">
        <f>CF37+CF53</f>
        <v>60067.70002488116</v>
      </c>
      <c r="CH6" s="33">
        <f>CH37+CH53</f>
        <v>38920.230454553261</v>
      </c>
      <c r="CI6" s="31"/>
      <c r="CJ6" s="33">
        <f>CJ37+CJ53</f>
        <v>29984.20321982343</v>
      </c>
      <c r="CK6" s="69"/>
      <c r="CL6" s="33">
        <f>CL37+CL53</f>
        <v>16071.364284091767</v>
      </c>
      <c r="CN6" s="33">
        <f>CN37+CN53</f>
        <v>15116.996453780084</v>
      </c>
      <c r="CO6" s="31"/>
      <c r="CP6" s="33">
        <f>CP37+CP53</f>
        <v>7645.2190820844689</v>
      </c>
      <c r="CQ6" s="69"/>
      <c r="CR6" s="33">
        <f>CR37+CR53</f>
        <v>5620.5710139281191</v>
      </c>
      <c r="CT6" s="33">
        <f>CT37+CT53</f>
        <v>6769.7121764850872</v>
      </c>
      <c r="CU6" s="31"/>
      <c r="CV6" s="33">
        <f>CV37+CV53</f>
        <v>12575.131728731456</v>
      </c>
      <c r="CW6" s="69"/>
      <c r="CX6" s="33">
        <f>CX37+CX53</f>
        <v>18212.053102825441</v>
      </c>
      <c r="CZ6" s="33">
        <f>CZ37+CZ53</f>
        <v>31219.484931595776</v>
      </c>
      <c r="DA6" s="31"/>
      <c r="DB6" s="33">
        <f>DB37+DB53</f>
        <v>61014.299405964957</v>
      </c>
      <c r="DC6" s="69"/>
      <c r="DD6" s="33">
        <f>DD37+DD53</f>
        <v>52063.381234461427</v>
      </c>
      <c r="DF6" s="33">
        <f>DF37+DF53</f>
        <v>82952.344447183947</v>
      </c>
      <c r="DG6" s="31"/>
      <c r="DH6" s="33">
        <f>DH37+DH53</f>
        <v>34863.154611609767</v>
      </c>
      <c r="DI6" s="69"/>
      <c r="DJ6" s="33">
        <f>DJ37+DJ53</f>
        <v>44456.986363330121</v>
      </c>
      <c r="DL6" s="33">
        <f>DL37+DL53</f>
        <v>44172.693575253725</v>
      </c>
      <c r="DM6" s="31"/>
      <c r="DN6" s="33">
        <f>DN37+DN53</f>
        <v>26987.939917950051</v>
      </c>
      <c r="DO6" s="69"/>
      <c r="DP6" s="33">
        <f>DP37+DP53</f>
        <v>30870.463635321539</v>
      </c>
      <c r="DR6" s="33">
        <f>DR37+DR53</f>
        <v>25958.815790950546</v>
      </c>
      <c r="DS6" s="31"/>
      <c r="DT6" s="33">
        <f>DT37+DT53</f>
        <v>37634.875766123718</v>
      </c>
      <c r="DU6" s="69"/>
      <c r="DV6" s="33">
        <f>DV37+DV53</f>
        <v>36393.233434943046</v>
      </c>
      <c r="DX6" s="33">
        <f>DX37+DX53</f>
        <v>33111.20177067825</v>
      </c>
      <c r="DY6" s="31"/>
      <c r="DZ6" s="33">
        <f>DZ37+DZ53</f>
        <v>57129.1995904051</v>
      </c>
      <c r="EA6" s="69"/>
      <c r="EB6" s="33">
        <f>EB37+EB53</f>
        <v>47375.654963080393</v>
      </c>
      <c r="ED6" s="33">
        <f>ED37+ED53</f>
        <v>34640.244445245349</v>
      </c>
      <c r="EE6" s="31"/>
      <c r="EF6" s="33">
        <f>EF37+EF53</f>
        <v>25780.384139862152</v>
      </c>
      <c r="EG6" s="69"/>
      <c r="EH6" s="33">
        <f>EH37+EH53</f>
        <v>23325.947485628465</v>
      </c>
      <c r="EJ6" s="33">
        <f>EJ37+EJ53</f>
        <v>20738.966710880661</v>
      </c>
      <c r="EK6" s="31"/>
      <c r="EL6" s="33">
        <f>EL37+EL53</f>
        <v>23065.682341390042</v>
      </c>
      <c r="EM6" s="69"/>
      <c r="EN6" s="33">
        <f>EN37+EN53</f>
        <v>19773.492126410638</v>
      </c>
      <c r="EP6" s="33">
        <f>EP37+EP53</f>
        <v>19799.085597849957</v>
      </c>
      <c r="EQ6" s="31"/>
      <c r="ER6" s="33">
        <f>ER37+ER53</f>
        <v>11930.53985360261</v>
      </c>
      <c r="ES6" s="69"/>
      <c r="ET6" s="33">
        <f>ET37+ET53</f>
        <v>30371.57330201257</v>
      </c>
      <c r="EV6" s="33">
        <f>EV37+EV53</f>
        <v>38243.923944191032</v>
      </c>
      <c r="EW6" s="31"/>
      <c r="EX6" s="33">
        <f>EX37+EX53</f>
        <v>43130.731603288237</v>
      </c>
      <c r="EY6" s="69"/>
      <c r="EZ6" s="33">
        <f>EZ37+EZ53</f>
        <v>30711.437162896502</v>
      </c>
      <c r="FB6" s="33">
        <f>FB37+FB53</f>
        <v>35746.460843433837</v>
      </c>
      <c r="FC6" s="31"/>
      <c r="FD6" s="33">
        <f>FD37+FD53</f>
        <v>27964.23962227031</v>
      </c>
      <c r="FE6" s="69"/>
      <c r="FF6" s="33">
        <f>FF37+FF53</f>
        <v>18143.61938014374</v>
      </c>
      <c r="FH6" s="33">
        <f>FH37+FH53</f>
        <v>14079.500364933236</v>
      </c>
      <c r="FI6" s="31"/>
      <c r="FJ6" s="33">
        <f>FJ37+FJ53</f>
        <v>13155.52605699002</v>
      </c>
      <c r="FK6" s="69"/>
      <c r="FL6" s="33">
        <f>FL37+FL53</f>
        <v>18931.315178000426</v>
      </c>
      <c r="FN6" s="33">
        <f>FN37+FN53</f>
        <v>26456.723682293294</v>
      </c>
      <c r="FO6" s="31"/>
      <c r="FP6" s="33">
        <f>FP37+FP53</f>
        <v>29747.542025770119</v>
      </c>
      <c r="FQ6" s="69"/>
      <c r="FR6" s="33">
        <f>FR37+FR53</f>
        <v>50992.905725565121</v>
      </c>
      <c r="FT6" s="33">
        <f>FT37+FT53</f>
        <v>79487.406106165872</v>
      </c>
      <c r="FU6" s="31"/>
      <c r="FV6" s="33">
        <f>FV37+FV53</f>
        <v>88093.128014443064</v>
      </c>
      <c r="FW6" s="69"/>
      <c r="FX6" s="33">
        <f>FX37+FX53</f>
        <v>75536.586049398305</v>
      </c>
      <c r="FZ6" s="33">
        <f>FZ37+FZ53</f>
        <v>67937.113611900422</v>
      </c>
      <c r="GA6" s="31"/>
      <c r="GB6" s="33">
        <f>GB37+GB53</f>
        <v>41745.632424340649</v>
      </c>
      <c r="GC6" s="69"/>
      <c r="GD6" s="33">
        <f>GD37+GD53</f>
        <v>33853.290712982896</v>
      </c>
      <c r="GF6" s="33">
        <f>GF37+GF53</f>
        <v>26790.68044077931</v>
      </c>
      <c r="GG6" s="31"/>
      <c r="GH6" s="33">
        <f>GH37+GH53</f>
        <v>30909.571251968642</v>
      </c>
      <c r="GI6" s="69"/>
      <c r="GJ6" s="33">
        <f>GJ37+GJ53</f>
        <v>28256.939798772593</v>
      </c>
      <c r="GL6" s="33">
        <f>GL37+GL53</f>
        <v>28169.479574017601</v>
      </c>
      <c r="GM6" s="31"/>
      <c r="GN6" s="33">
        <f>GN37+GN53</f>
        <v>46962.34844951157</v>
      </c>
      <c r="GO6" s="69"/>
      <c r="GP6" s="33">
        <f>GP37+GP53</f>
        <v>88667.175896983186</v>
      </c>
      <c r="GR6" s="33">
        <f>GR37+GR53</f>
        <v>133392.51851851854</v>
      </c>
      <c r="GS6" s="31"/>
      <c r="GT6" s="33">
        <f>GT37+GT53</f>
        <v>109754.76611214098</v>
      </c>
      <c r="GU6" s="69"/>
      <c r="GV6" s="33">
        <f>GV37+GV53</f>
        <v>78824.263335232157</v>
      </c>
      <c r="GW6" s="175"/>
      <c r="GX6" s="33">
        <f>GX37+GX53</f>
        <v>65804.960386942257</v>
      </c>
      <c r="GY6" s="31"/>
      <c r="GZ6" s="33">
        <f>GZ37+GZ53</f>
        <v>46009.231340671075</v>
      </c>
      <c r="HA6" s="69"/>
      <c r="HB6" s="33">
        <f>HB37+HB53</f>
        <v>35879.3867013907</v>
      </c>
      <c r="HD6" s="33">
        <f>HD37+HD53</f>
        <v>28667.119886074051</v>
      </c>
      <c r="HE6" s="31"/>
      <c r="HF6" s="33">
        <f>HF37+HF53</f>
        <v>28604.752288967411</v>
      </c>
      <c r="HG6" s="69"/>
      <c r="HH6" s="33">
        <f>HH37+HH53</f>
        <v>26187.642544952381</v>
      </c>
      <c r="HJ6" s="33">
        <f>HJ37+HJ53</f>
        <v>19605.860753697802</v>
      </c>
      <c r="HK6" s="31"/>
      <c r="HL6" s="33">
        <f>HL37+HL53</f>
        <v>30830.160317025628</v>
      </c>
      <c r="HM6" s="69"/>
      <c r="HN6" s="33">
        <f>HN37+HN53</f>
        <v>52705.913435150833</v>
      </c>
      <c r="HP6" s="33">
        <f>HP37+HP53</f>
        <v>59851.242230929347</v>
      </c>
      <c r="HQ6" s="31"/>
      <c r="HR6" s="33">
        <f>HR37+HR53</f>
        <v>68938.204451482903</v>
      </c>
      <c r="HS6" s="69"/>
      <c r="HT6" s="33">
        <f>HT37+HT53</f>
        <v>64188.671938826126</v>
      </c>
      <c r="HV6" s="33">
        <f>HV37+HV53</f>
        <v>58763.84007344066</v>
      </c>
      <c r="HW6" s="31"/>
      <c r="HX6" s="33">
        <f>HX37+HX53</f>
        <v>40772.633645696384</v>
      </c>
      <c r="HY6" s="69"/>
      <c r="HZ6" s="33">
        <f>HZ37+HZ53</f>
        <v>27400.45</v>
      </c>
      <c r="IB6" s="33" t="e">
        <f>IB37+IB53</f>
        <v>#DIV/0!</v>
      </c>
      <c r="IC6" s="31"/>
      <c r="ID6" s="33" t="e">
        <f>ID37+ID53</f>
        <v>#DIV/0!</v>
      </c>
      <c r="IE6" s="69"/>
      <c r="IF6" s="33" t="e">
        <f>IF37+IF53</f>
        <v>#DIV/0!</v>
      </c>
      <c r="IH6" s="33" t="e">
        <f>IH37+IH53</f>
        <v>#DIV/0!</v>
      </c>
      <c r="II6" s="31"/>
      <c r="IJ6" s="33" t="e">
        <f>IJ37+IJ53</f>
        <v>#DIV/0!</v>
      </c>
      <c r="IK6" s="69"/>
    </row>
    <row r="7" spans="1:245" x14ac:dyDescent="0.35">
      <c r="B7" s="7" t="s">
        <v>27</v>
      </c>
      <c r="F7" s="24"/>
      <c r="G7" s="24"/>
      <c r="H7" s="24"/>
      <c r="I7" s="24"/>
      <c r="J7" s="24"/>
      <c r="K7" s="72"/>
      <c r="L7" s="24"/>
      <c r="Q7" s="72"/>
      <c r="R7" s="24"/>
      <c r="W7" s="69"/>
      <c r="X7" s="24"/>
      <c r="AC7" s="69"/>
      <c r="AD7" s="24"/>
      <c r="AF7" s="24"/>
      <c r="AH7" s="24"/>
      <c r="AI7" s="69"/>
      <c r="AJ7" s="24"/>
      <c r="AL7" s="24"/>
      <c r="AN7" s="24"/>
      <c r="AO7" s="69"/>
      <c r="AP7" s="24"/>
      <c r="AR7" s="24"/>
      <c r="AT7" s="24"/>
      <c r="AU7" s="69"/>
      <c r="AV7" s="24"/>
      <c r="AX7" s="24"/>
      <c r="AZ7" s="24"/>
      <c r="BA7" s="69"/>
      <c r="BB7" s="24"/>
      <c r="BD7" s="24"/>
      <c r="BF7" s="24"/>
      <c r="BG7" s="69"/>
      <c r="BH7" s="24"/>
      <c r="BJ7" s="24"/>
      <c r="BL7" s="24"/>
      <c r="BM7" s="69"/>
      <c r="BN7" s="24"/>
      <c r="BP7" s="24"/>
      <c r="BR7" s="24"/>
      <c r="BS7" s="69"/>
      <c r="BT7" s="24"/>
      <c r="BV7" s="24"/>
      <c r="BX7" s="24"/>
      <c r="BY7" s="69"/>
      <c r="BZ7" s="24"/>
      <c r="CB7" s="24"/>
      <c r="CD7" s="24"/>
      <c r="CE7" s="69"/>
      <c r="CF7" s="24"/>
      <c r="CH7" s="24"/>
      <c r="CJ7" s="24"/>
      <c r="CK7" s="69"/>
      <c r="CL7" s="24"/>
      <c r="CN7" s="24"/>
      <c r="CP7" s="24"/>
      <c r="CQ7" s="69"/>
      <c r="CR7" s="24"/>
      <c r="CT7" s="24"/>
      <c r="CV7" s="24"/>
      <c r="CW7" s="69"/>
      <c r="CX7" s="24"/>
      <c r="CZ7" s="24"/>
      <c r="DB7" s="24"/>
      <c r="DC7" s="69"/>
      <c r="DD7" s="24"/>
      <c r="DF7" s="24"/>
      <c r="DH7" s="24"/>
      <c r="DI7" s="69"/>
      <c r="DJ7" s="24"/>
      <c r="DL7" s="24"/>
      <c r="DN7" s="24"/>
      <c r="DO7" s="69"/>
      <c r="DP7" s="24"/>
      <c r="DR7" s="24"/>
      <c r="DT7" s="24"/>
      <c r="DU7" s="69"/>
      <c r="DV7" s="24"/>
      <c r="DX7" s="24"/>
      <c r="DZ7" s="24"/>
      <c r="EA7" s="69"/>
      <c r="EB7" s="24"/>
      <c r="ED7" s="24"/>
      <c r="EF7" s="24"/>
      <c r="EG7" s="69"/>
      <c r="EH7" s="24"/>
      <c r="EJ7" s="24"/>
      <c r="EL7" s="24"/>
      <c r="EM7" s="69"/>
      <c r="EN7" s="24"/>
      <c r="EP7" s="24"/>
      <c r="ER7" s="24"/>
      <c r="ES7" s="69"/>
      <c r="ET7" s="24"/>
      <c r="EV7" s="24"/>
      <c r="EX7" s="24"/>
      <c r="EY7" s="69"/>
      <c r="EZ7" s="24"/>
      <c r="FB7" s="24"/>
      <c r="FD7" s="24"/>
      <c r="FE7" s="69"/>
      <c r="FF7" s="24"/>
      <c r="FH7" s="24"/>
      <c r="FJ7" s="24"/>
      <c r="FK7" s="69"/>
      <c r="FL7" s="24"/>
      <c r="FN7" s="24"/>
      <c r="FP7" s="24"/>
      <c r="FQ7" s="69"/>
      <c r="FR7" s="24"/>
      <c r="FT7" s="24"/>
      <c r="FV7" s="24"/>
      <c r="FW7" s="69"/>
      <c r="FX7" s="24"/>
      <c r="FZ7" s="24"/>
      <c r="GB7" s="24"/>
      <c r="GC7" s="69"/>
      <c r="GD7" s="24"/>
      <c r="GF7" s="24"/>
      <c r="GH7" s="24"/>
      <c r="GI7" s="69"/>
      <c r="GJ7" s="24"/>
      <c r="GL7" s="24"/>
      <c r="GN7" s="24"/>
      <c r="GO7" s="69"/>
      <c r="GP7" s="24"/>
      <c r="GR7" s="24"/>
      <c r="GT7" s="24"/>
      <c r="GU7" s="69"/>
      <c r="GV7" s="24"/>
      <c r="GW7" s="175"/>
      <c r="GX7" s="24"/>
      <c r="GY7" s="175"/>
      <c r="GZ7" s="24"/>
      <c r="HA7" s="69"/>
      <c r="HB7" s="24"/>
      <c r="HD7" s="24"/>
      <c r="HF7" s="24"/>
      <c r="HG7" s="69"/>
      <c r="HH7" s="24"/>
      <c r="HJ7" s="24"/>
      <c r="HL7" s="24"/>
      <c r="HM7" s="69"/>
      <c r="HN7" s="24"/>
      <c r="HP7" s="24"/>
      <c r="HR7" s="24"/>
      <c r="HS7" s="69"/>
      <c r="HT7" s="24"/>
      <c r="HV7" s="24"/>
      <c r="HX7" s="24"/>
      <c r="HY7" s="69"/>
      <c r="HZ7" s="24"/>
      <c r="IB7" s="24"/>
      <c r="ID7" s="24"/>
      <c r="IE7" s="69"/>
      <c r="IF7" s="24"/>
      <c r="IH7" s="24"/>
      <c r="IJ7" s="24"/>
      <c r="IK7" s="69"/>
    </row>
    <row r="8" spans="1:245" x14ac:dyDescent="0.35">
      <c r="C8" s="7" t="s">
        <v>32</v>
      </c>
      <c r="F8" s="33">
        <f>F44</f>
        <v>4206.25</v>
      </c>
      <c r="G8" s="24"/>
      <c r="H8" s="33">
        <f>H44</f>
        <v>4206.25</v>
      </c>
      <c r="I8" s="24"/>
      <c r="J8" s="33">
        <f>J44</f>
        <v>4206.25</v>
      </c>
      <c r="K8" s="72"/>
      <c r="L8" s="33">
        <f>L44</f>
        <v>4206.25</v>
      </c>
      <c r="N8" s="33">
        <f>N44</f>
        <v>6932.6220157147172</v>
      </c>
      <c r="P8" s="33">
        <f>P44</f>
        <v>7538.8075790037492</v>
      </c>
      <c r="Q8" s="72"/>
      <c r="R8" s="33">
        <f>R44</f>
        <v>7036.7451768488745</v>
      </c>
      <c r="T8" s="33">
        <f>T44</f>
        <v>7701.5652879156532</v>
      </c>
      <c r="V8" s="33">
        <f>V44</f>
        <v>8120.3687989556138</v>
      </c>
      <c r="W8" s="69"/>
      <c r="X8" s="33">
        <f>X44</f>
        <v>7250.9863895440258</v>
      </c>
      <c r="Z8" s="33">
        <f>Z44</f>
        <v>7256.0163986795869</v>
      </c>
      <c r="AB8" s="33">
        <f>AB44</f>
        <v>7294.9465508890889</v>
      </c>
      <c r="AC8" s="69"/>
      <c r="AD8" s="33">
        <f>AD42</f>
        <v>1437.4247458147747</v>
      </c>
      <c r="AF8" s="33">
        <f>AF42</f>
        <v>1353.8563399553573</v>
      </c>
      <c r="AH8" s="33">
        <f>AH42+AH41</f>
        <v>1373.4622211376272</v>
      </c>
      <c r="AI8" s="69"/>
      <c r="AJ8" s="33">
        <f>AJ42</f>
        <v>1278.5847935656836</v>
      </c>
      <c r="AL8" s="33">
        <f>AL42</f>
        <v>1772.4431162910721</v>
      </c>
      <c r="AN8" s="33">
        <f>AN42+AN41</f>
        <v>1090.3859986387356</v>
      </c>
      <c r="AO8" s="69"/>
      <c r="AP8" s="33">
        <f>AP42</f>
        <v>1529.1600684582331</v>
      </c>
      <c r="AR8" s="33">
        <f>AR42</f>
        <v>1576.3734207147443</v>
      </c>
      <c r="AT8" s="33">
        <f>AT42+AT41</f>
        <v>1598.94240073026</v>
      </c>
      <c r="AU8" s="69"/>
      <c r="AV8" s="33">
        <f>AV42+AV41</f>
        <v>1625.0064825788099</v>
      </c>
      <c r="AX8" s="33">
        <f>AX42+AX41</f>
        <v>1556.2023681177409</v>
      </c>
      <c r="AZ8" s="33">
        <f>AZ42+AZ41</f>
        <v>1521.4289867533116</v>
      </c>
      <c r="BA8" s="69"/>
      <c r="BB8" s="33">
        <f>BB42+BB41</f>
        <v>1337.2914558845896</v>
      </c>
      <c r="BD8" s="33">
        <f>BD42+BD41</f>
        <v>1280.948777188471</v>
      </c>
      <c r="BF8" s="33">
        <f>BF42+BF41</f>
        <v>1269.619114031475</v>
      </c>
      <c r="BG8" s="69"/>
      <c r="BH8" s="33">
        <f>BH42+BH41</f>
        <v>1220.6496899867936</v>
      </c>
      <c r="BJ8" s="33">
        <f>BJ42+BJ41</f>
        <v>1346.7708258706468</v>
      </c>
      <c r="BL8" s="33">
        <f>BL42+BL41</f>
        <v>1232.4762571453443</v>
      </c>
      <c r="BM8" s="69"/>
      <c r="BN8" s="33">
        <f>BN42+BN41</f>
        <v>1511.2713411581462</v>
      </c>
      <c r="BP8" s="33">
        <f>BP42+BP41</f>
        <v>1439.7732931196986</v>
      </c>
      <c r="BR8" s="33">
        <f>BR42+BR41</f>
        <v>1462.9383261710357</v>
      </c>
      <c r="BS8" s="69"/>
      <c r="BT8" s="33">
        <f>BT42+BT41</f>
        <v>1521.4523194047927</v>
      </c>
      <c r="BV8" s="33">
        <f>BV42+BV41</f>
        <v>1493.5515145105339</v>
      </c>
      <c r="BX8" s="33">
        <f>BX42+BX41</f>
        <v>1277.5647017971939</v>
      </c>
      <c r="BY8" s="69"/>
      <c r="BZ8" s="33">
        <f>BZ42+BZ41</f>
        <v>1175.175679704269</v>
      </c>
      <c r="CB8" s="33">
        <f>CB42+CB41</f>
        <v>1139.7693731260986</v>
      </c>
      <c r="CD8" s="33">
        <f>CD42+CD41</f>
        <v>1130.7654229525861</v>
      </c>
      <c r="CE8" s="69"/>
      <c r="CF8" s="33">
        <f>CF42+CF41</f>
        <v>1260.6221599465709</v>
      </c>
      <c r="CH8" s="33">
        <f>CH42+CH41</f>
        <v>1143.2467697376323</v>
      </c>
      <c r="CJ8" s="33">
        <f>CJ42+CJ41</f>
        <v>1359.6811632910453</v>
      </c>
      <c r="CK8" s="69"/>
      <c r="CL8" s="33">
        <f>CL42+CL41</f>
        <v>1313.1904671764974</v>
      </c>
      <c r="CN8" s="33">
        <f>CN42+CN41</f>
        <v>1422.0564078578109</v>
      </c>
      <c r="CP8" s="33">
        <f>CP42+CP41</f>
        <v>1365.1428985013624</v>
      </c>
      <c r="CQ8" s="69"/>
      <c r="CR8" s="33">
        <f>CR42+CR41</f>
        <v>1393.3916236485829</v>
      </c>
      <c r="CT8" s="33">
        <f>CT42+CT41</f>
        <v>1332.2854325856545</v>
      </c>
      <c r="CV8" s="33">
        <f>CV42+CV41</f>
        <v>1480.2075234635179</v>
      </c>
      <c r="CW8" s="69"/>
      <c r="CX8" s="33">
        <f>CX42+CX41</f>
        <v>1164.9888272480969</v>
      </c>
      <c r="CZ8" s="33">
        <f>CZ42+CZ41</f>
        <v>1197.1318911374738</v>
      </c>
      <c r="DB8" s="33">
        <f>DB42+DB41</f>
        <v>1342.5119966958998</v>
      </c>
      <c r="DC8" s="69"/>
      <c r="DD8" s="33">
        <f>DD42+DD41</f>
        <v>1349.2085230526677</v>
      </c>
      <c r="DF8" s="33">
        <f>DF42+DF41</f>
        <v>1492.2590312391717</v>
      </c>
      <c r="DH8" s="33">
        <f>DH42+DH41</f>
        <v>1602.4366506585018</v>
      </c>
      <c r="DI8" s="69"/>
      <c r="DJ8" s="33">
        <f>DJ42+DJ41</f>
        <v>1637.9615154849866</v>
      </c>
      <c r="DL8" s="33">
        <f>DL42+DL41</f>
        <v>1649.4434516133927</v>
      </c>
      <c r="DN8" s="33">
        <f>DN42+DN41</f>
        <v>1650.7220948783902</v>
      </c>
      <c r="DO8" s="69"/>
      <c r="DP8" s="33">
        <f>DP42+DP41</f>
        <v>1643.0481983875281</v>
      </c>
      <c r="DR8" s="33">
        <f>DR42+DR41</f>
        <v>1633.8643247983164</v>
      </c>
      <c r="DT8" s="33">
        <f>DT42+DT41</f>
        <v>1600.0073953594451</v>
      </c>
      <c r="DU8" s="69"/>
      <c r="DV8" s="33">
        <f>DV42+DV41</f>
        <v>1559.7526455960212</v>
      </c>
      <c r="DX8" s="33">
        <f>DX42+DX41</f>
        <v>1445.703252141654</v>
      </c>
      <c r="DZ8" s="33">
        <f>DZ42+DZ41</f>
        <v>1425.1901441712089</v>
      </c>
      <c r="EA8" s="69"/>
      <c r="EB8" s="33">
        <f>EB42+EB41</f>
        <v>1408.9173626465313</v>
      </c>
      <c r="ED8" s="33">
        <f>ED42+ED41</f>
        <v>1405.8220676481717</v>
      </c>
      <c r="EF8" s="33">
        <f>EF42+EF41</f>
        <v>1573.4333357265939</v>
      </c>
      <c r="EG8" s="69"/>
      <c r="EH8" s="33">
        <f>EH42+EH41</f>
        <v>1581.9290175565798</v>
      </c>
      <c r="EJ8" s="33">
        <f>EJ42+EJ41</f>
        <v>1604.5929418384983</v>
      </c>
      <c r="EL8" s="33">
        <f>EL42+EL41</f>
        <v>1604.5650337379097</v>
      </c>
      <c r="EM8" s="69"/>
      <c r="EN8" s="33">
        <f>EN42+EN41</f>
        <v>1617.5776896917714</v>
      </c>
      <c r="EP8" s="33">
        <f>EP42+EP41</f>
        <v>1618.1677176834305</v>
      </c>
      <c r="ER8" s="33">
        <f>ER42+ER41</f>
        <v>1613.0208483993299</v>
      </c>
      <c r="ES8" s="69"/>
      <c r="ET8" s="33">
        <f>ET42+ET41</f>
        <v>1563.3905440924386</v>
      </c>
      <c r="EV8" s="33">
        <f>EV42+EV41</f>
        <v>1319.3926697075397</v>
      </c>
      <c r="EX8" s="33">
        <f>EX42+EX41</f>
        <v>1383.1472841685711</v>
      </c>
      <c r="EY8" s="69"/>
      <c r="EZ8" s="33">
        <f>EZ42+EZ41</f>
        <v>1349.2114242385946</v>
      </c>
      <c r="FB8" s="33">
        <f>FB42+FB41</f>
        <v>1446.2112880786226</v>
      </c>
      <c r="FD8" s="33">
        <f>FD42+FD41</f>
        <v>1561.0707259492426</v>
      </c>
      <c r="FE8" s="69"/>
      <c r="FF8" s="33">
        <f>FF42+FF41</f>
        <v>1511.8539551545107</v>
      </c>
      <c r="FH8" s="33">
        <f>FH42+FH41</f>
        <v>1598.5646429460066</v>
      </c>
      <c r="FJ8" s="33">
        <f>FJ42+FJ41</f>
        <v>1549.076843946096</v>
      </c>
      <c r="FK8" s="69"/>
      <c r="FL8" s="33">
        <f>FL42+FL41</f>
        <v>1617.502600724792</v>
      </c>
      <c r="FN8" s="33">
        <f>FN42+FN41</f>
        <v>1601.5503308205839</v>
      </c>
      <c r="FP8" s="33">
        <f>FP42+FP41</f>
        <v>1503.103089000768</v>
      </c>
      <c r="FQ8" s="69"/>
      <c r="FR8" s="33">
        <f>FR42+FR41</f>
        <v>1536.7413875598086</v>
      </c>
      <c r="FT8" s="33">
        <f>FT42+FT41</f>
        <v>1445.6564616804169</v>
      </c>
      <c r="FV8" s="33">
        <f>FV42+FV41</f>
        <v>1253.0414618134073</v>
      </c>
      <c r="FW8" s="69"/>
      <c r="FX8" s="33">
        <f>FX42+FX41</f>
        <v>1452.8811593593089</v>
      </c>
      <c r="FZ8" s="33">
        <f>FZ42+FZ41</f>
        <v>1440.5381041549358</v>
      </c>
      <c r="GB8" s="33">
        <f>GB42+GB41</f>
        <v>1536.1199912996008</v>
      </c>
      <c r="GC8" s="69"/>
      <c r="GD8" s="33">
        <f>GD42+GD41</f>
        <v>1604.3453983186823</v>
      </c>
      <c r="GF8" s="33">
        <f>GF42+GF41</f>
        <v>1622.3621409280629</v>
      </c>
      <c r="GH8" s="33">
        <f>GH42+GH41</f>
        <v>1614.4322975055461</v>
      </c>
      <c r="GI8" s="69"/>
      <c r="GJ8" s="33">
        <f>GJ42+GJ41</f>
        <v>1601.0072433515634</v>
      </c>
      <c r="GL8" s="33">
        <f>GL42+GL41</f>
        <v>1610.3479909620944</v>
      </c>
      <c r="GN8" s="33">
        <f>GN42+GN41</f>
        <v>1624.5741362284984</v>
      </c>
      <c r="GO8" s="69"/>
      <c r="GP8" s="33">
        <f>GP42+GP41</f>
        <v>1644.1941540145185</v>
      </c>
      <c r="GR8" s="33">
        <f>GR42+GR41</f>
        <v>1641.3703703703704</v>
      </c>
      <c r="GT8" s="33">
        <f>GT42+GT41</f>
        <v>1648.1221657799069</v>
      </c>
      <c r="GU8" s="69"/>
      <c r="GV8" s="33">
        <f>GV42+GV41</f>
        <v>1474.7241809785835</v>
      </c>
      <c r="GW8" s="175"/>
      <c r="GX8" s="33">
        <f>GX42+GX41</f>
        <v>1471.7962585947018</v>
      </c>
      <c r="GY8" s="175"/>
      <c r="GZ8" s="33">
        <f>GZ42+GZ41</f>
        <v>1531.2364573135153</v>
      </c>
      <c r="HA8" s="69"/>
      <c r="HB8" s="33">
        <f>HB42+HB41</f>
        <v>1649.7328569196311</v>
      </c>
      <c r="HD8" s="33">
        <f>HD42+HD41</f>
        <v>1623.4666346874533</v>
      </c>
      <c r="HF8" s="33">
        <f>HF42+HF41</f>
        <v>1651.4464609344325</v>
      </c>
      <c r="HG8" s="69"/>
      <c r="HH8" s="33">
        <f>HH42+HH41</f>
        <v>1647.4935934852863</v>
      </c>
      <c r="HJ8" s="33">
        <f>HJ42+HJ41</f>
        <v>1130.6781550017934</v>
      </c>
      <c r="HL8" s="33">
        <f>HL42+HL41</f>
        <v>1485.8255231406158</v>
      </c>
      <c r="HM8" s="69"/>
      <c r="HN8" s="33">
        <f>HN42+HN41</f>
        <v>1421.1257606198278</v>
      </c>
      <c r="HP8" s="33">
        <f>HP42+HP41</f>
        <v>1373.4667478878412</v>
      </c>
      <c r="HR8" s="33">
        <f>HR42+HR41</f>
        <v>1449.0784801159461</v>
      </c>
      <c r="HS8" s="69"/>
      <c r="HT8" s="33">
        <f>HT42+HT41</f>
        <v>1439.3394810728773</v>
      </c>
      <c r="HV8" s="33">
        <f>HV42+HV41</f>
        <v>1507.6863733185087</v>
      </c>
      <c r="HX8" s="33">
        <f>HX42+HX41</f>
        <v>1556.7307527483285</v>
      </c>
      <c r="HY8" s="69"/>
      <c r="HZ8" s="33">
        <f>HZ42+HZ41</f>
        <v>1611.1</v>
      </c>
      <c r="IB8" s="33" t="e">
        <f>IB42+IB41</f>
        <v>#DIV/0!</v>
      </c>
      <c r="ID8" s="33" t="e">
        <f>ID42+ID41</f>
        <v>#DIV/0!</v>
      </c>
      <c r="IE8" s="69"/>
      <c r="IF8" s="33" t="e">
        <f>IF42+IF41</f>
        <v>#DIV/0!</v>
      </c>
      <c r="IH8" s="33" t="e">
        <f>IH42+IH41</f>
        <v>#DIV/0!</v>
      </c>
      <c r="IJ8" s="33" t="e">
        <f>IJ42+IJ41</f>
        <v>#DIV/0!</v>
      </c>
      <c r="IK8" s="69"/>
    </row>
    <row r="9" spans="1:245" x14ac:dyDescent="0.35">
      <c r="C9" s="7" t="s">
        <v>33</v>
      </c>
      <c r="F9" s="36">
        <f>F49</f>
        <v>1071.8459999999998</v>
      </c>
      <c r="G9" s="24"/>
      <c r="H9" s="36">
        <f>H49</f>
        <v>3455.2439999999997</v>
      </c>
      <c r="I9" s="24"/>
      <c r="J9" s="36">
        <f>J49</f>
        <v>3614.22</v>
      </c>
      <c r="K9" s="72"/>
      <c r="L9" s="36">
        <f>L49</f>
        <v>3978.7469999999998</v>
      </c>
      <c r="N9" s="36">
        <f>N49</f>
        <v>1636.14</v>
      </c>
      <c r="P9" s="36">
        <f>P49</f>
        <v>1003.8599999999999</v>
      </c>
      <c r="Q9" s="72"/>
      <c r="R9" s="36">
        <f>R49</f>
        <v>807.73469999999998</v>
      </c>
      <c r="T9" s="36">
        <f>T49</f>
        <v>677.28</v>
      </c>
      <c r="V9" s="36">
        <f>V49</f>
        <v>443.64</v>
      </c>
      <c r="W9" s="69"/>
      <c r="X9" s="36">
        <f>X49</f>
        <v>544.67909999999995</v>
      </c>
      <c r="Z9" s="36">
        <f>Z49</f>
        <v>486</v>
      </c>
      <c r="AB9" s="36">
        <f>AB49</f>
        <v>751.9799999999999</v>
      </c>
      <c r="AC9" s="69"/>
      <c r="AD9" s="36">
        <f>AD49</f>
        <v>2557.5497490400858</v>
      </c>
      <c r="AF9" s="36">
        <f>AF49</f>
        <v>2010.7615426339287</v>
      </c>
      <c r="AH9" s="36">
        <f>AH49</f>
        <v>1868.5401927388129</v>
      </c>
      <c r="AI9" s="69"/>
      <c r="AJ9" s="36">
        <f>AJ49</f>
        <v>3191.8189812332439</v>
      </c>
      <c r="AL9" s="36">
        <f>AL49</f>
        <v>2073.6925855840359</v>
      </c>
      <c r="AN9" s="36">
        <f>AN49</f>
        <v>2224.5330106632382</v>
      </c>
      <c r="AO9" s="69"/>
      <c r="AP9" s="36">
        <f>AP49</f>
        <v>-3366.0447454664622</v>
      </c>
      <c r="AR9" s="36">
        <f>AR49</f>
        <v>713.90178793066548</v>
      </c>
      <c r="AT9" s="36">
        <f>AT49</f>
        <v>756.08667457781826</v>
      </c>
      <c r="AU9" s="69"/>
      <c r="AV9" s="36">
        <f>AV49</f>
        <v>872.51071580943335</v>
      </c>
      <c r="AX9" s="36">
        <f>AX49</f>
        <v>808.43528947601737</v>
      </c>
      <c r="AZ9" s="36">
        <f>AZ49</f>
        <v>1333.4342414396401</v>
      </c>
      <c r="BA9" s="69"/>
      <c r="BB9" s="36">
        <f>BB49</f>
        <v>2095.6341458274492</v>
      </c>
      <c r="BD9" s="36">
        <f>BD49</f>
        <v>1341.8222208828886</v>
      </c>
      <c r="BF9" s="36">
        <f>BF49</f>
        <v>3328.2835405044489</v>
      </c>
      <c r="BG9" s="69"/>
      <c r="BH9" s="36">
        <f>BH49</f>
        <v>2522.4923742846499</v>
      </c>
      <c r="BJ9" s="36">
        <f>BJ49</f>
        <v>2949.2871641791048</v>
      </c>
      <c r="BL9" s="36">
        <f>BL49</f>
        <v>1718.504820532165</v>
      </c>
      <c r="BM9" s="69"/>
      <c r="BN9" s="36">
        <f>BN49</f>
        <v>1262.9342993825442</v>
      </c>
      <c r="BP9" s="36">
        <f>BP49</f>
        <v>699.75178887841662</v>
      </c>
      <c r="BR9" s="36">
        <f>BR49</f>
        <v>489.96032015470558</v>
      </c>
      <c r="BS9" s="69"/>
      <c r="BT9" s="36">
        <f>BT49</f>
        <v>631.71735271217221</v>
      </c>
      <c r="BV9" s="36">
        <f>BV49</f>
        <v>630.69558761316523</v>
      </c>
      <c r="BX9" s="36">
        <f>BX49</f>
        <v>997.51338182159441</v>
      </c>
      <c r="BY9" s="69"/>
      <c r="BZ9" s="36">
        <f>BZ49</f>
        <v>2022.9414798473647</v>
      </c>
      <c r="CB9" s="36">
        <f>CB49</f>
        <v>3638.2996105731122</v>
      </c>
      <c r="CD9" s="36">
        <f>CD49</f>
        <v>4827.8502155172409</v>
      </c>
      <c r="CE9" s="69"/>
      <c r="CF9" s="36">
        <f>CF49</f>
        <v>4592.869976297422</v>
      </c>
      <c r="CH9" s="36">
        <f>CH49</f>
        <v>3315.6807762925341</v>
      </c>
      <c r="CJ9" s="36">
        <f>CJ49</f>
        <v>2874.9788559982194</v>
      </c>
      <c r="CK9" s="69"/>
      <c r="CL9" s="36">
        <f>CL49</f>
        <v>1520.1900204437038</v>
      </c>
      <c r="CN9" s="36">
        <f>CN49</f>
        <v>1452.011965303172</v>
      </c>
      <c r="CP9" s="36">
        <f>CP49</f>
        <v>783.85340599455037</v>
      </c>
      <c r="CQ9" s="69"/>
      <c r="CR9" s="36">
        <f>CR49</f>
        <v>596.60222070711984</v>
      </c>
      <c r="CT9" s="36">
        <f>CT49</f>
        <v>881.34335716046348</v>
      </c>
      <c r="CV9" s="36">
        <f>CV49</f>
        <v>1268.7266121707537</v>
      </c>
      <c r="CW9" s="69"/>
      <c r="CX9" s="36">
        <f>CX49</f>
        <v>1893.4687137143594</v>
      </c>
      <c r="CZ9" s="36">
        <f>CZ49</f>
        <v>2732.5553481880588</v>
      </c>
      <c r="DB9" s="36">
        <f>DB49</f>
        <v>6067.4766375507479</v>
      </c>
      <c r="DC9" s="69"/>
      <c r="DD9" s="36">
        <f>DD49</f>
        <v>5344.4635718665149</v>
      </c>
      <c r="DF9" s="36">
        <f>DF49</f>
        <v>9594.8680151664594</v>
      </c>
      <c r="DH9" s="36">
        <f>DH49</f>
        <v>4423.6920140927778</v>
      </c>
      <c r="DI9" s="69"/>
      <c r="DJ9" s="36">
        <f>DJ49</f>
        <v>6030.7317043591529</v>
      </c>
      <c r="DL9" s="36">
        <f>DL49</f>
        <v>5229.0190026851951</v>
      </c>
      <c r="DN9" s="36">
        <f>DN49</f>
        <v>3454.1142968775434</v>
      </c>
      <c r="DO9" s="69"/>
      <c r="DP9" s="36">
        <f>DP49</f>
        <v>3750.4314011692336</v>
      </c>
      <c r="DR9" s="36">
        <f>DR49</f>
        <v>3386.9087898982812</v>
      </c>
      <c r="DT9" s="36">
        <f>DT49</f>
        <v>4781.7539761610396</v>
      </c>
      <c r="DU9" s="69"/>
      <c r="DV9" s="36">
        <f>DV49</f>
        <v>5163.7610460452424</v>
      </c>
      <c r="DX9" s="36">
        <f>DX49</f>
        <v>5127.7691443145486</v>
      </c>
      <c r="DZ9" s="36">
        <f>DZ49</f>
        <v>11852.920206423438</v>
      </c>
      <c r="EA9" s="69"/>
      <c r="EB9" s="36">
        <f>EB49</f>
        <v>11721.792668641274</v>
      </c>
      <c r="ED9" s="36">
        <f>ED49</f>
        <v>11695.550591966554</v>
      </c>
      <c r="EF9" s="36">
        <f>EF49</f>
        <v>12961.712614876509</v>
      </c>
      <c r="EG9" s="69"/>
      <c r="EH9" s="36">
        <f>EH49</f>
        <v>13133.054634281078</v>
      </c>
      <c r="EJ9" s="36">
        <f>EJ49</f>
        <v>13345.204240524137</v>
      </c>
      <c r="EL9" s="36">
        <f>EL49</f>
        <v>13337.62894148614</v>
      </c>
      <c r="EM9" s="69"/>
      <c r="EN9" s="36">
        <f>EN49</f>
        <v>13431.975987176989</v>
      </c>
      <c r="EP9" s="36">
        <f>EP49</f>
        <v>13438.963155860811</v>
      </c>
      <c r="ER9" s="36">
        <f>ER49</f>
        <v>13396.378260869566</v>
      </c>
      <c r="ES9" s="69"/>
      <c r="ET9" s="36">
        <f>ET49</f>
        <v>12993.275882166212</v>
      </c>
      <c r="EV9" s="36">
        <f>EV49</f>
        <v>10970.470925677488</v>
      </c>
      <c r="EX9" s="36">
        <f>EX49</f>
        <v>11490.952223028518</v>
      </c>
      <c r="EY9" s="69"/>
      <c r="EZ9" s="36">
        <f>EZ49</f>
        <v>11228.080918741311</v>
      </c>
      <c r="FB9" s="36">
        <f>FB49</f>
        <v>12024.940908433226</v>
      </c>
      <c r="FD9" s="36">
        <f>FD49</f>
        <v>12987.198996655517</v>
      </c>
      <c r="FE9" s="69"/>
      <c r="FF9" s="36">
        <f>FF49</f>
        <v>12543.728721064685</v>
      </c>
      <c r="FH9" s="36">
        <f>FH49</f>
        <v>13290.216065356226</v>
      </c>
      <c r="FJ9" s="36">
        <f>FJ49</f>
        <v>12885.951267016424</v>
      </c>
      <c r="FK9" s="69"/>
      <c r="FL9" s="36">
        <f>FL49</f>
        <v>13420.687507994031</v>
      </c>
      <c r="FN9" s="36">
        <f>FN49</f>
        <v>13301.113904872356</v>
      </c>
      <c r="FP9" s="36">
        <f>FP49</f>
        <v>12463.905768410274</v>
      </c>
      <c r="FQ9" s="69"/>
      <c r="FR9" s="36">
        <f>FR49</f>
        <v>12769.352226655621</v>
      </c>
      <c r="FT9" s="36">
        <f>FT49</f>
        <v>11989.983969279201</v>
      </c>
      <c r="FV9" s="36">
        <f>FV49</f>
        <v>10396.13435334452</v>
      </c>
      <c r="FW9" s="69"/>
      <c r="FX9" s="36">
        <f>FX49</f>
        <v>12076.497865999047</v>
      </c>
      <c r="FZ9" s="36">
        <f>FZ49</f>
        <v>11978.271234957507</v>
      </c>
      <c r="GB9" s="36">
        <f>GB49</f>
        <v>12756.561710566719</v>
      </c>
      <c r="GC9" s="69"/>
      <c r="GD9" s="36">
        <f>GD49</f>
        <v>13267.005975123082</v>
      </c>
      <c r="GF9" s="36">
        <f>GF49</f>
        <v>13403.711711269334</v>
      </c>
      <c r="GH9" s="36">
        <f>GH49</f>
        <v>13349.068473014851</v>
      </c>
      <c r="GI9" s="69"/>
      <c r="GJ9" s="36">
        <f>GJ49</f>
        <v>13257.702980837474</v>
      </c>
      <c r="GL9" s="36">
        <f>GL49</f>
        <v>13357.25751331195</v>
      </c>
      <c r="GN9" s="36">
        <f>GN49</f>
        <v>13467.702533844764</v>
      </c>
      <c r="GO9" s="69"/>
      <c r="GP9" s="36">
        <f>GP49</f>
        <v>13562.154806259805</v>
      </c>
      <c r="GR9" s="36">
        <f>GR49</f>
        <v>13656.062736205593</v>
      </c>
      <c r="GT9" s="36">
        <f>GT49</f>
        <v>13637.697214531621</v>
      </c>
      <c r="GU9" s="69"/>
      <c r="GV9" s="36">
        <f>GV49</f>
        <v>39834.152000000002</v>
      </c>
      <c r="GW9" s="175"/>
      <c r="GX9" s="36">
        <f>GX49</f>
        <v>34733.967600000004</v>
      </c>
      <c r="GY9" s="175"/>
      <c r="GZ9" s="36">
        <f>GZ49</f>
        <v>25275.394400000001</v>
      </c>
      <c r="HA9" s="69"/>
      <c r="HB9" s="36">
        <f>HB49</f>
        <v>25780.793600000001</v>
      </c>
      <c r="HD9" s="36">
        <f>HD49</f>
        <v>17664.517200000002</v>
      </c>
      <c r="HF9" s="36">
        <f>HF49</f>
        <v>17088.470799999999</v>
      </c>
      <c r="HG9" s="69"/>
      <c r="HH9" s="36">
        <f>HH49</f>
        <v>18816.61</v>
      </c>
      <c r="HJ9" s="36">
        <f>HJ49</f>
        <v>12577.918799999999</v>
      </c>
      <c r="HL9" s="36">
        <f>HL49</f>
        <v>15406.523999999999</v>
      </c>
      <c r="HM9" s="69"/>
      <c r="HN9" s="36">
        <f>HN49</f>
        <v>31183.130640000003</v>
      </c>
      <c r="HP9" s="36">
        <f>HP49</f>
        <v>30054.405759999998</v>
      </c>
      <c r="HR9" s="36">
        <f>HR49</f>
        <v>34243.784720000003</v>
      </c>
      <c r="HS9" s="69"/>
      <c r="HT9" s="36">
        <f>HT49</f>
        <v>33744.910000000003</v>
      </c>
      <c r="HV9" s="36">
        <f>HV49</f>
        <v>32731.39</v>
      </c>
      <c r="HX9" s="36">
        <f>HX49</f>
        <v>28310.51</v>
      </c>
      <c r="HY9" s="69"/>
      <c r="HZ9" s="36">
        <f>HZ49</f>
        <v>19379.07</v>
      </c>
      <c r="IB9" s="36">
        <f>IB49</f>
        <v>0</v>
      </c>
      <c r="ID9" s="36">
        <f>ID49</f>
        <v>0</v>
      </c>
      <c r="IE9" s="69"/>
      <c r="IF9" s="36">
        <f>IF49</f>
        <v>0</v>
      </c>
      <c r="IH9" s="36">
        <f>IH49</f>
        <v>0</v>
      </c>
      <c r="IJ9" s="36">
        <f>IJ49</f>
        <v>0</v>
      </c>
      <c r="IK9" s="69"/>
    </row>
    <row r="10" spans="1:245" x14ac:dyDescent="0.35">
      <c r="C10" s="25" t="s">
        <v>34</v>
      </c>
      <c r="F10" s="33">
        <f>SUM(F6:F9)</f>
        <v>12084.318099999999</v>
      </c>
      <c r="G10" s="24"/>
      <c r="H10" s="33">
        <f>SUM(H6:H9)</f>
        <v>36340.019200000002</v>
      </c>
      <c r="I10" s="24"/>
      <c r="J10" s="33">
        <f>SUM(J6:J9)</f>
        <v>36975.178</v>
      </c>
      <c r="K10" s="72"/>
      <c r="L10" s="33">
        <f>SUM(L6:L9)</f>
        <v>41606.471799999999</v>
      </c>
      <c r="N10" s="33">
        <f>SUM(N6:N9)</f>
        <v>21607.979745714718</v>
      </c>
      <c r="P10" s="33">
        <f>SUM(P6:P9)</f>
        <v>17027.79422900375</v>
      </c>
      <c r="Q10" s="72"/>
      <c r="R10" s="33">
        <f>SUM(R6:R9)</f>
        <v>14292.895231848874</v>
      </c>
      <c r="T10" s="33">
        <f>SUM(T6:T9)</f>
        <v>13904.942127915654</v>
      </c>
      <c r="V10" s="33">
        <f>SUM(V6:V9)</f>
        <v>12237.347998955613</v>
      </c>
      <c r="W10" s="69"/>
      <c r="X10" s="33">
        <f>SUM(X6:X9)</f>
        <v>12171.254259544026</v>
      </c>
      <c r="Z10" s="33">
        <f>SUM(Z6:Z9)</f>
        <v>11313.387398679586</v>
      </c>
      <c r="AB10" s="33">
        <f>SUM(AB6:AB9)</f>
        <v>13118.843655889088</v>
      </c>
      <c r="AC10" s="69"/>
      <c r="AD10" s="33">
        <f>SUM(AD6:AD9)</f>
        <v>12934.43273291353</v>
      </c>
      <c r="AF10" s="33">
        <f>SUM(AF6:AF9)</f>
        <v>18368.732947767858</v>
      </c>
      <c r="AH10" s="33">
        <f>SUM(AH6:AH9)</f>
        <v>20872.277065228813</v>
      </c>
      <c r="AI10" s="69"/>
      <c r="AJ10" s="33">
        <f>SUM(AJ6:AJ9)</f>
        <v>18442.051946380696</v>
      </c>
      <c r="AL10" s="33">
        <f>SUM(AL6:AL9)</f>
        <v>9104.4062859108908</v>
      </c>
      <c r="AN10" s="33">
        <f>SUM(AN6:AN9)</f>
        <v>3487.516076533313</v>
      </c>
      <c r="AO10" s="69"/>
      <c r="AP10" s="33">
        <f>SUM(AP6:AP9)</f>
        <v>12491.025686403031</v>
      </c>
      <c r="AR10" s="33">
        <f>SUM(AR6:AR9)</f>
        <v>12184.563566231544</v>
      </c>
      <c r="AT10" s="33">
        <f>SUM(AT6:AT9)</f>
        <v>12183.420918302145</v>
      </c>
      <c r="AU10" s="69"/>
      <c r="AV10" s="33">
        <f>SUM(AV6:AV9)</f>
        <v>-9488.8353677084669</v>
      </c>
      <c r="AX10" s="33">
        <f>SUM(AX6:AX9)</f>
        <v>6534.0360404291159</v>
      </c>
      <c r="AZ10" s="33">
        <f>SUM(AZ6:AZ9)</f>
        <v>10800.636120969757</v>
      </c>
      <c r="BA10" s="69"/>
      <c r="BB10" s="33">
        <f>SUM(BB6:BB9)</f>
        <v>17373.593762574143</v>
      </c>
      <c r="BD10" s="33">
        <f>SUM(BD6:BD9)</f>
        <v>17714.768314046931</v>
      </c>
      <c r="BF10" s="33">
        <f>SUM(BF6:BF9)</f>
        <v>30080.773347311148</v>
      </c>
      <c r="BG10" s="69"/>
      <c r="BH10" s="33">
        <f>SUM(BH6:BH9)</f>
        <v>24740.112437438627</v>
      </c>
      <c r="BJ10" s="33">
        <f>SUM(BJ6:BJ9)</f>
        <v>29975.470646766174</v>
      </c>
      <c r="BL10" s="33">
        <f>SUM(BL6:BL9)</f>
        <v>17977.769296346807</v>
      </c>
      <c r="BM10" s="69"/>
      <c r="BN10" s="33">
        <f>SUM(BN6:BN9)</f>
        <v>14310.722979362517</v>
      </c>
      <c r="BP10" s="33">
        <f>SUM(BP6:BP9)</f>
        <v>8320.6558642789823</v>
      </c>
      <c r="BR10" s="33">
        <f>SUM(BR6:BR9)</f>
        <v>5997.0701224752893</v>
      </c>
      <c r="BS10" s="69"/>
      <c r="BT10" s="33">
        <f>SUM(BT6:BT9)</f>
        <v>7480.0737710874628</v>
      </c>
      <c r="BV10" s="33">
        <f>SUM(BV6:BV9)</f>
        <v>7570.1605956510693</v>
      </c>
      <c r="BX10" s="33">
        <f>SUM(BX6:BX9)</f>
        <v>10919.852320397917</v>
      </c>
      <c r="BY10" s="69"/>
      <c r="BZ10" s="33">
        <f>SUM(BZ6:BZ9)</f>
        <v>21061.53895778679</v>
      </c>
      <c r="CB10" s="33">
        <f>SUM(CB6:CB9)</f>
        <v>40339.953003411792</v>
      </c>
      <c r="CD10" s="33">
        <f>SUM(CD6:CD9)</f>
        <v>59841.12705673906</v>
      </c>
      <c r="CE10" s="69"/>
      <c r="CF10" s="33">
        <f>SUM(CF6:CF9)</f>
        <v>65921.19216112516</v>
      </c>
      <c r="CH10" s="33">
        <f>SUM(CH6:CH9)</f>
        <v>43379.158000583426</v>
      </c>
      <c r="CJ10" s="33">
        <f>SUM(CJ6:CJ9)</f>
        <v>34218.863239112696</v>
      </c>
      <c r="CK10" s="69"/>
      <c r="CL10" s="33">
        <f>SUM(CL6:CL9)</f>
        <v>18904.744771711968</v>
      </c>
      <c r="CN10" s="33">
        <f>SUM(CN6:CN9)</f>
        <v>17991.064826941067</v>
      </c>
      <c r="CP10" s="33">
        <f>SUM(CP6:CP9)</f>
        <v>9794.2153865803812</v>
      </c>
      <c r="CQ10" s="69"/>
      <c r="CR10" s="33">
        <f>SUM(CR6:CR9)</f>
        <v>7610.5648582838221</v>
      </c>
      <c r="CT10" s="33">
        <f>SUM(CT6:CT9)</f>
        <v>8983.3409662312042</v>
      </c>
      <c r="CV10" s="33">
        <f>SUM(CV6:CV9)</f>
        <v>15324.065864365728</v>
      </c>
      <c r="CW10" s="69"/>
      <c r="CX10" s="33">
        <f>SUM(CX6:CX9)</f>
        <v>21270.510643787897</v>
      </c>
      <c r="CZ10" s="33">
        <f>SUM(CZ6:CZ9)</f>
        <v>35149.172170921309</v>
      </c>
      <c r="DB10" s="33">
        <f>SUM(DB6:DB9)</f>
        <v>68424.288040211613</v>
      </c>
      <c r="DC10" s="69"/>
      <c r="DD10" s="33">
        <f>SUM(DD6:DD9)</f>
        <v>58757.053329380607</v>
      </c>
      <c r="DF10" s="33">
        <f>SUM(DF6:DF9)</f>
        <v>94039.471493589575</v>
      </c>
      <c r="DH10" s="33">
        <f>SUM(DH6:DH9)</f>
        <v>40889.283276361042</v>
      </c>
      <c r="DI10" s="69"/>
      <c r="DJ10" s="33">
        <f>SUM(DJ6:DJ9)</f>
        <v>52125.679583174264</v>
      </c>
      <c r="DL10" s="33">
        <f>SUM(DL6:DL9)</f>
        <v>51051.156029552309</v>
      </c>
      <c r="DN10" s="33">
        <f>SUM(DN6:DN9)</f>
        <v>32092.776309705983</v>
      </c>
      <c r="DO10" s="69"/>
      <c r="DP10" s="33">
        <f>SUM(DP6:DP9)</f>
        <v>36263.943234878301</v>
      </c>
      <c r="DR10" s="33">
        <f>SUM(DR6:DR9)</f>
        <v>30979.588905647142</v>
      </c>
      <c r="DT10" s="33">
        <f>SUM(DT6:DT9)</f>
        <v>44016.637137644204</v>
      </c>
      <c r="DU10" s="69"/>
      <c r="DV10" s="33">
        <f>SUM(DV6:DV9)</f>
        <v>43116.747126584305</v>
      </c>
      <c r="DX10" s="33">
        <f>SUM(DX6:DX9)</f>
        <v>39684.67416713445</v>
      </c>
      <c r="DZ10" s="33">
        <f>SUM(DZ6:DZ9)</f>
        <v>70407.309940999752</v>
      </c>
      <c r="EA10" s="69"/>
      <c r="EB10" s="33">
        <f>SUM(EB6:EB9)</f>
        <v>60506.364994368203</v>
      </c>
      <c r="ED10" s="33">
        <f>SUM(ED6:ED9)</f>
        <v>47741.617104860074</v>
      </c>
      <c r="EF10" s="33">
        <f>SUM(EF6:EF9)</f>
        <v>40315.530090465254</v>
      </c>
      <c r="EG10" s="69"/>
      <c r="EH10" s="33">
        <f>SUM(EH6:EH9)</f>
        <v>38040.931137466119</v>
      </c>
      <c r="EJ10" s="33">
        <f>SUM(EJ6:EJ9)</f>
        <v>35688.763893243296</v>
      </c>
      <c r="EL10" s="33">
        <f>SUM(EL6:EL9)</f>
        <v>38007.876316614093</v>
      </c>
      <c r="EM10" s="69"/>
      <c r="EN10" s="33">
        <f>SUM(EN6:EN9)</f>
        <v>34823.045803279398</v>
      </c>
      <c r="EP10" s="33">
        <f>SUM(EP6:EP9)</f>
        <v>34856.216471394197</v>
      </c>
      <c r="ER10" s="33">
        <f>SUM(ER6:ER9)</f>
        <v>26939.938962871507</v>
      </c>
      <c r="ES10" s="69"/>
      <c r="ET10" s="33">
        <f>SUM(ET6:ET9)</f>
        <v>44928.239728271219</v>
      </c>
      <c r="EV10" s="33">
        <f>SUM(EV6:EV9)</f>
        <v>50533.787539576057</v>
      </c>
      <c r="EX10" s="33">
        <f>SUM(EX6:EX9)</f>
        <v>56004.83111048532</v>
      </c>
      <c r="EY10" s="69"/>
      <c r="EZ10" s="33">
        <f>SUM(EZ6:EZ9)</f>
        <v>43288.729505876407</v>
      </c>
      <c r="FB10" s="33">
        <f>SUM(FB6:FB9)</f>
        <v>49217.613039945689</v>
      </c>
      <c r="FD10" s="33">
        <f>SUM(FD6:FD9)</f>
        <v>42512.50934487507</v>
      </c>
      <c r="FE10" s="69"/>
      <c r="FF10" s="33">
        <f>SUM(FF6:FF9)</f>
        <v>32199.202056362934</v>
      </c>
      <c r="FH10" s="33">
        <f>SUM(FH6:FH9)</f>
        <v>28968.28107323547</v>
      </c>
      <c r="FJ10" s="33">
        <f>SUM(FJ6:FJ9)</f>
        <v>27590.554167952541</v>
      </c>
      <c r="FK10" s="69"/>
      <c r="FL10" s="33">
        <f>SUM(FL6:FL9)</f>
        <v>33969.50528671925</v>
      </c>
      <c r="FN10" s="33">
        <f>SUM(FN6:FN9)</f>
        <v>41359.387917986234</v>
      </c>
      <c r="FP10" s="33">
        <f>SUM(FP6:FP9)</f>
        <v>43714.55088318116</v>
      </c>
      <c r="FQ10" s="69"/>
      <c r="FR10" s="33">
        <f>SUM(FR6:FR9)</f>
        <v>65298.999339780552</v>
      </c>
      <c r="FT10" s="33">
        <f>SUM(FT6:FT9)</f>
        <v>92923.046537125483</v>
      </c>
      <c r="FV10" s="33">
        <f>SUM(FV6:FV9)</f>
        <v>99742.303829600991</v>
      </c>
      <c r="FW10" s="69"/>
      <c r="FX10" s="33">
        <f>SUM(FX6:FX9)</f>
        <v>89065.965074756663</v>
      </c>
      <c r="FZ10" s="33">
        <f>SUM(FZ6:FZ9)</f>
        <v>81355.922951012864</v>
      </c>
      <c r="GB10" s="33">
        <f>SUM(GB6:GB9)</f>
        <v>56038.314126206969</v>
      </c>
      <c r="GC10" s="69"/>
      <c r="GD10" s="33">
        <f>SUM(GD6:GD9)</f>
        <v>48724.642086424661</v>
      </c>
      <c r="GF10" s="33">
        <f>SUM(GF6:GF9)</f>
        <v>41816.754292976708</v>
      </c>
      <c r="GH10" s="33">
        <f>SUM(GH6:GH9)</f>
        <v>45873.072022489039</v>
      </c>
      <c r="GI10" s="69"/>
      <c r="GJ10" s="33">
        <f>SUM(GJ6:GJ9)</f>
        <v>43115.650022961629</v>
      </c>
      <c r="GL10" s="33">
        <f>SUM(GL6:GL9)</f>
        <v>43137.085078291646</v>
      </c>
      <c r="GN10" s="33">
        <f>SUM(GN6:GN9)</f>
        <v>62054.625119584831</v>
      </c>
      <c r="GO10" s="69"/>
      <c r="GP10" s="33">
        <f>SUM(GP6:GP9)</f>
        <v>103873.52485725751</v>
      </c>
      <c r="GR10" s="33">
        <f>SUM(GR6:GR9)</f>
        <v>148689.95162509449</v>
      </c>
      <c r="GT10" s="33">
        <f>SUM(GT6:GT9)</f>
        <v>125040.5854924525</v>
      </c>
      <c r="GU10" s="69"/>
      <c r="GV10" s="33">
        <f>SUM(GV6:GV9)</f>
        <v>120133.13951621074</v>
      </c>
      <c r="GW10" s="175"/>
      <c r="GX10" s="33">
        <f>SUM(GX6:GX9)</f>
        <v>102010.72424553696</v>
      </c>
      <c r="GY10" s="175"/>
      <c r="GZ10" s="33">
        <f>SUM(GZ6:GZ9)</f>
        <v>72815.862197984592</v>
      </c>
      <c r="HA10" s="69"/>
      <c r="HB10" s="33">
        <f>SUM(HB6:HB9)</f>
        <v>63309.91315831033</v>
      </c>
      <c r="HD10" s="33">
        <f>SUM(HD6:HD9)</f>
        <v>47955.103720761508</v>
      </c>
      <c r="HF10" s="33">
        <f>SUM(HF6:HF9)</f>
        <v>47344.669549901839</v>
      </c>
      <c r="HG10" s="69"/>
      <c r="HH10" s="33">
        <f>SUM(HH6:HH9)</f>
        <v>46651.746138437666</v>
      </c>
      <c r="HJ10" s="33">
        <f>SUM(HJ6:HJ9)</f>
        <v>33314.4577086996</v>
      </c>
      <c r="HL10" s="33">
        <f>SUM(HL6:HL9)</f>
        <v>47722.50984016624</v>
      </c>
      <c r="HM10" s="69"/>
      <c r="HN10" s="33">
        <f>SUM(HN6:HN9)</f>
        <v>85310.169835770663</v>
      </c>
      <c r="HP10" s="33">
        <f>SUM(HP6:HP9)</f>
        <v>91279.114738817181</v>
      </c>
      <c r="HR10" s="33">
        <f>SUM(HR6:HR9)</f>
        <v>104631.06765159886</v>
      </c>
      <c r="HS10" s="69"/>
      <c r="HT10" s="33">
        <f>SUM(HT6:HT9)</f>
        <v>99372.921419899008</v>
      </c>
      <c r="HV10" s="33">
        <f>SUM(HV6:HV9)</f>
        <v>93002.916446759162</v>
      </c>
      <c r="HX10" s="33">
        <f>SUM(HX6:HX9)</f>
        <v>70639.874398444706</v>
      </c>
      <c r="HY10" s="69"/>
      <c r="HZ10" s="33">
        <f>SUM(HZ6:HZ9)</f>
        <v>48390.619999999995</v>
      </c>
      <c r="IB10" s="33" t="e">
        <f>SUM(IB6:IB9)</f>
        <v>#DIV/0!</v>
      </c>
      <c r="ID10" s="33" t="e">
        <f>SUM(ID6:ID9)</f>
        <v>#DIV/0!</v>
      </c>
      <c r="IE10" s="69"/>
      <c r="IF10" s="33" t="e">
        <f>SUM(IF6:IF9)</f>
        <v>#DIV/0!</v>
      </c>
      <c r="IH10" s="33" t="e">
        <f>SUM(IH6:IH9)</f>
        <v>#DIV/0!</v>
      </c>
      <c r="IJ10" s="33" t="e">
        <f>SUM(IJ6:IJ9)</f>
        <v>#DIV/0!</v>
      </c>
      <c r="IK10" s="69"/>
    </row>
    <row r="11" spans="1:245" x14ac:dyDescent="0.35">
      <c r="C11" s="7" t="s">
        <v>37</v>
      </c>
      <c r="F11" s="42">
        <f>Sales!Z6</f>
        <v>1726</v>
      </c>
      <c r="G11" s="3"/>
      <c r="H11" s="42">
        <f>Sales!AB6</f>
        <v>5564</v>
      </c>
      <c r="I11" s="3"/>
      <c r="J11" s="42">
        <f>Sales!F7</f>
        <v>5820</v>
      </c>
      <c r="K11" s="73"/>
      <c r="L11" s="42">
        <f>Sales!H7</f>
        <v>6407</v>
      </c>
      <c r="N11" s="42">
        <f>Sales!J7</f>
        <v>2726.9</v>
      </c>
      <c r="O11" s="31"/>
      <c r="P11" s="42">
        <f>Sales!L7</f>
        <v>1673.1</v>
      </c>
      <c r="Q11" s="73"/>
      <c r="R11" s="42">
        <f>Sales!N7</f>
        <v>1300.7</v>
      </c>
      <c r="T11" s="42">
        <f>Sales!P7</f>
        <v>1128.8</v>
      </c>
      <c r="U11" s="31"/>
      <c r="V11" s="42">
        <f>Sales!R7</f>
        <v>739.4</v>
      </c>
      <c r="W11" s="69"/>
      <c r="X11" s="42">
        <f>Sales!T7</f>
        <v>877.1</v>
      </c>
      <c r="Z11" s="42">
        <f>Sales!V7</f>
        <v>810</v>
      </c>
      <c r="AA11" s="31"/>
      <c r="AB11" s="42">
        <f>Sales!X7</f>
        <v>1253.3</v>
      </c>
      <c r="AC11" s="69"/>
      <c r="AD11" s="42">
        <f>Sales!Z7</f>
        <v>2602.1999999999998</v>
      </c>
      <c r="AF11" s="42">
        <f>Sales!AB7</f>
        <v>3335.3</v>
      </c>
      <c r="AG11" s="31"/>
      <c r="AH11" s="42">
        <f>Sales!F8</f>
        <v>5134.3</v>
      </c>
      <c r="AI11" s="69"/>
      <c r="AJ11" s="42">
        <f>Sales!H8</f>
        <v>3660.8</v>
      </c>
      <c r="AL11" s="42">
        <f>Sales!J8</f>
        <v>1928.7</v>
      </c>
      <c r="AM11" s="31"/>
      <c r="AN11" s="42">
        <f>Sales!L8</f>
        <v>1176.5999999999999</v>
      </c>
      <c r="AO11" s="69"/>
      <c r="AP11" s="42">
        <f>Sales!N8</f>
        <v>1253</v>
      </c>
      <c r="AR11" s="42">
        <f>Sales!P8</f>
        <v>880.1</v>
      </c>
      <c r="AS11" s="31"/>
      <c r="AT11" s="42">
        <f>Sales!R8</f>
        <v>1045.5999999999999</v>
      </c>
      <c r="AU11" s="69"/>
      <c r="AV11" s="42">
        <f>Sales!T8</f>
        <v>1227.3</v>
      </c>
      <c r="AX11" s="42">
        <f>Sales!V8</f>
        <v>1048.7</v>
      </c>
      <c r="AY11" s="31"/>
      <c r="AZ11" s="42">
        <f>Sales!X8</f>
        <v>1812.8</v>
      </c>
      <c r="BA11" s="69"/>
      <c r="BB11" s="42">
        <f>Sales!Z8</f>
        <v>3672.7</v>
      </c>
      <c r="BD11" s="42">
        <f>Sales!AB8</f>
        <v>2853.5</v>
      </c>
      <c r="BE11" s="31"/>
      <c r="BF11" s="42">
        <f>Sales!F9</f>
        <v>6072.5</v>
      </c>
      <c r="BG11" s="69"/>
      <c r="BH11" s="42">
        <f>Sales!H9</f>
        <v>4304.3</v>
      </c>
      <c r="BJ11" s="42">
        <f>Sales!J9</f>
        <v>5380.1</v>
      </c>
      <c r="BK11" s="31"/>
      <c r="BL11" s="42">
        <f>Sales!L9</f>
        <v>2530.9</v>
      </c>
      <c r="BM11" s="69"/>
      <c r="BN11" s="42">
        <f>Sales!N9</f>
        <v>1603</v>
      </c>
      <c r="BP11" s="42">
        <f>Sales!P9</f>
        <v>911.2</v>
      </c>
      <c r="BQ11" s="31"/>
      <c r="BR11" s="42">
        <f>Sales!R9</f>
        <v>809.8</v>
      </c>
      <c r="BS11" s="69"/>
      <c r="BT11" s="42">
        <f>Sales!T9</f>
        <v>1047.2</v>
      </c>
      <c r="BV11" s="42">
        <f>Sales!V9</f>
        <v>1050.7</v>
      </c>
      <c r="BW11" s="31"/>
      <c r="BX11" s="42">
        <f>Sales!X9</f>
        <v>1618.4</v>
      </c>
      <c r="BY11" s="69"/>
      <c r="BZ11" s="42">
        <f>Sales!Z9</f>
        <v>2334</v>
      </c>
      <c r="CB11" s="42">
        <f>Sales!AB9</f>
        <v>3906</v>
      </c>
      <c r="CC11" s="31"/>
      <c r="CD11" s="42">
        <f>Sales!F10</f>
        <v>6465</v>
      </c>
      <c r="CE11" s="69"/>
      <c r="CF11" s="42">
        <f>Sales!H10</f>
        <v>5710</v>
      </c>
      <c r="CH11" s="42">
        <f>Sales!J10</f>
        <v>3962</v>
      </c>
      <c r="CI11" s="31"/>
      <c r="CJ11" s="42">
        <f>Sales!L10</f>
        <v>2176</v>
      </c>
      <c r="CK11" s="69"/>
      <c r="CL11" s="42">
        <f>Sales!N10</f>
        <v>1037</v>
      </c>
      <c r="CN11" s="42">
        <f>Sales!P10</f>
        <v>999</v>
      </c>
      <c r="CO11" s="31"/>
      <c r="CP11" s="42">
        <f>Sales!R10</f>
        <v>957</v>
      </c>
      <c r="CQ11" s="69"/>
      <c r="CR11" s="42">
        <f>Sales!T10</f>
        <v>854</v>
      </c>
      <c r="CT11" s="42">
        <f>Sales!V10</f>
        <v>969</v>
      </c>
      <c r="CU11" s="31"/>
      <c r="CV11" s="42">
        <f>Sales!X10</f>
        <v>1749</v>
      </c>
      <c r="CW11" s="69"/>
      <c r="CX11" s="42">
        <f>Sales!Z10</f>
        <v>3252</v>
      </c>
      <c r="CZ11" s="42">
        <f>Sales!AB10</f>
        <v>4410</v>
      </c>
      <c r="DA11" s="31"/>
      <c r="DB11" s="42">
        <f>Sales!F11</f>
        <v>9046</v>
      </c>
      <c r="DC11" s="69"/>
      <c r="DD11" s="42">
        <f>Sales!H11</f>
        <v>11867</v>
      </c>
      <c r="DF11" s="42">
        <f>Sales!J11</f>
        <v>13351</v>
      </c>
      <c r="DG11" s="31"/>
      <c r="DH11" s="42">
        <f>Sales!L11</f>
        <v>9115</v>
      </c>
      <c r="DI11" s="69"/>
      <c r="DJ11" s="42">
        <f>Sales!N11</f>
        <v>8724</v>
      </c>
      <c r="DL11" s="42">
        <f>Sales!P11</f>
        <v>6472</v>
      </c>
      <c r="DM11" s="31"/>
      <c r="DN11" s="42">
        <f>Sales!R11</f>
        <v>6062</v>
      </c>
      <c r="DO11" s="69"/>
      <c r="DP11" s="42">
        <f>Sales!T11</f>
        <v>5148</v>
      </c>
      <c r="DR11" s="42">
        <f>Sales!V11</f>
        <v>5562</v>
      </c>
      <c r="DS11" s="31"/>
      <c r="DT11" s="42">
        <f>Sales!X11</f>
        <v>7939</v>
      </c>
      <c r="DU11" s="69"/>
      <c r="DV11" s="42">
        <f>Sales!Z11</f>
        <v>8721</v>
      </c>
      <c r="DX11" s="42">
        <f>Sales!AB11</f>
        <v>7043</v>
      </c>
      <c r="DY11" s="31"/>
      <c r="DZ11" s="42">
        <f>Sales!F12</f>
        <v>11015</v>
      </c>
      <c r="EA11" s="69"/>
      <c r="EB11" s="42">
        <f>Sales!H12</f>
        <v>10109</v>
      </c>
      <c r="ED11" s="42">
        <f>Sales!J12</f>
        <v>9340</v>
      </c>
      <c r="EE11" s="31"/>
      <c r="EF11" s="42">
        <f>Sales!L12</f>
        <v>7794</v>
      </c>
      <c r="EG11" s="69"/>
      <c r="EH11" s="42">
        <f>Sales!N12</f>
        <v>5474</v>
      </c>
      <c r="EJ11" s="42">
        <f>Sales!P12</f>
        <v>4778</v>
      </c>
      <c r="EK11" s="31"/>
      <c r="EL11" s="42">
        <f>Sales!R12</f>
        <v>4594</v>
      </c>
      <c r="EM11" s="69"/>
      <c r="EN11" s="42">
        <f>Sales!T12</f>
        <v>4462</v>
      </c>
      <c r="EP11" s="42">
        <f>Sales!V12</f>
        <v>5505</v>
      </c>
      <c r="EQ11" s="31"/>
      <c r="ER11" s="42">
        <f>Sales!X12</f>
        <v>5465</v>
      </c>
      <c r="ES11" s="69"/>
      <c r="ET11" s="42">
        <f>Sales!Z12</f>
        <v>7363</v>
      </c>
      <c r="EV11" s="42">
        <f>Sales!AB12</f>
        <v>8826</v>
      </c>
      <c r="EW11" s="31"/>
      <c r="EX11" s="42">
        <f>Sales!F13</f>
        <v>7634</v>
      </c>
      <c r="EY11" s="69"/>
      <c r="EZ11" s="42">
        <f>Sales!H13</f>
        <v>6393</v>
      </c>
      <c r="FB11" s="42">
        <f>Sales!J13</f>
        <v>7774</v>
      </c>
      <c r="FC11" s="31"/>
      <c r="FD11" s="42">
        <f>Sales!L13</f>
        <v>6650</v>
      </c>
      <c r="FE11" s="69"/>
      <c r="FF11" s="42">
        <f>Sales!N13</f>
        <v>3981</v>
      </c>
      <c r="FH11" s="42">
        <f>Sales!P13</f>
        <v>3459</v>
      </c>
      <c r="FI11" s="31"/>
      <c r="FJ11" s="42">
        <f>Sales!R13</f>
        <v>2704</v>
      </c>
      <c r="FK11" s="69"/>
      <c r="FL11" s="42">
        <f>Sales!T13</f>
        <v>4983</v>
      </c>
      <c r="FN11" s="42">
        <f>Sales!V13</f>
        <v>6437</v>
      </c>
      <c r="FO11" s="31"/>
      <c r="FP11" s="42">
        <f>Sales!X13</f>
        <v>6306</v>
      </c>
      <c r="FQ11" s="69"/>
      <c r="FR11" s="42">
        <f>Sales!Z13</f>
        <v>10869</v>
      </c>
      <c r="FT11" s="42">
        <f>Sales!AB13</f>
        <v>12716</v>
      </c>
      <c r="FU11" s="31"/>
      <c r="FV11" s="42">
        <f>Sales!F14</f>
        <v>12306</v>
      </c>
      <c r="FW11" s="69"/>
      <c r="FX11" s="42">
        <f>Sales!H14</f>
        <v>12391</v>
      </c>
      <c r="FZ11" s="42">
        <f>Sales!J14</f>
        <v>13164</v>
      </c>
      <c r="GA11" s="31"/>
      <c r="GB11" s="42">
        <f>Sales!L14</f>
        <v>10761</v>
      </c>
      <c r="GC11" s="69"/>
      <c r="GD11" s="42">
        <f>+Sales!N14</f>
        <v>6961</v>
      </c>
      <c r="GF11" s="42">
        <f>Sales!P14</f>
        <v>6678</v>
      </c>
      <c r="GG11" s="31"/>
      <c r="GH11" s="42">
        <f>Sales!R14</f>
        <v>5672</v>
      </c>
      <c r="GI11" s="69"/>
      <c r="GJ11" s="42">
        <f>+Sales!T14</f>
        <v>6855</v>
      </c>
      <c r="GL11" s="42">
        <f>Sales!V14</f>
        <v>6082.8</v>
      </c>
      <c r="GM11" s="31"/>
      <c r="GN11" s="42">
        <f>Sales!X14</f>
        <v>7301.3</v>
      </c>
      <c r="GO11" s="69"/>
      <c r="GP11" s="42">
        <f>+Sales!Z14</f>
        <v>13375.6</v>
      </c>
      <c r="GR11" s="42">
        <f>Sales!AB14</f>
        <v>13910</v>
      </c>
      <c r="GS11" s="31"/>
      <c r="GT11" s="42">
        <f>Sales!F15</f>
        <v>12228</v>
      </c>
      <c r="GU11" s="69"/>
      <c r="GV11" s="42">
        <f>+Sales!H15</f>
        <v>14660</v>
      </c>
      <c r="GW11" s="175"/>
      <c r="GX11" s="42">
        <f>+Sales!J15</f>
        <v>12783</v>
      </c>
      <c r="GY11" s="31"/>
      <c r="GZ11" s="42">
        <f>+Sales!L15</f>
        <v>9302</v>
      </c>
      <c r="HA11" s="69"/>
      <c r="HB11" s="42">
        <f>+Sales!N15</f>
        <v>9488</v>
      </c>
      <c r="HD11" s="42">
        <f>+Sales!P15</f>
        <v>6501</v>
      </c>
      <c r="HE11" s="31"/>
      <c r="HF11" s="42">
        <f>+Sales!R15</f>
        <v>6289</v>
      </c>
      <c r="HG11" s="69"/>
      <c r="HH11" s="42">
        <f>+Sales!T15</f>
        <v>6925</v>
      </c>
      <c r="HJ11" s="42">
        <f>+Sales!V15</f>
        <v>4629</v>
      </c>
      <c r="HK11" s="31"/>
      <c r="HL11" s="42">
        <f>+Sales!X15</f>
        <v>5670</v>
      </c>
      <c r="HM11" s="69"/>
      <c r="HN11" s="42">
        <f>+Sales!Z15</f>
        <v>11476.2</v>
      </c>
      <c r="HP11" s="42">
        <f>+Sales!AB15</f>
        <v>11060.8</v>
      </c>
      <c r="HQ11" s="31"/>
      <c r="HR11" s="42">
        <f>+Sales!F16</f>
        <v>12602.6</v>
      </c>
      <c r="HS11" s="69"/>
      <c r="HT11" s="42">
        <f>+Sales!H16</f>
        <v>12157.6</v>
      </c>
      <c r="HV11" s="42">
        <f>+Sales!J16</f>
        <v>12701.7</v>
      </c>
      <c r="HW11" s="31"/>
      <c r="HX11" s="42">
        <f>+Sales!L16</f>
        <v>10324.200000000001</v>
      </c>
      <c r="HY11" s="69"/>
      <c r="HZ11" s="42">
        <f>+Sales!N16</f>
        <v>7581.7</v>
      </c>
      <c r="IB11" s="42">
        <f>+Sales!P16</f>
        <v>0</v>
      </c>
      <c r="IC11" s="31"/>
      <c r="ID11" s="42">
        <f>+Sales!R16</f>
        <v>0</v>
      </c>
      <c r="IE11" s="69"/>
      <c r="IF11" s="42">
        <f>+Sales!T16</f>
        <v>0</v>
      </c>
      <c r="IH11" s="42">
        <f>+Sales!V16</f>
        <v>0</v>
      </c>
      <c r="II11" s="31"/>
      <c r="IJ11" s="42">
        <f>+Sales!X16</f>
        <v>0</v>
      </c>
      <c r="IK11" s="69"/>
    </row>
    <row r="12" spans="1:245" x14ac:dyDescent="0.35">
      <c r="A12" s="7" t="s">
        <v>39</v>
      </c>
      <c r="F12" s="43">
        <f>F10/F11</f>
        <v>7.0013430475086897</v>
      </c>
      <c r="G12" s="40"/>
      <c r="H12" s="43">
        <f>H10/H11</f>
        <v>6.5312759166067584</v>
      </c>
      <c r="I12" s="40"/>
      <c r="J12" s="43">
        <f>J10/J11</f>
        <v>6.3531233676975942</v>
      </c>
      <c r="K12" s="74"/>
      <c r="L12" s="43">
        <f>L10/L11</f>
        <v>6.493908506321211</v>
      </c>
      <c r="M12" s="40"/>
      <c r="N12" s="43">
        <f>N10/N11</f>
        <v>7.9240088546388634</v>
      </c>
      <c r="O12" s="40"/>
      <c r="P12" s="43">
        <f>P10/P11</f>
        <v>10.177391805034816</v>
      </c>
      <c r="Q12" s="74"/>
      <c r="R12" s="43">
        <f>R10/R11</f>
        <v>10.988617845659164</v>
      </c>
      <c r="S12" s="40"/>
      <c r="T12" s="43">
        <f>T10/T11</f>
        <v>12.318339943227901</v>
      </c>
      <c r="U12" s="40"/>
      <c r="V12" s="43">
        <f>V10/V11</f>
        <v>16.550375979112271</v>
      </c>
      <c r="W12" s="69"/>
      <c r="X12" s="43">
        <f>X10/X11</f>
        <v>13.876700786163523</v>
      </c>
      <c r="Y12" s="40"/>
      <c r="Z12" s="43">
        <f>Z10/Z11</f>
        <v>13.967144936641464</v>
      </c>
      <c r="AA12" s="40"/>
      <c r="AB12" s="43">
        <f>AB10/AB11</f>
        <v>10.467440880785995</v>
      </c>
      <c r="AC12" s="69"/>
      <c r="AD12" s="43">
        <f>AD10/AD11</f>
        <v>4.970575948395024</v>
      </c>
      <c r="AE12" s="40"/>
      <c r="AF12" s="43">
        <f>AF10/AF11</f>
        <v>5.5073705357142853</v>
      </c>
      <c r="AG12" s="40"/>
      <c r="AH12" s="43">
        <f>AH10/AH11</f>
        <v>4.065262463282008</v>
      </c>
      <c r="AI12" s="69"/>
      <c r="AJ12" s="43">
        <f>AJ10/AJ11</f>
        <v>5.0377108682202509</v>
      </c>
      <c r="AK12" s="40"/>
      <c r="AL12" s="43">
        <f>AL10/AL11</f>
        <v>4.7204885601238606</v>
      </c>
      <c r="AM12" s="40"/>
      <c r="AN12" s="43">
        <f>AN10/AN11</f>
        <v>2.9640626181653182</v>
      </c>
      <c r="AO12" s="69"/>
      <c r="AP12" s="43">
        <f>AP10/AP11</f>
        <v>9.9688952006408869</v>
      </c>
      <c r="AQ12" s="40"/>
      <c r="AR12" s="43">
        <f>AR10/AR11</f>
        <v>13.844521720522149</v>
      </c>
      <c r="AS12" s="40"/>
      <c r="AT12" s="43">
        <f>AT10/AT11</f>
        <v>11.652085805568234</v>
      </c>
      <c r="AU12" s="69"/>
      <c r="AV12" s="43">
        <f>AV10/AV11</f>
        <v>-7.7314718224626962</v>
      </c>
      <c r="AW12" s="40"/>
      <c r="AX12" s="43">
        <f>AX10/AX11</f>
        <v>6.2306055501374233</v>
      </c>
      <c r="AY12" s="40"/>
      <c r="AZ12" s="43">
        <f>AZ10/AZ11</f>
        <v>5.9579855036240934</v>
      </c>
      <c r="BA12" s="69"/>
      <c r="BB12" s="43">
        <f>BB10/BB11</f>
        <v>4.7304690725009237</v>
      </c>
      <c r="BC12" s="40"/>
      <c r="BD12" s="43">
        <f>BD10/BD11</f>
        <v>6.2080842172934751</v>
      </c>
      <c r="BE12" s="40"/>
      <c r="BF12" s="43">
        <f>BF10/BF11</f>
        <v>4.9536061502365003</v>
      </c>
      <c r="BG12" s="69"/>
      <c r="BH12" s="43">
        <f>BH10/BH11</f>
        <v>5.7477667535809829</v>
      </c>
      <c r="BI12" s="40"/>
      <c r="BJ12" s="43">
        <f>BJ10/BJ11</f>
        <v>5.5715452587807235</v>
      </c>
      <c r="BK12" s="40"/>
      <c r="BL12" s="43">
        <f>BL10/BL11</f>
        <v>7.1033107970867304</v>
      </c>
      <c r="BM12" s="69"/>
      <c r="BN12" s="43">
        <f>BN10/BN11</f>
        <v>8.9274628692217828</v>
      </c>
      <c r="BO12" s="40"/>
      <c r="BP12" s="43">
        <f>BP10/BP11</f>
        <v>9.1315362865221488</v>
      </c>
      <c r="BQ12" s="40"/>
      <c r="BR12" s="43">
        <f>BR10/BR11</f>
        <v>7.4056188225182629</v>
      </c>
      <c r="BS12" s="69"/>
      <c r="BT12" s="43">
        <f>BT10/BT11</f>
        <v>7.1429275888917712</v>
      </c>
      <c r="BU12" s="40"/>
      <c r="BV12" s="43">
        <f>BV10/BV11</f>
        <v>7.2048735087570845</v>
      </c>
      <c r="BW12" s="40"/>
      <c r="BX12" s="43">
        <f>BX10/BX11</f>
        <v>6.7473135939186335</v>
      </c>
      <c r="BY12" s="69"/>
      <c r="BZ12" s="43">
        <f>BZ10/BZ11</f>
        <v>9.0237956117338438</v>
      </c>
      <c r="CA12" s="40"/>
      <c r="CB12" s="43">
        <f>CB10/CB11</f>
        <v>10.32768894096564</v>
      </c>
      <c r="CC12" s="40"/>
      <c r="CD12" s="43">
        <f>CD10/CD11</f>
        <v>9.2561681448939002</v>
      </c>
      <c r="CE12" s="69"/>
      <c r="CF12" s="43">
        <f>CF10/CF11</f>
        <v>11.544867278655895</v>
      </c>
      <c r="CG12" s="40"/>
      <c r="CH12" s="43">
        <f>CH10/CH11</f>
        <v>10.948803129879714</v>
      </c>
      <c r="CI12" s="40"/>
      <c r="CJ12" s="43">
        <f>CJ10/CJ11</f>
        <v>15.725580532680468</v>
      </c>
      <c r="CK12" s="69"/>
      <c r="CL12" s="43">
        <f>CL10/CL11</f>
        <v>18.23022639509351</v>
      </c>
      <c r="CM12" s="40"/>
      <c r="CN12" s="43">
        <f>CN10/CN11</f>
        <v>18.009073900841909</v>
      </c>
      <c r="CO12" s="40"/>
      <c r="CP12" s="43">
        <f>CP10/CP11</f>
        <v>10.234289850136239</v>
      </c>
      <c r="CQ12" s="69"/>
      <c r="CR12" s="43">
        <f>CR10/CR11</f>
        <v>8.9116684523229761</v>
      </c>
      <c r="CS12" s="40"/>
      <c r="CT12" s="43">
        <f>CT10/CT11</f>
        <v>9.2707337112809132</v>
      </c>
      <c r="CU12" s="40"/>
      <c r="CV12" s="43">
        <f>CV10/CV11</f>
        <v>8.761615702896357</v>
      </c>
      <c r="CW12" s="69"/>
      <c r="CX12" s="43">
        <f>CX10/CX11</f>
        <v>6.5407474304390822</v>
      </c>
      <c r="CY12" s="40"/>
      <c r="CZ12" s="43">
        <f>CZ10/CZ11</f>
        <v>7.9703338256057386</v>
      </c>
      <c r="DA12" s="40"/>
      <c r="DB12" s="43">
        <f>DB10/DB11</f>
        <v>7.5640380323028538</v>
      </c>
      <c r="DC12" s="69"/>
      <c r="DD12" s="43">
        <f>DD10/DD11</f>
        <v>4.9512979969141826</v>
      </c>
      <c r="DE12" s="40"/>
      <c r="DF12" s="43">
        <f>DF10/DF11</f>
        <v>7.04362755550817</v>
      </c>
      <c r="DG12" s="40"/>
      <c r="DH12" s="43">
        <f>DH10/DH11</f>
        <v>4.485933436792215</v>
      </c>
      <c r="DI12" s="69"/>
      <c r="DJ12" s="43">
        <f>DJ10/DJ11</f>
        <v>5.9749747344307957</v>
      </c>
      <c r="DK12" s="40"/>
      <c r="DL12" s="43">
        <f>DL10/DL11</f>
        <v>7.8880030948010367</v>
      </c>
      <c r="DM12" s="40"/>
      <c r="DN12" s="43">
        <f>DN10/DN11</f>
        <v>5.2940904502979187</v>
      </c>
      <c r="DO12" s="69"/>
      <c r="DP12" s="43">
        <f>DP10/DP11</f>
        <v>7.0442780176531272</v>
      </c>
      <c r="DQ12" s="40"/>
      <c r="DR12" s="43">
        <f>DR10/DR11</f>
        <v>5.5698649596632759</v>
      </c>
      <c r="DS12" s="40"/>
      <c r="DT12" s="43">
        <f>DT10/DT11</f>
        <v>5.5443553517627162</v>
      </c>
      <c r="DU12" s="69"/>
      <c r="DV12" s="43">
        <f>DV10/DV11</f>
        <v>4.9440141184020527</v>
      </c>
      <c r="DW12" s="40"/>
      <c r="DX12" s="43">
        <f>DX10/DX11</f>
        <v>5.6346264613281907</v>
      </c>
      <c r="DY12" s="40"/>
      <c r="DZ12" s="43">
        <f>DZ10/DZ11</f>
        <v>6.3919482470267592</v>
      </c>
      <c r="EA12" s="69"/>
      <c r="EB12" s="43">
        <f>EB10/EB11</f>
        <v>5.9853956864544662</v>
      </c>
      <c r="EC12" s="40"/>
      <c r="ED12" s="43">
        <f>ED10/ED11</f>
        <v>5.111522173967888</v>
      </c>
      <c r="EE12" s="40"/>
      <c r="EF12" s="43">
        <f>EF10/EF11</f>
        <v>5.1726366551790166</v>
      </c>
      <c r="EG12" s="69"/>
      <c r="EH12" s="43">
        <f>EH10/EH11</f>
        <v>6.9493845702349502</v>
      </c>
      <c r="EI12" s="40"/>
      <c r="EJ12" s="43">
        <f>EJ10/EJ11</f>
        <v>7.4693938663129549</v>
      </c>
      <c r="EK12" s="40"/>
      <c r="EL12" s="43">
        <f>EL10/EL11</f>
        <v>8.2733731642607946</v>
      </c>
      <c r="EM12" s="69"/>
      <c r="EN12" s="43">
        <f>EN10/EN11</f>
        <v>7.8043580912773187</v>
      </c>
      <c r="EO12" s="40"/>
      <c r="EP12" s="43">
        <f>EP10/EP11</f>
        <v>6.3317377786365476</v>
      </c>
      <c r="EQ12" s="40"/>
      <c r="ER12" s="43">
        <f>ER10/ER11</f>
        <v>4.9295405238557199</v>
      </c>
      <c r="ES12" s="69"/>
      <c r="ET12" s="43">
        <f>ET10/ET11</f>
        <v>6.1018932131293253</v>
      </c>
      <c r="EU12" s="40"/>
      <c r="EV12" s="43">
        <f>EV10/EV11</f>
        <v>5.7255594311778903</v>
      </c>
      <c r="EW12" s="40"/>
      <c r="EX12" s="43">
        <f>EX10/EX11</f>
        <v>7.3362367186907678</v>
      </c>
      <c r="EY12" s="69"/>
      <c r="EZ12" s="43">
        <f>EZ10/EZ11</f>
        <v>6.771270061923417</v>
      </c>
      <c r="FA12" s="40"/>
      <c r="FB12" s="43">
        <f>FB10/FB11</f>
        <v>6.3310539027457793</v>
      </c>
      <c r="FC12" s="40"/>
      <c r="FD12" s="43">
        <f>FD10/FD11</f>
        <v>6.3928585481015148</v>
      </c>
      <c r="FE12" s="69"/>
      <c r="FF12" s="43">
        <f>FF10/FF11</f>
        <v>8.0882195569864184</v>
      </c>
      <c r="FG12" s="40"/>
      <c r="FH12" s="43">
        <f>FH10/FH11</f>
        <v>8.3747560200160365</v>
      </c>
      <c r="FI12" s="40"/>
      <c r="FJ12" s="43">
        <f>FJ10/FJ11</f>
        <v>10.203607310633336</v>
      </c>
      <c r="FK12" s="69"/>
      <c r="FL12" s="43">
        <f>FL10/FL11</f>
        <v>6.8170791263735202</v>
      </c>
      <c r="FM12" s="40"/>
      <c r="FN12" s="43">
        <f>FN10/FN11</f>
        <v>6.425258337422127</v>
      </c>
      <c r="FO12" s="40"/>
      <c r="FP12" s="43">
        <f>FP10/FP11</f>
        <v>6.9322154905139808</v>
      </c>
      <c r="FQ12" s="69"/>
      <c r="FR12" s="43">
        <f>FR10/FR11</f>
        <v>6.0078203459177981</v>
      </c>
      <c r="FS12" s="40"/>
      <c r="FT12" s="43">
        <f>FT10/FT11</f>
        <v>7.3075689318280501</v>
      </c>
      <c r="FU12" s="40"/>
      <c r="FV12" s="43">
        <f>FV10/FV11</f>
        <v>8.1051766479441731</v>
      </c>
      <c r="FW12" s="69"/>
      <c r="FX12" s="43">
        <f>FX10/FX11</f>
        <v>7.1879561839041779</v>
      </c>
      <c r="FY12" s="40"/>
      <c r="FZ12" s="43">
        <f>FZ10/FZ11</f>
        <v>6.1801825395786132</v>
      </c>
      <c r="GA12" s="40"/>
      <c r="GB12" s="43">
        <f>GB10/GB11</f>
        <v>5.2075377870278752</v>
      </c>
      <c r="GC12" s="69"/>
      <c r="GD12" s="43">
        <f>GD10/GD11</f>
        <v>6.9996612679822814</v>
      </c>
      <c r="GE12" s="40"/>
      <c r="GF12" s="43">
        <f>GF10/GF11</f>
        <v>6.2618679684002254</v>
      </c>
      <c r="GG12" s="40"/>
      <c r="GH12" s="43">
        <f>GH10/GH11</f>
        <v>8.0876361111581527</v>
      </c>
      <c r="GI12" s="69"/>
      <c r="GJ12" s="43">
        <f>GJ10/GJ11</f>
        <v>6.2896644818324772</v>
      </c>
      <c r="GK12" s="40"/>
      <c r="GL12" s="43">
        <f>GL10/GL11</f>
        <v>7.09164941775032</v>
      </c>
      <c r="GM12" s="40"/>
      <c r="GN12" s="43">
        <f>GN10/GN11</f>
        <v>8.4991200361010826</v>
      </c>
      <c r="GO12" s="69"/>
      <c r="GP12" s="43">
        <f>GP10/GP11</f>
        <v>7.7658964724765625</v>
      </c>
      <c r="GQ12" s="40"/>
      <c r="GR12" s="43">
        <f>GR10/GR11</f>
        <v>10.689428585556756</v>
      </c>
      <c r="GS12" s="40"/>
      <c r="GT12" s="43">
        <f>GT10/GT11</f>
        <v>10.225759363138085</v>
      </c>
      <c r="GU12" s="69"/>
      <c r="GV12" s="43">
        <f>GV10/GV11</f>
        <v>8.1946207036978667</v>
      </c>
      <c r="GW12" s="40"/>
      <c r="GX12" s="43">
        <f>GX10/GX11</f>
        <v>7.980186516900333</v>
      </c>
      <c r="GY12" s="40"/>
      <c r="GZ12" s="43">
        <f>GZ10/GZ11</f>
        <v>7.8279791655541384</v>
      </c>
      <c r="HA12" s="69"/>
      <c r="HB12" s="43">
        <f>HB10/HB11</f>
        <v>6.672629970310954</v>
      </c>
      <c r="HC12" s="40"/>
      <c r="HD12" s="43">
        <f>HD10/HD11</f>
        <v>7.3765734072852647</v>
      </c>
      <c r="HE12" s="40"/>
      <c r="HF12" s="43">
        <f>HF10/HF11</f>
        <v>7.5281713388299947</v>
      </c>
      <c r="HG12" s="69"/>
      <c r="HH12" s="43">
        <f>HH10/HH11</f>
        <v>6.7367142438177137</v>
      </c>
      <c r="HI12" s="40"/>
      <c r="HJ12" s="43">
        <f>HJ10/HJ11</f>
        <v>7.1969016437026569</v>
      </c>
      <c r="HK12" s="40"/>
      <c r="HL12" s="43">
        <f>HL10/HL11</f>
        <v>8.4166684021457208</v>
      </c>
      <c r="HM12" s="69"/>
      <c r="HN12" s="43">
        <f>HN10/HN11</f>
        <v>7.4336600822372088</v>
      </c>
      <c r="HO12" s="40"/>
      <c r="HP12" s="43">
        <f>HP10/HP11</f>
        <v>8.2524875903024366</v>
      </c>
      <c r="HQ12" s="40"/>
      <c r="HR12" s="43">
        <f>HR10/HR11</f>
        <v>8.3023398069921175</v>
      </c>
      <c r="HS12" s="69"/>
      <c r="HT12" s="43">
        <f>HT10/HT11</f>
        <v>8.1737284842320026</v>
      </c>
      <c r="HU12" s="40"/>
      <c r="HV12" s="43">
        <f>HV10/HV11</f>
        <v>7.3220841656439024</v>
      </c>
      <c r="HW12" s="40"/>
      <c r="HX12" s="43">
        <f>HX10/HX11</f>
        <v>6.8421644677984448</v>
      </c>
      <c r="HY12" s="69"/>
      <c r="HZ12" s="43">
        <f>HZ10/HZ11</f>
        <v>6.3825553635728127</v>
      </c>
      <c r="IA12" s="40"/>
      <c r="IB12" s="43" t="e">
        <f>IB10/IB11</f>
        <v>#DIV/0!</v>
      </c>
      <c r="IC12" s="40"/>
      <c r="ID12" s="43" t="e">
        <f>ID10/ID11</f>
        <v>#DIV/0!</v>
      </c>
      <c r="IE12" s="69"/>
      <c r="IF12" s="43" t="e">
        <f>IF10/IF11</f>
        <v>#DIV/0!</v>
      </c>
      <c r="IG12" s="40"/>
      <c r="IH12" s="43" t="e">
        <f>IH10/IH11</f>
        <v>#DIV/0!</v>
      </c>
      <c r="II12" s="40"/>
      <c r="IJ12" s="43" t="e">
        <f>IJ10/IJ11</f>
        <v>#DIV/0!</v>
      </c>
      <c r="IK12" s="69"/>
    </row>
    <row r="13" spans="1:245" x14ac:dyDescent="0.35">
      <c r="A13" s="127" t="s">
        <v>153</v>
      </c>
      <c r="F13" s="44">
        <v>6.9481000000000002</v>
      </c>
      <c r="G13" s="24"/>
      <c r="H13" s="44">
        <v>6.9481000000000002</v>
      </c>
      <c r="I13" s="24"/>
      <c r="J13" s="44">
        <v>6.9481000000000002</v>
      </c>
      <c r="K13" s="72"/>
      <c r="L13" s="44">
        <v>6.9481000000000002</v>
      </c>
      <c r="N13" s="44">
        <v>7.3955000000000002</v>
      </c>
      <c r="P13" s="44">
        <v>7.3955000000000002</v>
      </c>
      <c r="Q13" s="72"/>
      <c r="R13" s="44">
        <v>7.3955000000000002</v>
      </c>
      <c r="T13" s="44">
        <v>7.3955000000000002</v>
      </c>
      <c r="V13" s="44">
        <v>7.3955000000000002</v>
      </c>
      <c r="W13" s="69"/>
      <c r="X13" s="44">
        <v>7.7431000000000001</v>
      </c>
      <c r="Z13" s="44">
        <v>7.7431000000000001</v>
      </c>
      <c r="AB13" s="44">
        <v>7.7431000000000001</v>
      </c>
      <c r="AC13" s="69"/>
      <c r="AD13" s="44">
        <v>7.7431000000000001</v>
      </c>
      <c r="AF13" s="44">
        <v>7.7431000000000001</v>
      </c>
      <c r="AH13" s="44">
        <v>7.7431000000000001</v>
      </c>
      <c r="AI13" s="69"/>
      <c r="AJ13" s="176">
        <v>7.7431000000000001</v>
      </c>
      <c r="AK13" s="175"/>
      <c r="AL13" s="176">
        <v>7.7431000000000001</v>
      </c>
      <c r="AM13" s="175"/>
      <c r="AN13" s="176">
        <v>8.1425999999999998</v>
      </c>
      <c r="AO13" s="69"/>
      <c r="AP13" s="176">
        <v>4.9969000000000001</v>
      </c>
      <c r="AR13" s="176">
        <v>4.9969000000000001</v>
      </c>
      <c r="AT13" s="176">
        <v>4.9969000000000001</v>
      </c>
      <c r="AU13" s="69"/>
      <c r="AV13" s="176">
        <v>5.1054000000000004</v>
      </c>
      <c r="AX13" s="176">
        <v>5.1054000000000004</v>
      </c>
      <c r="AZ13" s="176">
        <v>5.1054000000000004</v>
      </c>
      <c r="BA13" s="69"/>
      <c r="BB13" s="176">
        <v>5.1051000000000002</v>
      </c>
      <c r="BD13" s="176">
        <v>5.1051000000000002</v>
      </c>
      <c r="BF13" s="176">
        <v>5.1051000000000002</v>
      </c>
      <c r="BG13" s="69"/>
      <c r="BH13" s="176">
        <v>5.0707000000000004</v>
      </c>
      <c r="BJ13" s="176">
        <v>5.0707000000000004</v>
      </c>
      <c r="BL13" s="176">
        <v>5.0707000000000004</v>
      </c>
      <c r="BM13" s="69"/>
      <c r="BN13" s="176">
        <v>5.8171999999999997</v>
      </c>
      <c r="BP13" s="176">
        <v>5.8171999999999997</v>
      </c>
      <c r="BR13" s="176">
        <v>5.8171999999999997</v>
      </c>
      <c r="BS13" s="69"/>
      <c r="BT13" s="176">
        <v>5.6890000000000001</v>
      </c>
      <c r="BV13" s="176">
        <v>5.6890000000000001</v>
      </c>
      <c r="BX13" s="176">
        <v>5.6890000000000001</v>
      </c>
      <c r="BY13" s="69"/>
      <c r="BZ13" s="176">
        <v>6.1924999999999999</v>
      </c>
      <c r="CB13" s="176">
        <v>6.1924999999999999</v>
      </c>
      <c r="CD13" s="176">
        <v>6.1924999999999999</v>
      </c>
      <c r="CE13" s="69"/>
      <c r="CF13" s="176">
        <v>6.1997999999999998</v>
      </c>
      <c r="CH13" s="176">
        <v>6.1997999999999998</v>
      </c>
      <c r="CJ13" s="176">
        <v>6.1997999999999998</v>
      </c>
      <c r="CK13" s="69"/>
      <c r="CL13" s="176">
        <v>7.1894</v>
      </c>
      <c r="CN13" s="176">
        <v>7.1894</v>
      </c>
      <c r="CP13" s="176">
        <v>7.1894</v>
      </c>
      <c r="CQ13" s="69"/>
      <c r="CR13" s="176">
        <v>7.7015000000000002</v>
      </c>
      <c r="CT13" s="176">
        <v>7.7015000000000002</v>
      </c>
      <c r="CV13" s="176">
        <v>7.7015000000000002</v>
      </c>
      <c r="CW13" s="69"/>
      <c r="CX13" s="176">
        <v>8.2132000000000005</v>
      </c>
      <c r="CZ13" s="176">
        <v>8.2132000000000005</v>
      </c>
      <c r="DB13" s="176">
        <v>8.2132000000000005</v>
      </c>
      <c r="DC13" s="69"/>
      <c r="DD13" s="176">
        <v>7.2031000000000001</v>
      </c>
      <c r="DF13" s="176">
        <v>7.2031000000000001</v>
      </c>
      <c r="DH13" s="176">
        <v>7.2031000000000001</v>
      </c>
      <c r="DI13" s="69"/>
      <c r="DJ13" s="176">
        <v>7.1909999999999998</v>
      </c>
      <c r="DL13" s="176">
        <v>7.1909999999999998</v>
      </c>
      <c r="DN13" s="176">
        <v>7.1909999999999998</v>
      </c>
      <c r="DO13" s="69"/>
      <c r="DP13" s="176">
        <v>6.0007000000000001</v>
      </c>
      <c r="DR13" s="176">
        <v>6.0007000000000001</v>
      </c>
      <c r="DT13" s="176">
        <v>6.0007000000000001</v>
      </c>
      <c r="DU13" s="69"/>
      <c r="DV13" s="176">
        <v>6.4382000000000001</v>
      </c>
      <c r="DX13" s="176">
        <v>6.4382000000000001</v>
      </c>
      <c r="DZ13" s="176">
        <v>6.4382000000000001</v>
      </c>
      <c r="EA13" s="69"/>
      <c r="EB13" s="176">
        <v>5.9337999999999997</v>
      </c>
      <c r="ED13" s="176">
        <v>5.9337999999999997</v>
      </c>
      <c r="EF13" s="176">
        <v>5.9337999999999997</v>
      </c>
      <c r="EG13" s="69"/>
      <c r="EH13" s="176">
        <v>5.1559999999999997</v>
      </c>
      <c r="EJ13" s="176">
        <v>5.1559999999999997</v>
      </c>
      <c r="EL13" s="176">
        <v>5.1559999999999997</v>
      </c>
      <c r="EM13" s="69"/>
      <c r="EN13" s="176">
        <v>5.8266999999999998</v>
      </c>
      <c r="EP13" s="176">
        <v>5.8266999999999998</v>
      </c>
      <c r="ER13" s="176">
        <v>5.8266999999999998</v>
      </c>
      <c r="ES13" s="69"/>
      <c r="ET13" s="176">
        <v>6.2869999999999999</v>
      </c>
      <c r="EV13" s="176">
        <v>6.2869999999999999</v>
      </c>
      <c r="EX13" s="176">
        <v>6.2869999999999999</v>
      </c>
      <c r="EY13" s="69"/>
      <c r="EZ13" s="176">
        <v>6.4717000000000002</v>
      </c>
      <c r="FB13" s="176">
        <v>6.4717000000000002</v>
      </c>
      <c r="FD13" s="176">
        <v>6.4717000000000002</v>
      </c>
      <c r="FE13" s="69"/>
      <c r="FF13" s="176">
        <v>6.7502000000000004</v>
      </c>
      <c r="FH13" s="176">
        <v>6.7502000000000004</v>
      </c>
      <c r="FJ13" s="176">
        <v>6.7502000000000004</v>
      </c>
      <c r="FK13" s="69"/>
      <c r="FL13" s="176">
        <v>6.4114000000000004</v>
      </c>
      <c r="FN13" s="176">
        <v>6.4114000000000004</v>
      </c>
      <c r="FP13" s="176">
        <v>6.4114000000000004</v>
      </c>
      <c r="FQ13" s="69"/>
      <c r="FR13" s="176">
        <v>7.0568</v>
      </c>
      <c r="FT13" s="176">
        <v>7.0568</v>
      </c>
      <c r="FV13" s="176">
        <v>7.0568</v>
      </c>
      <c r="FW13" s="69"/>
      <c r="FX13" s="176">
        <v>7.4535</v>
      </c>
      <c r="FZ13" s="176">
        <v>7.4535</v>
      </c>
      <c r="GB13" s="176">
        <v>7.4535</v>
      </c>
      <c r="GC13" s="69"/>
      <c r="GD13" s="176">
        <f>7.6224-(7.7428-7.9256)</f>
        <v>7.8052000000000001</v>
      </c>
      <c r="GF13" s="176">
        <v>7.6223999999999998</v>
      </c>
      <c r="GH13" s="176">
        <v>7.6223999999999998</v>
      </c>
      <c r="GI13" s="69"/>
      <c r="GJ13" s="176">
        <v>6.6455000000000002</v>
      </c>
      <c r="GL13" s="176">
        <v>6.6455000000000002</v>
      </c>
      <c r="GN13" s="176">
        <v>6.6455000000000002</v>
      </c>
      <c r="GO13" s="69"/>
      <c r="GP13" s="176">
        <f>6.863-(6.4673-6.4672)</f>
        <v>6.8629000000000007</v>
      </c>
      <c r="GR13" s="176">
        <v>6.8630000000000004</v>
      </c>
      <c r="GT13" s="176">
        <v>6.8630000000000004</v>
      </c>
      <c r="GU13" s="69"/>
      <c r="GV13" s="176">
        <v>6.8250000000000002</v>
      </c>
      <c r="GW13" s="175"/>
      <c r="GX13" s="176">
        <v>6.8250000000000002</v>
      </c>
      <c r="GY13" s="175"/>
      <c r="GZ13" s="176">
        <v>6.8250000000000002</v>
      </c>
      <c r="HA13" s="69"/>
      <c r="HB13" s="176">
        <v>7.7325999999999997</v>
      </c>
      <c r="HD13" s="176">
        <v>7.7325999999999997</v>
      </c>
      <c r="HF13" s="176">
        <v>7.7325999999999997</v>
      </c>
      <c r="HG13" s="69"/>
      <c r="HH13" s="265">
        <v>7.7163000000000004</v>
      </c>
      <c r="HJ13" s="265">
        <f>7.7163+(8.9337-8.938)</f>
        <v>7.7119999999999997</v>
      </c>
      <c r="HL13" s="265">
        <v>7.7163000000000004</v>
      </c>
      <c r="HM13" s="69"/>
      <c r="HN13" s="176">
        <v>6</v>
      </c>
      <c r="HP13" s="176">
        <v>6</v>
      </c>
      <c r="HR13" s="176">
        <v>6</v>
      </c>
      <c r="HS13" s="69"/>
      <c r="HT13" s="176">
        <v>6</v>
      </c>
      <c r="HV13" s="176">
        <v>6</v>
      </c>
      <c r="HX13" s="176">
        <v>6</v>
      </c>
      <c r="HY13" s="69"/>
      <c r="HZ13" s="176">
        <v>6</v>
      </c>
      <c r="IB13" s="176">
        <v>6.3006000000000002</v>
      </c>
      <c r="ID13" s="176">
        <v>6.3006000000000002</v>
      </c>
      <c r="IE13" s="69"/>
      <c r="IF13" s="176">
        <v>6.3006000000000002</v>
      </c>
      <c r="IH13" s="176">
        <v>6.4009</v>
      </c>
      <c r="IJ13" s="176"/>
      <c r="IK13" s="69"/>
    </row>
    <row r="14" spans="1:245" s="51" customFormat="1" x14ac:dyDescent="0.35">
      <c r="A14" s="221"/>
      <c r="C14" s="51" t="s">
        <v>171</v>
      </c>
      <c r="F14" s="144"/>
      <c r="G14" s="53"/>
      <c r="H14" s="144"/>
      <c r="I14" s="53"/>
      <c r="J14" s="144"/>
      <c r="K14" s="53"/>
      <c r="L14" s="144"/>
      <c r="N14" s="144"/>
      <c r="P14" s="144"/>
      <c r="Q14" s="53"/>
      <c r="R14" s="144"/>
      <c r="T14" s="144"/>
      <c r="V14" s="144"/>
      <c r="X14" s="144"/>
      <c r="Z14" s="144"/>
      <c r="AB14" s="144"/>
      <c r="AD14" s="144"/>
      <c r="AF14" s="144"/>
      <c r="AH14" s="144"/>
      <c r="AJ14" s="144"/>
      <c r="AL14" s="144"/>
      <c r="AN14" s="144"/>
      <c r="AP14" s="144"/>
      <c r="AR14" s="144"/>
      <c r="AT14" s="144"/>
      <c r="AV14" s="144"/>
      <c r="AX14" s="144"/>
      <c r="AZ14" s="144"/>
      <c r="BB14" s="144"/>
      <c r="BD14" s="144"/>
      <c r="BF14" s="144"/>
      <c r="BH14" s="144"/>
      <c r="BJ14" s="144"/>
      <c r="BL14" s="144"/>
      <c r="BN14" s="144"/>
      <c r="BP14" s="144"/>
      <c r="BR14" s="144"/>
      <c r="BT14" s="144"/>
      <c r="BV14" s="144"/>
      <c r="BX14" s="144"/>
      <c r="BZ14" s="144"/>
      <c r="CB14" s="144"/>
      <c r="CD14" s="144"/>
      <c r="CF14" s="144"/>
      <c r="CH14" s="144"/>
      <c r="CJ14" s="144"/>
      <c r="CL14" s="144"/>
      <c r="CN14" s="144"/>
      <c r="CP14" s="144"/>
      <c r="CR14" s="144"/>
      <c r="CT14" s="144"/>
      <c r="CV14" s="144"/>
      <c r="CX14" s="144"/>
      <c r="CZ14" s="144"/>
      <c r="DB14" s="144"/>
      <c r="DD14" s="144"/>
      <c r="DF14" s="144"/>
      <c r="DH14" s="144"/>
      <c r="DJ14" s="144"/>
      <c r="DL14" s="144"/>
      <c r="DN14" s="144"/>
      <c r="DP14" s="144"/>
      <c r="DR14" s="144"/>
      <c r="DT14" s="144"/>
      <c r="DV14" s="144"/>
      <c r="DX14" s="144"/>
      <c r="DZ14" s="144"/>
      <c r="EB14" s="144"/>
      <c r="ED14" s="144"/>
      <c r="EF14" s="144"/>
      <c r="EH14" s="144"/>
      <c r="EJ14" s="144"/>
      <c r="EL14" s="144"/>
      <c r="EN14" s="144"/>
      <c r="EP14" s="144"/>
      <c r="ER14" s="144"/>
      <c r="ET14" s="144"/>
      <c r="EV14" s="144"/>
      <c r="EX14" s="144"/>
      <c r="EZ14" s="144"/>
      <c r="FB14" s="144"/>
      <c r="FD14" s="144"/>
      <c r="FF14" s="144"/>
      <c r="FH14" s="144"/>
      <c r="FJ14" s="144"/>
      <c r="FL14" s="144"/>
      <c r="FN14" s="144"/>
      <c r="FP14" s="144"/>
      <c r="FR14" s="144"/>
      <c r="FT14" s="144"/>
      <c r="FV14" s="144"/>
      <c r="FX14" s="144"/>
      <c r="FZ14" s="144"/>
      <c r="GB14" s="144"/>
      <c r="GD14" s="144"/>
      <c r="GF14" s="144"/>
      <c r="GH14" s="144"/>
      <c r="GJ14" s="144"/>
      <c r="GL14" s="144"/>
      <c r="GN14" s="144"/>
      <c r="GP14" s="144"/>
      <c r="GR14" s="144"/>
      <c r="GT14" s="144"/>
      <c r="GV14" s="144"/>
      <c r="GX14" s="144"/>
      <c r="GZ14" s="144"/>
      <c r="HB14" s="144"/>
      <c r="HD14" s="144"/>
      <c r="HF14" s="144"/>
      <c r="HH14" s="144">
        <f>7.4356-(8.9381-7.7163)</f>
        <v>6.2138</v>
      </c>
      <c r="HJ14" s="144">
        <f>7.4356-(8.9381-7.7163)</f>
        <v>6.2138</v>
      </c>
      <c r="HL14" s="144">
        <f>7.4356-(8.9381-7.7163)</f>
        <v>6.2138</v>
      </c>
      <c r="HN14" s="144"/>
      <c r="HP14" s="144"/>
      <c r="HR14" s="144"/>
      <c r="HT14" s="144"/>
      <c r="HV14" s="144"/>
      <c r="HX14" s="144"/>
      <c r="HZ14" s="144"/>
      <c r="IB14" s="144"/>
      <c r="ID14" s="144"/>
      <c r="IF14" s="144"/>
      <c r="IH14" s="144"/>
      <c r="IJ14" s="144"/>
    </row>
    <row r="15" spans="1:245" s="51" customFormat="1" x14ac:dyDescent="0.35">
      <c r="A15" s="221"/>
      <c r="C15" s="51" t="s">
        <v>172</v>
      </c>
      <c r="F15" s="144"/>
      <c r="G15" s="53"/>
      <c r="H15" s="144"/>
      <c r="I15" s="53"/>
      <c r="J15" s="144"/>
      <c r="K15" s="53"/>
      <c r="L15" s="144"/>
      <c r="N15" s="144"/>
      <c r="P15" s="144"/>
      <c r="Q15" s="53"/>
      <c r="R15" s="144"/>
      <c r="T15" s="144"/>
      <c r="V15" s="144"/>
      <c r="X15" s="144"/>
      <c r="Z15" s="144"/>
      <c r="AB15" s="144"/>
      <c r="AD15" s="144"/>
      <c r="AF15" s="144"/>
      <c r="AH15" s="144"/>
      <c r="AJ15" s="144"/>
      <c r="AL15" s="144"/>
      <c r="AN15" s="144"/>
      <c r="AP15" s="144"/>
      <c r="AR15" s="144"/>
      <c r="AT15" s="144"/>
      <c r="AV15" s="144"/>
      <c r="AX15" s="144"/>
      <c r="AZ15" s="144"/>
      <c r="BB15" s="144"/>
      <c r="BD15" s="144"/>
      <c r="BF15" s="144"/>
      <c r="BH15" s="144"/>
      <c r="BJ15" s="144"/>
      <c r="BL15" s="144"/>
      <c r="BN15" s="144"/>
      <c r="BP15" s="144"/>
      <c r="BR15" s="144"/>
      <c r="BT15" s="144"/>
      <c r="BV15" s="144"/>
      <c r="BX15" s="144"/>
      <c r="BZ15" s="144"/>
      <c r="CB15" s="144"/>
      <c r="CD15" s="144"/>
      <c r="CF15" s="144"/>
      <c r="CH15" s="144"/>
      <c r="CJ15" s="144"/>
      <c r="CL15" s="144"/>
      <c r="CN15" s="144"/>
      <c r="CP15" s="144"/>
      <c r="CR15" s="144"/>
      <c r="CT15" s="144"/>
      <c r="CV15" s="144"/>
      <c r="CX15" s="144"/>
      <c r="CZ15" s="144"/>
      <c r="DB15" s="144"/>
      <c r="DD15" s="144"/>
      <c r="DF15" s="144"/>
      <c r="DH15" s="144"/>
      <c r="DJ15" s="144"/>
      <c r="DL15" s="144"/>
      <c r="DN15" s="144"/>
      <c r="DP15" s="144"/>
      <c r="DR15" s="144"/>
      <c r="DT15" s="144"/>
      <c r="DV15" s="144"/>
      <c r="DX15" s="144"/>
      <c r="DZ15" s="144"/>
      <c r="EB15" s="144"/>
      <c r="ED15" s="144"/>
      <c r="EF15" s="144"/>
      <c r="EH15" s="144"/>
      <c r="EJ15" s="144"/>
      <c r="EL15" s="144"/>
      <c r="EN15" s="144"/>
      <c r="EP15" s="144"/>
      <c r="ER15" s="144"/>
      <c r="ET15" s="144"/>
      <c r="EV15" s="144"/>
      <c r="EX15" s="144"/>
      <c r="EZ15" s="144"/>
      <c r="FB15" s="144"/>
      <c r="FD15" s="144"/>
      <c r="FF15" s="144"/>
      <c r="FH15" s="144"/>
      <c r="FJ15" s="144"/>
      <c r="FL15" s="144"/>
      <c r="FN15" s="144"/>
      <c r="FP15" s="144"/>
      <c r="FR15" s="144"/>
      <c r="FT15" s="144"/>
      <c r="FV15" s="144"/>
      <c r="FX15" s="144"/>
      <c r="FZ15" s="144"/>
      <c r="GB15" s="144"/>
      <c r="GD15" s="144"/>
      <c r="GF15" s="144"/>
      <c r="GH15" s="144"/>
      <c r="GJ15" s="144"/>
      <c r="GL15" s="144"/>
      <c r="GN15" s="144"/>
      <c r="GP15" s="144"/>
      <c r="GR15" s="144"/>
      <c r="GT15" s="144"/>
      <c r="GV15" s="144"/>
      <c r="GX15" s="144"/>
      <c r="GZ15" s="144"/>
      <c r="HB15" s="144"/>
      <c r="HD15" s="144"/>
      <c r="HH15" s="266">
        <f>(HH14-HH13)*HH11</f>
        <v>-10404.812500000002</v>
      </c>
      <c r="HJ15" s="266">
        <f>(HJ14-HJ13)*HJ11</f>
        <v>-6935.1677999999993</v>
      </c>
      <c r="HL15" s="266">
        <f>(HL14-HL13)*HL11</f>
        <v>-8519.1750000000029</v>
      </c>
      <c r="HP15" s="144"/>
      <c r="HR15" s="144"/>
      <c r="HT15" s="144"/>
      <c r="HV15" s="144"/>
      <c r="HX15" s="144"/>
      <c r="HZ15" s="144"/>
      <c r="IB15" s="144"/>
      <c r="ID15" s="144"/>
      <c r="IF15" s="144"/>
      <c r="IH15" s="144"/>
      <c r="IJ15" s="144"/>
    </row>
    <row r="16" spans="1:245" x14ac:dyDescent="0.35">
      <c r="B16" s="7" t="s">
        <v>40</v>
      </c>
      <c r="F16" s="33">
        <f>F12-F13</f>
        <v>5.3243047508689578E-2</v>
      </c>
      <c r="G16" s="24"/>
      <c r="H16" s="33">
        <f>H12-H13</f>
        <v>-0.41682408339324173</v>
      </c>
      <c r="I16" s="24"/>
      <c r="J16" s="33">
        <f>J12-J13</f>
        <v>-0.59497663230240594</v>
      </c>
      <c r="K16" s="72"/>
      <c r="L16" s="33">
        <f>L12-L13</f>
        <v>-0.45419149367878919</v>
      </c>
      <c r="N16" s="33">
        <f>N12-N13</f>
        <v>0.52850885463886321</v>
      </c>
      <c r="P16" s="33">
        <f>P12-P13</f>
        <v>2.7818918050348156</v>
      </c>
      <c r="Q16" s="72"/>
      <c r="R16" s="33">
        <f>R12-R13</f>
        <v>3.5931178456591635</v>
      </c>
      <c r="T16" s="33">
        <f>T12-T13</f>
        <v>4.9228399432279009</v>
      </c>
      <c r="V16" s="33">
        <f>V12-V13</f>
        <v>9.1548759791122709</v>
      </c>
      <c r="W16" s="69"/>
      <c r="X16" s="33">
        <f>X12-X13</f>
        <v>6.1336007861635231</v>
      </c>
      <c r="Z16" s="33">
        <f>Z12-Z13</f>
        <v>6.2240449366414641</v>
      </c>
      <c r="AB16" s="33">
        <f>AB12-AB13</f>
        <v>2.724340880785995</v>
      </c>
      <c r="AC16" s="69"/>
      <c r="AD16" s="33">
        <f>AD12-AD13</f>
        <v>-2.7725240516049761</v>
      </c>
      <c r="AF16" s="33">
        <f>AF12-AF13</f>
        <v>-2.2357294642857148</v>
      </c>
      <c r="AH16" s="33">
        <f>AH12-AH13</f>
        <v>-3.6778375367179921</v>
      </c>
      <c r="AI16" s="69"/>
      <c r="AJ16" s="33">
        <f>AJ12-AJ13</f>
        <v>-2.7053891317797492</v>
      </c>
      <c r="AL16" s="33">
        <f>AL12-AL13</f>
        <v>-3.0226114398761394</v>
      </c>
      <c r="AN16" s="33">
        <f>AN12-AN13</f>
        <v>-5.1785373818346816</v>
      </c>
      <c r="AO16" s="69"/>
      <c r="AP16" s="33">
        <f>AP12-AP13</f>
        <v>4.9719952006408867</v>
      </c>
      <c r="AR16" s="33">
        <f>AR12-AR13</f>
        <v>8.8476217205221488</v>
      </c>
      <c r="AT16" s="33">
        <f>AT12-AT13</f>
        <v>6.6551858055682338</v>
      </c>
      <c r="AU16" s="69"/>
      <c r="AV16" s="33">
        <f>AV12-AV13</f>
        <v>-12.836871822462697</v>
      </c>
      <c r="AX16" s="33">
        <f>AX12-AX13</f>
        <v>1.125205550137423</v>
      </c>
      <c r="AZ16" s="33">
        <f>AZ12-AZ13</f>
        <v>0.85258550362409302</v>
      </c>
      <c r="BA16" s="69"/>
      <c r="BB16" s="33">
        <f>BB12-BB13</f>
        <v>-0.37463092749907645</v>
      </c>
      <c r="BD16" s="33">
        <f>BD12-BD13</f>
        <v>1.102984217293475</v>
      </c>
      <c r="BF16" s="33">
        <f>BF12-BF13</f>
        <v>-0.15149384976349989</v>
      </c>
      <c r="BG16" s="69"/>
      <c r="BH16" s="33">
        <f>BH12-BH13</f>
        <v>0.67706675358098245</v>
      </c>
      <c r="BJ16" s="33">
        <f>BJ12-BJ13</f>
        <v>0.50084525878072306</v>
      </c>
      <c r="BL16" s="33">
        <f>BL12-BL13</f>
        <v>2.03261079708673</v>
      </c>
      <c r="BM16" s="69"/>
      <c r="BN16" s="33">
        <f>BN12-BN13</f>
        <v>3.1102628692217831</v>
      </c>
      <c r="BP16" s="33">
        <f>BP12-BP13</f>
        <v>3.3143362865221491</v>
      </c>
      <c r="BR16" s="33">
        <f>BR12-BR13</f>
        <v>1.5884188225182632</v>
      </c>
      <c r="BS16" s="69"/>
      <c r="BT16" s="33">
        <f>BT12-BT13</f>
        <v>1.4539275888917711</v>
      </c>
      <c r="BV16" s="33">
        <f>BV12-BV13</f>
        <v>1.5158735087570845</v>
      </c>
      <c r="BX16" s="33">
        <f>BX12-BX13</f>
        <v>1.0583135939186334</v>
      </c>
      <c r="BY16" s="69"/>
      <c r="BZ16" s="33">
        <f>BZ12-BZ13</f>
        <v>2.8312956117338439</v>
      </c>
      <c r="CB16" s="33">
        <f>CB12-CB13</f>
        <v>4.1351889409656399</v>
      </c>
      <c r="CD16" s="33">
        <f>CD12-CD13</f>
        <v>3.0636681448939003</v>
      </c>
      <c r="CE16" s="69"/>
      <c r="CF16" s="33">
        <f>CF12-CF13</f>
        <v>5.345067278655895</v>
      </c>
      <c r="CH16" s="33">
        <f>CH12-CH13</f>
        <v>4.7490031298797142</v>
      </c>
      <c r="CJ16" s="33">
        <f>CJ12-CJ13</f>
        <v>9.5257805326804679</v>
      </c>
      <c r="CK16" s="69"/>
      <c r="CL16" s="33">
        <f>CL12-CL13</f>
        <v>11.040826395093511</v>
      </c>
      <c r="CN16" s="33">
        <f>CN12-CN13</f>
        <v>10.819673900841909</v>
      </c>
      <c r="CP16" s="33">
        <f>CP12-CP13</f>
        <v>3.0448898501362391</v>
      </c>
      <c r="CQ16" s="69"/>
      <c r="CR16" s="33">
        <f>CR12-CR13</f>
        <v>1.2101684523229759</v>
      </c>
      <c r="CT16" s="33">
        <f>CT12-CT13</f>
        <v>1.5692337112809129</v>
      </c>
      <c r="CV16" s="33">
        <f>CV12-CV13</f>
        <v>1.0601157028963568</v>
      </c>
      <c r="CW16" s="69"/>
      <c r="CX16" s="33">
        <f>CX12-CX13</f>
        <v>-1.6724525695609183</v>
      </c>
      <c r="CZ16" s="33">
        <f>CZ12-CZ13</f>
        <v>-0.24286617439426195</v>
      </c>
      <c r="DB16" s="33">
        <f>DB12-DB13</f>
        <v>-0.64916196769714674</v>
      </c>
      <c r="DC16" s="69"/>
      <c r="DD16" s="33">
        <f>DD12-DD13</f>
        <v>-2.2518020030858175</v>
      </c>
      <c r="DF16" s="33">
        <f>DF12-DF13</f>
        <v>-0.15947244449183007</v>
      </c>
      <c r="DH16" s="33">
        <f>DH12-DH13</f>
        <v>-2.717166563207785</v>
      </c>
      <c r="DI16" s="69"/>
      <c r="DJ16" s="33">
        <f>DJ12-DJ13</f>
        <v>-1.2160252655692041</v>
      </c>
      <c r="DL16" s="33">
        <f>DL12-DL13</f>
        <v>0.69700309480103684</v>
      </c>
      <c r="DN16" s="33">
        <f>DN12-DN13</f>
        <v>-1.8969095497020811</v>
      </c>
      <c r="DO16" s="69"/>
      <c r="DP16" s="33">
        <f>DP12-DP13</f>
        <v>1.0435780176531271</v>
      </c>
      <c r="DR16" s="33">
        <f>DR12-DR13</f>
        <v>-0.43083504033672426</v>
      </c>
      <c r="DT16" s="33">
        <f>DT12-DT13</f>
        <v>-0.45634464823728393</v>
      </c>
      <c r="DU16" s="69"/>
      <c r="DV16" s="33">
        <f>DV12-DV13</f>
        <v>-1.4941858815979474</v>
      </c>
      <c r="DX16" s="33">
        <f>DX12-DX13</f>
        <v>-0.80357353867180947</v>
      </c>
      <c r="DZ16" s="33">
        <f>DZ12-DZ13</f>
        <v>-4.6251752973240912E-2</v>
      </c>
      <c r="EA16" s="69"/>
      <c r="EB16" s="33">
        <f>EB12-EB13</f>
        <v>5.1595686454466438E-2</v>
      </c>
      <c r="ED16" s="33">
        <f>ED12-ED13</f>
        <v>-0.82227782603211175</v>
      </c>
      <c r="EF16" s="33">
        <f>EF12-EF13</f>
        <v>-0.76116334482098313</v>
      </c>
      <c r="EG16" s="69"/>
      <c r="EH16" s="33">
        <f>EH12-EH13</f>
        <v>1.7933845702349505</v>
      </c>
      <c r="EJ16" s="33">
        <f>EJ12-EJ13</f>
        <v>2.3133938663129552</v>
      </c>
      <c r="EL16" s="33">
        <f>EL12-EL13</f>
        <v>3.1173731642607949</v>
      </c>
      <c r="EM16" s="69"/>
      <c r="EN16" s="33">
        <f>EN12-EN13</f>
        <v>1.977658091277319</v>
      </c>
      <c r="EP16" s="33">
        <f>EP12-EP13</f>
        <v>0.50503777863654786</v>
      </c>
      <c r="ER16" s="33">
        <f>ER12-ER13</f>
        <v>-0.89715947614427982</v>
      </c>
      <c r="ES16" s="69"/>
      <c r="ET16" s="33">
        <f>ET12-ET13</f>
        <v>-0.18510678687067461</v>
      </c>
      <c r="EV16" s="33">
        <f>EV12-EV13</f>
        <v>-0.56144056882210958</v>
      </c>
      <c r="EX16" s="33">
        <f>EX12-EX13</f>
        <v>1.0492367186907678</v>
      </c>
      <c r="EY16" s="69"/>
      <c r="EZ16" s="33">
        <f>EZ12-EZ13</f>
        <v>0.29957006192341673</v>
      </c>
      <c r="FB16" s="33">
        <f>FB12-FB13</f>
        <v>-0.14064609725422095</v>
      </c>
      <c r="FD16" s="33">
        <f>FD12-FD13</f>
        <v>-7.884145189848546E-2</v>
      </c>
      <c r="FE16" s="69"/>
      <c r="FF16" s="33">
        <f>FF12-FF13</f>
        <v>1.3380195569864179</v>
      </c>
      <c r="FH16" s="33">
        <f>FH12-FH13</f>
        <v>1.6245560200160361</v>
      </c>
      <c r="FJ16" s="33">
        <f>FJ12-FJ13</f>
        <v>3.4534073106333354</v>
      </c>
      <c r="FK16" s="69"/>
      <c r="FL16" s="33">
        <f>FL12-FL13</f>
        <v>0.40567912637351977</v>
      </c>
      <c r="FN16" s="33">
        <f>FN12-FN13</f>
        <v>1.385833742212661E-2</v>
      </c>
      <c r="FP16" s="33">
        <f>FP12-FP13</f>
        <v>0.52081549051398035</v>
      </c>
      <c r="FQ16" s="69"/>
      <c r="FR16" s="33">
        <f>FR12-FR13</f>
        <v>-1.0489796540822018</v>
      </c>
      <c r="FT16" s="33">
        <f>FT12-FT13</f>
        <v>0.25076893182805016</v>
      </c>
      <c r="FV16" s="33">
        <f>FV12-FV13</f>
        <v>1.0483766479441732</v>
      </c>
      <c r="FW16" s="69"/>
      <c r="FX16" s="33">
        <f>FX12-FX13</f>
        <v>-0.26554381609582212</v>
      </c>
      <c r="FZ16" s="33">
        <f>FZ12-FZ13</f>
        <v>-1.2733174604213868</v>
      </c>
      <c r="GB16" s="33">
        <f>GB12-GB13</f>
        <v>-2.2459622129721248</v>
      </c>
      <c r="GC16" s="69"/>
      <c r="GD16" s="33">
        <f>GD12-GD13</f>
        <v>-0.80553873201771875</v>
      </c>
      <c r="GF16" s="33">
        <f>GF12-GF13</f>
        <v>-1.3605320315997744</v>
      </c>
      <c r="GH16" s="33">
        <f>GH12-GH13</f>
        <v>0.46523611115815289</v>
      </c>
      <c r="GI16" s="69"/>
      <c r="GJ16" s="33">
        <f>GJ12-GJ13</f>
        <v>-0.35583551816752301</v>
      </c>
      <c r="GL16" s="33">
        <f>GL12-GL13</f>
        <v>0.4461494177503198</v>
      </c>
      <c r="GN16" s="33">
        <f>GN12-GN13</f>
        <v>1.8536200361010824</v>
      </c>
      <c r="GO16" s="69"/>
      <c r="GP16" s="33">
        <f>GP12-GP13</f>
        <v>0.90299647247656178</v>
      </c>
      <c r="GR16" s="33">
        <f>GR12-GR13</f>
        <v>3.8264285855567559</v>
      </c>
      <c r="GT16" s="33">
        <f>GT12-GT13</f>
        <v>3.3627593631380845</v>
      </c>
      <c r="GU16" s="69"/>
      <c r="GV16" s="33">
        <f>GV12-GV13</f>
        <v>1.3696207036978665</v>
      </c>
      <c r="GW16" s="175"/>
      <c r="GX16" s="33">
        <f>GX12-GX13</f>
        <v>1.1551865169003328</v>
      </c>
      <c r="GY16" s="175"/>
      <c r="GZ16" s="33">
        <f>GZ12-GZ13</f>
        <v>1.0029791655541382</v>
      </c>
      <c r="HA16" s="69"/>
      <c r="HB16" s="33">
        <f>HB12-HB13</f>
        <v>-1.0599700296890457</v>
      </c>
      <c r="HD16" s="33">
        <f>HD12-HD13</f>
        <v>-0.35602659271473502</v>
      </c>
      <c r="HF16" s="33">
        <f>HF12-HF13</f>
        <v>-0.20442866117000502</v>
      </c>
      <c r="HG16" s="69"/>
      <c r="HH16" s="33">
        <f>HH12-HH14</f>
        <v>0.52291424381771368</v>
      </c>
      <c r="HJ16" s="33">
        <f>HJ12-HJ14</f>
        <v>0.98310164370265696</v>
      </c>
      <c r="HL16" s="33">
        <f>HL12-HL14</f>
        <v>2.2028684021457208</v>
      </c>
      <c r="HM16" s="69"/>
      <c r="HN16" s="33">
        <f>HN12-HN13</f>
        <v>1.4336600822372088</v>
      </c>
      <c r="HP16" s="33">
        <f>HP12-HP13</f>
        <v>2.2524875903024366</v>
      </c>
      <c r="HR16" s="33">
        <f>HR12-HR13</f>
        <v>2.3023398069921175</v>
      </c>
      <c r="HS16" s="69"/>
      <c r="HT16" s="33">
        <f>HT12-HT13</f>
        <v>2.1737284842320026</v>
      </c>
      <c r="HV16" s="33">
        <f>HV12-HV13</f>
        <v>1.3220841656439024</v>
      </c>
      <c r="HX16" s="33">
        <f>HX12-HX13</f>
        <v>0.84216446779844478</v>
      </c>
      <c r="HY16" s="69"/>
      <c r="HZ16" s="33">
        <f>HZ12-HZ13</f>
        <v>0.38255536357281272</v>
      </c>
      <c r="IB16" s="33" t="e">
        <f>IB12-IB13</f>
        <v>#DIV/0!</v>
      </c>
      <c r="ID16" s="33" t="e">
        <f>ID12-ID13</f>
        <v>#DIV/0!</v>
      </c>
      <c r="IE16" s="69"/>
      <c r="IF16" s="33" t="e">
        <f>IF12-IF13</f>
        <v>#DIV/0!</v>
      </c>
      <c r="IH16" s="33" t="e">
        <f>IH12-IH13</f>
        <v>#DIV/0!</v>
      </c>
      <c r="IJ16" s="33" t="e">
        <f>IJ12-IJ13</f>
        <v>#DIV/0!</v>
      </c>
      <c r="IK16" s="69"/>
    </row>
    <row r="17" spans="1:245" x14ac:dyDescent="0.35">
      <c r="C17" s="25" t="s">
        <v>41</v>
      </c>
      <c r="F17" s="33">
        <f>F16*F11</f>
        <v>91.897499999998217</v>
      </c>
      <c r="G17" s="24"/>
      <c r="H17" s="33">
        <f>H16*H11</f>
        <v>-2319.2091999999971</v>
      </c>
      <c r="I17" s="24"/>
      <c r="J17" s="33">
        <f>J16*J11</f>
        <v>-3462.7640000000024</v>
      </c>
      <c r="K17" s="72"/>
      <c r="L17" s="33">
        <f>L16*L11</f>
        <v>-2910.0049000000022</v>
      </c>
      <c r="N17" s="33">
        <f>N16*N11</f>
        <v>1441.1907957147162</v>
      </c>
      <c r="P17" s="33">
        <f>P16*P11</f>
        <v>4654.3831790037493</v>
      </c>
      <c r="Q17" s="72"/>
      <c r="R17" s="33">
        <f>R16*R11</f>
        <v>4673.5683818488742</v>
      </c>
      <c r="T17" s="33">
        <f>T16*T11</f>
        <v>5556.9017279156542</v>
      </c>
      <c r="V17" s="33">
        <f>V16*V11</f>
        <v>6769.1152989556131</v>
      </c>
      <c r="W17" s="69"/>
      <c r="X17" s="33">
        <f>X16*X11</f>
        <v>5379.7812495440267</v>
      </c>
      <c r="Z17" s="33">
        <f>Z16*Z11</f>
        <v>5041.4763986795861</v>
      </c>
      <c r="AB17" s="33">
        <f>AB16*AB11</f>
        <v>3414.4164258890873</v>
      </c>
      <c r="AC17" s="69"/>
      <c r="AD17" s="33">
        <f>AD16*AD11</f>
        <v>-7214.6620870864681</v>
      </c>
      <c r="AF17" s="33">
        <f>AF16*AF11</f>
        <v>-7456.8284822321448</v>
      </c>
      <c r="AH17" s="33">
        <f>AH16*AH11</f>
        <v>-18883.121264771187</v>
      </c>
      <c r="AI17" s="69"/>
      <c r="AJ17" s="33">
        <f>AJ16*AJ11</f>
        <v>-9903.8885336193071</v>
      </c>
      <c r="AL17" s="33">
        <f>AL16*AL11</f>
        <v>-5829.7106840891101</v>
      </c>
      <c r="AN17" s="33">
        <f>AN16*AN11</f>
        <v>-6093.0670834666862</v>
      </c>
      <c r="AO17" s="69"/>
      <c r="AP17" s="33">
        <f>AP16*AP11</f>
        <v>6229.9099864030313</v>
      </c>
      <c r="AR17" s="33">
        <f>AR16*AR11</f>
        <v>7786.791876231543</v>
      </c>
      <c r="AT17" s="33">
        <f>AT16*AT11</f>
        <v>6958.6622783021448</v>
      </c>
      <c r="AU17" s="69"/>
      <c r="AV17" s="33">
        <f>AV16*AV11</f>
        <v>-15754.692787708467</v>
      </c>
      <c r="AX17" s="33">
        <f>AX16*AX11</f>
        <v>1180.0030604291155</v>
      </c>
      <c r="AZ17" s="33">
        <f>AZ16*AZ11</f>
        <v>1545.5670009697558</v>
      </c>
      <c r="BA17" s="69"/>
      <c r="BB17" s="33">
        <f>BB16*BB11</f>
        <v>-1375.907007425858</v>
      </c>
      <c r="BD17" s="33">
        <f>BD16*BD11</f>
        <v>3147.3654640469308</v>
      </c>
      <c r="BF17" s="33">
        <f>BF16*BF11</f>
        <v>-919.94640268885303</v>
      </c>
      <c r="BG17" s="69"/>
      <c r="BH17" s="33">
        <f>BH16*BH11</f>
        <v>2914.2984274386231</v>
      </c>
      <c r="BJ17" s="33">
        <f>BJ16*BJ11</f>
        <v>2694.5975767661685</v>
      </c>
      <c r="BL17" s="33">
        <f>BL16*BL11</f>
        <v>5144.3346663468055</v>
      </c>
      <c r="BM17" s="69"/>
      <c r="BN17" s="33">
        <f>BN16*BN11</f>
        <v>4985.7513793625185</v>
      </c>
      <c r="BP17" s="33">
        <f>BP16*BP11</f>
        <v>3020.0232242789825</v>
      </c>
      <c r="BR17" s="33">
        <f>BR16*BR11</f>
        <v>1286.3015624752895</v>
      </c>
      <c r="BS17" s="69"/>
      <c r="BT17" s="33">
        <f>BT16*BT11</f>
        <v>1522.5529710874628</v>
      </c>
      <c r="BV17" s="33">
        <f>BV16*BV11</f>
        <v>1592.7282956510687</v>
      </c>
      <c r="BX17" s="33">
        <f>BX16*BX11</f>
        <v>1712.7747203979166</v>
      </c>
      <c r="BY17" s="69"/>
      <c r="BZ17" s="33">
        <f>BZ16*BZ11</f>
        <v>6608.2439577867917</v>
      </c>
      <c r="CB17" s="33">
        <f>CB16*CB11</f>
        <v>16152.04800341179</v>
      </c>
      <c r="CD17" s="33">
        <f>CD16*CD11</f>
        <v>19806.614556739067</v>
      </c>
      <c r="CE17" s="69"/>
      <c r="CF17" s="33">
        <f>CF16*CF11</f>
        <v>30520.33416112516</v>
      </c>
      <c r="CH17" s="33">
        <f>CH16*CH11</f>
        <v>18815.550400583426</v>
      </c>
      <c r="CJ17" s="33">
        <f>CJ16*CJ11</f>
        <v>20728.098439112699</v>
      </c>
      <c r="CK17" s="69"/>
      <c r="CL17" s="33">
        <f>CL16*CL11</f>
        <v>11449.336971711971</v>
      </c>
      <c r="CN17" s="33">
        <f>CN16*CN11</f>
        <v>10808.854226941068</v>
      </c>
      <c r="CP17" s="33">
        <f>CP16*CP11</f>
        <v>2913.9595865803808</v>
      </c>
      <c r="CQ17" s="69"/>
      <c r="CR17" s="33">
        <f>CR16*CR11</f>
        <v>1033.4838582838213</v>
      </c>
      <c r="CT17" s="33">
        <f>CT16*CT11</f>
        <v>1520.5874662312046</v>
      </c>
      <c r="CV17" s="33">
        <f>CV16*CV11</f>
        <v>1854.1423643657281</v>
      </c>
      <c r="CW17" s="69"/>
      <c r="CX17" s="33">
        <f>CX16*CX11</f>
        <v>-5438.815756212106</v>
      </c>
      <c r="CZ17" s="33">
        <f>CZ16*CZ11</f>
        <v>-1071.0398290786952</v>
      </c>
      <c r="DB17" s="33">
        <f>DB16*DB11</f>
        <v>-5872.3191597883897</v>
      </c>
      <c r="DC17" s="69"/>
      <c r="DD17" s="33">
        <f>DD16*DD11</f>
        <v>-26722.134370619395</v>
      </c>
      <c r="DF17" s="33">
        <f>DF16*DF11</f>
        <v>-2129.1166064104232</v>
      </c>
      <c r="DH17" s="33">
        <f>DH16*DH11</f>
        <v>-24766.973223638961</v>
      </c>
      <c r="DI17" s="69"/>
      <c r="DJ17" s="33">
        <f>DJ16*DJ11</f>
        <v>-10608.604416825736</v>
      </c>
      <c r="DL17" s="33">
        <f>DL16*DL11</f>
        <v>4511.0040295523104</v>
      </c>
      <c r="DN17" s="33">
        <f>DN16*DN11</f>
        <v>-11499.065690294015</v>
      </c>
      <c r="DO17" s="69"/>
      <c r="DP17" s="33">
        <f>DP16*DP11</f>
        <v>5372.3396348782981</v>
      </c>
      <c r="DR17" s="33">
        <f>DR16*DR11</f>
        <v>-2396.3044943528603</v>
      </c>
      <c r="DT17" s="33">
        <f>DT16*DT11</f>
        <v>-3622.9201623557969</v>
      </c>
      <c r="DU17" s="69"/>
      <c r="DV17" s="33">
        <f>DV16*DV11</f>
        <v>-13030.7950734157</v>
      </c>
      <c r="DX17" s="33">
        <f>DX16*DX11</f>
        <v>-5659.5684328655543</v>
      </c>
      <c r="DZ17" s="33">
        <f>DZ16*DZ11</f>
        <v>-509.46305900024862</v>
      </c>
      <c r="EA17" s="69"/>
      <c r="EB17" s="33">
        <f>EB16*EB11</f>
        <v>521.58079436820128</v>
      </c>
      <c r="ED17" s="33">
        <f>ED16*ED11</f>
        <v>-7680.0748951399237</v>
      </c>
      <c r="EF17" s="33">
        <f>EF16*EF11</f>
        <v>-5932.507109534743</v>
      </c>
      <c r="EG17" s="69"/>
      <c r="EH17" s="33">
        <f>EH16*EH11</f>
        <v>9816.9871374661179</v>
      </c>
      <c r="EJ17" s="33">
        <f>EJ16*EJ11</f>
        <v>11053.3958932433</v>
      </c>
      <c r="EL17" s="33">
        <f>EL16*EL11</f>
        <v>14321.212316614092</v>
      </c>
      <c r="EM17" s="69"/>
      <c r="EN17" s="33">
        <f>EN16*EN11</f>
        <v>8824.3104032793963</v>
      </c>
      <c r="EP17" s="33">
        <f>EP16*EP11</f>
        <v>2780.2329713941958</v>
      </c>
      <c r="ER17" s="33">
        <f>ER16*ER11</f>
        <v>-4902.9765371284893</v>
      </c>
      <c r="ES17" s="69"/>
      <c r="ET17" s="33">
        <f>ET16*ET11</f>
        <v>-1362.9412717287771</v>
      </c>
      <c r="EV17" s="33">
        <f>EV16*EV11</f>
        <v>-4955.2744604239388</v>
      </c>
      <c r="EX17" s="33">
        <f>EX16*EX11</f>
        <v>8009.8731104853214</v>
      </c>
      <c r="EY17" s="69"/>
      <c r="EZ17" s="33">
        <f>EZ16*EZ11</f>
        <v>1915.1514058764033</v>
      </c>
      <c r="FB17" s="33">
        <f>FB16*FB11</f>
        <v>-1093.3827600543136</v>
      </c>
      <c r="FD17" s="33">
        <f>FD16*FD11</f>
        <v>-524.29565512492832</v>
      </c>
      <c r="FE17" s="69"/>
      <c r="FF17" s="33">
        <f>FF16*FF11</f>
        <v>5326.6558563629296</v>
      </c>
      <c r="FH17" s="33">
        <f>FH16*FH11</f>
        <v>5619.3392732354687</v>
      </c>
      <c r="FJ17" s="33">
        <f>FJ16*FJ11</f>
        <v>9338.0133679525388</v>
      </c>
      <c r="FK17" s="69"/>
      <c r="FL17" s="33">
        <f>FL16*FL11</f>
        <v>2021.4990867192491</v>
      </c>
      <c r="FN17" s="33">
        <f>FN16*FN11</f>
        <v>89.206117986228989</v>
      </c>
      <c r="FP17" s="33">
        <f>FP16*FP11</f>
        <v>3284.26248318116</v>
      </c>
      <c r="FQ17" s="69"/>
      <c r="FR17" s="33">
        <f>FR16*FR11</f>
        <v>-11401.359860219452</v>
      </c>
      <c r="FT17" s="33">
        <f>FT16*FT11</f>
        <v>3188.7777371254856</v>
      </c>
      <c r="FV17" s="33">
        <f>FV16*FV11</f>
        <v>12901.323029600995</v>
      </c>
      <c r="FW17" s="69"/>
      <c r="FX17" s="33">
        <f>FX16*FX11</f>
        <v>-3290.3534252433319</v>
      </c>
      <c r="FZ17" s="33">
        <f>FZ16*FZ11</f>
        <v>-16761.951048987135</v>
      </c>
      <c r="GB17" s="33">
        <f>GB16*GB11</f>
        <v>-24168.799373793034</v>
      </c>
      <c r="GC17" s="69"/>
      <c r="GD17" s="33">
        <f>GD16*GD11</f>
        <v>-5607.3551135753405</v>
      </c>
      <c r="GF17" s="33">
        <f>GF16*GF11</f>
        <v>-9085.6329070232932</v>
      </c>
      <c r="GH17" s="33">
        <f>GH16*GH11</f>
        <v>2638.8192224890431</v>
      </c>
      <c r="GI17" s="69"/>
      <c r="GJ17" s="33">
        <f>GJ16*GJ11</f>
        <v>-2439.2524770383702</v>
      </c>
      <c r="GL17" s="33">
        <f>GL16*GL11</f>
        <v>2713.8376782916453</v>
      </c>
      <c r="GN17" s="33">
        <f>GN16*GN11</f>
        <v>13533.835969584834</v>
      </c>
      <c r="GO17" s="69"/>
      <c r="GP17" s="33">
        <f>GP16*GP11</f>
        <v>12078.1196172575</v>
      </c>
      <c r="GR17" s="33">
        <f>GR16*GR11</f>
        <v>53225.621625094478</v>
      </c>
      <c r="GT17" s="33">
        <f>GT16*GT11</f>
        <v>41119.821492452495</v>
      </c>
      <c r="GU17" s="69"/>
      <c r="GV17" s="33">
        <f>GV16*GV11</f>
        <v>20078.639516210722</v>
      </c>
      <c r="GW17" s="175"/>
      <c r="GX17" s="33">
        <f>GX16*GX11</f>
        <v>14766.749245536954</v>
      </c>
      <c r="GY17" s="175"/>
      <c r="GZ17" s="33">
        <f>GZ16*GZ11</f>
        <v>9329.7121979845942</v>
      </c>
      <c r="HA17" s="69"/>
      <c r="HB17" s="33">
        <f>HB16*HB11</f>
        <v>-10056.995641689666</v>
      </c>
      <c r="HD17" s="33">
        <f>HD16*HD11</f>
        <v>-2314.5288792384922</v>
      </c>
      <c r="HF17" s="33">
        <f>HF16*HF11</f>
        <v>-1285.6518500981615</v>
      </c>
      <c r="HG17" s="69"/>
      <c r="HH17" s="33">
        <f>HH16*HH11</f>
        <v>3621.1811384376674</v>
      </c>
      <c r="HJ17" s="33">
        <f>HJ16*HJ11</f>
        <v>4550.7775086995989</v>
      </c>
      <c r="HL17" s="33">
        <f>HL16*HL11</f>
        <v>12490.263840166237</v>
      </c>
      <c r="HM17" s="69"/>
      <c r="HN17" s="33">
        <f>HN16*HN11</f>
        <v>16452.969835770655</v>
      </c>
      <c r="HP17" s="33">
        <f>HP16*HP11</f>
        <v>24914.314738817189</v>
      </c>
      <c r="HR17" s="33">
        <f>HR16*HR11</f>
        <v>29015.467651598861</v>
      </c>
      <c r="HS17" s="69"/>
      <c r="HT17" s="33">
        <f>HT16*HT11</f>
        <v>26427.321419898995</v>
      </c>
      <c r="HV17" s="33">
        <f>HV16*HV11</f>
        <v>16792.716446759157</v>
      </c>
      <c r="HX17" s="33">
        <f>HX16*HX11</f>
        <v>8694.6743984447039</v>
      </c>
      <c r="HY17" s="69"/>
      <c r="HZ17" s="33">
        <f>HZ16*HZ11</f>
        <v>2900.4199999999942</v>
      </c>
      <c r="IB17" s="33" t="e">
        <f>IB16*IB11</f>
        <v>#DIV/0!</v>
      </c>
      <c r="ID17" s="33" t="e">
        <f>ID16*ID11</f>
        <v>#DIV/0!</v>
      </c>
      <c r="IE17" s="69"/>
      <c r="IF17" s="33" t="e">
        <f>IF16*IF11</f>
        <v>#DIV/0!</v>
      </c>
      <c r="IH17" s="33" t="e">
        <f>IH16*IH11</f>
        <v>#DIV/0!</v>
      </c>
      <c r="IJ17" s="33" t="e">
        <f>IJ16*IJ11</f>
        <v>#DIV/0!</v>
      </c>
      <c r="IK17" s="69"/>
    </row>
    <row r="18" spans="1:245" x14ac:dyDescent="0.35">
      <c r="F18" s="24"/>
      <c r="G18" s="24"/>
      <c r="H18" s="24"/>
      <c r="I18" s="24"/>
      <c r="J18" s="24"/>
      <c r="K18" s="72"/>
      <c r="L18" s="24"/>
      <c r="Q18" s="72"/>
      <c r="R18" s="24"/>
      <c r="W18" s="69"/>
      <c r="X18" s="24"/>
      <c r="AC18" s="69"/>
      <c r="AD18" s="24"/>
      <c r="AI18" s="69"/>
      <c r="AJ18" s="24"/>
      <c r="AO18" s="69"/>
      <c r="AP18" s="24"/>
      <c r="AU18" s="69"/>
      <c r="AV18" s="24"/>
      <c r="BA18" s="69"/>
      <c r="BB18" s="24"/>
      <c r="BG18" s="69"/>
      <c r="BH18" s="24"/>
      <c r="BM18" s="69"/>
      <c r="BN18" s="24"/>
      <c r="BS18" s="69"/>
      <c r="BT18" s="24"/>
      <c r="BY18" s="69"/>
      <c r="BZ18" s="24"/>
      <c r="CE18" s="69"/>
      <c r="CF18" s="24"/>
      <c r="CK18" s="69"/>
      <c r="CL18" s="24"/>
      <c r="CQ18" s="69"/>
      <c r="CR18" s="24"/>
      <c r="CW18" s="69"/>
      <c r="CX18" s="24"/>
      <c r="DC18" s="69"/>
      <c r="DD18" s="24"/>
      <c r="DI18" s="69"/>
      <c r="DJ18" s="24"/>
      <c r="DO18" s="69"/>
      <c r="DP18" s="24"/>
      <c r="DU18" s="69"/>
      <c r="DV18" s="24"/>
      <c r="EA18" s="69"/>
      <c r="EB18" s="24"/>
      <c r="EG18" s="69"/>
      <c r="EH18" s="24"/>
      <c r="EM18" s="69"/>
      <c r="EN18" s="24"/>
      <c r="ES18" s="69"/>
      <c r="ET18" s="24"/>
      <c r="EY18" s="69"/>
      <c r="EZ18" s="24"/>
      <c r="FE18" s="69"/>
      <c r="FF18" s="24"/>
      <c r="FK18" s="69"/>
      <c r="FL18" s="24"/>
      <c r="FQ18" s="69"/>
      <c r="FR18" s="24"/>
      <c r="FW18" s="69"/>
      <c r="FX18" s="24"/>
      <c r="GC18" s="69"/>
      <c r="GD18" s="24"/>
      <c r="GI18" s="69"/>
      <c r="GJ18" s="24"/>
      <c r="GO18" s="69"/>
      <c r="GP18" s="24"/>
      <c r="GU18" s="69"/>
      <c r="GV18" s="24"/>
      <c r="GW18" s="175"/>
      <c r="GX18" s="175"/>
      <c r="GY18" s="175"/>
      <c r="GZ18" s="175"/>
      <c r="HA18" s="69"/>
      <c r="HB18" s="24"/>
      <c r="HG18" s="69"/>
      <c r="HH18" s="24"/>
      <c r="HJ18" s="225" t="s">
        <v>169</v>
      </c>
      <c r="HL18" s="263">
        <v>-25877.17</v>
      </c>
      <c r="HM18" s="69"/>
      <c r="HN18" s="24"/>
      <c r="HP18" s="225"/>
      <c r="HR18" s="263"/>
      <c r="HS18" s="69"/>
      <c r="HT18" s="24"/>
      <c r="HV18" s="225" t="s">
        <v>186</v>
      </c>
      <c r="HX18" s="263">
        <v>-16586.46</v>
      </c>
      <c r="HY18" s="69"/>
      <c r="HZ18" s="24"/>
      <c r="IE18" s="69"/>
      <c r="IF18" s="24"/>
      <c r="IK18" s="69"/>
    </row>
    <row r="19" spans="1:245" x14ac:dyDescent="0.35">
      <c r="D19" s="2" t="s">
        <v>43</v>
      </c>
      <c r="F19" s="24"/>
      <c r="G19" s="24"/>
      <c r="H19" s="2"/>
      <c r="I19" s="24"/>
      <c r="J19" s="24"/>
      <c r="K19" s="72"/>
      <c r="L19" s="24"/>
      <c r="N19" s="2"/>
      <c r="P19" s="33">
        <f>SUM(F17:P17)</f>
        <v>-2504.5066252815377</v>
      </c>
      <c r="Q19" s="72"/>
      <c r="R19" s="24"/>
      <c r="T19" s="2"/>
      <c r="V19" s="24"/>
      <c r="W19" s="69"/>
      <c r="X19" s="24"/>
      <c r="Z19" s="2"/>
      <c r="AB19" s="33">
        <f>SUM(R17:AB17)</f>
        <v>30835.259482832844</v>
      </c>
      <c r="AC19" s="69"/>
      <c r="AD19" s="24"/>
      <c r="AF19" s="2"/>
      <c r="AH19" s="33">
        <f>SUM(AD17:AH17)</f>
        <v>-33554.611834089796</v>
      </c>
      <c r="AI19" s="69"/>
      <c r="AJ19" s="24"/>
      <c r="AL19" s="2"/>
      <c r="AN19" s="33">
        <f>SUM(AJ17:AN17)</f>
        <v>-21826.666301175104</v>
      </c>
      <c r="AO19" s="69"/>
      <c r="AP19" s="24"/>
      <c r="AR19" s="2"/>
      <c r="AT19" s="33">
        <f>SUM(AP17:AT17)</f>
        <v>20975.364140936719</v>
      </c>
      <c r="AU19" s="69"/>
      <c r="AV19" s="24"/>
      <c r="AX19" s="2"/>
      <c r="AZ19" s="33">
        <f>SUM(AV17:AZ17)</f>
        <v>-13029.122726309597</v>
      </c>
      <c r="BA19" s="69"/>
      <c r="BB19" s="24"/>
      <c r="BD19" s="2"/>
      <c r="BF19" s="33">
        <f>SUM(BB17:BF17)</f>
        <v>851.51205393221983</v>
      </c>
      <c r="BG19" s="69"/>
      <c r="BH19" s="24"/>
      <c r="BJ19" s="2"/>
      <c r="BL19" s="33">
        <f>SUM(BH17:BL17)</f>
        <v>10753.230670551597</v>
      </c>
      <c r="BM19" s="69"/>
      <c r="BN19" s="24"/>
      <c r="BP19" s="2"/>
      <c r="BR19" s="33">
        <f>SUM(BN17:BR17)</f>
        <v>9292.0761661167908</v>
      </c>
      <c r="BS19" s="69"/>
      <c r="BT19" s="24"/>
      <c r="BV19" s="2"/>
      <c r="BX19" s="33">
        <f>SUM(BT17:BX17)</f>
        <v>4828.0559871364476</v>
      </c>
      <c r="BY19" s="69"/>
      <c r="BZ19" s="24"/>
      <c r="CB19" s="2"/>
      <c r="CD19" s="33">
        <f>SUM(BZ17:CD17)</f>
        <v>42566.906517937648</v>
      </c>
      <c r="CE19" s="69"/>
      <c r="CF19" s="24"/>
      <c r="CH19" s="2"/>
      <c r="CJ19" s="33">
        <f>SUM(CF17:CJ17)</f>
        <v>70063.983000821288</v>
      </c>
      <c r="CK19" s="69"/>
      <c r="CL19" s="24"/>
      <c r="CN19" s="2"/>
      <c r="CP19" s="33">
        <f>SUM(CL17:CP17)</f>
        <v>25172.150785233422</v>
      </c>
      <c r="CQ19" s="69"/>
      <c r="CR19" s="24"/>
      <c r="CT19" s="2"/>
      <c r="CV19" s="33">
        <f>SUM(CR17:CV17)</f>
        <v>4408.2136888807545</v>
      </c>
      <c r="CW19" s="69"/>
      <c r="CX19" s="24"/>
      <c r="CZ19" s="2"/>
      <c r="DB19" s="33">
        <f>SUM(CX17:DB17)</f>
        <v>-12382.174745079192</v>
      </c>
      <c r="DC19" s="69"/>
      <c r="DD19" s="24"/>
      <c r="DF19" s="2"/>
      <c r="DH19" s="33">
        <f>SUM(DD17:DH17)</f>
        <v>-53618.224200668774</v>
      </c>
      <c r="DI19" s="69"/>
      <c r="DJ19" s="24"/>
      <c r="DL19" s="2"/>
      <c r="DN19" s="33">
        <f>SUM(DJ17:DN17)</f>
        <v>-17596.666077567439</v>
      </c>
      <c r="DO19" s="69"/>
      <c r="DP19" s="24"/>
      <c r="DR19" s="2"/>
      <c r="DT19" s="33">
        <f>SUM(DP17:DT17)</f>
        <v>-646.88502183035916</v>
      </c>
      <c r="DU19" s="69"/>
      <c r="DV19" s="24"/>
      <c r="DX19" s="2"/>
      <c r="DZ19" s="33">
        <f>SUM(DV17:DZ17)</f>
        <v>-19199.826565281503</v>
      </c>
      <c r="EA19" s="69"/>
      <c r="EB19" s="24"/>
      <c r="ED19" s="2"/>
      <c r="EF19" s="33">
        <f>SUM(EB17:EF17)</f>
        <v>-13091.001210306466</v>
      </c>
      <c r="EG19" s="69"/>
      <c r="EH19" s="24"/>
      <c r="EJ19" s="2"/>
      <c r="EL19" s="33">
        <f>SUM(EH17:EL17)</f>
        <v>35191.595347323513</v>
      </c>
      <c r="EM19" s="69"/>
      <c r="EN19" s="24"/>
      <c r="EP19" s="2"/>
      <c r="ER19" s="33">
        <f>SUM(EN17:ER17)</f>
        <v>6701.5668375451032</v>
      </c>
      <c r="ES19" s="69"/>
      <c r="ET19" s="24"/>
      <c r="EV19" s="2"/>
      <c r="EX19" s="33">
        <f>SUM(ET17:EX17)</f>
        <v>1691.6573783326057</v>
      </c>
      <c r="EY19" s="69"/>
      <c r="EZ19" s="24"/>
      <c r="FB19" s="2"/>
      <c r="FD19" s="33">
        <f>SUM(EZ17:FD17)</f>
        <v>297.47299069716132</v>
      </c>
      <c r="FE19" s="69"/>
      <c r="FF19" s="24"/>
      <c r="FH19" s="2"/>
      <c r="FJ19" s="33">
        <f>SUM(FF17:FJ17)</f>
        <v>20284.008497550938</v>
      </c>
      <c r="FK19" s="69"/>
      <c r="FL19" s="24"/>
      <c r="FN19" s="2"/>
      <c r="FP19" s="33">
        <f>SUM(FL17:FP17)</f>
        <v>5394.9676878866376</v>
      </c>
      <c r="FQ19" s="69"/>
      <c r="FR19" s="24"/>
      <c r="FT19" s="2"/>
      <c r="FV19" s="33">
        <f>SUM(FR17:FV17)</f>
        <v>4688.7409065070278</v>
      </c>
      <c r="FW19" s="69"/>
      <c r="FX19" s="24"/>
      <c r="FZ19" s="2"/>
      <c r="GB19" s="33">
        <f>SUM(FX17:GB17)</f>
        <v>-44221.1038480235</v>
      </c>
      <c r="GC19" s="69"/>
      <c r="GD19" s="24"/>
      <c r="GF19" s="2"/>
      <c r="GH19" s="33">
        <f>SUM(GD17:GH17)</f>
        <v>-12054.168798109591</v>
      </c>
      <c r="GI19" s="69"/>
      <c r="GJ19" s="24"/>
      <c r="GL19" s="2"/>
      <c r="GN19" s="33">
        <f>SUM(GJ17:GN17)</f>
        <v>13808.421170838108</v>
      </c>
      <c r="GO19" s="69"/>
      <c r="GP19" s="24"/>
      <c r="GR19" s="2"/>
      <c r="GT19" s="33">
        <f>SUM(GP17:GT17)</f>
        <v>106423.56273480447</v>
      </c>
      <c r="GU19" s="69"/>
      <c r="GV19" s="24"/>
      <c r="GW19" s="175"/>
      <c r="GX19" s="2"/>
      <c r="GY19" s="175"/>
      <c r="GZ19" s="33">
        <f>SUM(GV17:GZ17)</f>
        <v>44175.10095973227</v>
      </c>
      <c r="HA19" s="69"/>
      <c r="HB19" s="24"/>
      <c r="HD19" s="2"/>
      <c r="HF19" s="33">
        <f>SUM(HB17:HF17)</f>
        <v>-13657.17637102632</v>
      </c>
      <c r="HG19" s="69"/>
      <c r="HH19" s="24"/>
      <c r="HJ19" s="2"/>
      <c r="HL19" s="33">
        <f>SUM(HH17:HL17)+HL18</f>
        <v>-5214.9475126964971</v>
      </c>
      <c r="HM19" s="69"/>
      <c r="HN19" s="267" t="s">
        <v>173</v>
      </c>
      <c r="HP19" s="2"/>
      <c r="HR19" s="33">
        <f>SUM(HN17:HR17)+HL19</f>
        <v>65167.804713490215</v>
      </c>
      <c r="HS19" s="69"/>
      <c r="HT19" s="24"/>
      <c r="HV19" s="2"/>
      <c r="HX19" s="33">
        <f>SUM(HT17:HX17)+HX18</f>
        <v>35328.252265102856</v>
      </c>
      <c r="HY19" s="69"/>
      <c r="HZ19" s="24"/>
      <c r="IB19" s="2"/>
      <c r="ID19" s="33" t="e">
        <f>SUM(HZ17:ID17)</f>
        <v>#DIV/0!</v>
      </c>
      <c r="IE19" s="69"/>
      <c r="IF19" s="24"/>
      <c r="IH19" s="2"/>
      <c r="IJ19" s="33" t="e">
        <f>SUM(IF17:IJ17)</f>
        <v>#DIV/0!</v>
      </c>
      <c r="IK19" s="69"/>
    </row>
    <row r="20" spans="1:245" x14ac:dyDescent="0.35">
      <c r="D20" s="126" t="s">
        <v>149</v>
      </c>
      <c r="F20" s="24"/>
      <c r="G20" s="24"/>
      <c r="H20" s="2"/>
      <c r="I20" s="24"/>
      <c r="J20" s="24"/>
      <c r="K20" s="72"/>
      <c r="L20" s="24"/>
      <c r="N20" s="2"/>
      <c r="P20" s="57">
        <v>29897</v>
      </c>
      <c r="Q20" s="72"/>
      <c r="R20" s="24"/>
      <c r="T20" s="91"/>
      <c r="U20" s="51"/>
      <c r="V20" s="121"/>
      <c r="W20" s="69"/>
      <c r="X20" s="24"/>
      <c r="Z20" s="2"/>
      <c r="AB20" s="57">
        <v>30026</v>
      </c>
      <c r="AC20" s="69"/>
      <c r="AD20" s="24"/>
      <c r="AF20" s="2"/>
      <c r="AH20" s="57">
        <v>27988</v>
      </c>
      <c r="AI20" s="69"/>
      <c r="AJ20" s="24"/>
      <c r="AL20" s="2"/>
      <c r="AN20" s="57">
        <v>23947</v>
      </c>
      <c r="AO20" s="69"/>
      <c r="AP20" s="24"/>
      <c r="AR20" s="2"/>
      <c r="AT20" s="57">
        <v>23957</v>
      </c>
      <c r="AU20" s="69"/>
      <c r="AV20" s="24"/>
      <c r="AX20" s="2"/>
      <c r="AZ20" s="57">
        <v>25105</v>
      </c>
      <c r="BA20" s="69"/>
      <c r="BB20" s="24"/>
      <c r="BD20" s="2"/>
      <c r="BF20" s="57">
        <v>26632</v>
      </c>
      <c r="BG20" s="69"/>
      <c r="BH20" s="24"/>
      <c r="BJ20" s="2"/>
      <c r="BL20" s="57">
        <v>32082</v>
      </c>
      <c r="BM20" s="69"/>
      <c r="BN20" s="24"/>
      <c r="BP20" s="2"/>
      <c r="BR20" s="57">
        <v>32227</v>
      </c>
      <c r="BS20" s="69"/>
      <c r="BT20" s="24"/>
      <c r="BV20" s="2"/>
      <c r="BX20" s="57">
        <v>31854</v>
      </c>
      <c r="BY20" s="69"/>
      <c r="BZ20" s="24"/>
      <c r="CB20" s="2"/>
      <c r="CD20" s="57">
        <v>31961</v>
      </c>
      <c r="CE20" s="69"/>
      <c r="CF20" s="24"/>
      <c r="CH20" s="2"/>
      <c r="CJ20" s="57">
        <v>101593</v>
      </c>
      <c r="CK20" s="69"/>
      <c r="CL20" s="24"/>
      <c r="CN20" s="2"/>
      <c r="CP20" s="57">
        <v>131262</v>
      </c>
      <c r="CQ20" s="69"/>
      <c r="CR20" s="24"/>
      <c r="CT20" s="2"/>
      <c r="CV20" s="57">
        <v>151118</v>
      </c>
      <c r="CW20" s="69"/>
      <c r="CX20" s="24"/>
      <c r="CZ20" s="2"/>
      <c r="DB20" s="57">
        <v>145121</v>
      </c>
      <c r="DC20" s="69"/>
      <c r="DD20" s="24"/>
      <c r="DF20" s="2"/>
      <c r="DH20" s="57">
        <v>137606</v>
      </c>
      <c r="DI20" s="69"/>
      <c r="DJ20" s="24"/>
      <c r="DL20" s="2"/>
      <c r="DN20" s="57">
        <v>125871</v>
      </c>
      <c r="DO20" s="69"/>
      <c r="DP20" s="24"/>
      <c r="DR20" s="2"/>
      <c r="DT20" s="57">
        <v>110948</v>
      </c>
      <c r="DU20" s="69"/>
      <c r="DV20" s="24"/>
      <c r="DX20" s="2"/>
      <c r="DZ20" s="57">
        <v>101019</v>
      </c>
      <c r="EA20" s="69"/>
      <c r="EB20" s="24"/>
      <c r="ED20" s="2"/>
      <c r="EF20" s="57">
        <v>93929</v>
      </c>
      <c r="EG20" s="69"/>
      <c r="EH20" s="24"/>
      <c r="EJ20" s="2"/>
      <c r="EL20" s="57">
        <v>87517</v>
      </c>
      <c r="EM20" s="69"/>
      <c r="EN20" s="24"/>
      <c r="EP20" s="2"/>
      <c r="ER20" s="57">
        <v>84300</v>
      </c>
      <c r="ES20" s="69"/>
      <c r="ET20" s="24"/>
      <c r="EV20" s="2"/>
      <c r="EX20" s="57">
        <v>81344</v>
      </c>
      <c r="EY20" s="69"/>
      <c r="EZ20" s="24"/>
      <c r="FB20" s="2"/>
      <c r="FD20" s="57">
        <v>74918</v>
      </c>
      <c r="FE20" s="69"/>
      <c r="FF20" s="24"/>
      <c r="FH20" s="2"/>
      <c r="FJ20" s="57">
        <v>70216</v>
      </c>
      <c r="FK20" s="69"/>
      <c r="FL20" s="24"/>
      <c r="FN20" s="2"/>
      <c r="FP20" s="57">
        <v>72510</v>
      </c>
      <c r="FQ20" s="69"/>
      <c r="FR20" s="24"/>
      <c r="FT20" s="2"/>
      <c r="FV20" s="57">
        <v>84578</v>
      </c>
      <c r="FW20" s="69"/>
      <c r="FX20" s="24"/>
      <c r="FZ20" s="2"/>
      <c r="GB20" s="57">
        <v>100077</v>
      </c>
      <c r="GC20" s="69"/>
      <c r="GD20" s="24"/>
      <c r="GF20" s="2"/>
      <c r="GH20" s="57">
        <v>109244</v>
      </c>
      <c r="GI20" s="69"/>
      <c r="GJ20" s="24"/>
      <c r="GL20" s="2"/>
      <c r="GN20" s="57">
        <v>111757</v>
      </c>
      <c r="GO20" s="69"/>
      <c r="GP20" s="24"/>
      <c r="GR20" s="2"/>
      <c r="GT20" s="57">
        <v>115380</v>
      </c>
      <c r="GU20" s="69"/>
      <c r="GV20" s="24"/>
      <c r="GW20" s="175"/>
      <c r="GX20" s="2"/>
      <c r="GY20" s="175"/>
      <c r="GZ20" s="57">
        <v>115380</v>
      </c>
      <c r="HA20" s="69"/>
      <c r="HB20" s="24"/>
      <c r="HD20" s="2"/>
      <c r="HF20" s="57">
        <v>98615</v>
      </c>
      <c r="HG20" s="69"/>
      <c r="HH20" s="24"/>
      <c r="HJ20" s="126" t="s">
        <v>150</v>
      </c>
      <c r="HL20" s="57">
        <v>98030</v>
      </c>
      <c r="HM20" s="69"/>
      <c r="HN20" s="24"/>
      <c r="HP20" s="126" t="s">
        <v>182</v>
      </c>
      <c r="HR20" s="57">
        <v>98741</v>
      </c>
      <c r="HS20" s="69"/>
      <c r="HT20" s="24"/>
      <c r="HV20" s="126" t="s">
        <v>182</v>
      </c>
      <c r="HX20" s="57">
        <v>98912</v>
      </c>
      <c r="HY20" s="69"/>
      <c r="HZ20" s="24"/>
      <c r="IB20" s="126" t="s">
        <v>182</v>
      </c>
      <c r="ID20" s="57"/>
      <c r="IE20" s="69"/>
      <c r="IF20" s="24"/>
      <c r="IH20" s="126" t="s">
        <v>150</v>
      </c>
      <c r="IJ20" s="57"/>
      <c r="IK20" s="69"/>
    </row>
    <row r="21" spans="1:245" ht="13.15" x14ac:dyDescent="0.4">
      <c r="D21" s="26" t="s">
        <v>45</v>
      </c>
      <c r="F21" s="24"/>
      <c r="G21" s="24"/>
      <c r="H21" s="26"/>
      <c r="I21" s="24"/>
      <c r="J21" s="24"/>
      <c r="K21" s="72"/>
      <c r="L21" s="24"/>
      <c r="N21" s="26" t="s">
        <v>45</v>
      </c>
      <c r="P21" s="100">
        <f>P19/P20</f>
        <v>-8.377116852130774E-2</v>
      </c>
      <c r="Q21" s="72"/>
      <c r="R21" s="24"/>
      <c r="T21" s="91"/>
      <c r="U21" s="51"/>
      <c r="V21" s="121"/>
      <c r="W21" s="69"/>
      <c r="X21" s="24"/>
      <c r="Z21" s="26" t="s">
        <v>45</v>
      </c>
      <c r="AB21" s="100">
        <f>AB19/AB20</f>
        <v>1.0269519577310613</v>
      </c>
      <c r="AC21" s="69"/>
      <c r="AD21" s="24"/>
      <c r="AF21" s="26" t="s">
        <v>45</v>
      </c>
      <c r="AH21" s="100">
        <f>AH19/AH20</f>
        <v>-1.198892805276897</v>
      </c>
      <c r="AI21" s="69"/>
      <c r="AJ21" s="24"/>
      <c r="AL21" s="26" t="s">
        <v>45</v>
      </c>
      <c r="AN21" s="100">
        <f>(AN19/AN20)+0.0001</f>
        <v>-0.91135723059987073</v>
      </c>
      <c r="AO21" s="69"/>
      <c r="AP21" s="24"/>
      <c r="AR21" s="26" t="s">
        <v>45</v>
      </c>
      <c r="AT21" s="100">
        <f>AT19/AT20</f>
        <v>0.87554218562160202</v>
      </c>
      <c r="AU21" s="69"/>
      <c r="AV21" s="24"/>
      <c r="AX21" s="26" t="s">
        <v>45</v>
      </c>
      <c r="AZ21" s="100">
        <f>AZ19/AZ20</f>
        <v>-0.51898517133278621</v>
      </c>
      <c r="BA21" s="69"/>
      <c r="BB21" s="24"/>
      <c r="BD21" s="26" t="s">
        <v>45</v>
      </c>
      <c r="BF21" s="100">
        <f>BF19/BF20</f>
        <v>3.1973267269909122E-2</v>
      </c>
      <c r="BG21" s="69"/>
      <c r="BH21" s="24"/>
      <c r="BJ21" s="26" t="s">
        <v>45</v>
      </c>
      <c r="BL21" s="100">
        <f>BL19/BL20</f>
        <v>0.33517956083011025</v>
      </c>
      <c r="BM21" s="69"/>
      <c r="BN21" s="24"/>
      <c r="BP21" s="26" t="s">
        <v>45</v>
      </c>
      <c r="BR21" s="100">
        <f>BR19/BR20</f>
        <v>0.2883320248895892</v>
      </c>
      <c r="BS21" s="69"/>
      <c r="BT21" s="24"/>
      <c r="BV21" s="26" t="s">
        <v>45</v>
      </c>
      <c r="BX21" s="100">
        <f>BX19/BX20</f>
        <v>0.15156827987494342</v>
      </c>
      <c r="BY21" s="69"/>
      <c r="BZ21" s="24"/>
      <c r="CB21" s="26" t="s">
        <v>45</v>
      </c>
      <c r="CD21" s="100">
        <f>CD19/CD20+0.0001</f>
        <v>1.3319390074759128</v>
      </c>
      <c r="CE21" s="69"/>
      <c r="CF21" s="24"/>
      <c r="CH21" s="26" t="s">
        <v>45</v>
      </c>
      <c r="CJ21" s="100">
        <f>CJ19/CJ20</f>
        <v>0.68965364740505042</v>
      </c>
      <c r="CK21" s="69"/>
      <c r="CL21" s="24"/>
      <c r="CN21" s="26" t="s">
        <v>45</v>
      </c>
      <c r="CP21" s="100">
        <f>CP19/CP20</f>
        <v>0.19177028222359419</v>
      </c>
      <c r="CQ21" s="69"/>
      <c r="CR21" s="24"/>
      <c r="CT21" s="26" t="s">
        <v>45</v>
      </c>
      <c r="CV21" s="100">
        <f>CV19/CV20</f>
        <v>2.9170672513405119E-2</v>
      </c>
      <c r="CW21" s="69"/>
      <c r="CX21" s="24"/>
      <c r="CZ21" s="26" t="s">
        <v>45</v>
      </c>
      <c r="DB21" s="100">
        <f>(DB19/DB20)-0.0001</f>
        <v>-8.5423107924278305E-2</v>
      </c>
      <c r="DC21" s="69"/>
      <c r="DD21" s="24"/>
      <c r="DF21" s="26" t="s">
        <v>45</v>
      </c>
      <c r="DH21" s="100">
        <f>(DH19/DH20)</f>
        <v>-0.38965033647274666</v>
      </c>
      <c r="DI21" s="69"/>
      <c r="DJ21" s="24"/>
      <c r="DL21" s="26" t="s">
        <v>45</v>
      </c>
      <c r="DN21" s="100">
        <f>(DN19/DN20)</f>
        <v>-0.13979920774100021</v>
      </c>
      <c r="DO21" s="69"/>
      <c r="DP21" s="24"/>
      <c r="DR21" s="26" t="s">
        <v>45</v>
      </c>
      <c r="DT21" s="100">
        <f>(DT19/DT20)</f>
        <v>-5.8305244063016834E-3</v>
      </c>
      <c r="DU21" s="69"/>
      <c r="DV21" s="24"/>
      <c r="DX21" s="26" t="s">
        <v>45</v>
      </c>
      <c r="DZ21" s="100">
        <f>(DZ19/DZ20)</f>
        <v>-0.19006153857473845</v>
      </c>
      <c r="EA21" s="69"/>
      <c r="EB21" s="24"/>
      <c r="ED21" s="26" t="s">
        <v>45</v>
      </c>
      <c r="EF21" s="100">
        <f>(EF19/EF20)</f>
        <v>-0.13937124008885932</v>
      </c>
      <c r="EG21" s="69"/>
      <c r="EH21" s="24"/>
      <c r="EJ21" s="26" t="s">
        <v>45</v>
      </c>
      <c r="EL21" s="100">
        <f>(EL19/EL20)</f>
        <v>0.40211153658516074</v>
      </c>
      <c r="EM21" s="69"/>
      <c r="EN21" s="24"/>
      <c r="EP21" s="26" t="s">
        <v>45</v>
      </c>
      <c r="ER21" s="100">
        <f>(ER19/ER20)</f>
        <v>7.9496641014769914E-2</v>
      </c>
      <c r="ES21" s="69"/>
      <c r="ET21" s="24"/>
      <c r="EV21" s="26" t="s">
        <v>45</v>
      </c>
      <c r="EX21" s="100">
        <f>(EX19/EX20)</f>
        <v>2.0796338738353237E-2</v>
      </c>
      <c r="EY21" s="69"/>
      <c r="EZ21" s="24"/>
      <c r="FB21" s="26" t="s">
        <v>45</v>
      </c>
      <c r="FD21" s="100">
        <f>(FD19/FD20)</f>
        <v>3.9706477842062163E-3</v>
      </c>
      <c r="FE21" s="69"/>
      <c r="FF21" s="24"/>
      <c r="FH21" s="26" t="s">
        <v>45</v>
      </c>
      <c r="FJ21" s="100">
        <f>(FJ19/FJ20)</f>
        <v>0.28888014836434628</v>
      </c>
      <c r="FK21" s="69"/>
      <c r="FL21" s="24"/>
      <c r="FN21" s="26" t="s">
        <v>45</v>
      </c>
      <c r="FP21" s="100">
        <f>(FP19/FP20)</f>
        <v>7.4403084924653667E-2</v>
      </c>
      <c r="FQ21" s="69"/>
      <c r="FR21" s="24"/>
      <c r="FT21" s="26" t="s">
        <v>45</v>
      </c>
      <c r="FV21" s="100">
        <f>(FV19/FV20)</f>
        <v>5.5436885555428451E-2</v>
      </c>
      <c r="FW21" s="69"/>
      <c r="FX21" s="24"/>
      <c r="FZ21" s="26" t="s">
        <v>45</v>
      </c>
      <c r="GB21" s="100">
        <f>(GB19/GB20)</f>
        <v>-0.44187079796580131</v>
      </c>
      <c r="GC21" s="69"/>
      <c r="GD21" s="24"/>
      <c r="GF21" s="26" t="s">
        <v>45</v>
      </c>
      <c r="GH21" s="100">
        <f>(GH19/GH20)</f>
        <v>-0.1103417011287539</v>
      </c>
      <c r="GI21" s="69"/>
      <c r="GJ21" s="24"/>
      <c r="GL21" s="26" t="s">
        <v>45</v>
      </c>
      <c r="GN21" s="100">
        <f>(GN19/GN20)</f>
        <v>0.12355755049650678</v>
      </c>
      <c r="GO21" s="69"/>
      <c r="GP21" s="24"/>
      <c r="GR21" s="26" t="s">
        <v>45</v>
      </c>
      <c r="GT21" s="100">
        <f>(GT19/GT20)</f>
        <v>0.92237443867918589</v>
      </c>
      <c r="GU21" s="69"/>
      <c r="GV21" s="24"/>
      <c r="GW21" s="175"/>
      <c r="GX21" s="26" t="s">
        <v>45</v>
      </c>
      <c r="GY21" s="175"/>
      <c r="GZ21" s="100">
        <f>(GZ19/GZ20)</f>
        <v>0.38286618963193164</v>
      </c>
      <c r="HA21" s="69"/>
      <c r="HB21" s="24"/>
      <c r="HD21" s="26" t="s">
        <v>45</v>
      </c>
      <c r="HF21" s="100">
        <f>(HF19/HF20)</f>
        <v>-0.13848984810653878</v>
      </c>
      <c r="HG21" s="69"/>
      <c r="HH21" s="24"/>
      <c r="HJ21" s="26" t="s">
        <v>45</v>
      </c>
      <c r="HL21" s="100"/>
      <c r="HM21" s="69"/>
      <c r="HN21" s="24"/>
      <c r="HP21" s="26" t="s">
        <v>45</v>
      </c>
      <c r="HR21" s="100">
        <f>(HR19/HR20)</f>
        <v>0.6599872870792296</v>
      </c>
      <c r="HS21" s="69"/>
      <c r="HT21" s="24"/>
      <c r="HV21" s="26" t="s">
        <v>45</v>
      </c>
      <c r="HX21" s="100">
        <f>(HX19/HX20)</f>
        <v>0.35716851610626471</v>
      </c>
      <c r="HY21" s="69"/>
      <c r="HZ21" s="24"/>
      <c r="IB21" s="26" t="s">
        <v>45</v>
      </c>
      <c r="ID21" s="100" t="e">
        <f>(ID19/ID20)</f>
        <v>#DIV/0!</v>
      </c>
      <c r="IE21" s="69"/>
      <c r="IF21" s="24"/>
      <c r="IH21" s="26" t="s">
        <v>45</v>
      </c>
      <c r="IJ21" s="100" t="e">
        <f>(IJ19/IJ20)</f>
        <v>#DIV/0!</v>
      </c>
      <c r="IK21" s="69"/>
    </row>
    <row r="22" spans="1:245" s="51" customFormat="1" ht="13.15" x14ac:dyDescent="0.4">
      <c r="D22" s="77"/>
      <c r="F22" s="53"/>
      <c r="G22" s="53"/>
      <c r="H22" s="77"/>
      <c r="I22" s="53"/>
      <c r="J22" s="53"/>
      <c r="K22" s="53"/>
      <c r="L22" s="53"/>
      <c r="N22" s="77"/>
      <c r="P22" s="207"/>
      <c r="Q22" s="53"/>
      <c r="R22" s="53"/>
      <c r="T22" s="91"/>
      <c r="V22" s="121"/>
      <c r="X22" s="53"/>
      <c r="Z22" s="77"/>
      <c r="AB22" s="207"/>
      <c r="AD22" s="53"/>
      <c r="AF22" s="77"/>
      <c r="AH22" s="207"/>
      <c r="AJ22" s="53"/>
      <c r="AL22" s="77"/>
      <c r="AN22" s="207"/>
      <c r="AP22" s="53"/>
      <c r="AR22" s="77"/>
      <c r="AT22" s="207"/>
      <c r="AV22" s="53"/>
      <c r="AX22" s="77"/>
      <c r="AZ22" s="207"/>
      <c r="BB22" s="53"/>
      <c r="BD22" s="77"/>
      <c r="BF22" s="207"/>
      <c r="BH22" s="53"/>
      <c r="BJ22" s="77"/>
      <c r="BL22" s="207"/>
      <c r="BN22" s="53"/>
      <c r="BP22" s="77"/>
      <c r="BR22" s="207"/>
      <c r="BT22" s="53"/>
      <c r="BV22" s="77"/>
      <c r="BX22" s="207"/>
      <c r="BZ22" s="53"/>
      <c r="CB22" s="77"/>
      <c r="CD22" s="207"/>
      <c r="CF22" s="53"/>
      <c r="CH22" s="77"/>
      <c r="CJ22" s="207"/>
      <c r="CL22" s="53"/>
      <c r="CN22" s="77"/>
      <c r="CP22" s="207"/>
      <c r="CR22" s="53"/>
      <c r="CT22" s="77"/>
      <c r="CV22" s="207"/>
      <c r="CX22" s="53"/>
      <c r="CZ22" s="77"/>
      <c r="DB22" s="207"/>
      <c r="DD22" s="53"/>
      <c r="DF22" s="77"/>
      <c r="DH22" s="207"/>
      <c r="DJ22" s="53"/>
      <c r="DL22" s="77"/>
      <c r="DN22" s="207"/>
      <c r="DP22" s="53"/>
      <c r="DR22" s="77"/>
      <c r="DT22" s="207"/>
      <c r="DV22" s="53"/>
      <c r="DX22" s="77"/>
      <c r="DZ22" s="207"/>
      <c r="EB22" s="53"/>
      <c r="ED22" s="77"/>
      <c r="EF22" s="207"/>
      <c r="EH22" s="53"/>
      <c r="EJ22" s="77"/>
      <c r="EL22" s="207"/>
      <c r="EN22" s="53"/>
      <c r="EP22" s="77"/>
      <c r="ER22" s="207"/>
      <c r="ET22" s="53"/>
      <c r="EV22" s="77"/>
      <c r="EX22" s="207"/>
      <c r="EZ22" s="53"/>
      <c r="FB22" s="77"/>
      <c r="FD22" s="207"/>
      <c r="FF22" s="53"/>
      <c r="FH22" s="77"/>
      <c r="FJ22" s="207"/>
      <c r="FL22" s="53"/>
      <c r="FN22" s="77"/>
      <c r="FP22" s="207"/>
      <c r="FR22" s="53"/>
      <c r="FT22" s="77"/>
      <c r="FV22" s="207"/>
      <c r="FX22" s="53"/>
      <c r="FZ22" s="77"/>
      <c r="GB22" s="53"/>
      <c r="GD22" s="53"/>
      <c r="GF22" s="77"/>
      <c r="GH22" s="53"/>
      <c r="GJ22" s="53"/>
      <c r="GL22" s="77"/>
      <c r="GN22" s="53"/>
      <c r="GP22" s="53"/>
      <c r="GR22" s="77"/>
      <c r="GT22" s="53"/>
      <c r="GV22" s="53"/>
      <c r="GX22" s="77"/>
      <c r="GZ22" s="53"/>
      <c r="HB22" s="53"/>
      <c r="HD22" s="77"/>
      <c r="HF22" s="53"/>
      <c r="HH22" s="53"/>
      <c r="HJ22" s="77"/>
      <c r="HL22" s="207"/>
      <c r="HN22" s="53"/>
      <c r="HP22" s="77"/>
      <c r="HR22" s="207"/>
      <c r="HT22" s="53"/>
      <c r="HV22" s="77"/>
      <c r="HX22" s="207"/>
      <c r="HZ22" s="53"/>
      <c r="IB22" s="77"/>
      <c r="ID22" s="207"/>
      <c r="IF22" s="53"/>
      <c r="IH22" s="77"/>
      <c r="IJ22" s="207"/>
    </row>
    <row r="23" spans="1:245" s="51" customFormat="1" ht="13.15" x14ac:dyDescent="0.4">
      <c r="D23" s="77"/>
      <c r="F23" s="53"/>
      <c r="G23" s="53"/>
      <c r="H23" s="77"/>
      <c r="I23" s="53"/>
      <c r="J23" s="53"/>
      <c r="K23" s="53"/>
      <c r="L23" s="53"/>
      <c r="N23" s="77"/>
      <c r="P23" s="207"/>
      <c r="Q23" s="53"/>
      <c r="R23" s="53"/>
      <c r="T23" s="91"/>
      <c r="V23" s="121"/>
      <c r="X23" s="53"/>
      <c r="Z23" s="77"/>
      <c r="AB23" s="207"/>
      <c r="AD23" s="53"/>
      <c r="AF23" s="77"/>
      <c r="AH23" s="207"/>
      <c r="AJ23" s="53"/>
      <c r="AL23" s="77"/>
      <c r="AN23" s="207"/>
      <c r="AP23" s="53"/>
      <c r="AR23" s="77"/>
      <c r="AT23" s="207"/>
      <c r="AV23" s="53"/>
      <c r="AX23" s="77"/>
      <c r="AZ23" s="207"/>
      <c r="BB23" s="53"/>
      <c r="BD23" s="77"/>
      <c r="BF23" s="207"/>
      <c r="BH23" s="53"/>
      <c r="BJ23" s="77"/>
      <c r="BL23" s="207"/>
      <c r="BN23" s="53"/>
      <c r="BP23" s="77"/>
      <c r="BR23" s="207"/>
      <c r="BT23" s="53"/>
      <c r="BV23" s="77"/>
      <c r="BX23" s="207"/>
      <c r="BZ23" s="53"/>
      <c r="CB23" s="77"/>
      <c r="CD23" s="207"/>
      <c r="CF23" s="53"/>
      <c r="CH23" s="77"/>
      <c r="CJ23" s="207"/>
      <c r="CL23" s="53"/>
      <c r="CN23" s="77"/>
      <c r="CP23" s="207"/>
      <c r="CR23" s="53"/>
      <c r="CT23" s="77"/>
      <c r="CV23" s="207"/>
      <c r="CX23" s="53"/>
      <c r="CZ23" s="77"/>
      <c r="DB23" s="207"/>
      <c r="DD23" s="53"/>
      <c r="DF23" s="77"/>
      <c r="DH23" s="207"/>
      <c r="DJ23" s="53"/>
      <c r="DL23" s="77"/>
      <c r="DN23" s="207"/>
      <c r="DP23" s="53"/>
      <c r="DR23" s="77"/>
      <c r="DT23" s="207"/>
      <c r="DV23" s="53"/>
      <c r="DX23" s="77"/>
      <c r="DZ23" s="207"/>
      <c r="EB23" s="53"/>
      <c r="ED23" s="77"/>
      <c r="EF23" s="207"/>
      <c r="EH23" s="53"/>
      <c r="EJ23" s="77"/>
      <c r="EL23" s="207"/>
      <c r="EN23" s="53"/>
      <c r="EP23" s="77"/>
      <c r="ER23" s="207"/>
      <c r="ET23" s="53"/>
      <c r="EV23" s="77"/>
      <c r="EX23" s="207"/>
      <c r="EZ23" s="53"/>
      <c r="FB23" s="77"/>
      <c r="FD23" s="207"/>
      <c r="FF23" s="53"/>
      <c r="FH23" s="77"/>
      <c r="FJ23" s="207"/>
      <c r="FL23" s="53"/>
      <c r="FN23" s="77"/>
      <c r="FP23" s="207"/>
      <c r="FR23" s="53"/>
      <c r="FT23" s="77"/>
      <c r="FV23" s="207"/>
      <c r="FX23" s="53"/>
      <c r="FZ23" s="77" t="s">
        <v>148</v>
      </c>
      <c r="GB23" s="230">
        <v>-61279.883887868826</v>
      </c>
      <c r="GD23" s="53"/>
      <c r="GF23" s="77" t="s">
        <v>148</v>
      </c>
      <c r="GH23" s="230">
        <v>-10781.697998109588</v>
      </c>
      <c r="GJ23" s="53"/>
      <c r="GL23" s="77" t="s">
        <v>148</v>
      </c>
      <c r="GN23" s="230">
        <v>13799.85859129667</v>
      </c>
      <c r="GP23" s="53"/>
      <c r="GR23" s="77" t="s">
        <v>148</v>
      </c>
      <c r="GT23" s="230">
        <v>106422.22517480448</v>
      </c>
      <c r="GV23" s="53"/>
      <c r="GX23" s="77" t="s">
        <v>148</v>
      </c>
      <c r="GZ23" s="230">
        <v>44171.572928099646</v>
      </c>
      <c r="HB23" s="53"/>
      <c r="HD23" s="77" t="s">
        <v>148</v>
      </c>
      <c r="HF23" s="230">
        <v>-39395.897561455553</v>
      </c>
      <c r="HH23" s="53"/>
      <c r="HJ23" s="77" t="s">
        <v>148</v>
      </c>
      <c r="HL23" s="230">
        <v>81167.239317796484</v>
      </c>
      <c r="HN23" s="53"/>
      <c r="HP23" s="77"/>
      <c r="HR23" s="230"/>
      <c r="HT23" s="53"/>
      <c r="HV23" s="77"/>
      <c r="HX23" s="230"/>
      <c r="HZ23" s="53"/>
      <c r="IB23" s="77"/>
      <c r="ID23" s="230"/>
      <c r="IF23" s="53"/>
      <c r="IH23" s="77"/>
      <c r="IJ23" s="230"/>
    </row>
    <row r="24" spans="1:245" s="51" customFormat="1" ht="13.15" x14ac:dyDescent="0.4">
      <c r="D24" s="77"/>
      <c r="F24" s="53"/>
      <c r="G24" s="53"/>
      <c r="H24" s="77"/>
      <c r="I24" s="53"/>
      <c r="J24" s="53"/>
      <c r="K24" s="53"/>
      <c r="L24" s="53"/>
      <c r="N24" s="77"/>
      <c r="P24" s="207"/>
      <c r="Q24" s="53"/>
      <c r="R24" s="53"/>
      <c r="T24" s="91"/>
      <c r="V24" s="121"/>
      <c r="X24" s="53"/>
      <c r="Z24" s="77"/>
      <c r="AB24" s="207"/>
      <c r="AD24" s="53"/>
      <c r="AF24" s="77"/>
      <c r="AH24" s="207"/>
      <c r="AJ24" s="53"/>
      <c r="AL24" s="77"/>
      <c r="AN24" s="207"/>
      <c r="AP24" s="53"/>
      <c r="AR24" s="77"/>
      <c r="AT24" s="207"/>
      <c r="AV24" s="53"/>
      <c r="AX24" s="77"/>
      <c r="AZ24" s="207"/>
      <c r="BB24" s="53"/>
      <c r="BD24" s="77"/>
      <c r="BF24" s="207"/>
      <c r="BH24" s="53"/>
      <c r="BJ24" s="77"/>
      <c r="BL24" s="207"/>
      <c r="BN24" s="53"/>
      <c r="BP24" s="77"/>
      <c r="BR24" s="207"/>
      <c r="BT24" s="53"/>
      <c r="BV24" s="77"/>
      <c r="BX24" s="207"/>
      <c r="BZ24" s="53"/>
      <c r="CB24" s="77"/>
      <c r="CD24" s="207"/>
      <c r="CF24" s="53"/>
      <c r="CH24" s="77"/>
      <c r="CJ24" s="207"/>
      <c r="CL24" s="53"/>
      <c r="CN24" s="77"/>
      <c r="CP24" s="207"/>
      <c r="CR24" s="53"/>
      <c r="CT24" s="77"/>
      <c r="CV24" s="207"/>
      <c r="CX24" s="53"/>
      <c r="CZ24" s="77"/>
      <c r="DB24" s="207"/>
      <c r="DD24" s="53"/>
      <c r="DF24" s="77"/>
      <c r="DH24" s="207"/>
      <c r="DJ24" s="53"/>
      <c r="DL24" s="77"/>
      <c r="DN24" s="207"/>
      <c r="DP24" s="53"/>
      <c r="DR24" s="77"/>
      <c r="DT24" s="207"/>
      <c r="DV24" s="53"/>
      <c r="DX24" s="77"/>
      <c r="DZ24" s="207"/>
      <c r="EB24" s="53"/>
      <c r="ED24" s="77"/>
      <c r="EF24" s="207"/>
      <c r="EH24" s="53"/>
      <c r="EJ24" s="77"/>
      <c r="EL24" s="207"/>
      <c r="EN24" s="53"/>
      <c r="EP24" s="77"/>
      <c r="ER24" s="207"/>
      <c r="ET24" s="53"/>
      <c r="EV24" s="77"/>
      <c r="EX24" s="207"/>
      <c r="EZ24" s="53"/>
      <c r="FB24" s="77" t="s">
        <v>133</v>
      </c>
      <c r="FD24" s="207"/>
      <c r="FF24" s="53"/>
      <c r="FH24" s="77" t="s">
        <v>133</v>
      </c>
      <c r="FJ24" s="207">
        <v>0.28889999999999999</v>
      </c>
      <c r="FL24" s="53"/>
      <c r="FN24" s="77" t="s">
        <v>133</v>
      </c>
      <c r="FP24" s="207">
        <v>7.4399999999999994E-2</v>
      </c>
      <c r="FR24" s="53"/>
      <c r="FT24" s="77" t="s">
        <v>133</v>
      </c>
      <c r="FV24" s="207">
        <v>5.5399999999999998E-2</v>
      </c>
      <c r="FX24" s="53"/>
      <c r="FZ24" s="77" t="s">
        <v>133</v>
      </c>
      <c r="GB24" s="207">
        <v>-0.44190000000000002</v>
      </c>
      <c r="GD24" s="53"/>
      <c r="GF24" s="77" t="s">
        <v>133</v>
      </c>
      <c r="GH24" s="207">
        <v>-9.8699999999999996E-2</v>
      </c>
      <c r="GJ24" s="53"/>
      <c r="GL24" s="77" t="s">
        <v>133</v>
      </c>
      <c r="GN24" s="207">
        <v>0.1235</v>
      </c>
      <c r="GP24" s="53"/>
      <c r="GR24" s="77" t="s">
        <v>133</v>
      </c>
      <c r="GT24" s="207">
        <v>0.9224</v>
      </c>
      <c r="GV24" s="53"/>
      <c r="GX24" s="77" t="s">
        <v>133</v>
      </c>
      <c r="GZ24" s="207">
        <v>0.38279999999999997</v>
      </c>
      <c r="HB24" s="53"/>
      <c r="HD24" s="77" t="s">
        <v>133</v>
      </c>
      <c r="HF24" s="207">
        <v>-0.39950000000000002</v>
      </c>
      <c r="HH24" s="53"/>
      <c r="HJ24" s="77" t="s">
        <v>133</v>
      </c>
      <c r="HL24" s="207">
        <v>0</v>
      </c>
      <c r="HN24" s="53"/>
      <c r="HP24" s="77" t="s">
        <v>133</v>
      </c>
      <c r="HR24" s="207">
        <v>0.24979999999999999</v>
      </c>
      <c r="HT24" s="53"/>
      <c r="HV24" s="77"/>
      <c r="HX24" s="207"/>
      <c r="HZ24" s="53"/>
      <c r="IB24" s="77"/>
      <c r="ID24" s="207"/>
      <c r="IF24" s="53"/>
      <c r="IH24" s="77"/>
      <c r="IJ24" s="207"/>
    </row>
    <row r="25" spans="1:245" s="51" customFormat="1" ht="13.15" x14ac:dyDescent="0.4">
      <c r="F25" s="53"/>
      <c r="G25" s="53"/>
      <c r="H25" s="77"/>
      <c r="I25" s="53"/>
      <c r="J25" s="53"/>
      <c r="K25" s="53"/>
      <c r="L25" s="53"/>
      <c r="N25" s="77"/>
      <c r="P25" s="78"/>
      <c r="Q25" s="53"/>
      <c r="R25" s="53"/>
      <c r="T25" s="77"/>
      <c r="V25" s="78"/>
      <c r="X25" s="53"/>
      <c r="Z25" s="77"/>
      <c r="AB25" s="78"/>
      <c r="AD25" s="53"/>
      <c r="AF25" s="77"/>
      <c r="AH25" s="78"/>
      <c r="AJ25" s="53"/>
      <c r="AL25" s="77"/>
      <c r="AN25" s="78"/>
      <c r="AP25" s="53"/>
      <c r="AR25" s="77"/>
      <c r="AT25" s="78"/>
      <c r="AV25" s="53"/>
      <c r="AX25" s="77"/>
      <c r="AZ25" s="78"/>
      <c r="BB25" s="53"/>
      <c r="BD25" s="77"/>
      <c r="BF25" s="78"/>
      <c r="BH25" s="53"/>
      <c r="BJ25" s="77"/>
      <c r="BL25" s="78"/>
      <c r="BN25" s="53"/>
      <c r="BP25" s="77"/>
      <c r="BR25" s="78"/>
      <c r="BT25" s="53"/>
      <c r="BV25" s="77"/>
      <c r="BX25" s="78"/>
      <c r="BZ25" s="53"/>
      <c r="CB25" s="77"/>
      <c r="CD25" s="78"/>
      <c r="CF25" s="53"/>
      <c r="CH25" s="77"/>
      <c r="CJ25" s="78"/>
      <c r="CL25" s="53"/>
      <c r="CN25" s="77"/>
      <c r="CP25" s="78"/>
      <c r="CR25" s="53"/>
      <c r="CT25" s="77"/>
      <c r="CV25" s="78"/>
      <c r="CX25" s="53"/>
      <c r="CZ25" s="77"/>
      <c r="DB25" s="78"/>
      <c r="DD25" s="53"/>
      <c r="DF25" s="77"/>
      <c r="DH25" s="78"/>
      <c r="DJ25" s="53"/>
      <c r="DL25" s="77"/>
      <c r="DN25" s="78"/>
      <c r="DP25" s="53"/>
      <c r="DR25" s="77"/>
      <c r="DT25" s="78"/>
      <c r="DV25" s="53"/>
      <c r="DX25" s="77"/>
      <c r="DZ25" s="78"/>
      <c r="EB25" s="53"/>
      <c r="ED25" s="77"/>
      <c r="EF25" s="78"/>
      <c r="EH25" s="53"/>
      <c r="EJ25" s="77"/>
      <c r="EL25" s="78"/>
      <c r="EN25" s="53"/>
      <c r="EP25" s="77"/>
      <c r="ER25" s="78"/>
      <c r="ET25" s="53"/>
      <c r="EV25" s="77"/>
      <c r="EX25" s="78"/>
      <c r="EZ25" s="53"/>
      <c r="FB25" s="77"/>
      <c r="FD25" s="78"/>
      <c r="FF25" s="53"/>
      <c r="FH25" s="77"/>
      <c r="FJ25" s="78"/>
      <c r="FL25" s="53"/>
      <c r="FN25" s="77"/>
      <c r="FP25" s="78"/>
      <c r="FR25" s="53"/>
      <c r="FT25" s="77"/>
      <c r="FV25" s="78"/>
      <c r="FX25" s="53"/>
      <c r="FZ25" s="77"/>
      <c r="GD25" s="53"/>
      <c r="GF25" s="77"/>
      <c r="GJ25" s="53"/>
      <c r="GL25" s="77"/>
      <c r="GP25" s="53"/>
      <c r="GR25" s="77"/>
      <c r="GU25" s="221"/>
      <c r="GV25" s="230"/>
      <c r="GW25" s="221"/>
      <c r="GX25" s="229"/>
      <c r="GY25" s="221"/>
      <c r="HA25" s="221"/>
      <c r="HB25" s="230"/>
      <c r="HC25" s="221"/>
      <c r="HD25" s="229"/>
      <c r="HE25" s="221"/>
      <c r="HG25" s="221"/>
      <c r="HH25" s="230"/>
      <c r="HI25" s="221"/>
      <c r="HJ25" s="229"/>
      <c r="HK25" s="221"/>
      <c r="HN25" s="230"/>
      <c r="HO25" s="221"/>
      <c r="HP25" s="229"/>
      <c r="HQ25" s="221"/>
      <c r="HT25" s="230"/>
      <c r="HU25" s="221"/>
      <c r="HV25" s="229"/>
      <c r="HW25" s="221"/>
      <c r="HZ25" s="230"/>
      <c r="IA25" s="221"/>
      <c r="IB25" s="229"/>
      <c r="IC25" s="221"/>
      <c r="IF25" s="230"/>
      <c r="IG25" s="221"/>
      <c r="IH25" s="229"/>
      <c r="II25" s="221"/>
    </row>
    <row r="26" spans="1:245" ht="13.15" x14ac:dyDescent="0.4">
      <c r="A26" s="7" t="s">
        <v>38</v>
      </c>
      <c r="F26" s="24"/>
      <c r="G26" s="24"/>
      <c r="H26" s="24"/>
      <c r="I26" s="24"/>
      <c r="J26" s="24"/>
      <c r="K26" s="53"/>
      <c r="L26" s="24"/>
      <c r="Q26" s="53"/>
      <c r="R26" s="24"/>
      <c r="W26" s="51"/>
      <c r="X26" s="24"/>
      <c r="AC26" s="51"/>
      <c r="AD26" s="24"/>
      <c r="AI26" s="51"/>
      <c r="AJ26" s="24"/>
      <c r="AO26" s="51"/>
      <c r="AP26" s="24"/>
      <c r="AU26" s="51"/>
      <c r="AV26" s="24"/>
      <c r="BA26" s="51"/>
      <c r="BB26" s="24"/>
      <c r="BG26" s="51"/>
      <c r="BH26" s="24"/>
      <c r="BM26" s="51"/>
      <c r="BN26" s="24"/>
      <c r="BS26" s="51"/>
      <c r="BT26" s="24"/>
      <c r="BY26" s="51"/>
      <c r="BZ26" s="24"/>
      <c r="CE26" s="51"/>
      <c r="CF26" s="24"/>
      <c r="CK26" s="51"/>
      <c r="CL26" s="24"/>
      <c r="CQ26" s="51"/>
      <c r="CR26" s="24"/>
      <c r="CW26" s="51"/>
      <c r="CX26" s="24"/>
      <c r="DC26" s="51"/>
      <c r="DD26" s="24"/>
      <c r="DI26" s="51"/>
      <c r="DJ26" s="24"/>
      <c r="DO26" s="51"/>
      <c r="DP26" s="24"/>
      <c r="DU26" s="51"/>
      <c r="DV26" s="24"/>
      <c r="EA26" s="51"/>
      <c r="EB26" s="24"/>
      <c r="EG26" s="51"/>
      <c r="EH26" s="24"/>
      <c r="EM26" s="51"/>
      <c r="EN26" s="24"/>
      <c r="ES26" s="51"/>
      <c r="ET26" s="24"/>
      <c r="EY26" s="51"/>
      <c r="EZ26" s="24"/>
      <c r="FE26" s="51"/>
      <c r="FF26" s="24"/>
      <c r="FK26" s="51"/>
      <c r="FL26" s="24"/>
      <c r="FQ26" s="51"/>
      <c r="FR26" s="24"/>
      <c r="FW26" s="51"/>
      <c r="FX26" s="24" t="s">
        <v>184</v>
      </c>
      <c r="FZ26" s="77" t="s">
        <v>185</v>
      </c>
      <c r="GC26" s="51"/>
      <c r="GD26" s="24"/>
      <c r="GI26" s="51"/>
      <c r="GJ26" s="24"/>
      <c r="GO26" s="51"/>
      <c r="GP26" s="24"/>
      <c r="GU26" s="51"/>
      <c r="GV26" s="24"/>
      <c r="GW26" s="175"/>
      <c r="GX26" s="175"/>
      <c r="GY26" s="175"/>
      <c r="GZ26" s="175"/>
      <c r="HA26" s="51"/>
      <c r="HB26" s="24"/>
      <c r="HG26" s="51"/>
      <c r="HH26" s="24"/>
      <c r="HN26" s="24"/>
      <c r="HT26" s="24"/>
      <c r="HZ26" s="24"/>
      <c r="IF26" s="24"/>
    </row>
    <row r="27" spans="1:245" s="51" customFormat="1" x14ac:dyDescent="0.35">
      <c r="C27" s="209" t="s">
        <v>135</v>
      </c>
      <c r="F27" s="53"/>
      <c r="G27" s="53"/>
      <c r="H27" s="53"/>
      <c r="I27" s="53"/>
      <c r="J27" s="75">
        <v>8095.8</v>
      </c>
      <c r="K27" s="53"/>
      <c r="L27" s="75">
        <v>7546.7</v>
      </c>
      <c r="N27" s="41">
        <v>3309</v>
      </c>
      <c r="P27" s="41">
        <v>1867</v>
      </c>
      <c r="Q27" s="53"/>
      <c r="R27" s="41">
        <f>1301+254</f>
        <v>1555</v>
      </c>
      <c r="T27" s="41">
        <f>1129+104</f>
        <v>1233</v>
      </c>
      <c r="V27" s="41">
        <f>736+30</f>
        <v>766</v>
      </c>
      <c r="X27" s="41">
        <f>X11+((176+1229)/10)</f>
        <v>1017.6</v>
      </c>
      <c r="Y27"/>
      <c r="Z27" s="41">
        <f>Z11+((147+1144)/10)</f>
        <v>939.1</v>
      </c>
      <c r="AA27"/>
      <c r="AB27" s="41">
        <f>AB11+((547+1329+44)/10)</f>
        <v>1445.3</v>
      </c>
      <c r="AD27" s="41">
        <f>AD11+((1390+4469+674)/10)</f>
        <v>3255.5</v>
      </c>
      <c r="AE27"/>
      <c r="AF27" s="41">
        <f>AF11+((2233+6707+2507)/10)</f>
        <v>4480</v>
      </c>
      <c r="AG27"/>
      <c r="AH27" s="41">
        <f>AH11+((3218+10655+3478)/10)</f>
        <v>6869.4</v>
      </c>
      <c r="AJ27" s="41">
        <f>AJ11+((2409+6631+2842)/10)</f>
        <v>4849</v>
      </c>
      <c r="AK27"/>
      <c r="AL27" s="41">
        <f>AL11+((1049+2351+565)/10)</f>
        <v>2325.1999999999998</v>
      </c>
      <c r="AM27"/>
      <c r="AN27" s="41">
        <f>AN11+((528+803+126)/10)</f>
        <v>1322.3</v>
      </c>
      <c r="AP27" s="41">
        <f>AP11+((1201)/10)</f>
        <v>1373.1</v>
      </c>
      <c r="AQ27" s="175"/>
      <c r="AR27" s="41">
        <f>AR11+((545)/10)</f>
        <v>934.6</v>
      </c>
      <c r="AS27" s="175"/>
      <c r="AT27" s="41">
        <f>AT11+((499)/10)</f>
        <v>1095.5</v>
      </c>
      <c r="AV27" s="41">
        <f>AV11+((384)/10)</f>
        <v>1265.7</v>
      </c>
      <c r="AW27" s="175"/>
      <c r="AX27" s="41">
        <f>AX11+((792)/10)</f>
        <v>1127.9000000000001</v>
      </c>
      <c r="AY27" s="175"/>
      <c r="AZ27" s="41">
        <f>AZ11+((1877)/10)</f>
        <v>2000.5</v>
      </c>
      <c r="BB27" s="41">
        <f>BB11+((9300)/10)</f>
        <v>4602.7</v>
      </c>
      <c r="BC27" s="175"/>
      <c r="BD27" s="41">
        <f>BD11+((8797)/10)</f>
        <v>3733.2</v>
      </c>
      <c r="BE27" s="175"/>
      <c r="BF27" s="41">
        <f>BF11+((19402)/10)</f>
        <v>8012.7</v>
      </c>
      <c r="BH27" s="41">
        <f>BH11+((16019)/10)</f>
        <v>5906.2000000000007</v>
      </c>
      <c r="BI27" s="175"/>
      <c r="BJ27" s="41">
        <f>BJ11+((13534)/10)</f>
        <v>6733.5</v>
      </c>
      <c r="BK27" s="175"/>
      <c r="BL27" s="41">
        <f>BL11+((9154)/10)</f>
        <v>3446.3</v>
      </c>
      <c r="BN27" s="41">
        <f>BN11+((1947)/10)</f>
        <v>1797.7</v>
      </c>
      <c r="BO27" s="175"/>
      <c r="BP27" s="41">
        <f>BP11+((1498)/10)</f>
        <v>1061</v>
      </c>
      <c r="BQ27" s="175"/>
      <c r="BR27" s="41">
        <f>BR11+((1210)/10)</f>
        <v>930.8</v>
      </c>
      <c r="BT27" s="41">
        <f>BT11+((1087)/10)</f>
        <v>1155.9000000000001</v>
      </c>
      <c r="BU27" s="175"/>
      <c r="BV27" s="41">
        <f>BV11+((1312)/10)</f>
        <v>1181.9000000000001</v>
      </c>
      <c r="BW27" s="175"/>
      <c r="BX27" s="41">
        <f>BX11+((5127)/10)</f>
        <v>2131.1000000000004</v>
      </c>
      <c r="BZ27" s="41">
        <f>BZ11+((10204)/10)</f>
        <v>3354.4</v>
      </c>
      <c r="CA27" s="175"/>
      <c r="CB27" s="41">
        <f>CB11+((18974)/10)</f>
        <v>5803.4</v>
      </c>
      <c r="CC27" s="175"/>
      <c r="CD27" s="41">
        <f>CD11+((31862)/10)</f>
        <v>9651.2000000000007</v>
      </c>
      <c r="CF27" s="41">
        <f>CF11+((19263)/10)</f>
        <v>7636.3</v>
      </c>
      <c r="CG27" s="175"/>
      <c r="CH27" s="41">
        <f>CH11+((18657)/10)</f>
        <v>5827.7</v>
      </c>
      <c r="CI27" s="175"/>
      <c r="CJ27" s="41">
        <f>CJ11+((5198)/10)</f>
        <v>2695.8</v>
      </c>
      <c r="CL27" s="41">
        <f>CL11+((2837)/10)</f>
        <v>1320.7</v>
      </c>
      <c r="CM27" s="175"/>
      <c r="CN27" s="41">
        <f>CN11+((1769)/10)</f>
        <v>1175.9000000000001</v>
      </c>
      <c r="CO27" s="175"/>
      <c r="CP27" s="41">
        <f>CP11+((2174)/10)</f>
        <v>1174.4000000000001</v>
      </c>
      <c r="CR27" s="41">
        <f>CR11+((1727)/10)</f>
        <v>1026.7</v>
      </c>
      <c r="CS27" s="175"/>
      <c r="CT27" s="41">
        <f>CT11+((2481)/10)</f>
        <v>1217.0999999999999</v>
      </c>
      <c r="CU27" s="175"/>
      <c r="CV27" s="41">
        <f>CV11+((2328)/10)</f>
        <v>1981.8</v>
      </c>
      <c r="CX27" s="41">
        <f>CX11+((13986)/10)</f>
        <v>4650.6000000000004</v>
      </c>
      <c r="CY27" s="175"/>
      <c r="CZ27" s="41">
        <f>CZ11+((17519)/10)</f>
        <v>6161.9</v>
      </c>
      <c r="DA27" s="175"/>
      <c r="DB27" s="41">
        <f>DB11+((23338)/10)</f>
        <v>11379.8</v>
      </c>
      <c r="DD27" s="41">
        <f>DD11+((29751)/10)</f>
        <v>14842.1</v>
      </c>
      <c r="DE27" s="175"/>
      <c r="DF27" s="41">
        <f>DF11+((16558)/10)</f>
        <v>15006.8</v>
      </c>
      <c r="DG27" s="175"/>
      <c r="DH27" s="41">
        <f>DH11+((4218)/10)</f>
        <v>9536.7999999999993</v>
      </c>
      <c r="DJ27" s="41">
        <f>DJ11+((1814)/10)</f>
        <v>8905.4</v>
      </c>
      <c r="DK27" s="175"/>
      <c r="DL27" s="41">
        <f>DL11+((1197)/10)</f>
        <v>6591.7</v>
      </c>
      <c r="DM27" s="175"/>
      <c r="DN27" s="41">
        <f>DN11+((806)/10)</f>
        <v>6142.6</v>
      </c>
      <c r="DP27" s="41">
        <f>DP11+((862)/10)</f>
        <v>5234.2</v>
      </c>
      <c r="DQ27" s="175"/>
      <c r="DR27" s="41">
        <f>DR11+((1400)/10)</f>
        <v>5702</v>
      </c>
      <c r="DS27" s="175"/>
      <c r="DT27" s="41">
        <f>DT11+((3919)/10)</f>
        <v>8330.9</v>
      </c>
      <c r="DV27" s="41">
        <f>DV11+((6285)/10)</f>
        <v>9349.5</v>
      </c>
      <c r="DW27" s="175"/>
      <c r="DX27" s="41">
        <f>DX11+((11516)/10)</f>
        <v>8194.6</v>
      </c>
      <c r="DY27" s="175"/>
      <c r="DZ27" s="41">
        <f>DZ11+((19002)/10)</f>
        <v>12915.2</v>
      </c>
      <c r="EB27" s="41">
        <f>EB11+((18765)/10)</f>
        <v>11985.5</v>
      </c>
      <c r="EC27" s="175"/>
      <c r="ED27" s="41">
        <f>ED11+((17586)/10)</f>
        <v>11098.6</v>
      </c>
      <c r="EE27" s="175"/>
      <c r="EF27" s="41">
        <f>EF11+((5628)/10)</f>
        <v>8356.7999999999993</v>
      </c>
      <c r="EH27" s="41">
        <f>EH11+((3187)/10)</f>
        <v>5792.7</v>
      </c>
      <c r="EI27" s="175"/>
      <c r="EJ27" s="41">
        <f>EJ11+((1978)/10)</f>
        <v>4975.8</v>
      </c>
      <c r="EK27" s="175"/>
      <c r="EL27" s="41">
        <f>EL11+((1929)/10)</f>
        <v>4786.8999999999996</v>
      </c>
      <c r="EN27" s="41">
        <f>EN11+((1547)/10)</f>
        <v>4616.7</v>
      </c>
      <c r="EO27" s="175"/>
      <c r="EP27" s="41">
        <f>EP11+((1879)/10)</f>
        <v>5692.9</v>
      </c>
      <c r="EQ27" s="175"/>
      <c r="ER27" s="41">
        <f>ER11+((2045)/10)</f>
        <v>5669.5</v>
      </c>
      <c r="ET27" s="41">
        <f>ET11+((5125)/10)</f>
        <v>7875.5</v>
      </c>
      <c r="EU27" s="175"/>
      <c r="EV27" s="41">
        <f>EV11+((23550)/10)</f>
        <v>11181</v>
      </c>
      <c r="EW27" s="175"/>
      <c r="EX27" s="41">
        <f>EX11+((15989)/10)</f>
        <v>9232.9</v>
      </c>
      <c r="EZ27" s="41">
        <f>EZ11+((15200)/10)</f>
        <v>7913</v>
      </c>
      <c r="FA27" s="175"/>
      <c r="FB27" s="41">
        <f>FB11+((12107)/10)</f>
        <v>8984.7000000000007</v>
      </c>
      <c r="FC27" s="175"/>
      <c r="FD27" s="41">
        <f>FD11+((4662)/10)</f>
        <v>7116.2</v>
      </c>
      <c r="FF27" s="41">
        <f>FF11+((4297)/10)</f>
        <v>4410.7</v>
      </c>
      <c r="FG27" s="175"/>
      <c r="FH27" s="41">
        <f>FH11+((1581)/10)</f>
        <v>3617.1</v>
      </c>
      <c r="FI27" s="175"/>
      <c r="FJ27" s="41">
        <f>FJ11+((2123)/10)</f>
        <v>2916.3</v>
      </c>
      <c r="FL27" s="41">
        <f>FL11+((1771)/10)</f>
        <v>5160.1000000000004</v>
      </c>
      <c r="FM27" s="175"/>
      <c r="FN27" s="41">
        <f>FN11+((2887)/10)</f>
        <v>6725.7</v>
      </c>
      <c r="FO27" s="175"/>
      <c r="FP27" s="41">
        <f>FP11+((7254)/10)</f>
        <v>7031.4</v>
      </c>
      <c r="FR27" s="41">
        <f>FR11+((9604)/10)</f>
        <v>11829.4</v>
      </c>
      <c r="FS27" s="175"/>
      <c r="FT27" s="41">
        <f>FT11+((20232)/10)</f>
        <v>14739.2</v>
      </c>
      <c r="FU27" s="175"/>
      <c r="FV27" s="41">
        <f>FV11+((41448)/10)</f>
        <v>16450.8</v>
      </c>
      <c r="FX27" s="41">
        <f>FX11+((FX30)/10)</f>
        <v>14259.6</v>
      </c>
      <c r="FY27" s="175"/>
      <c r="FZ27" s="41">
        <f>FZ11+((FZ30)/10)</f>
        <v>15273.4</v>
      </c>
      <c r="GA27" s="175"/>
      <c r="GB27" s="41">
        <f>GB11+((GB30)/10)</f>
        <v>11723.6</v>
      </c>
      <c r="GD27" s="41">
        <f>GD11+((GD30)/10)</f>
        <v>7291.9</v>
      </c>
      <c r="GE27" s="175"/>
      <c r="GF27" s="41">
        <f>GF11+((GF30)/10)</f>
        <v>6924.1</v>
      </c>
      <c r="GG27" s="175"/>
      <c r="GH27" s="41">
        <f>GH11+((GH30)/10)</f>
        <v>5905.1</v>
      </c>
      <c r="GJ27" s="41">
        <f>GJ11+((GJ30)/10)</f>
        <v>7185.9</v>
      </c>
      <c r="GK27" s="175"/>
      <c r="GL27" s="41">
        <f>GL11+((GL30)/10)</f>
        <v>6328.9000000000005</v>
      </c>
      <c r="GM27" s="175"/>
      <c r="GN27" s="41">
        <f>GN11+((GN30)/10)</f>
        <v>7534.4000000000005</v>
      </c>
      <c r="GP27" s="41">
        <f>GP11+((GP30)/10)</f>
        <v>13706.5</v>
      </c>
      <c r="GQ27" s="175"/>
      <c r="GR27" s="41">
        <f>GR11+((GR30)/10)</f>
        <v>14156.1</v>
      </c>
      <c r="GS27" s="175"/>
      <c r="GT27" s="41">
        <f>GT11+((GT30)/10)</f>
        <v>12461.1</v>
      </c>
      <c r="GV27" s="41">
        <f>GV11+((GV30)/10)</f>
        <v>16501.400000000001</v>
      </c>
      <c r="GW27" s="175"/>
      <c r="GX27" s="41">
        <f>GX11+((GX30)/10)</f>
        <v>14529.3</v>
      </c>
      <c r="GY27" s="175"/>
      <c r="GZ27" s="41">
        <f>GZ11+((GZ30)/10)</f>
        <v>10112.1</v>
      </c>
      <c r="HB27" s="41">
        <f>HB11+((HB30)/10)</f>
        <v>9599.5</v>
      </c>
      <c r="HC27" s="175"/>
      <c r="HD27" s="41">
        <f>HD11+((HD30)/10)</f>
        <v>6671</v>
      </c>
      <c r="HE27" s="175"/>
      <c r="HF27" s="41">
        <f>HF11+((HF30)/10)</f>
        <v>6367.5</v>
      </c>
      <c r="HH27" s="41">
        <f>HH11+((HH30)/10)</f>
        <v>7024.1</v>
      </c>
      <c r="HI27" s="175"/>
      <c r="HJ27" s="41">
        <f>HJ11+((HJ30)/10)</f>
        <v>4739.3</v>
      </c>
      <c r="HK27" s="175"/>
      <c r="HL27" s="41">
        <f>HL11+((HL30)/10)</f>
        <v>6207.7</v>
      </c>
      <c r="HN27" s="201">
        <f>HN11+((+HN29)/10)</f>
        <v>13448.900000000001</v>
      </c>
      <c r="HO27" s="175"/>
      <c r="HP27" s="201">
        <f>HP11+((+HP29)/10)</f>
        <v>13067.199999999999</v>
      </c>
      <c r="HQ27" s="175"/>
      <c r="HR27" s="201">
        <f>HR11+((+HR29)/10)</f>
        <v>14144.5</v>
      </c>
      <c r="HT27" s="201">
        <f>HT11+((+HT29)/10)</f>
        <v>13705.2</v>
      </c>
      <c r="HU27" s="175"/>
      <c r="HV27" s="201">
        <f>HV11+((+HV29)/10)</f>
        <v>13670.900000000001</v>
      </c>
      <c r="HW27" s="175"/>
      <c r="HX27" s="201">
        <f>HX11+((+HX29)/10)</f>
        <v>10724.7</v>
      </c>
      <c r="HZ27" s="201">
        <f>HZ11+((+HZ29)/10)</f>
        <v>7581.7</v>
      </c>
      <c r="IA27" s="175"/>
      <c r="IB27" s="201">
        <f>IB11+((+IB29)/10)</f>
        <v>0</v>
      </c>
      <c r="IC27" s="175"/>
      <c r="ID27" s="201">
        <f>ID11+((+ID29)/10)</f>
        <v>0</v>
      </c>
      <c r="IF27" s="201">
        <f>IF11+((+IF29)/10)</f>
        <v>0</v>
      </c>
      <c r="IG27" s="175"/>
      <c r="IH27" s="201">
        <f>IH11+((+IH29)/10)</f>
        <v>0</v>
      </c>
      <c r="II27" s="175"/>
      <c r="IJ27" s="201">
        <f>IJ11+((+IJ29)/10)</f>
        <v>0</v>
      </c>
    </row>
    <row r="28" spans="1:245" s="51" customFormat="1" x14ac:dyDescent="0.35">
      <c r="C28" s="55" t="s">
        <v>42</v>
      </c>
      <c r="F28" s="53"/>
      <c r="G28" s="53"/>
      <c r="H28" s="53"/>
      <c r="I28" s="53"/>
      <c r="J28" s="56">
        <f>J11/J27</f>
        <v>0.71889127695842292</v>
      </c>
      <c r="K28" s="53"/>
      <c r="L28" s="56">
        <f>L11/L27</f>
        <v>0.84898034902672692</v>
      </c>
      <c r="N28" s="56">
        <f>N11/N27</f>
        <v>0.824085826533696</v>
      </c>
      <c r="P28" s="56">
        <f>P11/P27</f>
        <v>0.89614354579539368</v>
      </c>
      <c r="Q28" s="53"/>
      <c r="R28" s="56">
        <f>R11/R27</f>
        <v>0.83646302250803861</v>
      </c>
      <c r="T28" s="56">
        <f>T11/T27</f>
        <v>0.91549067315490673</v>
      </c>
      <c r="V28" s="56">
        <f>V11/V27</f>
        <v>0.96527415143603135</v>
      </c>
      <c r="X28" s="56">
        <f>X11/X27</f>
        <v>0.8619300314465409</v>
      </c>
      <c r="Z28" s="56">
        <f>Z11/Z27</f>
        <v>0.86252795229475032</v>
      </c>
      <c r="AB28" s="56">
        <f>AB11/AB27</f>
        <v>0.86715560783228396</v>
      </c>
      <c r="AD28" s="56">
        <f>AD11/AD27</f>
        <v>0.79932422054983865</v>
      </c>
      <c r="AF28" s="56">
        <f>AF11/AF27</f>
        <v>0.74448660714285719</v>
      </c>
      <c r="AH28" s="56">
        <f>AH11/AH27</f>
        <v>0.74741607709552516</v>
      </c>
      <c r="AJ28" s="56">
        <f>AJ11/AJ27</f>
        <v>0.7549597855227882</v>
      </c>
      <c r="AL28" s="56">
        <f>AL11/AL27</f>
        <v>0.82947703423361441</v>
      </c>
      <c r="AN28" s="56">
        <f>AN11/AN27</f>
        <v>0.88981320426529531</v>
      </c>
      <c r="AP28" s="56">
        <f>AP11/AP27</f>
        <v>0.91253368290729009</v>
      </c>
      <c r="AR28" s="56">
        <f>AR11/AR27</f>
        <v>0.94168628290177614</v>
      </c>
      <c r="AT28" s="56">
        <f>AT11/AT27</f>
        <v>0.95445002282062974</v>
      </c>
      <c r="AV28" s="56">
        <f>AV11/AV27</f>
        <v>0.9696610571225408</v>
      </c>
      <c r="AX28" s="56">
        <f>AX11/AX27</f>
        <v>0.92978100895469451</v>
      </c>
      <c r="AZ28" s="56">
        <f>AZ11/AZ27</f>
        <v>0.90617345663584103</v>
      </c>
      <c r="BB28" s="56">
        <f>BB11/BB27</f>
        <v>0.79794468464162338</v>
      </c>
      <c r="BD28" s="56">
        <f>BD11/BD27</f>
        <v>0.76435765563055824</v>
      </c>
      <c r="BF28" s="56">
        <f>BF11/BF27</f>
        <v>0.75785939820534898</v>
      </c>
      <c r="BH28" s="56">
        <f>BH11/BH27</f>
        <v>0.72877653990721614</v>
      </c>
      <c r="BJ28" s="56">
        <f>BJ11/BJ27</f>
        <v>0.79900497512437818</v>
      </c>
      <c r="BL28" s="56">
        <f>BL11/BL27</f>
        <v>0.73438180077184223</v>
      </c>
      <c r="BN28" s="56">
        <f>BN11/BN27</f>
        <v>0.89169494353896639</v>
      </c>
      <c r="BP28" s="56">
        <f>BP11/BP27</f>
        <v>0.85881244109330823</v>
      </c>
      <c r="BR28" s="56">
        <f>BR11/BR27</f>
        <v>0.87000429737859908</v>
      </c>
      <c r="BT28" s="56">
        <f>BT11/BT27</f>
        <v>0.90596072324595545</v>
      </c>
      <c r="BV28" s="56">
        <f>BV11/BV27</f>
        <v>0.88899230053304001</v>
      </c>
      <c r="BX28" s="56">
        <f>BX11/BX27</f>
        <v>0.75942001783116697</v>
      </c>
      <c r="BZ28" s="56">
        <f>BZ11/BZ27</f>
        <v>0.69580252802289533</v>
      </c>
      <c r="CB28" s="56">
        <f>CB11/CB27</f>
        <v>0.67305372712547817</v>
      </c>
      <c r="CD28" s="56">
        <f>CD11/CD27</f>
        <v>0.6698648872679045</v>
      </c>
      <c r="CF28" s="56">
        <f>CF11/CF27</f>
        <v>0.74774432644081557</v>
      </c>
      <c r="CH28" s="56">
        <f>CH11/CH27</f>
        <v>0.679856547179848</v>
      </c>
      <c r="CJ28" s="56">
        <f>CJ11/CJ27</f>
        <v>0.80718154165739298</v>
      </c>
      <c r="CL28" s="56">
        <f>CL11/CL27</f>
        <v>0.78518967214356017</v>
      </c>
      <c r="CN28" s="56">
        <f>CN11/CN27</f>
        <v>0.84956203758823023</v>
      </c>
      <c r="CP28" s="56">
        <f>CP11/CP27</f>
        <v>0.81488419618528607</v>
      </c>
      <c r="CR28" s="56">
        <f>CR11/CR27</f>
        <v>0.83179117561118143</v>
      </c>
      <c r="CT28" s="56">
        <f>CT11/CT27</f>
        <v>0.79615479418289381</v>
      </c>
      <c r="CV28" s="56">
        <f>CV11/CV27</f>
        <v>0.88253103239479258</v>
      </c>
      <c r="CX28" s="56">
        <f>CX11/CX27</f>
        <v>0.69926461101793314</v>
      </c>
      <c r="CZ28" s="56">
        <f>CZ11/CZ27</f>
        <v>0.71568834288125416</v>
      </c>
      <c r="DB28" s="56">
        <f>DB11/DB27</f>
        <v>0.79491730961879825</v>
      </c>
      <c r="DD28" s="56">
        <f>DD11/DD27</f>
        <v>0.79954992891841448</v>
      </c>
      <c r="DF28" s="56">
        <f>DF11/DF27</f>
        <v>0.88966335261348195</v>
      </c>
      <c r="DH28" s="56">
        <f>DH11/DH27</f>
        <v>0.95577132790873254</v>
      </c>
      <c r="DJ28" s="56">
        <f>DJ11/DJ27</f>
        <v>0.97963033664967325</v>
      </c>
      <c r="DL28" s="56">
        <f>DL11/DL27</f>
        <v>0.98184079979368</v>
      </c>
      <c r="DN28" s="56">
        <f>DN11/DN27</f>
        <v>0.98687852049620672</v>
      </c>
      <c r="DP28" s="56">
        <f>DP11/DP27</f>
        <v>0.98353138970616338</v>
      </c>
      <c r="DR28" s="56">
        <f>DR11/DR27</f>
        <v>0.97544721150473523</v>
      </c>
      <c r="DT28" s="56">
        <f>DT11/DT27</f>
        <v>0.9529582638130335</v>
      </c>
      <c r="DV28" s="56">
        <f>DV11/DV27</f>
        <v>0.93277715385849513</v>
      </c>
      <c r="DX28" s="56">
        <f>DX11/DX27</f>
        <v>0.85946843042979515</v>
      </c>
      <c r="DZ28" s="56">
        <f>DZ11/DZ27</f>
        <v>0.85287103567888989</v>
      </c>
      <c r="EB28" s="56">
        <f>EB11/EB27</f>
        <v>0.84343581828042213</v>
      </c>
      <c r="ED28" s="56">
        <f>ED11/ED27</f>
        <v>0.84154758257798279</v>
      </c>
      <c r="EF28" s="56">
        <f>EF11/EF27</f>
        <v>0.93265364732912126</v>
      </c>
      <c r="EH28" s="56">
        <f>EH11/EH27</f>
        <v>0.94498247794638079</v>
      </c>
      <c r="EJ28" s="56">
        <f>EJ11/EJ27</f>
        <v>0.96024759837614049</v>
      </c>
      <c r="EL28" s="56">
        <f>EL11/EL27</f>
        <v>0.95970252146483115</v>
      </c>
      <c r="EN28" s="56">
        <f>EN11/EN27</f>
        <v>0.96649121666991578</v>
      </c>
      <c r="EP28" s="56">
        <f>EP11/EP27</f>
        <v>0.96699397495125516</v>
      </c>
      <c r="ER28" s="56">
        <f>ER11/ER27</f>
        <v>0.96392979980597937</v>
      </c>
      <c r="ET28" s="56">
        <f>ET11/ET27</f>
        <v>0.9349247666814805</v>
      </c>
      <c r="EV28" s="56">
        <f>EV11/EV27</f>
        <v>0.78937483230480276</v>
      </c>
      <c r="EX28" s="56">
        <f>EX11/EX27</f>
        <v>0.82682580770938707</v>
      </c>
      <c r="EZ28" s="56">
        <f>EZ11/EZ27</f>
        <v>0.8079110324782004</v>
      </c>
      <c r="FB28" s="56">
        <f>FB11/FB27</f>
        <v>0.86524870056874459</v>
      </c>
      <c r="FD28" s="56">
        <f>FD11/FD27</f>
        <v>0.93448750737753294</v>
      </c>
      <c r="FF28" s="56">
        <f>FF11/FF27</f>
        <v>0.90257782211440363</v>
      </c>
      <c r="FH28" s="56">
        <f>FH11/FH27</f>
        <v>0.95629095131458908</v>
      </c>
      <c r="FJ28" s="56">
        <f>FJ11/FJ27</f>
        <v>0.9272022768576621</v>
      </c>
      <c r="FL28" s="56">
        <f>FL11/FL27</f>
        <v>0.96567895971008311</v>
      </c>
      <c r="FN28" s="56">
        <f>FN11/FN27</f>
        <v>0.95707509998959217</v>
      </c>
      <c r="FP28" s="56">
        <f>FP11/FP27</f>
        <v>0.89683420087038146</v>
      </c>
      <c r="FR28" s="56">
        <f>FR11/FR27</f>
        <v>0.91881245033560455</v>
      </c>
      <c r="FT28" s="56">
        <f>FT11/FT27</f>
        <v>0.86273339122883197</v>
      </c>
      <c r="FV28" s="56">
        <f>FV11/FV27</f>
        <v>0.74804872711357506</v>
      </c>
      <c r="FX28" s="56">
        <f>FX11/FX27</f>
        <v>0.86895845605767341</v>
      </c>
      <c r="FZ28" s="56">
        <f>FZ11/FZ27</f>
        <v>0.86189060719944477</v>
      </c>
      <c r="GB28" s="56">
        <f>GB11/GB27</f>
        <v>0.91789211504998458</v>
      </c>
      <c r="GD28" s="56">
        <f>GD11/GD27</f>
        <v>0.95462088070324613</v>
      </c>
      <c r="GF28" s="56">
        <f>GF11/GF27</f>
        <v>0.96445747461763975</v>
      </c>
      <c r="GH28" s="56">
        <f>GH11/GH27</f>
        <v>0.96052564732180656</v>
      </c>
      <c r="GJ28" s="56">
        <f>GJ11/GJ27</f>
        <v>0.95395148833131549</v>
      </c>
      <c r="GL28" s="56">
        <f>GL11/GL27</f>
        <v>0.96111488568313608</v>
      </c>
      <c r="GN28" s="56">
        <f>GN11/GN27</f>
        <v>0.96906190273943504</v>
      </c>
      <c r="GP28" s="56">
        <f>GP11/GP27</f>
        <v>0.97585816948163284</v>
      </c>
      <c r="GR28" s="56">
        <f>GR11/GR27</f>
        <v>0.98261526832955404</v>
      </c>
      <c r="GT28" s="56">
        <f>GT11/GT27</f>
        <v>0.98129378626284991</v>
      </c>
      <c r="GV28" s="56">
        <f>GV11/GV27</f>
        <v>0.88840946828753919</v>
      </c>
      <c r="GX28" s="56">
        <f>GX11/GX27</f>
        <v>0.87980838719002297</v>
      </c>
      <c r="GZ28" s="56">
        <f>GZ11/GZ27</f>
        <v>0.9198880549045203</v>
      </c>
      <c r="HB28" s="56">
        <f>HB11/HB27</f>
        <v>0.98838481170894321</v>
      </c>
      <c r="HD28" s="56">
        <f>HD11/HD27</f>
        <v>0.97451656423324839</v>
      </c>
      <c r="HF28" s="56">
        <f>HF11/HF27</f>
        <v>0.98767177071063994</v>
      </c>
      <c r="HH28" s="56">
        <f>HH11/HH27</f>
        <v>0.98589143093065301</v>
      </c>
      <c r="HJ28" s="56">
        <f>HJ11/HJ27</f>
        <v>0.97672652079421007</v>
      </c>
      <c r="HL28" s="56">
        <f>HL11/HL27</f>
        <v>0.91338176780450087</v>
      </c>
      <c r="HN28" s="56">
        <f>HN11/HN27</f>
        <v>0.85331885879142533</v>
      </c>
      <c r="HP28" s="56">
        <f>HP11/HP27</f>
        <v>0.84645524672462347</v>
      </c>
      <c r="HR28" s="56">
        <f>HR11/HR27</f>
        <v>0.89098943052069712</v>
      </c>
      <c r="HT28" s="56">
        <f>HT11/HT27</f>
        <v>0.8870793567405072</v>
      </c>
      <c r="HV28" s="56">
        <f>HV11/HV27</f>
        <v>0.92910488702280025</v>
      </c>
      <c r="HX28" s="56">
        <f>HX11/HX27</f>
        <v>0.96265629807826791</v>
      </c>
      <c r="HZ28" s="56">
        <f>HZ11/HZ27</f>
        <v>1</v>
      </c>
      <c r="IB28" s="56" t="e">
        <f>IB11/IB27</f>
        <v>#DIV/0!</v>
      </c>
      <c r="ID28" s="56" t="e">
        <f>ID11/ID27</f>
        <v>#DIV/0!</v>
      </c>
      <c r="IF28" s="56" t="e">
        <f>IF11/IF27</f>
        <v>#DIV/0!</v>
      </c>
      <c r="IH28" s="56" t="e">
        <f>IH11/IH27</f>
        <v>#DIV/0!</v>
      </c>
      <c r="IJ28" s="56" t="e">
        <f>IJ11/IJ27</f>
        <v>#DIV/0!</v>
      </c>
    </row>
    <row r="29" spans="1:245" x14ac:dyDescent="0.35">
      <c r="A29" s="7"/>
      <c r="C29" s="190" t="s">
        <v>136</v>
      </c>
      <c r="F29" s="24"/>
      <c r="G29" s="24"/>
      <c r="H29" s="24"/>
      <c r="I29" s="24"/>
      <c r="J29" s="24"/>
      <c r="K29" s="53"/>
      <c r="L29" s="24"/>
      <c r="N29" s="3">
        <f>(1-N28)*N27*10</f>
        <v>5820.9999999999991</v>
      </c>
      <c r="P29" s="3">
        <f>(1-P28)*P27*10</f>
        <v>1939</v>
      </c>
      <c r="Q29" s="53"/>
      <c r="R29" s="3">
        <f>(1-R28)*R27*10</f>
        <v>2542.9999999999995</v>
      </c>
      <c r="T29" s="3">
        <f>(1-T28)*T27*10</f>
        <v>1042</v>
      </c>
      <c r="V29" s="3">
        <f>(1-V28)*V27*10</f>
        <v>265.99999999999989</v>
      </c>
      <c r="W29" s="51"/>
      <c r="X29" s="3">
        <f>(1-X28)*X27*10</f>
        <v>1404.9999999999998</v>
      </c>
      <c r="Z29" s="3">
        <f>(1-Z28)*Z27*10</f>
        <v>1290.9999999999995</v>
      </c>
      <c r="AB29" s="3">
        <f>(1-AB28)*AB27*10</f>
        <v>1920</v>
      </c>
      <c r="AC29" s="51"/>
      <c r="AD29" s="3">
        <f>(1-AD28)*AD27*10</f>
        <v>6533.0000000000027</v>
      </c>
      <c r="AF29" s="3">
        <f>(1-AF28)*AF27*10</f>
        <v>11446.999999999998</v>
      </c>
      <c r="AI29" s="51"/>
      <c r="AJ29" s="3"/>
      <c r="AL29" s="3"/>
      <c r="AO29" s="51"/>
      <c r="AP29" s="3"/>
      <c r="AR29" s="3"/>
      <c r="AU29" s="51"/>
      <c r="AV29" s="3"/>
      <c r="AX29" s="3"/>
      <c r="BA29" s="51"/>
      <c r="BB29" s="3"/>
      <c r="BD29" s="3"/>
      <c r="BG29" s="51"/>
      <c r="BH29" s="3"/>
      <c r="BJ29" s="3"/>
      <c r="BM29" s="51"/>
      <c r="BN29" s="3"/>
      <c r="BP29" s="3"/>
      <c r="BS29" s="51"/>
      <c r="BT29" s="3"/>
      <c r="BV29" s="3"/>
      <c r="BY29" s="51"/>
      <c r="BZ29" s="3"/>
      <c r="CB29" s="3"/>
      <c r="CE29" s="51"/>
      <c r="CF29" s="3"/>
      <c r="CH29" s="3"/>
      <c r="CK29" s="51"/>
      <c r="CL29" s="3"/>
      <c r="CN29" s="3"/>
      <c r="CQ29" s="51"/>
      <c r="CR29" s="3"/>
      <c r="CT29" s="3"/>
      <c r="CW29" s="51"/>
      <c r="CX29" s="3"/>
      <c r="CZ29" s="3"/>
      <c r="DC29" s="51"/>
      <c r="DD29" s="3"/>
      <c r="DF29" s="3"/>
      <c r="DI29" s="51"/>
      <c r="DJ29" s="3"/>
      <c r="DL29" s="3"/>
      <c r="DO29" s="51"/>
      <c r="DP29" s="3"/>
      <c r="DR29" s="3"/>
      <c r="DU29" s="51"/>
      <c r="DV29" s="3"/>
      <c r="DX29" s="3"/>
      <c r="EA29" s="51"/>
      <c r="EB29" s="3"/>
      <c r="ED29" s="3"/>
      <c r="EG29" s="51"/>
      <c r="EH29" s="3"/>
      <c r="EJ29" s="3"/>
      <c r="EM29" s="51"/>
      <c r="EN29" s="3"/>
      <c r="EP29" s="3"/>
      <c r="ES29" s="51"/>
      <c r="ET29" s="3"/>
      <c r="EV29" s="3"/>
      <c r="EY29" s="51"/>
      <c r="EZ29" s="3"/>
      <c r="FB29" s="3"/>
      <c r="FE29" s="51"/>
      <c r="FF29" s="3"/>
      <c r="FH29" s="3"/>
      <c r="FJ29" s="175">
        <v>2123</v>
      </c>
      <c r="FK29" s="51"/>
      <c r="FL29" s="191">
        <v>1771</v>
      </c>
      <c r="FM29" s="191"/>
      <c r="FN29" s="191">
        <v>2887</v>
      </c>
      <c r="FO29" s="191"/>
      <c r="FP29" s="191">
        <v>7254</v>
      </c>
      <c r="FQ29" s="192"/>
      <c r="FR29" s="191">
        <v>9604</v>
      </c>
      <c r="FS29" s="191"/>
      <c r="FT29" s="191">
        <v>20232</v>
      </c>
      <c r="FU29" s="191"/>
      <c r="FV29" s="191">
        <v>42028</v>
      </c>
      <c r="FW29" s="192"/>
      <c r="FX29" s="3">
        <v>18799</v>
      </c>
      <c r="FY29" s="3"/>
      <c r="FZ29" s="3">
        <v>20881</v>
      </c>
      <c r="GA29" s="3"/>
      <c r="GB29" s="3">
        <v>9461</v>
      </c>
      <c r="GC29" s="3"/>
      <c r="GD29" s="3">
        <v>3330</v>
      </c>
      <c r="GE29" s="3"/>
      <c r="GF29" s="3">
        <v>2484</v>
      </c>
      <c r="GG29" s="3"/>
      <c r="GH29" s="3">
        <v>2096</v>
      </c>
      <c r="GI29" s="51"/>
      <c r="GJ29" s="3">
        <v>2331</v>
      </c>
      <c r="GK29" s="3"/>
      <c r="GL29" s="3">
        <v>2403</v>
      </c>
      <c r="GM29" s="3"/>
      <c r="GN29" s="3">
        <v>4970</v>
      </c>
      <c r="GO29" s="3"/>
      <c r="GP29" s="3">
        <v>11536</v>
      </c>
      <c r="GQ29" s="3"/>
      <c r="GR29" s="3">
        <v>20572</v>
      </c>
      <c r="GS29" s="3"/>
      <c r="GT29" s="3">
        <v>24611</v>
      </c>
      <c r="GU29" s="51"/>
      <c r="GV29" s="3">
        <v>18414</v>
      </c>
      <c r="GW29" s="175"/>
      <c r="GX29" s="3">
        <v>17463</v>
      </c>
      <c r="GY29" s="175"/>
      <c r="GZ29" s="75">
        <v>6221</v>
      </c>
      <c r="HA29" s="51"/>
      <c r="HB29" s="75">
        <v>1115</v>
      </c>
      <c r="HC29" s="51"/>
      <c r="HD29" s="75">
        <v>1700</v>
      </c>
      <c r="HE29" s="51"/>
      <c r="HF29" s="75">
        <v>845</v>
      </c>
      <c r="HG29" s="51"/>
      <c r="HH29" s="75">
        <v>1035</v>
      </c>
      <c r="HI29" s="51"/>
      <c r="HJ29" s="75">
        <v>1224</v>
      </c>
      <c r="HK29" s="51"/>
      <c r="HL29" s="75">
        <v>2045</v>
      </c>
      <c r="HN29" s="220">
        <f>4348+8798+6581</f>
        <v>19727</v>
      </c>
      <c r="HO29" s="210"/>
      <c r="HP29" s="220">
        <v>20064</v>
      </c>
      <c r="HQ29" s="210"/>
      <c r="HR29" s="220">
        <v>15419</v>
      </c>
      <c r="HS29" s="210"/>
      <c r="HT29" s="220">
        <v>15476</v>
      </c>
      <c r="HU29" s="210"/>
      <c r="HV29" s="220">
        <v>9692</v>
      </c>
      <c r="HW29" s="210"/>
      <c r="HX29" s="220">
        <v>4005</v>
      </c>
      <c r="HY29" s="210"/>
      <c r="HZ29" s="220"/>
      <c r="IA29" s="210"/>
      <c r="IB29" s="220"/>
      <c r="IC29" s="210"/>
      <c r="ID29" s="220"/>
      <c r="IE29" s="210"/>
      <c r="IF29" s="220"/>
      <c r="IG29" s="210"/>
      <c r="IH29" s="220"/>
      <c r="II29" s="210"/>
      <c r="IJ29" s="220"/>
      <c r="IK29" s="210"/>
    </row>
    <row r="30" spans="1:245" s="210" customFormat="1" ht="13.6" customHeight="1" x14ac:dyDescent="0.3">
      <c r="C30" s="208" t="s">
        <v>134</v>
      </c>
      <c r="F30" s="211"/>
      <c r="G30" s="211"/>
      <c r="H30" s="211"/>
      <c r="I30" s="211"/>
      <c r="J30" s="211"/>
      <c r="K30" s="212"/>
      <c r="L30" s="211"/>
      <c r="Q30" s="213" t="s">
        <v>81</v>
      </c>
      <c r="R30" s="211"/>
      <c r="W30" s="214"/>
      <c r="X30" s="211"/>
      <c r="AC30" s="214"/>
      <c r="AD30" s="211"/>
      <c r="AI30" s="214"/>
      <c r="AJ30" s="211"/>
      <c r="AO30" s="214"/>
      <c r="AP30" s="211"/>
      <c r="AU30" s="214"/>
      <c r="AV30" s="211"/>
      <c r="BA30" s="214"/>
      <c r="BB30" s="211"/>
      <c r="BG30" s="214"/>
      <c r="BH30" s="211"/>
      <c r="BM30" s="214"/>
      <c r="BN30" s="211"/>
      <c r="BS30" s="214"/>
      <c r="BT30" s="211"/>
      <c r="BY30" s="214"/>
      <c r="BZ30" s="211"/>
      <c r="CE30" s="214"/>
      <c r="CF30" s="211"/>
      <c r="CK30" s="214"/>
      <c r="CL30" s="211"/>
      <c r="CQ30" s="214"/>
      <c r="CR30" s="211"/>
      <c r="CW30" s="214"/>
      <c r="CX30" s="211"/>
      <c r="DC30" s="214"/>
      <c r="DD30" s="211"/>
      <c r="DI30" s="214"/>
      <c r="DJ30" s="211"/>
      <c r="DO30" s="214"/>
      <c r="DP30" s="211"/>
      <c r="DU30" s="214"/>
      <c r="DV30" s="211"/>
      <c r="EA30" s="214"/>
      <c r="EB30" s="211"/>
      <c r="EG30" s="214"/>
      <c r="EH30" s="211"/>
      <c r="EM30" s="214"/>
      <c r="EN30" s="211"/>
      <c r="ES30" s="214"/>
      <c r="ET30" s="211"/>
      <c r="EY30" s="214"/>
      <c r="EZ30" s="211"/>
      <c r="FE30" s="214"/>
      <c r="FF30" s="215">
        <v>4297</v>
      </c>
      <c r="FH30" s="215">
        <v>1581</v>
      </c>
      <c r="FJ30" s="210">
        <v>2123</v>
      </c>
      <c r="FK30" s="214"/>
      <c r="FL30" s="216">
        <v>1771</v>
      </c>
      <c r="FM30" s="216"/>
      <c r="FN30" s="216">
        <v>2887</v>
      </c>
      <c r="FO30" s="216"/>
      <c r="FP30" s="216">
        <v>7254</v>
      </c>
      <c r="FQ30" s="217"/>
      <c r="FR30" s="216">
        <v>9604</v>
      </c>
      <c r="FS30" s="216"/>
      <c r="FT30" s="216">
        <v>20232</v>
      </c>
      <c r="FU30" s="216"/>
      <c r="FV30" s="216">
        <v>41448</v>
      </c>
      <c r="FW30" s="217"/>
      <c r="FX30" s="218">
        <v>18686</v>
      </c>
      <c r="FY30" s="216"/>
      <c r="FZ30" s="218">
        <v>21094</v>
      </c>
      <c r="GA30" s="216"/>
      <c r="GB30" s="218">
        <v>9626</v>
      </c>
      <c r="GC30" s="214"/>
      <c r="GD30" s="219">
        <v>3309</v>
      </c>
      <c r="GE30" s="216"/>
      <c r="GF30" s="219">
        <v>2461</v>
      </c>
      <c r="GG30" s="216"/>
      <c r="GH30" s="219">
        <v>2331</v>
      </c>
      <c r="GI30" s="214"/>
      <c r="GJ30" s="218">
        <v>3309</v>
      </c>
      <c r="GK30" s="216"/>
      <c r="GL30" s="218">
        <v>2461</v>
      </c>
      <c r="GM30" s="216"/>
      <c r="GN30" s="218">
        <v>2331</v>
      </c>
      <c r="GO30" s="214"/>
      <c r="GP30" s="218">
        <v>3309</v>
      </c>
      <c r="GQ30" s="216"/>
      <c r="GR30" s="218">
        <v>2461</v>
      </c>
      <c r="GS30" s="216"/>
      <c r="GT30" s="218">
        <v>2331</v>
      </c>
      <c r="GU30" s="214"/>
      <c r="GV30" s="215">
        <v>18414</v>
      </c>
      <c r="GX30" s="215">
        <v>17463</v>
      </c>
      <c r="GZ30" s="215">
        <v>8101</v>
      </c>
      <c r="HA30" s="214"/>
      <c r="HB30" s="220">
        <v>1115</v>
      </c>
      <c r="HD30" s="220">
        <v>1700</v>
      </c>
      <c r="HF30" s="220">
        <v>785</v>
      </c>
      <c r="HG30" s="214"/>
      <c r="HH30" s="220">
        <v>991</v>
      </c>
      <c r="HJ30" s="220">
        <v>1103</v>
      </c>
      <c r="HL30" s="220">
        <v>5377</v>
      </c>
      <c r="HN30" s="227"/>
      <c r="HO30" s="214"/>
      <c r="HP30" s="227"/>
      <c r="HQ30" s="214"/>
      <c r="HR30" s="227"/>
      <c r="HS30" s="214"/>
      <c r="HT30" s="227"/>
      <c r="HU30" s="214"/>
      <c r="HV30" s="227"/>
      <c r="HW30" s="214"/>
      <c r="HX30" s="227"/>
      <c r="HY30" s="214"/>
      <c r="HZ30" s="227"/>
      <c r="IA30" s="214"/>
      <c r="IB30" s="227"/>
      <c r="IC30" s="214"/>
      <c r="ID30" s="227"/>
      <c r="IE30" s="214"/>
      <c r="IF30" s="227"/>
      <c r="IG30" s="214"/>
      <c r="IH30" s="227"/>
      <c r="II30" s="214"/>
      <c r="IJ30" s="227"/>
      <c r="IK30" s="214"/>
    </row>
    <row r="31" spans="1:245" s="214" customFormat="1" ht="13.6" customHeight="1" x14ac:dyDescent="0.3">
      <c r="C31" s="208"/>
      <c r="F31" s="212"/>
      <c r="G31" s="212"/>
      <c r="H31" s="212"/>
      <c r="I31" s="212"/>
      <c r="J31" s="212"/>
      <c r="K31" s="212"/>
      <c r="L31" s="212"/>
      <c r="Q31" s="213"/>
      <c r="R31" s="212"/>
      <c r="X31" s="212"/>
      <c r="AD31" s="212"/>
      <c r="AJ31" s="212"/>
      <c r="AP31" s="212"/>
      <c r="AV31" s="212"/>
      <c r="BB31" s="212"/>
      <c r="BH31" s="212"/>
      <c r="BN31" s="212"/>
      <c r="BT31" s="212"/>
      <c r="BZ31" s="212"/>
      <c r="CF31" s="212"/>
      <c r="CL31" s="212"/>
      <c r="CR31" s="212"/>
      <c r="CX31" s="212"/>
      <c r="DD31" s="212"/>
      <c r="DJ31" s="212"/>
      <c r="DP31" s="212"/>
      <c r="DV31" s="212"/>
      <c r="EB31" s="212"/>
      <c r="EH31" s="212"/>
      <c r="EN31" s="212"/>
      <c r="ET31" s="212"/>
      <c r="EZ31" s="212"/>
      <c r="FF31" s="227"/>
      <c r="FH31" s="227"/>
      <c r="FL31" s="217"/>
      <c r="FM31" s="217"/>
      <c r="FN31" s="217"/>
      <c r="FO31" s="217"/>
      <c r="FP31" s="217"/>
      <c r="FQ31" s="217"/>
      <c r="FR31" s="217"/>
      <c r="FS31" s="217"/>
      <c r="FT31" s="217"/>
      <c r="FU31" s="217"/>
      <c r="FV31" s="217"/>
      <c r="FW31" s="217"/>
      <c r="FX31" s="217"/>
      <c r="FY31" s="217"/>
      <c r="FZ31" s="217"/>
      <c r="GA31" s="217"/>
      <c r="GB31" s="217"/>
      <c r="GD31" s="217"/>
      <c r="GE31" s="217"/>
      <c r="GF31" s="217"/>
      <c r="GG31" s="217"/>
      <c r="GH31" s="217"/>
      <c r="GJ31" s="217"/>
      <c r="GK31" s="217"/>
      <c r="GL31" s="217"/>
      <c r="GM31" s="217"/>
      <c r="GN31" s="217"/>
      <c r="GP31" s="217"/>
      <c r="GQ31" s="217"/>
      <c r="GR31" s="217"/>
      <c r="GS31" s="217"/>
      <c r="GT31" s="217"/>
      <c r="GV31" s="227"/>
      <c r="GX31" s="227"/>
      <c r="GZ31" s="227"/>
      <c r="HB31" s="227"/>
      <c r="HD31" s="227"/>
      <c r="HF31" s="227"/>
      <c r="HH31" s="227"/>
      <c r="HJ31" s="227"/>
      <c r="HL31" s="227"/>
      <c r="HN31" s="227"/>
      <c r="HP31" s="227"/>
      <c r="HR31" s="227"/>
      <c r="HT31" s="227"/>
      <c r="HV31" s="227"/>
      <c r="HX31" s="227"/>
      <c r="HZ31" s="227"/>
      <c r="IB31" s="227"/>
      <c r="ID31" s="227"/>
      <c r="IF31" s="227"/>
      <c r="IH31" s="227"/>
      <c r="IJ31" s="227"/>
    </row>
    <row r="32" spans="1:245" s="214" customFormat="1" ht="13.6" customHeight="1" x14ac:dyDescent="0.35">
      <c r="A32" s="221" t="s">
        <v>144</v>
      </c>
      <c r="C32" s="208"/>
      <c r="F32" s="212"/>
      <c r="G32" s="212"/>
      <c r="H32" s="212"/>
      <c r="I32" s="212"/>
      <c r="J32" s="212"/>
      <c r="K32" s="212"/>
      <c r="L32" s="212"/>
      <c r="Q32" s="213"/>
      <c r="R32" s="212"/>
      <c r="X32" s="212"/>
      <c r="AD32" s="212"/>
      <c r="AJ32" s="212"/>
      <c r="AP32" s="212"/>
      <c r="AV32" s="212"/>
      <c r="BB32" s="212"/>
      <c r="BH32" s="212"/>
      <c r="BN32" s="212"/>
      <c r="BT32" s="212"/>
      <c r="BZ32" s="212"/>
      <c r="CF32" s="212"/>
      <c r="CL32" s="212"/>
      <c r="CR32" s="212"/>
      <c r="CX32" s="212"/>
      <c r="DD32" s="212"/>
      <c r="DJ32" s="212"/>
      <c r="DP32" s="212"/>
      <c r="DV32" s="212"/>
      <c r="EB32" s="212"/>
      <c r="EH32" s="212"/>
      <c r="EN32" s="212"/>
      <c r="ET32" s="212"/>
      <c r="EZ32" s="212"/>
      <c r="FF32" s="227"/>
      <c r="FH32" s="227"/>
      <c r="FL32" s="217"/>
      <c r="FM32" s="217"/>
      <c r="FN32" s="217"/>
      <c r="FO32" s="217"/>
      <c r="FP32" s="217"/>
      <c r="FQ32" s="217"/>
      <c r="FR32" s="217"/>
      <c r="FS32" s="217"/>
      <c r="FT32" s="217"/>
      <c r="FU32" s="217"/>
      <c r="FV32" s="217"/>
      <c r="FW32" s="217"/>
      <c r="FX32" s="217"/>
      <c r="FY32" s="217"/>
      <c r="FZ32" s="217"/>
      <c r="GA32" s="217"/>
      <c r="GB32" s="217"/>
      <c r="GD32" s="217"/>
      <c r="GE32" s="217"/>
      <c r="GF32" s="217"/>
      <c r="GG32" s="217"/>
      <c r="GH32" s="217"/>
      <c r="GJ32" s="217"/>
      <c r="GK32" s="217"/>
      <c r="GL32" s="217"/>
      <c r="GM32" s="217"/>
      <c r="GN32" s="217"/>
      <c r="GP32" s="217"/>
      <c r="GQ32" s="217"/>
      <c r="GR32" s="217"/>
      <c r="GS32" s="217"/>
      <c r="GT32" s="217"/>
      <c r="GV32" s="227"/>
      <c r="GX32" s="227"/>
      <c r="GZ32" s="227"/>
      <c r="HB32" s="227"/>
      <c r="HD32" s="227"/>
      <c r="HF32" s="227"/>
      <c r="HH32" s="227"/>
      <c r="HJ32" s="227"/>
      <c r="HL32" s="227"/>
      <c r="HN32" s="227"/>
      <c r="HP32" s="227"/>
      <c r="HR32" s="227"/>
      <c r="HT32" s="227"/>
      <c r="HV32" s="227"/>
      <c r="HX32" s="227"/>
      <c r="HZ32" s="227"/>
      <c r="IB32" s="227"/>
      <c r="ID32" s="227"/>
      <c r="IF32" s="227"/>
      <c r="IH32" s="227"/>
      <c r="IJ32" s="227"/>
    </row>
    <row r="33" spans="1:245" hidden="1" x14ac:dyDescent="0.35">
      <c r="B33" s="7"/>
      <c r="C33" s="7"/>
      <c r="F33" s="41">
        <v>4290</v>
      </c>
      <c r="G33" s="3"/>
      <c r="H33" s="41">
        <v>11264</v>
      </c>
      <c r="I33" s="3"/>
      <c r="J33" s="41">
        <v>8291</v>
      </c>
      <c r="K33" s="75"/>
      <c r="L33" s="41">
        <v>5491</v>
      </c>
      <c r="N33" s="41">
        <v>3056</v>
      </c>
      <c r="P33" s="41">
        <v>1985</v>
      </c>
      <c r="Q33" s="75"/>
      <c r="R33" s="41">
        <v>1613</v>
      </c>
      <c r="T33" s="41">
        <v>922</v>
      </c>
      <c r="V33" s="41">
        <v>996</v>
      </c>
      <c r="W33" s="51"/>
      <c r="X33" s="41">
        <v>870</v>
      </c>
      <c r="Z33" s="41">
        <v>843</v>
      </c>
      <c r="AB33" s="41">
        <v>2304</v>
      </c>
      <c r="AC33" s="51"/>
      <c r="AD33" s="75"/>
      <c r="AE33" s="51"/>
      <c r="AF33" s="75"/>
      <c r="AG33" s="51"/>
      <c r="AH33" s="75"/>
      <c r="AI33" s="51"/>
      <c r="AJ33" s="75"/>
      <c r="AK33" s="51"/>
      <c r="AL33" s="75"/>
      <c r="AM33" s="51"/>
      <c r="AN33" s="75"/>
      <c r="AO33" s="51"/>
      <c r="AP33" s="75"/>
      <c r="AQ33" s="51"/>
      <c r="AR33" s="75"/>
      <c r="AS33" s="51"/>
      <c r="AT33" s="75"/>
      <c r="AU33" s="51"/>
      <c r="AV33" s="75"/>
      <c r="AW33" s="51"/>
      <c r="AX33" s="75"/>
      <c r="AY33" s="51"/>
      <c r="AZ33" s="75"/>
      <c r="BA33" s="51"/>
      <c r="BB33" s="75"/>
      <c r="BC33" s="51"/>
      <c r="BD33" s="75"/>
      <c r="BE33" s="51"/>
      <c r="BF33" s="75"/>
      <c r="BG33" s="51"/>
      <c r="BH33" s="75"/>
      <c r="BI33" s="51"/>
      <c r="BJ33" s="75"/>
      <c r="BK33" s="51"/>
      <c r="BL33" s="75"/>
      <c r="BM33" s="51"/>
      <c r="BN33" s="75"/>
      <c r="BO33" s="51"/>
      <c r="BP33" s="75"/>
      <c r="BQ33" s="51"/>
      <c r="BR33" s="75"/>
      <c r="BS33" s="51"/>
      <c r="BT33" s="75"/>
      <c r="BU33" s="51"/>
      <c r="BV33" s="75"/>
      <c r="BW33" s="51"/>
      <c r="BX33" s="75"/>
      <c r="BY33" s="51"/>
      <c r="BZ33" s="75"/>
      <c r="CA33" s="51"/>
      <c r="CB33" s="75"/>
      <c r="CC33" s="51"/>
      <c r="CD33" s="75"/>
      <c r="CE33" s="51"/>
      <c r="CF33" s="75"/>
      <c r="CG33" s="51"/>
      <c r="CH33" s="75"/>
      <c r="CI33" s="51"/>
      <c r="CJ33" s="75"/>
      <c r="CK33" s="51"/>
      <c r="CL33" s="75"/>
      <c r="CM33" s="51"/>
      <c r="CN33" s="75"/>
      <c r="CO33" s="51"/>
      <c r="CP33" s="75"/>
      <c r="CQ33" s="51"/>
      <c r="CR33" s="75"/>
      <c r="CS33" s="51"/>
      <c r="CT33" s="75"/>
      <c r="CU33" s="51"/>
      <c r="CV33" s="75"/>
      <c r="CW33" s="51"/>
      <c r="CX33" s="75"/>
      <c r="CY33" s="51"/>
      <c r="CZ33" s="75"/>
      <c r="DA33" s="51"/>
      <c r="DB33" s="75"/>
      <c r="DC33" s="51"/>
      <c r="DD33" s="75"/>
      <c r="DE33" s="51"/>
      <c r="DF33" s="75"/>
      <c r="DG33" s="51"/>
      <c r="DH33" s="75"/>
      <c r="DI33" s="51"/>
      <c r="DJ33" s="75"/>
      <c r="DK33" s="51"/>
      <c r="DL33" s="75"/>
      <c r="DM33" s="51"/>
      <c r="DN33" s="75"/>
      <c r="DO33" s="51"/>
      <c r="DP33" s="75"/>
      <c r="DQ33" s="51"/>
      <c r="DR33" s="75"/>
      <c r="DS33" s="51"/>
      <c r="DT33" s="75"/>
      <c r="DU33" s="51"/>
      <c r="DV33" s="75"/>
      <c r="DW33" s="51"/>
      <c r="DX33" s="75"/>
      <c r="DY33" s="51"/>
      <c r="DZ33" s="75"/>
      <c r="EA33" s="51"/>
      <c r="EB33" s="75"/>
      <c r="EC33" s="51"/>
      <c r="ED33" s="75"/>
      <c r="EE33" s="51"/>
      <c r="EF33" s="75"/>
      <c r="EG33" s="51"/>
      <c r="EH33" s="75"/>
      <c r="EI33" s="51"/>
      <c r="EJ33" s="75"/>
      <c r="EK33" s="51"/>
      <c r="EL33" s="75"/>
      <c r="EM33" s="51"/>
      <c r="EN33" s="75"/>
      <c r="EO33" s="51"/>
      <c r="EP33" s="75"/>
      <c r="EQ33" s="51"/>
      <c r="ER33" s="75"/>
      <c r="ES33" s="51"/>
      <c r="ET33" s="75"/>
      <c r="EU33" s="51"/>
      <c r="EV33" s="75"/>
      <c r="EW33" s="51"/>
      <c r="EX33" s="75"/>
      <c r="EY33" s="51"/>
      <c r="EZ33" s="75"/>
      <c r="FA33" s="51"/>
      <c r="FB33" s="75"/>
      <c r="FC33" s="51"/>
      <c r="FD33" s="75"/>
      <c r="FE33" s="51"/>
      <c r="FF33" s="75"/>
      <c r="FG33" s="51"/>
      <c r="FH33" s="75"/>
      <c r="FI33" s="51"/>
      <c r="FJ33" s="75"/>
      <c r="FK33" s="51"/>
      <c r="FL33" s="75"/>
      <c r="FM33" s="51"/>
      <c r="FN33" s="75"/>
      <c r="FO33" s="51"/>
      <c r="FP33" s="75"/>
      <c r="FQ33" s="51"/>
      <c r="FR33" s="75"/>
      <c r="FS33" s="51"/>
      <c r="FT33" s="75"/>
      <c r="FU33" s="51"/>
      <c r="FV33" s="75"/>
      <c r="FW33" s="51"/>
      <c r="FX33" s="75"/>
      <c r="FY33" s="51"/>
      <c r="FZ33" s="75"/>
      <c r="GA33" s="51"/>
      <c r="GB33" s="75"/>
      <c r="GC33" s="51"/>
      <c r="GD33" s="75"/>
      <c r="GE33" s="51"/>
      <c r="GF33" s="75"/>
      <c r="GG33" s="51"/>
      <c r="GH33" s="75"/>
      <c r="GI33" s="51"/>
      <c r="GJ33" s="75"/>
      <c r="GK33" s="51"/>
      <c r="GL33" s="75"/>
      <c r="GM33" s="51"/>
      <c r="GN33" s="75"/>
      <c r="GO33" s="51"/>
      <c r="GP33" s="75"/>
      <c r="GQ33" s="51"/>
      <c r="GR33" s="75"/>
      <c r="GS33" s="51"/>
      <c r="GT33" s="75"/>
      <c r="GU33" s="51"/>
      <c r="GV33" s="75"/>
      <c r="GW33" s="51"/>
      <c r="GX33" s="75"/>
      <c r="GY33" s="51"/>
      <c r="GZ33" s="75"/>
      <c r="HA33" s="51"/>
      <c r="HB33" s="75"/>
      <c r="HC33" s="51"/>
      <c r="HD33" s="75"/>
      <c r="HE33" s="51"/>
      <c r="HF33" s="75"/>
      <c r="HG33" s="51"/>
      <c r="HH33" s="75"/>
      <c r="HI33" s="51"/>
      <c r="HJ33" s="75"/>
      <c r="HK33" s="51"/>
      <c r="HL33" s="75"/>
      <c r="HN33" s="75"/>
      <c r="HO33" s="51"/>
      <c r="HP33" s="75"/>
      <c r="HQ33" s="51"/>
      <c r="HR33" s="75"/>
      <c r="HT33" s="75"/>
      <c r="HU33" s="51"/>
      <c r="HV33" s="75"/>
      <c r="HW33" s="51"/>
      <c r="HX33" s="75"/>
      <c r="HZ33" s="75"/>
      <c r="IA33" s="51"/>
      <c r="IB33" s="75"/>
      <c r="IC33" s="51"/>
      <c r="ID33" s="75"/>
      <c r="IF33" s="75"/>
      <c r="IG33" s="51"/>
      <c r="IH33" s="75"/>
      <c r="II33" s="51"/>
      <c r="IJ33" s="75"/>
    </row>
    <row r="34" spans="1:245" x14ac:dyDescent="0.35">
      <c r="B34" s="127" t="s">
        <v>140</v>
      </c>
      <c r="C34" s="7"/>
      <c r="F34" s="37">
        <v>16323.45</v>
      </c>
      <c r="G34" s="24"/>
      <c r="H34" s="37">
        <v>56128.51</v>
      </c>
      <c r="I34" s="24"/>
      <c r="J34" s="37">
        <v>40095.279999999999</v>
      </c>
      <c r="K34" s="53"/>
      <c r="L34" s="37">
        <v>27696.6</v>
      </c>
      <c r="N34" s="37">
        <v>14124.83</v>
      </c>
      <c r="P34" s="37">
        <v>9734.44</v>
      </c>
      <c r="Q34" s="53"/>
      <c r="R34" s="37">
        <v>7718.21</v>
      </c>
      <c r="T34" s="37">
        <v>4364.75</v>
      </c>
      <c r="V34" s="37">
        <v>4775.82</v>
      </c>
      <c r="W34" s="51"/>
      <c r="X34" s="37">
        <v>4189.05</v>
      </c>
      <c r="Z34" s="37">
        <v>3587.52</v>
      </c>
      <c r="AB34" s="37">
        <v>9010.94</v>
      </c>
      <c r="AC34" s="51"/>
      <c r="AD34" s="37">
        <v>11183.77</v>
      </c>
      <c r="AF34" s="37">
        <v>20153.64</v>
      </c>
      <c r="AH34" s="37">
        <v>23588.3</v>
      </c>
      <c r="AI34" s="51"/>
      <c r="AJ34" s="37">
        <v>18506.48</v>
      </c>
      <c r="AL34" s="37">
        <v>6339.26</v>
      </c>
      <c r="AN34" s="37">
        <v>193.97</v>
      </c>
      <c r="AO34" s="51"/>
      <c r="AP34" s="37">
        <f>(19195.79-18506.48)+143.9</f>
        <v>833.21000000000129</v>
      </c>
      <c r="AR34" s="37">
        <v>506.99</v>
      </c>
      <c r="AT34" s="37">
        <v>297.44</v>
      </c>
      <c r="AU34" s="51"/>
      <c r="AV34" s="37">
        <v>356.52</v>
      </c>
      <c r="AX34" s="37">
        <v>439.41</v>
      </c>
      <c r="AZ34" s="37">
        <v>489.82</v>
      </c>
      <c r="BA34" s="51"/>
      <c r="BB34" s="37">
        <v>13738.66</v>
      </c>
      <c r="BD34" s="37">
        <v>19744.68</v>
      </c>
      <c r="BF34" s="37">
        <v>33624.800000000003</v>
      </c>
      <c r="BG34" s="51"/>
      <c r="BH34" s="37">
        <v>38579.760000000002</v>
      </c>
      <c r="BJ34" s="37">
        <v>37500.480000000003</v>
      </c>
      <c r="BL34" s="37">
        <v>18530.52</v>
      </c>
      <c r="BM34" s="51"/>
      <c r="BN34" s="37">
        <v>8276.0499999999993</v>
      </c>
      <c r="BP34" s="37">
        <v>190.8</v>
      </c>
      <c r="BR34" s="37">
        <v>673.53</v>
      </c>
      <c r="BS34" s="51"/>
      <c r="BT34" s="37">
        <v>561.6</v>
      </c>
      <c r="BV34" s="37">
        <v>3222.51</v>
      </c>
      <c r="BX34" s="37">
        <v>8777.2800000000007</v>
      </c>
      <c r="BY34" s="51"/>
      <c r="BZ34" s="37">
        <v>25673.119999999999</v>
      </c>
      <c r="CB34" s="37">
        <v>45802.400000000001</v>
      </c>
      <c r="CD34" s="37">
        <v>80437.88</v>
      </c>
      <c r="CE34" s="51"/>
      <c r="CF34" s="37">
        <v>76328.639999999999</v>
      </c>
      <c r="CH34" s="37">
        <v>55019.48</v>
      </c>
      <c r="CJ34" s="37">
        <v>18197.14</v>
      </c>
      <c r="CK34" s="51"/>
      <c r="CL34" s="37">
        <v>13434.8</v>
      </c>
      <c r="CN34" s="37">
        <v>10981.6</v>
      </c>
      <c r="CP34" s="37">
        <v>2334.96</v>
      </c>
      <c r="CQ34" s="51"/>
      <c r="CR34" s="37">
        <v>525.69000000000005</v>
      </c>
      <c r="CT34" s="37">
        <v>2271.5100000000002</v>
      </c>
      <c r="CV34" s="37">
        <v>60.83</v>
      </c>
      <c r="CW34" s="51"/>
      <c r="CX34" s="37">
        <v>26044.58</v>
      </c>
      <c r="CZ34" s="37">
        <v>39875.300000000003</v>
      </c>
      <c r="DB34" s="37">
        <v>87630.48</v>
      </c>
      <c r="DC34" s="51"/>
      <c r="DD34" s="37">
        <v>85353.97</v>
      </c>
      <c r="DF34" s="37">
        <v>57796.01</v>
      </c>
      <c r="DH34" s="37">
        <v>14140.4</v>
      </c>
      <c r="DI34" s="51"/>
      <c r="DJ34" s="37">
        <v>27480.400000000001</v>
      </c>
      <c r="DL34" s="37">
        <v>11662.9</v>
      </c>
      <c r="DN34" s="37">
        <v>1036.04</v>
      </c>
      <c r="DO34" s="51"/>
      <c r="DP34" s="37">
        <v>3636.7</v>
      </c>
      <c r="DR34" s="37">
        <v>5300.32</v>
      </c>
      <c r="DT34" s="37">
        <v>25270.560000000001</v>
      </c>
      <c r="DU34" s="51"/>
      <c r="DV34" s="37">
        <v>25909.91</v>
      </c>
      <c r="DX34" s="37">
        <v>29193.78</v>
      </c>
      <c r="DZ34" s="37">
        <v>37176.69</v>
      </c>
      <c r="EA34" s="51"/>
      <c r="EB34" s="37">
        <v>32025.86</v>
      </c>
      <c r="ED34" s="37">
        <v>8324.91</v>
      </c>
      <c r="EF34" s="37">
        <v>9184.0499999999993</v>
      </c>
      <c r="EG34" s="51"/>
      <c r="EH34" s="37">
        <v>10314.049999999999</v>
      </c>
      <c r="EJ34" s="37">
        <v>21597.52</v>
      </c>
      <c r="EL34" s="37">
        <v>1455.9</v>
      </c>
      <c r="EM34" s="51"/>
      <c r="EN34" s="37">
        <v>20459.05</v>
      </c>
      <c r="EP34" s="37">
        <v>2261.16</v>
      </c>
      <c r="ER34" s="37">
        <v>12376.98</v>
      </c>
      <c r="ES34" s="51"/>
      <c r="ET34" s="37">
        <v>11531.92</v>
      </c>
      <c r="EV34" s="37">
        <v>35125.199999999997</v>
      </c>
      <c r="EX34" s="37">
        <v>36734.36</v>
      </c>
      <c r="EY34" s="51"/>
      <c r="EZ34" s="37">
        <v>25361.1</v>
      </c>
      <c r="FB34" s="37">
        <v>22991.43</v>
      </c>
      <c r="FD34" s="37">
        <v>10951.88</v>
      </c>
      <c r="FE34" s="51"/>
      <c r="FF34" s="37">
        <v>20102</v>
      </c>
      <c r="FH34" s="37">
        <v>4940.01</v>
      </c>
      <c r="FJ34" s="37">
        <v>3298.25</v>
      </c>
      <c r="FK34" s="51"/>
      <c r="FL34" s="37">
        <v>19604.150000000001</v>
      </c>
      <c r="FN34" s="37">
        <v>17163.75</v>
      </c>
      <c r="FP34" s="37">
        <v>33169.5</v>
      </c>
      <c r="FQ34" s="51"/>
      <c r="FR34" s="37">
        <v>33590.639999999999</v>
      </c>
      <c r="FT34" s="37">
        <v>67484.42</v>
      </c>
      <c r="FV34" s="37">
        <v>99545.36</v>
      </c>
      <c r="FW34" s="51"/>
      <c r="FX34" s="37">
        <v>70585.25</v>
      </c>
      <c r="FZ34" s="37">
        <v>63511.76</v>
      </c>
      <c r="GB34" s="37">
        <v>25302.45</v>
      </c>
      <c r="GC34" s="51"/>
      <c r="GD34" s="37">
        <v>18415.05</v>
      </c>
      <c r="GF34" s="37">
        <v>8512.5300000000007</v>
      </c>
      <c r="GH34" s="37">
        <v>12988.29</v>
      </c>
      <c r="GI34" s="51"/>
      <c r="GJ34" s="37">
        <v>5915.12</v>
      </c>
      <c r="GL34" s="37">
        <v>7469.75</v>
      </c>
      <c r="GN34" s="37">
        <v>25190.6</v>
      </c>
      <c r="GO34" s="51"/>
      <c r="GP34" s="37">
        <v>67080.09</v>
      </c>
      <c r="GR34" s="37">
        <v>103945.82</v>
      </c>
      <c r="GT34" s="37">
        <v>79876.710000000006</v>
      </c>
      <c r="GU34" s="51"/>
      <c r="GV34" s="37">
        <v>63312.800000000003</v>
      </c>
      <c r="GW34" s="175"/>
      <c r="GX34" s="37">
        <v>52742.400000000001</v>
      </c>
      <c r="GY34" s="175"/>
      <c r="GZ34" s="37">
        <v>25548.12</v>
      </c>
      <c r="HA34" s="51"/>
      <c r="HB34" s="37">
        <v>15100.63</v>
      </c>
      <c r="HD34" s="37">
        <v>9725.8799999999992</v>
      </c>
      <c r="HF34" s="37">
        <v>12790.08</v>
      </c>
      <c r="HG34" s="51"/>
      <c r="HH34" s="202">
        <v>12079.2</v>
      </c>
      <c r="HJ34" s="202">
        <v>9452.5499999999993</v>
      </c>
      <c r="HL34" s="202">
        <v>23805.98</v>
      </c>
      <c r="HN34" s="202">
        <v>43246.49</v>
      </c>
      <c r="HP34" s="202">
        <v>43247.3</v>
      </c>
      <c r="HR34" s="202">
        <v>55011.839999999997</v>
      </c>
      <c r="HS34" s="51"/>
      <c r="HT34" s="202">
        <v>46590.81</v>
      </c>
      <c r="HV34" s="202">
        <v>35519.85</v>
      </c>
      <c r="HX34" s="202">
        <v>25433.4</v>
      </c>
      <c r="HY34" s="51"/>
      <c r="HZ34" s="202">
        <v>10056.73</v>
      </c>
      <c r="IB34" s="202"/>
      <c r="ID34" s="202"/>
      <c r="IE34" s="51"/>
      <c r="IF34" s="202"/>
      <c r="IH34" s="202"/>
      <c r="IJ34" s="202"/>
      <c r="IK34" s="51"/>
    </row>
    <row r="35" spans="1:245" hidden="1" x14ac:dyDescent="0.35">
      <c r="C35" s="7"/>
      <c r="F35" s="33">
        <f>ROUND(F34/F33,2)</f>
        <v>3.81</v>
      </c>
      <c r="G35" s="24"/>
      <c r="H35" s="33">
        <f>ROUND(H34/H33,2)</f>
        <v>4.9800000000000004</v>
      </c>
      <c r="I35" s="24"/>
      <c r="J35" s="33">
        <f>ROUND(J34/J33,2)</f>
        <v>4.84</v>
      </c>
      <c r="K35" s="53"/>
      <c r="L35" s="33">
        <f>ROUND(L34/L33,2)</f>
        <v>5.04</v>
      </c>
      <c r="N35" s="33">
        <f>ROUND(N34/N33,2)</f>
        <v>4.62</v>
      </c>
      <c r="P35" s="33">
        <f>ROUND(P34/P33,2)</f>
        <v>4.9000000000000004</v>
      </c>
      <c r="Q35" s="53"/>
      <c r="R35" s="33">
        <f>ROUND(R34/R33,2)</f>
        <v>4.79</v>
      </c>
      <c r="T35" s="33">
        <f>ROUND(T34/T33,2)</f>
        <v>4.7300000000000004</v>
      </c>
      <c r="V35" s="33">
        <f>ROUND(V34/V33,2)</f>
        <v>4.8</v>
      </c>
      <c r="W35" s="51"/>
      <c r="X35" s="33">
        <f>ROUND(X34/X33,2)</f>
        <v>4.82</v>
      </c>
      <c r="Z35" s="33">
        <f>ROUND(Z34/Z33,2)</f>
        <v>4.26</v>
      </c>
      <c r="AB35" s="33">
        <f>ROUND(AB34/AB33,2)</f>
        <v>3.91</v>
      </c>
      <c r="AC35" s="51"/>
      <c r="AD35" s="53"/>
      <c r="AE35" s="51"/>
      <c r="AF35" s="53"/>
      <c r="AG35" s="51"/>
      <c r="AH35" s="53"/>
      <c r="AI35" s="51"/>
      <c r="AJ35" s="53"/>
      <c r="AK35" s="51"/>
      <c r="AL35" s="53"/>
      <c r="AM35" s="51"/>
      <c r="AN35" s="53"/>
      <c r="AO35" s="51"/>
      <c r="AP35" s="53"/>
      <c r="AQ35" s="51"/>
      <c r="AR35" s="53"/>
      <c r="AS35" s="51"/>
      <c r="AT35" s="53"/>
      <c r="AU35" s="51"/>
      <c r="AV35" s="53"/>
      <c r="AW35" s="51"/>
      <c r="AX35" s="53"/>
      <c r="AY35" s="51"/>
      <c r="AZ35" s="53"/>
      <c r="BA35" s="51"/>
      <c r="BB35" s="53"/>
      <c r="BC35" s="51"/>
      <c r="BD35" s="53"/>
      <c r="BE35" s="51"/>
      <c r="BF35" s="53"/>
      <c r="BG35" s="51"/>
      <c r="BH35" s="53"/>
      <c r="BI35" s="51"/>
      <c r="BJ35" s="53"/>
      <c r="BK35" s="51"/>
      <c r="BL35" s="53"/>
      <c r="BM35" s="51"/>
      <c r="BN35" s="53"/>
      <c r="BO35" s="51"/>
      <c r="BP35" s="53"/>
      <c r="BQ35" s="51"/>
      <c r="BR35" s="53"/>
      <c r="BS35" s="51"/>
      <c r="BT35" s="53"/>
      <c r="BU35" s="51"/>
      <c r="BV35" s="53"/>
      <c r="BW35" s="51"/>
      <c r="BX35" s="53"/>
      <c r="BY35" s="51"/>
      <c r="BZ35" s="53"/>
      <c r="CA35" s="51"/>
      <c r="CB35" s="53"/>
      <c r="CC35" s="51"/>
      <c r="CD35" s="53"/>
      <c r="CE35" s="51"/>
      <c r="CF35" s="53"/>
      <c r="CG35" s="51"/>
      <c r="CH35" s="53"/>
      <c r="CI35" s="51"/>
      <c r="CJ35" s="53"/>
      <c r="CK35" s="51"/>
      <c r="CL35" s="53"/>
      <c r="CM35" s="51"/>
      <c r="CN35" s="53"/>
      <c r="CO35" s="51"/>
      <c r="CP35" s="53"/>
      <c r="CQ35" s="51"/>
      <c r="CR35" s="53"/>
      <c r="CS35" s="51"/>
      <c r="CT35" s="53"/>
      <c r="CU35" s="51"/>
      <c r="CV35" s="53"/>
      <c r="CW35" s="51"/>
      <c r="CX35" s="53"/>
      <c r="CY35" s="51"/>
      <c r="CZ35" s="53"/>
      <c r="DA35" s="51"/>
      <c r="DB35" s="53"/>
      <c r="DC35" s="51"/>
      <c r="DD35" s="53"/>
      <c r="DE35" s="51"/>
      <c r="DF35" s="53"/>
      <c r="DG35" s="51"/>
      <c r="DH35" s="53"/>
      <c r="DI35" s="51"/>
      <c r="DJ35" s="53"/>
      <c r="DK35" s="51"/>
      <c r="DL35" s="53"/>
      <c r="DM35" s="51"/>
      <c r="DN35" s="53"/>
      <c r="DO35" s="51"/>
      <c r="DP35" s="53"/>
      <c r="DQ35" s="51"/>
      <c r="DR35" s="53"/>
      <c r="DS35" s="51"/>
      <c r="DT35" s="53"/>
      <c r="DU35" s="51"/>
      <c r="DV35" s="53"/>
      <c r="DW35" s="51"/>
      <c r="DX35" s="53"/>
      <c r="DY35" s="51"/>
      <c r="DZ35" s="53"/>
      <c r="EA35" s="51"/>
      <c r="EB35" s="53"/>
      <c r="EC35" s="51"/>
      <c r="ED35" s="53"/>
      <c r="EE35" s="51"/>
      <c r="EF35" s="53"/>
      <c r="EG35" s="51"/>
      <c r="EH35" s="53"/>
      <c r="EI35" s="51"/>
      <c r="EJ35" s="53"/>
      <c r="EK35" s="51"/>
      <c r="EL35" s="53"/>
      <c r="EM35" s="51"/>
      <c r="EN35" s="53"/>
      <c r="EO35" s="51"/>
      <c r="EP35" s="53"/>
      <c r="EQ35" s="51"/>
      <c r="ER35" s="53"/>
      <c r="ES35" s="51"/>
      <c r="ET35" s="53"/>
      <c r="EU35" s="51"/>
      <c r="EV35" s="53"/>
      <c r="EW35" s="51"/>
      <c r="EX35" s="53"/>
      <c r="EY35" s="51"/>
      <c r="EZ35" s="53"/>
      <c r="FA35" s="51"/>
      <c r="FB35" s="53"/>
      <c r="FC35" s="51"/>
      <c r="FD35" s="53"/>
      <c r="FE35" s="51"/>
      <c r="FF35" s="53"/>
      <c r="FG35" s="51"/>
      <c r="FH35" s="53"/>
      <c r="FI35" s="51"/>
      <c r="FJ35" s="53"/>
      <c r="FK35" s="51"/>
      <c r="FL35" s="53"/>
      <c r="FM35" s="51"/>
      <c r="FN35" s="53"/>
      <c r="FO35" s="51"/>
      <c r="FP35" s="53"/>
      <c r="FQ35" s="51"/>
      <c r="FR35" s="53"/>
      <c r="FS35" s="51"/>
      <c r="FT35" s="53"/>
      <c r="FU35" s="51"/>
      <c r="FV35" s="53"/>
      <c r="FW35" s="51"/>
      <c r="FX35" s="53"/>
      <c r="FY35" s="51"/>
      <c r="FZ35" s="53"/>
      <c r="GA35" s="51"/>
      <c r="GB35" s="53"/>
      <c r="GC35" s="51"/>
      <c r="GD35" s="53"/>
      <c r="GE35" s="51"/>
      <c r="GF35" s="53"/>
      <c r="GG35" s="51"/>
      <c r="GH35" s="53"/>
      <c r="GI35" s="51"/>
      <c r="GJ35" s="53"/>
      <c r="GK35" s="51"/>
      <c r="GL35" s="53"/>
      <c r="GM35" s="51"/>
      <c r="GN35" s="53"/>
      <c r="GO35" s="51"/>
      <c r="GP35" s="53"/>
      <c r="GQ35" s="51"/>
      <c r="GR35" s="53"/>
      <c r="GS35" s="51"/>
      <c r="GT35" s="53"/>
      <c r="GU35" s="51"/>
      <c r="GV35" s="53"/>
      <c r="GW35" s="51"/>
      <c r="GX35" s="53"/>
      <c r="GY35" s="51"/>
      <c r="GZ35" s="53"/>
      <c r="HA35" s="51"/>
      <c r="HB35" s="53"/>
      <c r="HC35" s="51"/>
      <c r="HD35" s="53"/>
      <c r="HE35" s="51"/>
      <c r="HF35" s="53"/>
      <c r="HG35" s="51"/>
      <c r="HH35" s="53"/>
      <c r="HI35" s="51"/>
      <c r="HJ35" s="53"/>
      <c r="HK35" s="51"/>
      <c r="HL35" s="53"/>
      <c r="HN35" s="53"/>
      <c r="HO35" s="51"/>
      <c r="HP35" s="53"/>
      <c r="HQ35" s="51"/>
      <c r="HR35" s="53"/>
      <c r="HS35" s="51"/>
      <c r="HT35" s="53"/>
      <c r="HU35" s="51"/>
      <c r="HV35" s="53"/>
      <c r="HW35" s="51"/>
      <c r="HX35" s="53"/>
      <c r="HY35" s="51"/>
      <c r="HZ35" s="53"/>
      <c r="IA35" s="51"/>
      <c r="IB35" s="53"/>
      <c r="IC35" s="51"/>
      <c r="ID35" s="53"/>
      <c r="IE35" s="51"/>
      <c r="IF35" s="53"/>
      <c r="IG35" s="51"/>
      <c r="IH35" s="53"/>
      <c r="II35" s="51"/>
      <c r="IJ35" s="53"/>
      <c r="IK35" s="51"/>
    </row>
    <row r="36" spans="1:245" hidden="1" x14ac:dyDescent="0.35">
      <c r="C36" s="7"/>
      <c r="F36" s="39">
        <v>1.0349999999999999</v>
      </c>
      <c r="G36" s="40"/>
      <c r="H36" s="39">
        <v>1.0349999999999999</v>
      </c>
      <c r="I36" s="40"/>
      <c r="J36" s="39">
        <v>1.0349999999999999</v>
      </c>
      <c r="K36" s="76"/>
      <c r="L36" s="39">
        <v>1.0349999999999999</v>
      </c>
      <c r="N36" s="39">
        <v>1.0349999999999999</v>
      </c>
      <c r="P36" s="39">
        <v>1.0349999999999999</v>
      </c>
      <c r="Q36" s="76"/>
      <c r="R36" s="39">
        <v>1.0349999999999999</v>
      </c>
      <c r="T36" s="39">
        <v>1.0349999999999999</v>
      </c>
      <c r="V36" s="39">
        <v>1.0349999999999999</v>
      </c>
      <c r="W36" s="51"/>
      <c r="X36" s="39">
        <v>1.0349999999999999</v>
      </c>
      <c r="Z36" s="39">
        <v>1.0349999999999999</v>
      </c>
      <c r="AB36" s="39">
        <v>1.0349999999999999</v>
      </c>
      <c r="AC36" s="51"/>
      <c r="AD36" s="76"/>
      <c r="AE36" s="51"/>
      <c r="AF36" s="76"/>
      <c r="AG36" s="51"/>
      <c r="AH36" s="76"/>
      <c r="AI36" s="51"/>
      <c r="AJ36" s="76"/>
      <c r="AK36" s="51"/>
      <c r="AL36" s="76"/>
      <c r="AM36" s="51"/>
      <c r="AN36" s="76"/>
      <c r="AO36" s="51"/>
      <c r="AP36" s="76"/>
      <c r="AQ36" s="51"/>
      <c r="AR36" s="76"/>
      <c r="AS36" s="51"/>
      <c r="AT36" s="76"/>
      <c r="AU36" s="51"/>
      <c r="AV36" s="76"/>
      <c r="AW36" s="51"/>
      <c r="AX36" s="76"/>
      <c r="AY36" s="51"/>
      <c r="AZ36" s="76"/>
      <c r="BA36" s="51"/>
      <c r="BB36" s="76"/>
      <c r="BC36" s="51"/>
      <c r="BD36" s="76"/>
      <c r="BE36" s="51"/>
      <c r="BF36" s="76"/>
      <c r="BG36" s="51"/>
      <c r="BH36" s="76"/>
      <c r="BI36" s="51"/>
      <c r="BJ36" s="76"/>
      <c r="BK36" s="51"/>
      <c r="BL36" s="76"/>
      <c r="BM36" s="51"/>
      <c r="BN36" s="76"/>
      <c r="BO36" s="51"/>
      <c r="BP36" s="76"/>
      <c r="BQ36" s="51"/>
      <c r="BR36" s="76"/>
      <c r="BS36" s="51"/>
      <c r="BT36" s="76"/>
      <c r="BU36" s="51"/>
      <c r="BV36" s="76"/>
      <c r="BW36" s="51"/>
      <c r="BX36" s="76"/>
      <c r="BY36" s="51"/>
      <c r="BZ36" s="76"/>
      <c r="CA36" s="51"/>
      <c r="CB36" s="76"/>
      <c r="CC36" s="51"/>
      <c r="CD36" s="76"/>
      <c r="CE36" s="51"/>
      <c r="CF36" s="76"/>
      <c r="CG36" s="51"/>
      <c r="CH36" s="76"/>
      <c r="CI36" s="51"/>
      <c r="CJ36" s="76"/>
      <c r="CK36" s="51"/>
      <c r="CL36" s="76"/>
      <c r="CM36" s="51"/>
      <c r="CN36" s="76"/>
      <c r="CO36" s="51"/>
      <c r="CP36" s="76"/>
      <c r="CQ36" s="51"/>
      <c r="CR36" s="76"/>
      <c r="CS36" s="51"/>
      <c r="CT36" s="76"/>
      <c r="CU36" s="51"/>
      <c r="CV36" s="76"/>
      <c r="CW36" s="51"/>
      <c r="CX36" s="76"/>
      <c r="CY36" s="51"/>
      <c r="CZ36" s="76"/>
      <c r="DA36" s="51"/>
      <c r="DB36" s="76"/>
      <c r="DC36" s="51"/>
      <c r="DD36" s="76"/>
      <c r="DE36" s="51"/>
      <c r="DF36" s="76"/>
      <c r="DG36" s="51"/>
      <c r="DH36" s="76"/>
      <c r="DI36" s="51"/>
      <c r="DJ36" s="76"/>
      <c r="DK36" s="51"/>
      <c r="DL36" s="76"/>
      <c r="DM36" s="51"/>
      <c r="DN36" s="76"/>
      <c r="DO36" s="51"/>
      <c r="DP36" s="76"/>
      <c r="DQ36" s="51"/>
      <c r="DR36" s="76"/>
      <c r="DS36" s="51"/>
      <c r="DT36" s="76"/>
      <c r="DU36" s="51"/>
      <c r="DV36" s="76"/>
      <c r="DW36" s="51"/>
      <c r="DX36" s="76"/>
      <c r="DY36" s="51"/>
      <c r="DZ36" s="76"/>
      <c r="EA36" s="51"/>
      <c r="EB36" s="76"/>
      <c r="EC36" s="51"/>
      <c r="ED36" s="76"/>
      <c r="EE36" s="51"/>
      <c r="EF36" s="76"/>
      <c r="EG36" s="51"/>
      <c r="EH36" s="76"/>
      <c r="EI36" s="51"/>
      <c r="EJ36" s="76"/>
      <c r="EK36" s="51"/>
      <c r="EL36" s="76"/>
      <c r="EM36" s="51"/>
      <c r="EN36" s="76"/>
      <c r="EO36" s="51"/>
      <c r="EP36" s="76"/>
      <c r="EQ36" s="51"/>
      <c r="ER36" s="76"/>
      <c r="ES36" s="51"/>
      <c r="ET36" s="76"/>
      <c r="EU36" s="51"/>
      <c r="EV36" s="76"/>
      <c r="EW36" s="51"/>
      <c r="EX36" s="76"/>
      <c r="EY36" s="51"/>
      <c r="EZ36" s="76"/>
      <c r="FA36" s="51"/>
      <c r="FB36" s="76"/>
      <c r="FC36" s="51"/>
      <c r="FD36" s="76"/>
      <c r="FE36" s="51"/>
      <c r="FF36" s="76"/>
      <c r="FG36" s="51"/>
      <c r="FH36" s="76"/>
      <c r="FI36" s="51"/>
      <c r="FJ36" s="76"/>
      <c r="FK36" s="51"/>
      <c r="FL36" s="76"/>
      <c r="FM36" s="51"/>
      <c r="FN36" s="76"/>
      <c r="FO36" s="51"/>
      <c r="FP36" s="76"/>
      <c r="FQ36" s="51"/>
      <c r="FR36" s="76"/>
      <c r="FS36" s="51"/>
      <c r="FT36" s="76"/>
      <c r="FU36" s="51"/>
      <c r="FV36" s="76"/>
      <c r="FW36" s="51"/>
      <c r="FX36" s="76"/>
      <c r="FY36" s="51"/>
      <c r="FZ36" s="76"/>
      <c r="GA36" s="51"/>
      <c r="GB36" s="76"/>
      <c r="GC36" s="51"/>
      <c r="GD36" s="76"/>
      <c r="GE36" s="51"/>
      <c r="GF36" s="76"/>
      <c r="GG36" s="51"/>
      <c r="GH36" s="76"/>
      <c r="GI36" s="51"/>
      <c r="GJ36" s="76"/>
      <c r="GK36" s="51"/>
      <c r="GL36" s="76"/>
      <c r="GM36" s="51"/>
      <c r="GN36" s="76"/>
      <c r="GO36" s="51"/>
      <c r="GP36" s="76"/>
      <c r="GQ36" s="51"/>
      <c r="GR36" s="76"/>
      <c r="GS36" s="51"/>
      <c r="GT36" s="76"/>
      <c r="GU36" s="51"/>
      <c r="GV36" s="76"/>
      <c r="GW36" s="51"/>
      <c r="GX36" s="76"/>
      <c r="GY36" s="51"/>
      <c r="GZ36" s="76"/>
      <c r="HA36" s="51"/>
      <c r="HB36" s="76"/>
      <c r="HC36" s="51"/>
      <c r="HD36" s="76"/>
      <c r="HE36" s="51"/>
      <c r="HF36" s="76"/>
      <c r="HG36" s="51"/>
      <c r="HH36" s="76"/>
      <c r="HI36" s="51"/>
      <c r="HJ36" s="76"/>
      <c r="HK36" s="51"/>
      <c r="HL36" s="76"/>
      <c r="HN36" s="76"/>
      <c r="HO36" s="51"/>
      <c r="HP36" s="76"/>
      <c r="HQ36" s="51"/>
      <c r="HR36" s="76"/>
      <c r="HS36" s="51"/>
      <c r="HT36" s="76"/>
      <c r="HU36" s="51"/>
      <c r="HV36" s="76"/>
      <c r="HW36" s="51"/>
      <c r="HX36" s="76"/>
      <c r="HY36" s="51"/>
      <c r="HZ36" s="76"/>
      <c r="IA36" s="51"/>
      <c r="IB36" s="76"/>
      <c r="IC36" s="51"/>
      <c r="ID36" s="76"/>
      <c r="IE36" s="51"/>
      <c r="IF36" s="76"/>
      <c r="IG36" s="51"/>
      <c r="IH36" s="76"/>
      <c r="II36" s="51"/>
      <c r="IJ36" s="76"/>
      <c r="IK36" s="51"/>
    </row>
    <row r="37" spans="1:245" x14ac:dyDescent="0.35">
      <c r="C37" s="126" t="s">
        <v>38</v>
      </c>
      <c r="F37" s="33">
        <f>F35*F36</f>
        <v>3.9433499999999997</v>
      </c>
      <c r="G37" s="24"/>
      <c r="H37" s="33">
        <f>H35*H36</f>
        <v>5.1543000000000001</v>
      </c>
      <c r="I37" s="24"/>
      <c r="J37" s="33">
        <f>J35*J36</f>
        <v>5.0093999999999994</v>
      </c>
      <c r="K37" s="53"/>
      <c r="L37" s="33">
        <f>L35*L36</f>
        <v>5.2163999999999993</v>
      </c>
      <c r="N37" s="33">
        <f>N35*N36</f>
        <v>4.7816999999999998</v>
      </c>
      <c r="P37" s="33">
        <f>P35*P36</f>
        <v>5.0715000000000003</v>
      </c>
      <c r="Q37" s="53"/>
      <c r="R37" s="33">
        <f>R35*R36</f>
        <v>4.9576499999999992</v>
      </c>
      <c r="T37" s="33">
        <f>T35*T36</f>
        <v>4.8955500000000001</v>
      </c>
      <c r="V37" s="33">
        <f>V35*V36</f>
        <v>4.9679999999999991</v>
      </c>
      <c r="W37" s="51"/>
      <c r="X37" s="33">
        <f>X35*X36</f>
        <v>4.9886999999999997</v>
      </c>
      <c r="Z37" s="33">
        <f>Z35*Z36</f>
        <v>4.4090999999999996</v>
      </c>
      <c r="AB37" s="33">
        <f>AB35*AB36</f>
        <v>4.0468500000000001</v>
      </c>
      <c r="AC37" s="51"/>
      <c r="AD37" s="128">
        <f>AD34*AD28</f>
        <v>8939.4582380586689</v>
      </c>
      <c r="AF37" s="128">
        <f>AF34*AF28</f>
        <v>15004.115065178572</v>
      </c>
      <c r="AH37" s="128">
        <f>AH34*AH28</f>
        <v>17630.274651352374</v>
      </c>
      <c r="AI37" s="51"/>
      <c r="AJ37" s="128">
        <f>AJ34*AJ28</f>
        <v>13971.648171581768</v>
      </c>
      <c r="AL37" s="128">
        <f>AL34*AL28</f>
        <v>5258.270584035783</v>
      </c>
      <c r="AN37" s="128">
        <f>AN34*AN28</f>
        <v>172.59706723133934</v>
      </c>
      <c r="AO37" s="51"/>
      <c r="AP37" s="128">
        <f>AP34*AP28</f>
        <v>760.33218993518437</v>
      </c>
      <c r="AR37" s="128">
        <f>AR34*AR28</f>
        <v>477.42552856837148</v>
      </c>
      <c r="AT37" s="128">
        <f>AT34*AT28</f>
        <v>283.89161478776811</v>
      </c>
      <c r="AU37" s="51"/>
      <c r="AV37" s="128">
        <f>AV34*AV28</f>
        <v>345.70356008532821</v>
      </c>
      <c r="AX37" s="128">
        <f>AX34*AX28</f>
        <v>408.55507314478234</v>
      </c>
      <c r="AZ37" s="128">
        <f>AZ34*AZ28</f>
        <v>443.86188252936768</v>
      </c>
      <c r="BA37" s="51"/>
      <c r="BB37" s="128">
        <f>BB34*BB28</f>
        <v>10962.690721098485</v>
      </c>
      <c r="BD37" s="128">
        <f>BD34*BD28</f>
        <v>15091.99731597557</v>
      </c>
      <c r="BF37" s="128">
        <f>BF34*BF28</f>
        <v>25482.870692775221</v>
      </c>
      <c r="BG37" s="51"/>
      <c r="BH37" s="128">
        <f>BH34*BH28</f>
        <v>28116.024003250823</v>
      </c>
      <c r="BJ37" s="128">
        <f>BJ34*BJ28</f>
        <v>29963.070089552242</v>
      </c>
      <c r="BL37" s="128">
        <f>BL34*BL28</f>
        <v>13608.476646838639</v>
      </c>
      <c r="BM37" s="51"/>
      <c r="BN37" s="128">
        <f>BN34*BN28</f>
        <v>7379.7119374756621</v>
      </c>
      <c r="BP37" s="128">
        <f>BP34*BP28</f>
        <v>163.86141376060323</v>
      </c>
      <c r="BR37" s="128">
        <f>BR34*BR28</f>
        <v>585.97399441340781</v>
      </c>
      <c r="BS37" s="51"/>
      <c r="BT37" s="128">
        <f>BT34*BT28</f>
        <v>508.7875421749286</v>
      </c>
      <c r="BV37" s="128">
        <f>BV34*BV28</f>
        <v>2864.7865783907268</v>
      </c>
      <c r="BX37" s="128">
        <f>BX34*BX28</f>
        <v>6665.6421341091454</v>
      </c>
      <c r="BY37" s="51"/>
      <c r="BZ37" s="128">
        <f>BZ34*BZ28</f>
        <v>17863.421798235155</v>
      </c>
      <c r="CB37" s="128">
        <f>CB34*CB28</f>
        <v>30827.476031292001</v>
      </c>
      <c r="CD37" s="128">
        <f>CD34*CD28</f>
        <v>53882.511418269234</v>
      </c>
      <c r="CE37" s="51"/>
      <c r="CF37" s="128">
        <f>CF34*CF28</f>
        <v>57074.307504943492</v>
      </c>
      <c r="CH37" s="128">
        <f>CH34*CH28</f>
        <v>37405.353700430707</v>
      </c>
      <c r="CJ37" s="128">
        <f>CJ34*CJ28</f>
        <v>14688.395518955411</v>
      </c>
      <c r="CK37" s="51"/>
      <c r="CL37" s="128">
        <f>CL34*CL28</f>
        <v>10548.866207314302</v>
      </c>
      <c r="CN37" s="128">
        <f>CN34*CN28</f>
        <v>9329.5504719789096</v>
      </c>
      <c r="CP37" s="128">
        <f>CP34*CP28</f>
        <v>1902.7220027247956</v>
      </c>
      <c r="CQ37" s="51"/>
      <c r="CR37" s="128">
        <f>CR34*CR28</f>
        <v>437.264303107042</v>
      </c>
      <c r="CT37" s="128">
        <f>CT34*CT28</f>
        <v>1808.4735765343853</v>
      </c>
      <c r="CV37" s="128">
        <f>CV34*CV28</f>
        <v>53.684362700575228</v>
      </c>
      <c r="CW37" s="51"/>
      <c r="CX37" s="128">
        <f>CX34*CX28</f>
        <v>18212.053102825441</v>
      </c>
      <c r="CZ37" s="128">
        <f>CZ34*CZ28</f>
        <v>28538.287378892877</v>
      </c>
      <c r="DB37" s="128">
        <f>DB34*DB28</f>
        <v>69658.985402203907</v>
      </c>
      <c r="DC37" s="51"/>
      <c r="DD37" s="128">
        <f>DD34*DD28</f>
        <v>68244.76064640448</v>
      </c>
      <c r="DF37" s="128">
        <f>DF34*DF28</f>
        <v>51418.992024282328</v>
      </c>
      <c r="DH37" s="128">
        <f>DH34*DH28</f>
        <v>13514.988885160641</v>
      </c>
      <c r="DI37" s="51"/>
      <c r="DJ37" s="128">
        <f>DJ34*DJ28</f>
        <v>26920.633503267683</v>
      </c>
      <c r="DL37" s="128">
        <f>DL34*DL28</f>
        <v>11451.11106391371</v>
      </c>
      <c r="DN37" s="128">
        <f>DN34*DN28</f>
        <v>1022.4456223748899</v>
      </c>
      <c r="DO37" s="51"/>
      <c r="DP37" s="128">
        <f>DP34*DP28</f>
        <v>3576.8086049444041</v>
      </c>
      <c r="DR37" s="128">
        <f>DR34*DR28</f>
        <v>5170.1823640827779</v>
      </c>
      <c r="DT37" s="128">
        <f>DT34*DT28</f>
        <v>24081.788983183094</v>
      </c>
      <c r="DU37" s="51"/>
      <c r="DV37" s="128">
        <f>DV34*DV28</f>
        <v>24168.172106529761</v>
      </c>
      <c r="DX37" s="128">
        <f>DX34*DX28</f>
        <v>25091.132274912743</v>
      </c>
      <c r="DZ37" s="128">
        <f>DZ34*DZ28</f>
        <v>31706.922103413031</v>
      </c>
      <c r="EA37" s="51"/>
      <c r="EB37" s="128">
        <f>EB34*EB28</f>
        <v>27011.757435234242</v>
      </c>
      <c r="ED37" s="128">
        <f>ED34*ED28</f>
        <v>7005.8078856792745</v>
      </c>
      <c r="EF37" s="128">
        <f>EF34*EF28</f>
        <v>8565.5377297530158</v>
      </c>
      <c r="EG37" s="51"/>
      <c r="EH37" s="128">
        <f>EH34*EH28</f>
        <v>9746.5965266628682</v>
      </c>
      <c r="EJ37" s="128">
        <f>EJ34*EJ28</f>
        <v>20738.966710880661</v>
      </c>
      <c r="EL37" s="128">
        <f>EL34*EL28</f>
        <v>1397.2309010006477</v>
      </c>
      <c r="EM37" s="51"/>
      <c r="EN37" s="128">
        <f>EN34*EN28</f>
        <v>19773.492126410638</v>
      </c>
      <c r="EP37" s="128">
        <f>EP34*EP28</f>
        <v>2186.5280964007798</v>
      </c>
      <c r="ER37" s="128">
        <f>ER34*ER28</f>
        <v>11930.53985360261</v>
      </c>
      <c r="ES37" s="51"/>
      <c r="ET37" s="128">
        <f>ET34*ET28</f>
        <v>10781.477615389498</v>
      </c>
      <c r="EV37" s="128">
        <f>EV34*EV28</f>
        <v>27726.948859672655</v>
      </c>
      <c r="EX37" s="128">
        <f>EX34*EX28</f>
        <v>30372.916877687399</v>
      </c>
      <c r="EY37" s="51"/>
      <c r="EZ37" s="128">
        <f>EZ34*EZ28</f>
        <v>20489.512485782889</v>
      </c>
      <c r="FB37" s="128">
        <f>FB34*FB28</f>
        <v>19893.304931717252</v>
      </c>
      <c r="FD37" s="128">
        <f>FD34*FD28</f>
        <v>10234.395042297854</v>
      </c>
      <c r="FE37" s="51"/>
      <c r="FF37" s="128">
        <f>FF34*FF28</f>
        <v>18143.61938014374</v>
      </c>
      <c r="FH37" s="128">
        <f>FH34*FH28</f>
        <v>4724.0868624035838</v>
      </c>
      <c r="FJ37" s="128">
        <f>FJ34*FJ28</f>
        <v>3058.1449096457841</v>
      </c>
      <c r="FK37" s="51"/>
      <c r="FL37" s="128">
        <f>FL34*FL28</f>
        <v>18931.315178000426</v>
      </c>
      <c r="FN37" s="128">
        <f>FN34*FN28</f>
        <v>16426.997747446363</v>
      </c>
      <c r="FP37" s="128">
        <f>FP34*FP28</f>
        <v>29747.542025770119</v>
      </c>
      <c r="FQ37" s="51"/>
      <c r="FR37" s="128">
        <f>FR34*FR28</f>
        <v>30863.498246741172</v>
      </c>
      <c r="FT37" s="128">
        <f>FT34*FT28</f>
        <v>58221.06252171081</v>
      </c>
      <c r="FV37" s="128">
        <f>FV34*FV28</f>
        <v>74464.77983806259</v>
      </c>
      <c r="FW37" s="51"/>
      <c r="FX37" s="128">
        <f>FX34*FX28</f>
        <v>61335.649860444893</v>
      </c>
      <c r="FZ37" s="128">
        <f>FZ34*FZ28</f>
        <v>54740.189390705411</v>
      </c>
      <c r="GB37" s="128">
        <f>GB34*GB28</f>
        <v>23224.919346446484</v>
      </c>
      <c r="GC37" s="51"/>
      <c r="GD37" s="128">
        <f>GD34*GD28</f>
        <v>17579.391249194312</v>
      </c>
      <c r="GF37" s="128">
        <f>GF34*GF28</f>
        <v>8209.9731864068981</v>
      </c>
      <c r="GH37" s="128">
        <f>GH34*GH28</f>
        <v>12475.585659853348</v>
      </c>
      <c r="GI37" s="51"/>
      <c r="GJ37" s="128">
        <f>GJ34*GJ28</f>
        <v>5642.7375276583307</v>
      </c>
      <c r="GL37" s="128">
        <f>GL34*GL28</f>
        <v>7179.287917331606</v>
      </c>
      <c r="GN37" s="128">
        <f>GN34*GN28</f>
        <v>24411.250767148013</v>
      </c>
      <c r="GO37" s="51"/>
      <c r="GP37" s="128">
        <f>GP34*GP28</f>
        <v>65460.653836063182</v>
      </c>
      <c r="GR37" s="128">
        <f>GR34*GR28</f>
        <v>102138.74981103554</v>
      </c>
      <c r="GT37" s="128">
        <f>GT34*GT28</f>
        <v>78382.519190119652</v>
      </c>
      <c r="GU37" s="51"/>
      <c r="GV37" s="128">
        <f>GV34*GV28</f>
        <v>56247.690983795314</v>
      </c>
      <c r="GW37" s="175"/>
      <c r="GX37" s="128">
        <f>GX34*GX28</f>
        <v>46403.205880531066</v>
      </c>
      <c r="GY37" s="175"/>
      <c r="GZ37" s="128">
        <f>GZ34*GZ28</f>
        <v>23501.410413267273</v>
      </c>
      <c r="HA37" s="51"/>
      <c r="HB37" s="128">
        <f>HB34*HB28</f>
        <v>14925.233339236418</v>
      </c>
      <c r="HD37" s="128">
        <f>HD34*HD28</f>
        <v>9478.0311617448642</v>
      </c>
      <c r="HF37" s="128">
        <f>HF34*HF28</f>
        <v>12632.400961130741</v>
      </c>
      <c r="HG37" s="51"/>
      <c r="HH37" s="128">
        <f>HH34*HH28</f>
        <v>11908.779772497544</v>
      </c>
      <c r="HJ37" s="128">
        <f>HJ34*HJ28</f>
        <v>9232.5562741333106</v>
      </c>
      <c r="HL37" s="128">
        <f>HL34*HL28</f>
        <v>21743.948096718592</v>
      </c>
      <c r="HN37" s="128">
        <f>HN34*HN28</f>
        <v>36903.045493534788</v>
      </c>
      <c r="HP37" s="128">
        <f>HP34*HP28</f>
        <v>36606.903991673811</v>
      </c>
      <c r="HR37" s="128">
        <f>HR34*HR28</f>
        <v>49014.967993495702</v>
      </c>
      <c r="HS37" s="51"/>
      <c r="HT37" s="128">
        <f>HT34*HT28</f>
        <v>41329.745764819185</v>
      </c>
      <c r="HV37" s="128">
        <f>HV34*HV28</f>
        <v>33001.666221316809</v>
      </c>
      <c r="HX37" s="128">
        <f>HX34*HX28</f>
        <v>24483.62269154382</v>
      </c>
      <c r="HY37" s="51"/>
      <c r="HZ37" s="128">
        <f>HZ34*HZ28</f>
        <v>10056.73</v>
      </c>
      <c r="IB37" s="128" t="e">
        <f>IB34*IB28</f>
        <v>#DIV/0!</v>
      </c>
      <c r="ID37" s="128" t="e">
        <f>ID34*ID28</f>
        <v>#DIV/0!</v>
      </c>
      <c r="IE37" s="51"/>
      <c r="IF37" s="128" t="e">
        <f>IF34*IF28</f>
        <v>#DIV/0!</v>
      </c>
      <c r="IH37" s="128" t="e">
        <f>IH34*IH28</f>
        <v>#DIV/0!</v>
      </c>
      <c r="IJ37" s="128" t="e">
        <f>IJ34*IJ28</f>
        <v>#DIV/0!</v>
      </c>
      <c r="IK37" s="51"/>
    </row>
    <row r="38" spans="1:245" s="51" customFormat="1" ht="6.85" customHeight="1" x14ac:dyDescent="0.35">
      <c r="F38" s="53"/>
      <c r="G38" s="53"/>
      <c r="H38" s="53"/>
      <c r="I38" s="53"/>
      <c r="J38" s="53"/>
      <c r="K38" s="53"/>
      <c r="L38" s="53"/>
      <c r="Q38" s="53"/>
      <c r="R38" s="53"/>
      <c r="X38" s="53"/>
      <c r="AD38" s="53"/>
      <c r="AJ38" s="53"/>
      <c r="AP38" s="53"/>
      <c r="AV38" s="53"/>
      <c r="BB38" s="53"/>
      <c r="BH38" s="53"/>
      <c r="BN38" s="53"/>
      <c r="BT38" s="53"/>
      <c r="BZ38" s="53"/>
      <c r="CF38" s="53"/>
      <c r="CL38" s="53"/>
      <c r="CR38" s="53"/>
      <c r="CX38" s="53"/>
      <c r="DD38" s="53"/>
      <c r="DJ38" s="53"/>
      <c r="DP38" s="53"/>
      <c r="DV38" s="53"/>
      <c r="EB38" s="53"/>
      <c r="EH38" s="53"/>
      <c r="EN38" s="53"/>
      <c r="ET38" s="53"/>
      <c r="EZ38" s="53"/>
      <c r="FF38" s="53"/>
      <c r="FL38" s="53"/>
      <c r="FR38" s="53"/>
      <c r="FX38" s="53"/>
      <c r="GD38" s="53"/>
      <c r="GJ38" s="53"/>
      <c r="GP38" s="53"/>
      <c r="GV38" s="53"/>
      <c r="HB38" s="53"/>
      <c r="HH38" s="53"/>
      <c r="HN38" s="53"/>
      <c r="HT38" s="53"/>
      <c r="HZ38" s="53"/>
      <c r="IF38" s="53"/>
    </row>
    <row r="39" spans="1:245" s="51" customFormat="1" x14ac:dyDescent="0.35">
      <c r="A39" s="221" t="s">
        <v>145</v>
      </c>
      <c r="F39" s="228"/>
      <c r="G39" s="53"/>
      <c r="H39" s="228"/>
      <c r="I39" s="53"/>
      <c r="J39" s="228"/>
      <c r="K39" s="53"/>
      <c r="L39" s="228"/>
      <c r="Q39" s="53"/>
      <c r="R39" s="228"/>
      <c r="X39" s="228"/>
      <c r="AD39" s="228"/>
      <c r="AJ39" s="228"/>
      <c r="AP39" s="228"/>
      <c r="AV39" s="228"/>
      <c r="BB39" s="228"/>
      <c r="BH39" s="228"/>
      <c r="BN39" s="228"/>
      <c r="BT39" s="228"/>
      <c r="BZ39" s="228"/>
      <c r="CF39" s="228"/>
      <c r="CL39" s="228"/>
      <c r="CR39" s="228"/>
      <c r="CX39" s="228"/>
      <c r="DD39" s="228"/>
      <c r="DJ39" s="228"/>
      <c r="DP39" s="228"/>
      <c r="DV39" s="228"/>
      <c r="EB39" s="228"/>
      <c r="EH39" s="228"/>
      <c r="EN39" s="228"/>
      <c r="ET39" s="228"/>
      <c r="EZ39" s="228"/>
      <c r="FF39" s="228"/>
      <c r="FL39" s="228"/>
      <c r="FR39" s="228"/>
      <c r="FX39" s="228"/>
      <c r="GD39" s="228"/>
      <c r="GJ39" s="228"/>
      <c r="GP39" s="228"/>
      <c r="GV39" s="228"/>
      <c r="HB39" s="228"/>
      <c r="HH39" s="228"/>
      <c r="HN39" s="228"/>
      <c r="HT39" s="228"/>
      <c r="HZ39" s="228"/>
      <c r="IF39" s="228"/>
    </row>
    <row r="40" spans="1:245" x14ac:dyDescent="0.35">
      <c r="B40" s="127" t="s">
        <v>147</v>
      </c>
      <c r="C40" s="32"/>
      <c r="F40" s="34">
        <v>1682.5</v>
      </c>
      <c r="G40" s="24"/>
      <c r="H40" s="34">
        <v>1682.5</v>
      </c>
      <c r="I40" s="24"/>
      <c r="J40" s="34">
        <v>1682.5</v>
      </c>
      <c r="K40" s="53"/>
      <c r="L40" s="34">
        <v>1682.5</v>
      </c>
      <c r="N40" s="34">
        <v>1682.5</v>
      </c>
      <c r="P40" s="34">
        <v>1682.5</v>
      </c>
      <c r="Q40" s="53"/>
      <c r="R40" s="34">
        <v>1682.5</v>
      </c>
      <c r="T40" s="34">
        <v>1682.5</v>
      </c>
      <c r="V40" s="34">
        <v>1682.5</v>
      </c>
      <c r="W40" s="51"/>
      <c r="X40" s="34">
        <v>1682.5</v>
      </c>
      <c r="Z40" s="34">
        <v>1682.5</v>
      </c>
      <c r="AB40" s="34">
        <v>1682.5</v>
      </c>
      <c r="AC40" s="51"/>
      <c r="AD40" s="34">
        <v>1798.3</v>
      </c>
      <c r="AF40" s="34">
        <v>1818.51</v>
      </c>
      <c r="AH40" s="34">
        <v>1837.62</v>
      </c>
      <c r="AI40" s="51"/>
      <c r="AJ40" s="34">
        <v>1693.58</v>
      </c>
      <c r="AL40" s="34">
        <v>2136.8200000000002</v>
      </c>
      <c r="AN40" s="34">
        <v>1225.4100000000001</v>
      </c>
      <c r="AO40" s="51"/>
      <c r="AP40" s="34">
        <v>1675.73</v>
      </c>
      <c r="AR40" s="34">
        <v>1673.99</v>
      </c>
      <c r="AT40" s="34">
        <v>1675.25</v>
      </c>
      <c r="AU40" s="51"/>
      <c r="AV40" s="34">
        <v>1675.85</v>
      </c>
      <c r="AX40" s="34">
        <v>1673.73</v>
      </c>
      <c r="AZ40" s="34">
        <v>1678.96</v>
      </c>
      <c r="BA40" s="51"/>
      <c r="BB40" s="34">
        <v>1675.92</v>
      </c>
      <c r="BD40" s="34">
        <v>1675.85</v>
      </c>
      <c r="BF40" s="34">
        <v>1675.27</v>
      </c>
      <c r="BG40" s="51"/>
      <c r="BH40" s="34">
        <v>1674.93</v>
      </c>
      <c r="BJ40" s="34">
        <v>1685.56</v>
      </c>
      <c r="BL40" s="34">
        <v>1678.25</v>
      </c>
      <c r="BM40" s="51"/>
      <c r="BN40" s="34">
        <v>1694.83</v>
      </c>
      <c r="BP40" s="34">
        <v>1676.47</v>
      </c>
      <c r="BR40" s="34">
        <v>1681.53</v>
      </c>
      <c r="BS40" s="51"/>
      <c r="BT40" s="34">
        <v>1679.38</v>
      </c>
      <c r="BV40" s="34">
        <v>1680.05</v>
      </c>
      <c r="BX40" s="34">
        <v>1682.29</v>
      </c>
      <c r="BY40" s="51"/>
      <c r="BZ40" s="34">
        <v>1688.95</v>
      </c>
      <c r="CB40" s="34">
        <v>1693.43</v>
      </c>
      <c r="CD40" s="34">
        <v>1688.05</v>
      </c>
      <c r="CE40" s="51"/>
      <c r="CF40" s="34">
        <v>1685.9</v>
      </c>
      <c r="CH40" s="34">
        <v>1681.6</v>
      </c>
      <c r="CJ40" s="34">
        <v>1684.48</v>
      </c>
      <c r="CK40" s="51"/>
      <c r="CL40" s="34">
        <v>1672.45</v>
      </c>
      <c r="CN40" s="34">
        <v>1673.87</v>
      </c>
      <c r="CP40" s="34">
        <v>1675.26</v>
      </c>
      <c r="CQ40" s="51"/>
      <c r="CR40" s="34">
        <v>1675.17</v>
      </c>
      <c r="CT40" s="34">
        <v>1673.4</v>
      </c>
      <c r="CV40" s="34">
        <v>1677.23</v>
      </c>
      <c r="CW40" s="51"/>
      <c r="CX40" s="34">
        <v>1666.02</v>
      </c>
      <c r="CZ40" s="34">
        <v>1672.7</v>
      </c>
      <c r="DB40" s="34">
        <v>1688.87</v>
      </c>
      <c r="DC40" s="51"/>
      <c r="DD40" s="34">
        <v>1687.46</v>
      </c>
      <c r="DF40" s="34">
        <v>1677.33</v>
      </c>
      <c r="DH40" s="34">
        <v>1676.59</v>
      </c>
      <c r="DI40" s="51"/>
      <c r="DJ40" s="34">
        <v>1672.02</v>
      </c>
      <c r="DL40" s="34">
        <v>1679.95</v>
      </c>
      <c r="DN40" s="34">
        <v>1672.67</v>
      </c>
      <c r="DO40" s="51"/>
      <c r="DP40" s="34">
        <v>1670.56</v>
      </c>
      <c r="DR40" s="34">
        <v>1674.99</v>
      </c>
      <c r="DT40" s="34">
        <v>1678.99</v>
      </c>
      <c r="DU40" s="51"/>
      <c r="DV40" s="34">
        <v>1672.16</v>
      </c>
      <c r="DX40" s="34">
        <v>1682.09</v>
      </c>
      <c r="DZ40" s="34">
        <v>1671.05</v>
      </c>
      <c r="EA40" s="51"/>
      <c r="EB40" s="34">
        <v>1670.45</v>
      </c>
      <c r="ED40" s="34">
        <v>1670.52</v>
      </c>
      <c r="EF40" s="34">
        <v>1687.05</v>
      </c>
      <c r="EG40" s="51"/>
      <c r="EH40" s="34">
        <v>1674.03</v>
      </c>
      <c r="EJ40" s="34">
        <v>1671.02</v>
      </c>
      <c r="EL40" s="34">
        <v>1671.94</v>
      </c>
      <c r="EM40" s="51"/>
      <c r="EN40" s="34">
        <v>1673.66</v>
      </c>
      <c r="EP40" s="34">
        <v>1673.4</v>
      </c>
      <c r="ER40" s="34">
        <v>1673.38</v>
      </c>
      <c r="ES40" s="51"/>
      <c r="ET40" s="34">
        <v>1672.21</v>
      </c>
      <c r="EV40" s="34">
        <v>1671.44</v>
      </c>
      <c r="EX40" s="34">
        <v>1672.84</v>
      </c>
      <c r="EY40" s="51"/>
      <c r="EZ40" s="34">
        <v>1670</v>
      </c>
      <c r="FB40" s="34">
        <v>1671.44</v>
      </c>
      <c r="FD40" s="34">
        <v>1670.51</v>
      </c>
      <c r="FE40" s="51"/>
      <c r="FF40" s="34">
        <v>1675.04</v>
      </c>
      <c r="FH40" s="34">
        <v>1671.63</v>
      </c>
      <c r="FJ40" s="34">
        <v>1670.7</v>
      </c>
      <c r="FK40" s="51"/>
      <c r="FL40" s="34">
        <v>1674.99</v>
      </c>
      <c r="FN40" s="34">
        <v>1673.38</v>
      </c>
      <c r="FP40" s="34">
        <v>1676.01</v>
      </c>
      <c r="FQ40" s="51"/>
      <c r="FR40" s="34">
        <v>1672.53</v>
      </c>
      <c r="FT40" s="34">
        <v>1675.67</v>
      </c>
      <c r="FV40" s="34">
        <v>1675.08</v>
      </c>
      <c r="FW40" s="51"/>
      <c r="FX40" s="34">
        <v>1671.98</v>
      </c>
      <c r="FZ40" s="34">
        <v>1671.37</v>
      </c>
      <c r="GB40" s="34">
        <v>1673.53</v>
      </c>
      <c r="GC40" s="51"/>
      <c r="GD40" s="34">
        <v>1680.61</v>
      </c>
      <c r="GF40" s="34">
        <v>1682.15</v>
      </c>
      <c r="GH40" s="34">
        <v>1680.78</v>
      </c>
      <c r="GI40" s="51"/>
      <c r="GJ40" s="34">
        <v>1678.29</v>
      </c>
      <c r="GL40" s="34">
        <v>1675.5</v>
      </c>
      <c r="GN40" s="34">
        <v>1676.44</v>
      </c>
      <c r="GO40" s="51"/>
      <c r="GP40" s="34">
        <v>1684.87</v>
      </c>
      <c r="GR40" s="34">
        <v>1670.41</v>
      </c>
      <c r="GT40" s="34">
        <v>1679.54</v>
      </c>
      <c r="GU40" s="51"/>
      <c r="GV40" s="34">
        <v>1659.96</v>
      </c>
      <c r="GW40" s="175"/>
      <c r="GX40" s="34">
        <v>1672.86</v>
      </c>
      <c r="GY40" s="175"/>
      <c r="GZ40" s="34">
        <v>1664.59</v>
      </c>
      <c r="HA40" s="51"/>
      <c r="HB40" s="34">
        <v>1669.12</v>
      </c>
      <c r="HD40" s="34">
        <v>1665.92</v>
      </c>
      <c r="HF40" s="34">
        <v>1672.06</v>
      </c>
      <c r="HG40" s="51"/>
      <c r="HH40" s="203">
        <v>1671.07</v>
      </c>
      <c r="HJ40" s="203">
        <v>1157.6199999999999</v>
      </c>
      <c r="HL40" s="203">
        <v>1626.73</v>
      </c>
      <c r="HN40" s="202">
        <f>(1665.41-1157.62)+(1157.62-1626.73)+1626.73</f>
        <v>1665.41</v>
      </c>
      <c r="HP40" s="202">
        <v>1622.61</v>
      </c>
      <c r="HR40" s="202">
        <v>1626.37</v>
      </c>
      <c r="HS40" s="51"/>
      <c r="HT40" s="202">
        <v>1622.56</v>
      </c>
      <c r="HV40" s="202">
        <v>1622.73</v>
      </c>
      <c r="HX40" s="202">
        <v>1617.12</v>
      </c>
      <c r="HY40" s="51"/>
      <c r="HZ40" s="202">
        <v>1611.1</v>
      </c>
      <c r="IB40" s="202"/>
      <c r="ID40" s="202"/>
      <c r="IE40" s="51"/>
      <c r="IF40" s="202"/>
      <c r="IH40" s="202"/>
      <c r="IJ40" s="202"/>
      <c r="IK40" s="51"/>
    </row>
    <row r="41" spans="1:245" hidden="1" x14ac:dyDescent="0.35">
      <c r="C41" s="225" t="s">
        <v>141</v>
      </c>
      <c r="F41" s="35">
        <v>6730</v>
      </c>
      <c r="G41" s="24"/>
      <c r="H41" s="35">
        <v>6730</v>
      </c>
      <c r="I41" s="24"/>
      <c r="J41" s="35">
        <v>6730</v>
      </c>
      <c r="K41" s="53"/>
      <c r="L41" s="35">
        <v>6730</v>
      </c>
      <c r="N41" s="35">
        <v>6730</v>
      </c>
      <c r="P41" s="35">
        <v>6730</v>
      </c>
      <c r="Q41" s="53"/>
      <c r="R41" s="35">
        <v>6730</v>
      </c>
      <c r="T41" s="35">
        <v>6730</v>
      </c>
      <c r="V41" s="35">
        <v>6730</v>
      </c>
      <c r="W41" s="51"/>
      <c r="X41" s="35">
        <v>6730</v>
      </c>
      <c r="Z41" s="35">
        <v>6730</v>
      </c>
      <c r="AB41" s="35">
        <v>6730</v>
      </c>
      <c r="AC41" s="51"/>
      <c r="AD41" s="35"/>
      <c r="AF41" s="35"/>
      <c r="AH41" s="35">
        <f>-((V41*V28)+(X41*X28)+(Z41*Z28)+(AB41*AB28))-'RA (SIII)'!CX79</f>
        <v>-4.5104546516085975E-3</v>
      </c>
      <c r="AI41" s="51"/>
      <c r="AJ41" s="200"/>
      <c r="AK41" s="51"/>
      <c r="AL41" s="200"/>
      <c r="AM41" s="51"/>
      <c r="AN41" s="200"/>
      <c r="AO41" s="51"/>
      <c r="AP41" s="200"/>
      <c r="AQ41" s="51"/>
      <c r="AR41" s="200"/>
      <c r="AS41" s="51"/>
      <c r="AT41" s="200"/>
      <c r="AU41" s="51"/>
      <c r="AV41" s="200"/>
      <c r="AW41" s="51"/>
      <c r="AX41" s="200"/>
      <c r="AY41" s="51"/>
      <c r="AZ41" s="200"/>
      <c r="BA41" s="51"/>
      <c r="BB41" s="200"/>
      <c r="BC41" s="51"/>
      <c r="BD41" s="200"/>
      <c r="BE41" s="51"/>
      <c r="BF41" s="200"/>
      <c r="BG41" s="51"/>
      <c r="BH41" s="200"/>
      <c r="BI41" s="51"/>
      <c r="BJ41" s="200"/>
      <c r="BK41" s="51"/>
      <c r="BL41" s="200"/>
      <c r="BM41" s="51"/>
      <c r="BN41" s="200"/>
      <c r="BO41" s="51"/>
      <c r="BP41" s="200"/>
      <c r="BQ41" s="51"/>
      <c r="BR41" s="200"/>
      <c r="BS41" s="51"/>
      <c r="BT41" s="200"/>
      <c r="BU41" s="51"/>
      <c r="BV41" s="200"/>
      <c r="BW41" s="51"/>
      <c r="BX41" s="200"/>
      <c r="BY41" s="51"/>
      <c r="BZ41" s="200"/>
      <c r="CA41" s="51"/>
      <c r="CB41" s="200"/>
      <c r="CC41" s="51"/>
      <c r="CD41" s="200"/>
      <c r="CE41" s="51"/>
      <c r="CF41" s="200"/>
      <c r="CG41" s="51"/>
      <c r="CH41" s="200"/>
      <c r="CI41" s="51"/>
      <c r="CJ41" s="200"/>
      <c r="CK41" s="51"/>
      <c r="CL41" s="200"/>
      <c r="CM41" s="51"/>
      <c r="CN41" s="200"/>
      <c r="CO41" s="51"/>
      <c r="CP41" s="200"/>
      <c r="CQ41" s="51"/>
      <c r="CR41" s="200"/>
      <c r="CS41" s="51"/>
      <c r="CT41" s="200"/>
      <c r="CU41" s="51"/>
      <c r="CV41" s="200"/>
      <c r="CW41" s="51"/>
      <c r="CX41" s="200"/>
      <c r="CY41" s="51"/>
      <c r="CZ41" s="200"/>
      <c r="DA41" s="51"/>
      <c r="DB41" s="200"/>
      <c r="DC41" s="51"/>
      <c r="DD41" s="200"/>
      <c r="DE41" s="51"/>
      <c r="DF41" s="200"/>
      <c r="DG41" s="51"/>
      <c r="DH41" s="200"/>
      <c r="DI41" s="51"/>
      <c r="DJ41" s="200"/>
      <c r="DK41" s="51"/>
      <c r="DL41" s="200"/>
      <c r="DM41" s="51"/>
      <c r="DN41" s="200"/>
      <c r="DO41" s="51"/>
      <c r="DP41" s="200"/>
      <c r="DQ41" s="51"/>
      <c r="DR41" s="200"/>
      <c r="DS41" s="51"/>
      <c r="DT41" s="200"/>
      <c r="DU41" s="51"/>
      <c r="DV41" s="200"/>
      <c r="DW41" s="51"/>
      <c r="DX41" s="200"/>
      <c r="DY41" s="51"/>
      <c r="DZ41" s="200"/>
      <c r="EA41" s="51"/>
      <c r="EB41" s="200"/>
      <c r="EC41" s="51"/>
      <c r="ED41" s="200"/>
      <c r="EE41" s="51"/>
      <c r="EF41" s="200"/>
      <c r="EG41" s="51"/>
      <c r="EH41" s="200"/>
      <c r="EI41" s="51"/>
      <c r="EJ41" s="200"/>
      <c r="EK41" s="51"/>
      <c r="EL41" s="200"/>
      <c r="EM41" s="51"/>
      <c r="EN41" s="200"/>
      <c r="EO41" s="51"/>
      <c r="EP41" s="200"/>
      <c r="EQ41" s="51"/>
      <c r="ER41" s="200"/>
      <c r="ES41" s="51"/>
      <c r="ET41" s="200"/>
      <c r="EU41" s="51"/>
      <c r="EV41" s="200"/>
      <c r="EW41" s="51"/>
      <c r="EX41" s="200"/>
      <c r="EY41" s="51"/>
      <c r="EZ41" s="200"/>
      <c r="FA41" s="51"/>
      <c r="FB41" s="200"/>
      <c r="FC41" s="51"/>
      <c r="FD41" s="200"/>
      <c r="FE41" s="51"/>
      <c r="FF41" s="200"/>
      <c r="FG41" s="51"/>
      <c r="FH41" s="200"/>
      <c r="FI41" s="51"/>
      <c r="FJ41" s="200"/>
      <c r="FK41" s="51"/>
      <c r="FL41" s="200"/>
      <c r="FM41" s="51"/>
      <c r="FN41" s="200"/>
      <c r="FO41" s="51"/>
      <c r="FP41" s="200"/>
      <c r="FQ41" s="51"/>
      <c r="FR41" s="200"/>
      <c r="FS41" s="51"/>
      <c r="FT41" s="200"/>
      <c r="FU41" s="51"/>
      <c r="FV41" s="200"/>
      <c r="FW41" s="51"/>
      <c r="FX41" s="200"/>
      <c r="FY41" s="51"/>
      <c r="FZ41" s="200"/>
      <c r="GA41" s="51"/>
      <c r="GB41" s="200"/>
      <c r="GC41" s="51"/>
      <c r="GD41" s="200"/>
      <c r="GE41" s="51"/>
      <c r="GF41" s="200"/>
      <c r="GG41" s="51"/>
      <c r="GH41" s="200"/>
      <c r="GI41" s="51"/>
      <c r="GJ41" s="200"/>
      <c r="GK41" s="51"/>
      <c r="GL41" s="200"/>
      <c r="GM41" s="51"/>
      <c r="GN41" s="200"/>
      <c r="GO41" s="51"/>
      <c r="GP41" s="200"/>
      <c r="GQ41" s="51"/>
      <c r="GR41" s="200"/>
      <c r="GS41" s="51"/>
      <c r="GT41" s="200"/>
      <c r="GU41" s="51"/>
      <c r="GV41" s="200"/>
      <c r="GW41" s="51"/>
      <c r="GX41" s="200"/>
      <c r="GY41" s="51"/>
      <c r="GZ41" s="200"/>
      <c r="HA41" s="51"/>
      <c r="HB41" s="200"/>
      <c r="HC41" s="51"/>
      <c r="HD41" s="200"/>
      <c r="HE41" s="51"/>
      <c r="HF41" s="200"/>
      <c r="HG41" s="51"/>
      <c r="HH41" s="200"/>
      <c r="HI41" s="51"/>
      <c r="HJ41" s="200"/>
      <c r="HK41" s="51"/>
      <c r="HL41" s="200"/>
      <c r="HN41" s="200"/>
      <c r="HO41" s="51"/>
      <c r="HP41" s="200"/>
      <c r="HQ41" s="51"/>
      <c r="HR41" s="200"/>
      <c r="HS41" s="51"/>
      <c r="HT41" s="200"/>
      <c r="HU41" s="51"/>
      <c r="HV41" s="200"/>
      <c r="HW41" s="51"/>
      <c r="HX41" s="200"/>
      <c r="HY41" s="51"/>
      <c r="HZ41" s="200"/>
      <c r="IA41" s="51"/>
      <c r="IB41" s="200"/>
      <c r="IC41" s="51"/>
      <c r="ID41" s="200"/>
      <c r="IE41" s="51"/>
      <c r="IF41" s="200"/>
      <c r="IG41" s="51"/>
      <c r="IH41" s="200"/>
      <c r="II41" s="51"/>
      <c r="IJ41" s="200"/>
      <c r="IK41" s="51"/>
    </row>
    <row r="42" spans="1:245" x14ac:dyDescent="0.35">
      <c r="C42" s="126" t="s">
        <v>38</v>
      </c>
      <c r="F42" s="33">
        <f>SUM(F40:F41)</f>
        <v>8412.5</v>
      </c>
      <c r="G42" s="24"/>
      <c r="H42" s="33">
        <f>SUM(H40:H41)</f>
        <v>8412.5</v>
      </c>
      <c r="I42" s="24"/>
      <c r="J42" s="33">
        <f>SUM(J40:J41)</f>
        <v>8412.5</v>
      </c>
      <c r="K42" s="53"/>
      <c r="L42" s="33">
        <f>SUM(L40:L41)</f>
        <v>8412.5</v>
      </c>
      <c r="N42" s="33">
        <f>SUM(N40:N41)</f>
        <v>8412.5</v>
      </c>
      <c r="P42" s="33">
        <f>SUM(P40:P41)</f>
        <v>8412.5</v>
      </c>
      <c r="Q42" s="53"/>
      <c r="R42" s="33">
        <f>SUM(R40:R41)</f>
        <v>8412.5</v>
      </c>
      <c r="T42" s="33">
        <f>SUM(T40:T41)</f>
        <v>8412.5</v>
      </c>
      <c r="V42" s="33">
        <f>SUM(V40:V41)</f>
        <v>8412.5</v>
      </c>
      <c r="W42" s="51"/>
      <c r="X42" s="33">
        <f>SUM(X40:X41)</f>
        <v>8412.5</v>
      </c>
      <c r="Z42" s="33">
        <f>SUM(Z40:Z41)</f>
        <v>8412.5</v>
      </c>
      <c r="AB42" s="33">
        <f>SUM(AB40:AB41)</f>
        <v>8412.5</v>
      </c>
      <c r="AC42" s="51"/>
      <c r="AD42" s="33">
        <f>AD40*AD28</f>
        <v>1437.4247458147747</v>
      </c>
      <c r="AF42" s="33">
        <f>AF40*AF28</f>
        <v>1353.8563399553573</v>
      </c>
      <c r="AH42" s="33">
        <f>AH40*AH28</f>
        <v>1373.4667315922788</v>
      </c>
      <c r="AI42" s="51"/>
      <c r="AJ42" s="33">
        <f>AJ40*AJ28</f>
        <v>1278.5847935656836</v>
      </c>
      <c r="AL42" s="33">
        <f>AL40*AL28</f>
        <v>1772.4431162910721</v>
      </c>
      <c r="AN42" s="33">
        <f>AN40*AN28</f>
        <v>1090.3859986387356</v>
      </c>
      <c r="AO42" s="51"/>
      <c r="AP42" s="33">
        <f>AP40*AP28</f>
        <v>1529.1600684582331</v>
      </c>
      <c r="AR42" s="33">
        <f>AR40*AR28</f>
        <v>1576.3734207147443</v>
      </c>
      <c r="AT42" s="33">
        <f>AT40*AT28</f>
        <v>1598.94240073026</v>
      </c>
      <c r="AU42" s="51"/>
      <c r="AV42" s="33">
        <f>AV40*AV28</f>
        <v>1625.0064825788099</v>
      </c>
      <c r="AX42" s="33">
        <f>AX40*AX28</f>
        <v>1556.2023681177409</v>
      </c>
      <c r="AZ42" s="33">
        <f>AZ40*AZ28</f>
        <v>1521.4289867533116</v>
      </c>
      <c r="BA42" s="51"/>
      <c r="BB42" s="33">
        <f>BB40*BB28</f>
        <v>1337.2914558845896</v>
      </c>
      <c r="BD42" s="33">
        <f>BD40*BD28</f>
        <v>1280.948777188471</v>
      </c>
      <c r="BF42" s="33">
        <f>BF40*BF28</f>
        <v>1269.619114031475</v>
      </c>
      <c r="BG42" s="51"/>
      <c r="BH42" s="33">
        <f>BH40*BH28</f>
        <v>1220.6496899867936</v>
      </c>
      <c r="BJ42" s="33">
        <f>BJ40*BJ28</f>
        <v>1346.7708258706468</v>
      </c>
      <c r="BL42" s="33">
        <f>BL40*BL28</f>
        <v>1232.4762571453443</v>
      </c>
      <c r="BM42" s="51"/>
      <c r="BN42" s="33">
        <f>BN40*BN28</f>
        <v>1511.2713411581462</v>
      </c>
      <c r="BP42" s="33">
        <f>BP40*BP28</f>
        <v>1439.7732931196986</v>
      </c>
      <c r="BR42" s="33">
        <f>BR40*BR28</f>
        <v>1462.9383261710357</v>
      </c>
      <c r="BS42" s="51"/>
      <c r="BT42" s="33">
        <f>BT40*BT28</f>
        <v>1521.4523194047927</v>
      </c>
      <c r="BV42" s="33">
        <f>BV40*BV28</f>
        <v>1493.5515145105339</v>
      </c>
      <c r="BX42" s="33">
        <f>BX40*BX28</f>
        <v>1277.5647017971939</v>
      </c>
      <c r="BY42" s="51"/>
      <c r="BZ42" s="33">
        <f>BZ40*BZ28</f>
        <v>1175.175679704269</v>
      </c>
      <c r="CB42" s="33">
        <f>CB40*CB28</f>
        <v>1139.7693731260986</v>
      </c>
      <c r="CD42" s="33">
        <f>CD40*CD28</f>
        <v>1130.7654229525861</v>
      </c>
      <c r="CE42" s="51"/>
      <c r="CF42" s="33">
        <f>CF40*CF28</f>
        <v>1260.6221599465709</v>
      </c>
      <c r="CH42" s="33">
        <f>CH40*CH28</f>
        <v>1143.2467697376323</v>
      </c>
      <c r="CJ42" s="33">
        <f>CJ40*CJ28</f>
        <v>1359.6811632910453</v>
      </c>
      <c r="CK42" s="51"/>
      <c r="CL42" s="33">
        <f>CL40*CL28</f>
        <v>1313.1904671764974</v>
      </c>
      <c r="CN42" s="33">
        <f>CN40*CN28</f>
        <v>1422.0564078578109</v>
      </c>
      <c r="CP42" s="33">
        <f>CP40*CP28</f>
        <v>1365.1428985013624</v>
      </c>
      <c r="CQ42" s="51"/>
      <c r="CR42" s="33">
        <f>CR40*CR28</f>
        <v>1393.3916236485829</v>
      </c>
      <c r="CT42" s="33">
        <f>CT40*CT28</f>
        <v>1332.2854325856545</v>
      </c>
      <c r="CV42" s="33">
        <f>CV40*CV28</f>
        <v>1480.2075234635179</v>
      </c>
      <c r="CW42" s="51"/>
      <c r="CX42" s="33">
        <f>CX40*CX28</f>
        <v>1164.9888272480969</v>
      </c>
      <c r="CZ42" s="33">
        <f>CZ40*CZ28</f>
        <v>1197.1318911374738</v>
      </c>
      <c r="DB42" s="33">
        <f>DB40*DB28</f>
        <v>1342.5119966958998</v>
      </c>
      <c r="DC42" s="51"/>
      <c r="DD42" s="33">
        <f>DD40*DD28</f>
        <v>1349.2085230526677</v>
      </c>
      <c r="DF42" s="33">
        <f>DF40*DF28</f>
        <v>1492.2590312391717</v>
      </c>
      <c r="DH42" s="33">
        <f>DH40*DH28</f>
        <v>1602.4366506585018</v>
      </c>
      <c r="DI42" s="51"/>
      <c r="DJ42" s="33">
        <f>DJ40*DJ28</f>
        <v>1637.9615154849866</v>
      </c>
      <c r="DL42" s="33">
        <f>DL40*DL28</f>
        <v>1649.4434516133927</v>
      </c>
      <c r="DN42" s="33">
        <f>DN40*DN28</f>
        <v>1650.7220948783902</v>
      </c>
      <c r="DO42" s="51"/>
      <c r="DP42" s="33">
        <f>DP40*DP28</f>
        <v>1643.0481983875281</v>
      </c>
      <c r="DR42" s="33">
        <f>DR40*DR28</f>
        <v>1633.8643247983164</v>
      </c>
      <c r="DT42" s="33">
        <f>DT40*DT28</f>
        <v>1600.0073953594451</v>
      </c>
      <c r="DU42" s="51"/>
      <c r="DV42" s="33">
        <f>DV40*DV28</f>
        <v>1559.7526455960212</v>
      </c>
      <c r="DX42" s="33">
        <f>DX40*DX28</f>
        <v>1445.703252141654</v>
      </c>
      <c r="DZ42" s="33">
        <f>DZ40*DZ28</f>
        <v>1425.1901441712089</v>
      </c>
      <c r="EA42" s="51"/>
      <c r="EB42" s="33">
        <f>EB40*EB28</f>
        <v>1408.9173626465313</v>
      </c>
      <c r="ED42" s="33">
        <f>ED40*ED28</f>
        <v>1405.8220676481717</v>
      </c>
      <c r="EF42" s="33">
        <f>EF40*EF28</f>
        <v>1573.4333357265939</v>
      </c>
      <c r="EG42" s="51"/>
      <c r="EH42" s="33">
        <f>EH40*EH28</f>
        <v>1581.9290175565798</v>
      </c>
      <c r="EJ42" s="33">
        <f>EJ40*EJ28</f>
        <v>1604.5929418384983</v>
      </c>
      <c r="EL42" s="33">
        <f>EL40*EL28</f>
        <v>1604.5650337379097</v>
      </c>
      <c r="EM42" s="51"/>
      <c r="EN42" s="33">
        <f>EN40*EN28</f>
        <v>1617.5776896917714</v>
      </c>
      <c r="EP42" s="33">
        <f>EP40*EP28</f>
        <v>1618.1677176834305</v>
      </c>
      <c r="ER42" s="33">
        <f>ER40*ER28</f>
        <v>1613.0208483993299</v>
      </c>
      <c r="ES42" s="51"/>
      <c r="ET42" s="33">
        <f>ET40*ET28</f>
        <v>1563.3905440924386</v>
      </c>
      <c r="EV42" s="33">
        <f>EV40*EV28</f>
        <v>1319.3926697075397</v>
      </c>
      <c r="EX42" s="33">
        <f>EX40*EX28</f>
        <v>1383.1472841685711</v>
      </c>
      <c r="EY42" s="51"/>
      <c r="EZ42" s="33">
        <f>EZ40*EZ28</f>
        <v>1349.2114242385946</v>
      </c>
      <c r="FB42" s="33">
        <f>FB40*FB28</f>
        <v>1446.2112880786226</v>
      </c>
      <c r="FD42" s="33">
        <f>FD40*FD28</f>
        <v>1561.0707259492426</v>
      </c>
      <c r="FE42" s="51"/>
      <c r="FF42" s="33">
        <f>FF40*FF28</f>
        <v>1511.8539551545107</v>
      </c>
      <c r="FH42" s="33">
        <f>FH40*FH28</f>
        <v>1598.5646429460066</v>
      </c>
      <c r="FJ42" s="33">
        <f>FJ40*FJ28</f>
        <v>1549.076843946096</v>
      </c>
      <c r="FK42" s="51"/>
      <c r="FL42" s="33">
        <f>FL40*FL28</f>
        <v>1617.502600724792</v>
      </c>
      <c r="FN42" s="33">
        <f>FN40*FN28</f>
        <v>1601.5503308205839</v>
      </c>
      <c r="FP42" s="33">
        <f>FP40*FP28</f>
        <v>1503.103089000768</v>
      </c>
      <c r="FQ42" s="51"/>
      <c r="FR42" s="33">
        <f>FR40*FR28</f>
        <v>1536.7413875598086</v>
      </c>
      <c r="FT42" s="33">
        <f>FT40*FT28</f>
        <v>1445.6564616804169</v>
      </c>
      <c r="FV42" s="33">
        <f>FV40*FV28</f>
        <v>1253.0414618134073</v>
      </c>
      <c r="FW42" s="51"/>
      <c r="FX42" s="33">
        <f>FX40*FX28</f>
        <v>1452.8811593593089</v>
      </c>
      <c r="FZ42" s="33">
        <f>FZ40*FZ28</f>
        <v>1440.5381041549358</v>
      </c>
      <c r="GB42" s="33">
        <f>GB40*GB28</f>
        <v>1536.1199912996008</v>
      </c>
      <c r="GC42" s="51"/>
      <c r="GD42" s="33">
        <f>GD40*GD28</f>
        <v>1604.3453983186823</v>
      </c>
      <c r="GF42" s="33">
        <f>GF40*GF28</f>
        <v>1622.3621409280629</v>
      </c>
      <c r="GH42" s="33">
        <f>GH40*GH28</f>
        <v>1614.4322975055461</v>
      </c>
      <c r="GI42" s="51"/>
      <c r="GJ42" s="33">
        <f>GJ40*GJ28</f>
        <v>1601.0072433515634</v>
      </c>
      <c r="GL42" s="33">
        <f>GL40*GL28</f>
        <v>1610.3479909620944</v>
      </c>
      <c r="GN42" s="33">
        <f>GN40*GN28</f>
        <v>1624.5741362284984</v>
      </c>
      <c r="GO42" s="51"/>
      <c r="GP42" s="33">
        <f>GP40*GP28</f>
        <v>1644.1941540145185</v>
      </c>
      <c r="GR42" s="33">
        <f>GR40*GR28</f>
        <v>1641.3703703703704</v>
      </c>
      <c r="GT42" s="33">
        <f>GT40*GT28</f>
        <v>1648.1221657799069</v>
      </c>
      <c r="GU42" s="51"/>
      <c r="GV42" s="33">
        <f>GV40*GV28</f>
        <v>1474.7241809785835</v>
      </c>
      <c r="GW42" s="175"/>
      <c r="GX42" s="33">
        <f>GX40*GX28</f>
        <v>1471.7962585947018</v>
      </c>
      <c r="GY42" s="175"/>
      <c r="GZ42" s="33">
        <f>GZ40*GZ28</f>
        <v>1531.2364573135153</v>
      </c>
      <c r="HA42" s="51"/>
      <c r="HB42" s="33">
        <f>HB40*HB28</f>
        <v>1649.7328569196311</v>
      </c>
      <c r="HD42" s="33">
        <f>HD40*HD28</f>
        <v>1623.4666346874533</v>
      </c>
      <c r="HF42" s="33">
        <f>HF40*HF28</f>
        <v>1651.4464609344325</v>
      </c>
      <c r="HG42" s="51"/>
      <c r="HH42" s="33">
        <f>HH40*HH28</f>
        <v>1647.4935934852863</v>
      </c>
      <c r="HJ42" s="33">
        <f>HJ40*HJ28</f>
        <v>1130.6781550017934</v>
      </c>
      <c r="HL42" s="33">
        <f>HL40*HL28</f>
        <v>1485.8255231406158</v>
      </c>
      <c r="HN42" s="33">
        <f>HN40*HN28</f>
        <v>1421.1257606198278</v>
      </c>
      <c r="HP42" s="33">
        <f>HP40*HP28</f>
        <v>1373.4667478878412</v>
      </c>
      <c r="HR42" s="33">
        <f>HR40*HR28</f>
        <v>1449.0784801159461</v>
      </c>
      <c r="HS42" s="51"/>
      <c r="HT42" s="33">
        <f>HT40*HT28</f>
        <v>1439.3394810728773</v>
      </c>
      <c r="HV42" s="33">
        <f>HV40*HV28</f>
        <v>1507.6863733185087</v>
      </c>
      <c r="HX42" s="33">
        <f>HX40*HX28</f>
        <v>1556.7307527483285</v>
      </c>
      <c r="HY42" s="51"/>
      <c r="HZ42" s="33">
        <f>HZ40*HZ28</f>
        <v>1611.1</v>
      </c>
      <c r="IB42" s="33" t="e">
        <f>IB40*IB28</f>
        <v>#DIV/0!</v>
      </c>
      <c r="ID42" s="33" t="e">
        <f>ID40*ID28</f>
        <v>#DIV/0!</v>
      </c>
      <c r="IE42" s="51"/>
      <c r="IF42" s="33" t="e">
        <f>IF40*IF28</f>
        <v>#DIV/0!</v>
      </c>
      <c r="IH42" s="33" t="e">
        <f>IH40*IH28</f>
        <v>#DIV/0!</v>
      </c>
      <c r="IJ42" s="33" t="e">
        <f>IJ40*IJ28</f>
        <v>#DIV/0!</v>
      </c>
      <c r="IK42" s="51"/>
    </row>
    <row r="43" spans="1:245" s="51" customFormat="1" ht="6.85" customHeight="1" x14ac:dyDescent="0.35">
      <c r="B43" s="54"/>
      <c r="C43" s="52"/>
      <c r="F43" s="53"/>
      <c r="G43" s="53"/>
      <c r="H43" s="53"/>
      <c r="I43" s="53"/>
      <c r="J43" s="53"/>
      <c r="K43" s="53"/>
      <c r="L43" s="53"/>
      <c r="N43" s="53"/>
      <c r="P43" s="53"/>
      <c r="Q43" s="53"/>
      <c r="R43" s="53"/>
      <c r="T43" s="53"/>
      <c r="V43" s="53"/>
      <c r="X43" s="53"/>
      <c r="Z43" s="53"/>
      <c r="AB43" s="53"/>
      <c r="AD43" s="53"/>
      <c r="AF43" s="53"/>
      <c r="AH43" s="53"/>
      <c r="AJ43" s="53"/>
      <c r="AL43" s="53"/>
      <c r="AN43" s="53"/>
      <c r="AP43" s="53"/>
      <c r="AR43" s="53"/>
      <c r="AT43" s="53"/>
      <c r="AV43" s="53"/>
      <c r="AX43" s="53"/>
      <c r="AZ43" s="53"/>
      <c r="BB43" s="53"/>
      <c r="BD43" s="53"/>
      <c r="BF43" s="53"/>
      <c r="BH43" s="53"/>
      <c r="BJ43" s="53"/>
      <c r="BL43" s="53"/>
      <c r="BN43" s="53"/>
      <c r="BP43" s="53"/>
      <c r="BR43" s="53"/>
      <c r="BT43" s="53"/>
      <c r="BV43" s="53"/>
      <c r="BX43" s="53"/>
      <c r="BZ43" s="53"/>
      <c r="CB43" s="53"/>
      <c r="CD43" s="53"/>
      <c r="CF43" s="53"/>
      <c r="CH43" s="53"/>
      <c r="CJ43" s="53"/>
      <c r="CL43" s="53"/>
      <c r="CN43" s="53"/>
      <c r="CP43" s="53"/>
      <c r="CR43" s="53"/>
      <c r="CT43" s="53"/>
      <c r="CV43" s="53"/>
      <c r="CX43" s="53"/>
      <c r="CZ43" s="53"/>
      <c r="DB43" s="53"/>
      <c r="DD43" s="53"/>
      <c r="DF43" s="53"/>
      <c r="DH43" s="53"/>
      <c r="DJ43" s="53"/>
      <c r="DL43" s="53"/>
      <c r="DN43" s="53"/>
      <c r="DP43" s="53"/>
      <c r="DR43" s="53"/>
      <c r="DT43" s="53"/>
      <c r="DV43" s="53"/>
      <c r="DX43" s="53"/>
      <c r="DZ43" s="53"/>
      <c r="EB43" s="53"/>
      <c r="ED43" s="53"/>
      <c r="EF43" s="53"/>
      <c r="EH43" s="53"/>
      <c r="EJ43" s="53"/>
      <c r="EL43" s="53"/>
      <c r="EN43" s="53"/>
      <c r="EP43" s="53"/>
      <c r="ER43" s="53"/>
      <c r="ET43" s="53"/>
      <c r="EV43" s="53"/>
      <c r="EX43" s="53"/>
      <c r="EZ43" s="53"/>
      <c r="FB43" s="53"/>
      <c r="FD43" s="53"/>
      <c r="FF43" s="53"/>
      <c r="FH43" s="53"/>
      <c r="FJ43" s="53"/>
      <c r="FL43" s="53"/>
      <c r="FN43" s="53"/>
      <c r="FP43" s="53"/>
      <c r="FR43" s="53"/>
      <c r="FT43" s="53"/>
      <c r="FV43" s="53"/>
      <c r="FX43" s="53"/>
      <c r="FZ43" s="53"/>
      <c r="GB43" s="53"/>
      <c r="GD43" s="53"/>
      <c r="GF43" s="53"/>
      <c r="GH43" s="53"/>
      <c r="GJ43" s="53"/>
      <c r="GL43" s="53"/>
      <c r="GN43" s="53"/>
      <c r="GP43" s="53"/>
      <c r="GR43" s="53"/>
      <c r="GT43" s="53"/>
      <c r="GV43" s="53"/>
      <c r="GX43" s="53"/>
      <c r="GZ43" s="53"/>
      <c r="HB43" s="53"/>
      <c r="HD43" s="53"/>
      <c r="HF43" s="53"/>
      <c r="HH43" s="53"/>
      <c r="HJ43" s="53"/>
      <c r="HL43" s="53"/>
      <c r="HN43" s="53"/>
      <c r="HP43" s="53"/>
      <c r="HR43" s="53"/>
      <c r="HT43" s="53"/>
      <c r="HV43" s="53"/>
      <c r="HX43" s="53"/>
      <c r="HZ43" s="53"/>
      <c r="IB43" s="53"/>
      <c r="ID43" s="53"/>
      <c r="IF43" s="53"/>
      <c r="IH43" s="53"/>
      <c r="IJ43" s="53"/>
    </row>
    <row r="44" spans="1:245" hidden="1" x14ac:dyDescent="0.35">
      <c r="C44" s="225" t="s">
        <v>139</v>
      </c>
      <c r="F44" s="33">
        <f>F42/2</f>
        <v>4206.25</v>
      </c>
      <c r="G44" s="24"/>
      <c r="H44" s="33">
        <f>H42/2</f>
        <v>4206.25</v>
      </c>
      <c r="I44" s="24"/>
      <c r="J44" s="33">
        <f>J42/2</f>
        <v>4206.25</v>
      </c>
      <c r="K44" s="53"/>
      <c r="L44" s="33">
        <f>L42/2</f>
        <v>4206.25</v>
      </c>
      <c r="N44" s="33">
        <f>N42*N28</f>
        <v>6932.6220157147172</v>
      </c>
      <c r="P44" s="33">
        <f>P42*P28</f>
        <v>7538.8075790037492</v>
      </c>
      <c r="Q44" s="53"/>
      <c r="R44" s="33">
        <f>R42*R28</f>
        <v>7036.7451768488745</v>
      </c>
      <c r="T44" s="33">
        <f>T42*T28</f>
        <v>7701.5652879156532</v>
      </c>
      <c r="V44" s="33">
        <f>V42*V28</f>
        <v>8120.3687989556138</v>
      </c>
      <c r="W44" s="51"/>
      <c r="X44" s="33">
        <f>X42*X28</f>
        <v>7250.9863895440258</v>
      </c>
      <c r="Z44" s="33">
        <f>Z42*Z28</f>
        <v>7256.0163986795869</v>
      </c>
      <c r="AB44" s="33">
        <f>AB42*AB28</f>
        <v>7294.9465508890889</v>
      </c>
      <c r="AC44" s="51"/>
      <c r="AD44" s="53"/>
      <c r="AE44" s="51"/>
      <c r="AF44" s="53"/>
      <c r="AG44" s="51"/>
      <c r="AH44" s="53"/>
      <c r="AI44" s="51"/>
      <c r="AJ44" s="53"/>
      <c r="AK44" s="51"/>
      <c r="AL44" s="53"/>
      <c r="AM44" s="51"/>
      <c r="AN44" s="53"/>
      <c r="AO44" s="51"/>
      <c r="AP44" s="53"/>
      <c r="AQ44" s="51"/>
      <c r="AR44" s="53"/>
      <c r="AS44" s="51"/>
      <c r="AT44" s="53"/>
      <c r="AU44" s="51"/>
      <c r="AV44" s="53"/>
      <c r="AW44" s="51"/>
      <c r="AX44" s="53"/>
      <c r="AY44" s="51"/>
      <c r="AZ44" s="53"/>
      <c r="BA44" s="51"/>
      <c r="BB44" s="53"/>
      <c r="BC44" s="51"/>
      <c r="BD44" s="53"/>
      <c r="BE44" s="51"/>
      <c r="BF44" s="53"/>
      <c r="BG44" s="51"/>
      <c r="BH44" s="53"/>
      <c r="BI44" s="51"/>
      <c r="BJ44" s="53"/>
      <c r="BK44" s="51"/>
      <c r="BL44" s="53"/>
      <c r="BM44" s="51"/>
      <c r="BN44" s="53"/>
      <c r="BO44" s="51"/>
      <c r="BP44" s="53"/>
      <c r="BQ44" s="51"/>
      <c r="BR44" s="53"/>
      <c r="BS44" s="51"/>
      <c r="BT44" s="53"/>
      <c r="BU44" s="51"/>
      <c r="BV44" s="53"/>
      <c r="BW44" s="51"/>
      <c r="BX44" s="53"/>
      <c r="BY44" s="51"/>
      <c r="BZ44" s="53"/>
      <c r="CA44" s="51"/>
      <c r="CB44" s="53"/>
      <c r="CC44" s="51"/>
      <c r="CD44" s="53"/>
      <c r="CE44" s="51"/>
      <c r="CF44" s="53"/>
      <c r="CG44" s="51"/>
      <c r="CH44" s="53"/>
      <c r="CI44" s="51"/>
      <c r="CJ44" s="53"/>
      <c r="CK44" s="51"/>
      <c r="CL44" s="53"/>
      <c r="CM44" s="51"/>
      <c r="CN44" s="53"/>
      <c r="CO44" s="51"/>
      <c r="CP44" s="53"/>
      <c r="CQ44" s="51"/>
      <c r="CR44" s="53"/>
      <c r="CS44" s="51"/>
      <c r="CT44" s="53"/>
      <c r="CU44" s="51"/>
      <c r="CV44" s="53"/>
      <c r="CW44" s="51"/>
      <c r="CX44" s="53"/>
      <c r="CY44" s="51"/>
      <c r="CZ44" s="53"/>
      <c r="DA44" s="51"/>
      <c r="DB44" s="53"/>
      <c r="DC44" s="51"/>
      <c r="DD44" s="53"/>
      <c r="DE44" s="51"/>
      <c r="DF44" s="53"/>
      <c r="DG44" s="51"/>
      <c r="DH44" s="53"/>
      <c r="DI44" s="51"/>
      <c r="DJ44" s="53"/>
      <c r="DK44" s="51"/>
      <c r="DL44" s="53"/>
      <c r="DM44" s="51"/>
      <c r="DN44" s="53"/>
      <c r="DO44" s="51"/>
      <c r="DP44" s="53"/>
      <c r="DQ44" s="51"/>
      <c r="DR44" s="53"/>
      <c r="DS44" s="51"/>
      <c r="DT44" s="53"/>
      <c r="DU44" s="51"/>
      <c r="DV44" s="53"/>
      <c r="DW44" s="51"/>
      <c r="DX44" s="53"/>
      <c r="DY44" s="51"/>
      <c r="DZ44" s="53"/>
      <c r="EA44" s="51"/>
      <c r="EB44" s="53"/>
      <c r="EC44" s="51"/>
      <c r="ED44" s="53"/>
      <c r="EE44" s="51"/>
      <c r="EF44" s="53"/>
      <c r="EG44" s="51"/>
      <c r="EH44" s="53"/>
      <c r="EI44" s="51"/>
      <c r="EJ44" s="53"/>
      <c r="EK44" s="51"/>
      <c r="EL44" s="53"/>
      <c r="EM44" s="51"/>
      <c r="EN44" s="53"/>
      <c r="EO44" s="51"/>
      <c r="EP44" s="53"/>
      <c r="EQ44" s="51"/>
      <c r="ER44" s="53"/>
      <c r="ES44" s="51"/>
      <c r="ET44" s="53"/>
      <c r="EU44" s="51"/>
      <c r="EV44" s="53"/>
      <c r="EW44" s="51"/>
      <c r="EX44" s="53"/>
      <c r="EY44" s="51"/>
      <c r="EZ44" s="53"/>
      <c r="FA44" s="51"/>
      <c r="FB44" s="53"/>
      <c r="FC44" s="51"/>
      <c r="FD44" s="53"/>
      <c r="FE44" s="51"/>
      <c r="FF44" s="53"/>
      <c r="FG44" s="51"/>
      <c r="FH44" s="53"/>
      <c r="FI44" s="51"/>
      <c r="FJ44" s="53"/>
      <c r="FK44" s="51"/>
      <c r="FL44" s="53"/>
      <c r="FM44" s="51"/>
      <c r="FN44" s="53"/>
      <c r="FO44" s="51"/>
      <c r="FP44" s="53"/>
      <c r="FQ44" s="51"/>
      <c r="FR44" s="53"/>
      <c r="FS44" s="51"/>
      <c r="FT44" s="53"/>
      <c r="FU44" s="51"/>
      <c r="FV44" s="53"/>
      <c r="FW44" s="51"/>
      <c r="FX44" s="53"/>
      <c r="FY44" s="51"/>
      <c r="FZ44" s="53"/>
      <c r="GA44" s="51"/>
      <c r="GB44" s="53"/>
      <c r="GC44" s="51"/>
      <c r="GD44" s="53"/>
      <c r="GE44" s="51"/>
      <c r="GF44" s="53"/>
      <c r="GG44" s="51"/>
      <c r="GH44" s="53"/>
      <c r="GI44" s="51"/>
      <c r="GJ44" s="53"/>
      <c r="GK44" s="51"/>
      <c r="GL44" s="53"/>
      <c r="GM44" s="51"/>
      <c r="GN44" s="53"/>
      <c r="GO44" s="51"/>
      <c r="GP44" s="53"/>
      <c r="GQ44" s="51"/>
      <c r="GR44" s="53"/>
      <c r="GS44" s="51"/>
      <c r="GT44" s="53"/>
      <c r="GU44" s="51"/>
      <c r="GV44" s="53"/>
      <c r="GW44" s="51"/>
      <c r="GX44" s="53"/>
      <c r="GY44" s="51"/>
      <c r="GZ44" s="53"/>
      <c r="HA44" s="51"/>
      <c r="HB44" s="53"/>
      <c r="HC44" s="51"/>
      <c r="HD44" s="53"/>
      <c r="HE44" s="51"/>
      <c r="HF44" s="53"/>
      <c r="HG44" s="51"/>
      <c r="HH44" s="53"/>
      <c r="HI44" s="51"/>
      <c r="HJ44" s="53"/>
      <c r="HK44" s="51"/>
      <c r="HL44" s="53"/>
      <c r="HN44" s="53"/>
      <c r="HO44" s="51"/>
      <c r="HP44" s="53"/>
      <c r="HQ44" s="51"/>
      <c r="HR44" s="53"/>
      <c r="HS44" s="51"/>
      <c r="HT44" s="53"/>
      <c r="HU44" s="51"/>
      <c r="HV44" s="53"/>
      <c r="HW44" s="51"/>
      <c r="HX44" s="53"/>
      <c r="HY44" s="51"/>
      <c r="HZ44" s="53"/>
      <c r="IA44" s="51"/>
      <c r="IB44" s="53"/>
      <c r="IC44" s="51"/>
      <c r="ID44" s="53"/>
      <c r="IE44" s="51"/>
      <c r="IF44" s="53"/>
      <c r="IG44" s="51"/>
      <c r="IH44" s="53"/>
      <c r="II44" s="51"/>
      <c r="IJ44" s="53"/>
      <c r="IK44" s="51"/>
    </row>
    <row r="45" spans="1:245" s="51" customFormat="1" ht="6.85" customHeight="1" x14ac:dyDescent="0.35">
      <c r="F45" s="53"/>
      <c r="G45" s="53"/>
      <c r="H45" s="53"/>
      <c r="I45" s="53"/>
      <c r="J45" s="53"/>
      <c r="K45" s="53"/>
      <c r="L45" s="53"/>
      <c r="Q45" s="53"/>
      <c r="R45" s="53"/>
      <c r="X45" s="53"/>
      <c r="AD45" s="53"/>
      <c r="AJ45" s="53"/>
      <c r="AP45" s="53"/>
      <c r="AV45" s="53"/>
      <c r="BB45" s="53"/>
      <c r="BH45" s="53"/>
      <c r="BN45" s="53"/>
      <c r="BT45" s="53"/>
      <c r="BZ45" s="53"/>
      <c r="CF45" s="53"/>
      <c r="CL45" s="53"/>
      <c r="CR45" s="53"/>
      <c r="CX45" s="53"/>
      <c r="DD45" s="53"/>
      <c r="DJ45" s="53"/>
      <c r="DP45" s="53"/>
      <c r="DV45" s="53"/>
      <c r="EB45" s="53"/>
      <c r="EH45" s="53"/>
      <c r="EN45" s="53"/>
      <c r="ET45" s="53"/>
      <c r="EZ45" s="53"/>
      <c r="FF45" s="53"/>
      <c r="FL45" s="53"/>
      <c r="FR45" s="53"/>
      <c r="FX45" s="53"/>
      <c r="GD45" s="53"/>
      <c r="GJ45" s="53"/>
      <c r="GP45" s="53"/>
      <c r="GU45" s="221"/>
      <c r="GV45" s="53"/>
      <c r="HB45" s="53"/>
      <c r="HH45" s="53"/>
      <c r="HN45" s="53"/>
      <c r="HT45" s="53"/>
      <c r="HZ45" s="53"/>
      <c r="IF45" s="53"/>
    </row>
    <row r="46" spans="1:245" s="51" customFormat="1" x14ac:dyDescent="0.35">
      <c r="A46" s="221" t="s">
        <v>146</v>
      </c>
      <c r="B46" s="221"/>
      <c r="C46" s="221"/>
      <c r="F46" s="53"/>
      <c r="G46" s="53"/>
      <c r="H46" s="53"/>
      <c r="I46" s="53"/>
      <c r="J46" s="53"/>
      <c r="K46" s="53"/>
      <c r="L46" s="53"/>
      <c r="Q46" s="53"/>
      <c r="R46" s="53"/>
      <c r="X46" s="53"/>
      <c r="AD46" s="53"/>
      <c r="AJ46" s="53"/>
      <c r="AP46" s="53"/>
      <c r="AV46" s="53"/>
      <c r="BB46" s="53"/>
      <c r="BH46" s="53"/>
      <c r="BN46" s="53"/>
      <c r="BT46" s="53"/>
      <c r="BZ46" s="53"/>
      <c r="CF46" s="53"/>
      <c r="CL46" s="53"/>
      <c r="CR46" s="53"/>
      <c r="CX46" s="53"/>
      <c r="DD46" s="53"/>
      <c r="DJ46" s="53"/>
      <c r="DP46" s="53"/>
      <c r="DV46" s="53"/>
      <c r="EB46" s="53"/>
      <c r="EH46" s="53"/>
      <c r="EN46" s="53"/>
      <c r="ET46" s="53"/>
      <c r="EZ46" s="53"/>
      <c r="FF46" s="53"/>
      <c r="FL46" s="53"/>
      <c r="FR46" s="53"/>
      <c r="FX46" s="53"/>
      <c r="GD46" s="53"/>
      <c r="GJ46" s="53"/>
      <c r="GP46" s="53"/>
      <c r="GT46" s="229" t="s">
        <v>137</v>
      </c>
      <c r="GU46" s="221"/>
      <c r="GV46" s="53"/>
      <c r="HB46" s="53"/>
      <c r="HH46" s="53"/>
      <c r="HN46" s="53"/>
      <c r="HT46" s="53"/>
      <c r="HZ46" s="53"/>
      <c r="IF46" s="53"/>
    </row>
    <row r="47" spans="1:245" x14ac:dyDescent="0.35">
      <c r="B47" s="127" t="s">
        <v>142</v>
      </c>
      <c r="C47" s="127"/>
      <c r="F47" s="38">
        <v>0.6</v>
      </c>
      <c r="G47" s="24"/>
      <c r="H47" s="38">
        <v>0.6</v>
      </c>
      <c r="I47" s="24"/>
      <c r="J47" s="38">
        <v>0.6</v>
      </c>
      <c r="K47" s="53"/>
      <c r="L47" s="38">
        <v>0.6</v>
      </c>
      <c r="N47" s="38">
        <v>0.6</v>
      </c>
      <c r="P47" s="38">
        <v>0.6</v>
      </c>
      <c r="Q47" s="53"/>
      <c r="R47" s="38">
        <v>0.6</v>
      </c>
      <c r="T47" s="38">
        <v>0.6</v>
      </c>
      <c r="V47" s="38">
        <v>0.6</v>
      </c>
      <c r="W47" s="51"/>
      <c r="X47" s="38">
        <v>0.6</v>
      </c>
      <c r="Z47" s="38">
        <v>0.6</v>
      </c>
      <c r="AB47" s="38">
        <v>0.6</v>
      </c>
      <c r="AC47" s="51"/>
      <c r="AD47" s="38">
        <f>1306.61+1893.03</f>
        <v>3199.64</v>
      </c>
      <c r="AF47" s="38">
        <v>2700.87</v>
      </c>
      <c r="AH47" s="129">
        <v>2500</v>
      </c>
      <c r="AI47" s="51"/>
      <c r="AJ47" s="129">
        <f>(3912-2500)+2815.8</f>
        <v>4227.8</v>
      </c>
      <c r="AL47" s="129">
        <v>2500</v>
      </c>
      <c r="AN47" s="129">
        <v>2500</v>
      </c>
      <c r="AO47" s="51"/>
      <c r="AP47" s="178">
        <f>(828.25-2815.8)+(1484.4-2500)+(849-2500)+965.47</f>
        <v>-3688.6799999999994</v>
      </c>
      <c r="AR47" s="178">
        <v>758.11</v>
      </c>
      <c r="AT47" s="178">
        <v>792.17</v>
      </c>
      <c r="AU47" s="51"/>
      <c r="AV47" s="178">
        <v>899.81</v>
      </c>
      <c r="AX47" s="178">
        <v>869.49</v>
      </c>
      <c r="AZ47" s="178">
        <v>1471.5</v>
      </c>
      <c r="BA47" s="51"/>
      <c r="BB47" s="178">
        <v>2626.29</v>
      </c>
      <c r="BD47" s="178">
        <f>2285.72-530.23</f>
        <v>1755.4899999999998</v>
      </c>
      <c r="BF47" s="178">
        <v>4391.6899999999996</v>
      </c>
      <c r="BG47" s="51"/>
      <c r="BH47" s="178">
        <v>3461.27</v>
      </c>
      <c r="BJ47" s="178">
        <v>3691.2</v>
      </c>
      <c r="BL47" s="178">
        <v>2340.0700000000002</v>
      </c>
      <c r="BM47" s="51"/>
      <c r="BN47" s="178">
        <v>1416.33</v>
      </c>
      <c r="BP47" s="178">
        <v>814.79</v>
      </c>
      <c r="BR47" s="178">
        <v>563.16999999999996</v>
      </c>
      <c r="BS47" s="51"/>
      <c r="BT47" s="178">
        <v>697.29</v>
      </c>
      <c r="BV47" s="178">
        <v>709.45</v>
      </c>
      <c r="BX47" s="178">
        <v>1313.52</v>
      </c>
      <c r="BY47" s="51"/>
      <c r="BZ47" s="178">
        <v>2907.35</v>
      </c>
      <c r="CB47" s="178">
        <v>5405.66</v>
      </c>
      <c r="CD47" s="178">
        <v>7207.2</v>
      </c>
      <c r="CE47" s="51"/>
      <c r="CF47" s="178">
        <v>6142.3</v>
      </c>
      <c r="CH47" s="178">
        <v>4877.03</v>
      </c>
      <c r="CJ47" s="178">
        <v>3561.75</v>
      </c>
      <c r="CK47" s="51"/>
      <c r="CL47" s="178">
        <v>1936.08</v>
      </c>
      <c r="CN47" s="178">
        <v>1709.13</v>
      </c>
      <c r="CP47" s="178">
        <v>961.92</v>
      </c>
      <c r="CQ47" s="51"/>
      <c r="CR47" s="178">
        <v>717.25</v>
      </c>
      <c r="CT47" s="178">
        <v>1107</v>
      </c>
      <c r="CV47" s="178">
        <v>1437.6</v>
      </c>
      <c r="CW47" s="51"/>
      <c r="CX47" s="178">
        <v>2707.8</v>
      </c>
      <c r="CZ47" s="178">
        <v>3818.08</v>
      </c>
      <c r="DB47" s="178">
        <v>7632.84</v>
      </c>
      <c r="DC47" s="51"/>
      <c r="DD47" s="178">
        <v>6684.34</v>
      </c>
      <c r="DF47" s="178">
        <v>10784.83</v>
      </c>
      <c r="DH47" s="178">
        <v>4628.3999999999996</v>
      </c>
      <c r="DI47" s="51"/>
      <c r="DJ47" s="178">
        <v>6156.13</v>
      </c>
      <c r="DL47" s="178">
        <v>5325.73</v>
      </c>
      <c r="DN47" s="178">
        <v>3500.04</v>
      </c>
      <c r="DO47" s="51"/>
      <c r="DP47" s="178">
        <v>3813.23</v>
      </c>
      <c r="DR47" s="178">
        <v>3472.16</v>
      </c>
      <c r="DT47" s="178">
        <v>5017.8</v>
      </c>
      <c r="DU47" s="51"/>
      <c r="DV47" s="178">
        <v>5535.9</v>
      </c>
      <c r="DX47" s="178">
        <f>8611.2-2644.99</f>
        <v>5966.2100000000009</v>
      </c>
      <c r="DZ47" s="178">
        <v>13897.67</v>
      </c>
      <c r="EA47" s="51"/>
      <c r="EB47" s="178">
        <f>13897.67</f>
        <v>13897.67</v>
      </c>
      <c r="ED47" s="178">
        <v>13897.67</v>
      </c>
      <c r="EF47" s="178">
        <v>13897.67</v>
      </c>
      <c r="EG47" s="51"/>
      <c r="EH47" s="178">
        <v>13897.67</v>
      </c>
      <c r="EJ47" s="178">
        <v>13897.67</v>
      </c>
      <c r="EL47" s="178">
        <v>13897.67</v>
      </c>
      <c r="EM47" s="51"/>
      <c r="EN47" s="178">
        <v>13897.67</v>
      </c>
      <c r="EP47" s="178">
        <v>13897.67</v>
      </c>
      <c r="ER47" s="178">
        <v>13897.67</v>
      </c>
      <c r="ES47" s="51"/>
      <c r="ET47" s="178">
        <v>13897.67</v>
      </c>
      <c r="EV47" s="178">
        <v>13897.67</v>
      </c>
      <c r="EX47" s="178">
        <v>13897.67</v>
      </c>
      <c r="EY47" s="51"/>
      <c r="EZ47" s="178">
        <v>13897.67</v>
      </c>
      <c r="FB47" s="178">
        <v>13897.67</v>
      </c>
      <c r="FD47" s="178">
        <v>13897.67</v>
      </c>
      <c r="FE47" s="51"/>
      <c r="FF47" s="178">
        <v>13897.67</v>
      </c>
      <c r="FH47" s="178">
        <v>13897.67</v>
      </c>
      <c r="FJ47" s="178">
        <v>13897.67</v>
      </c>
      <c r="FK47" s="51"/>
      <c r="FL47" s="178">
        <v>13897.67</v>
      </c>
      <c r="FN47" s="178">
        <v>13897.67</v>
      </c>
      <c r="FP47" s="178">
        <v>13897.67</v>
      </c>
      <c r="FQ47" s="51"/>
      <c r="FR47" s="178">
        <v>13897.67</v>
      </c>
      <c r="FT47" s="178">
        <v>13897.67</v>
      </c>
      <c r="FV47" s="178">
        <v>13897.67</v>
      </c>
      <c r="FW47" s="51"/>
      <c r="FX47" s="197">
        <v>13897.67</v>
      </c>
      <c r="FZ47" s="197">
        <v>13897.67</v>
      </c>
      <c r="GB47" s="197">
        <v>13897.67</v>
      </c>
      <c r="GC47" s="51"/>
      <c r="GD47" s="197">
        <v>13897.67</v>
      </c>
      <c r="GF47" s="197">
        <v>13897.67</v>
      </c>
      <c r="GH47" s="197">
        <v>13897.67</v>
      </c>
      <c r="GI47" s="51"/>
      <c r="GJ47" s="197">
        <v>13897.67</v>
      </c>
      <c r="GL47" s="197">
        <v>13897.67</v>
      </c>
      <c r="GN47" s="197">
        <v>13897.67</v>
      </c>
      <c r="GO47" s="51"/>
      <c r="GP47" s="197">
        <v>13897.67</v>
      </c>
      <c r="GR47" s="197">
        <v>13897.67</v>
      </c>
      <c r="GT47" s="197">
        <v>13897.67</v>
      </c>
      <c r="GU47" s="222"/>
      <c r="GV47" s="198"/>
      <c r="GW47" s="51"/>
      <c r="GX47" s="198"/>
      <c r="GY47" s="51"/>
      <c r="GZ47" s="198"/>
      <c r="HA47" s="51"/>
      <c r="HB47" s="198"/>
      <c r="HC47" s="51"/>
      <c r="HD47" s="198"/>
      <c r="HE47" s="51"/>
      <c r="HF47" s="198"/>
      <c r="HG47" s="51"/>
      <c r="HH47" s="198"/>
      <c r="HI47" s="51"/>
      <c r="HJ47" s="198"/>
      <c r="HK47" s="51"/>
      <c r="HL47" s="198"/>
      <c r="HN47" s="198"/>
      <c r="HO47" s="51"/>
      <c r="HP47" s="198"/>
      <c r="HQ47" s="51"/>
      <c r="HR47" s="198"/>
      <c r="HS47" s="51"/>
      <c r="HT47" s="198"/>
      <c r="HU47" s="51"/>
      <c r="HV47" s="198"/>
      <c r="HW47" s="51"/>
      <c r="HX47" s="198"/>
      <c r="HY47" s="51"/>
      <c r="HZ47" s="198"/>
      <c r="IA47" s="51"/>
      <c r="IB47" s="198"/>
      <c r="IC47" s="51"/>
      <c r="ID47" s="198"/>
      <c r="IE47" s="51"/>
      <c r="IF47" s="198"/>
      <c r="IG47" s="51"/>
      <c r="IH47" s="198"/>
      <c r="II47" s="51"/>
      <c r="IJ47" s="198"/>
      <c r="IK47" s="51"/>
    </row>
    <row r="48" spans="1:245" s="175" customFormat="1" x14ac:dyDescent="0.35">
      <c r="B48" s="127" t="s">
        <v>143</v>
      </c>
      <c r="C48" s="127"/>
      <c r="F48" s="143"/>
      <c r="G48" s="53"/>
      <c r="H48" s="143"/>
      <c r="I48" s="53"/>
      <c r="J48" s="143"/>
      <c r="K48" s="53"/>
      <c r="L48" s="143"/>
      <c r="M48" s="51"/>
      <c r="N48" s="143"/>
      <c r="O48" s="51"/>
      <c r="P48" s="143"/>
      <c r="Q48" s="53"/>
      <c r="R48" s="143"/>
      <c r="S48" s="51"/>
      <c r="T48" s="143"/>
      <c r="U48" s="51"/>
      <c r="V48" s="143"/>
      <c r="W48" s="51"/>
      <c r="X48" s="143"/>
      <c r="Y48" s="51"/>
      <c r="Z48" s="143"/>
      <c r="AA48" s="51"/>
      <c r="AB48" s="143"/>
      <c r="AC48" s="51"/>
      <c r="AD48" s="143"/>
      <c r="AE48" s="51"/>
      <c r="AF48" s="143"/>
      <c r="AG48" s="51"/>
      <c r="AH48" s="223"/>
      <c r="AI48" s="51"/>
      <c r="AJ48" s="223"/>
      <c r="AK48" s="51"/>
      <c r="AL48" s="223"/>
      <c r="AM48" s="51"/>
      <c r="AN48" s="223"/>
      <c r="AO48" s="51"/>
      <c r="AP48" s="198"/>
      <c r="AQ48" s="51"/>
      <c r="AR48" s="198"/>
      <c r="AS48" s="51"/>
      <c r="AT48" s="198"/>
      <c r="AU48" s="51"/>
      <c r="AV48" s="198"/>
      <c r="AW48" s="51"/>
      <c r="AX48" s="198"/>
      <c r="AY48" s="51"/>
      <c r="AZ48" s="198"/>
      <c r="BA48" s="51"/>
      <c r="BB48" s="198"/>
      <c r="BC48" s="51"/>
      <c r="BD48" s="198"/>
      <c r="BE48" s="51"/>
      <c r="BF48" s="198"/>
      <c r="BG48" s="51"/>
      <c r="BH48" s="198"/>
      <c r="BI48" s="51"/>
      <c r="BJ48" s="198"/>
      <c r="BK48" s="51"/>
      <c r="BL48" s="198"/>
      <c r="BM48" s="51"/>
      <c r="BN48" s="198"/>
      <c r="BO48" s="51"/>
      <c r="BP48" s="198"/>
      <c r="BQ48" s="51"/>
      <c r="BR48" s="198"/>
      <c r="BS48" s="51"/>
      <c r="BT48" s="198"/>
      <c r="BU48" s="51"/>
      <c r="BV48" s="198"/>
      <c r="BW48" s="51"/>
      <c r="BX48" s="198"/>
      <c r="BY48" s="51"/>
      <c r="BZ48" s="198"/>
      <c r="CA48" s="51"/>
      <c r="CB48" s="198"/>
      <c r="CC48" s="51"/>
      <c r="CD48" s="198"/>
      <c r="CE48" s="51"/>
      <c r="CF48" s="198"/>
      <c r="CG48" s="51"/>
      <c r="CH48" s="198"/>
      <c r="CI48" s="51"/>
      <c r="CJ48" s="198"/>
      <c r="CK48" s="51"/>
      <c r="CL48" s="198"/>
      <c r="CM48" s="51"/>
      <c r="CN48" s="198"/>
      <c r="CO48" s="51"/>
      <c r="CP48" s="198"/>
      <c r="CQ48" s="51"/>
      <c r="CR48" s="198"/>
      <c r="CS48" s="51"/>
      <c r="CT48" s="198"/>
      <c r="CU48" s="51"/>
      <c r="CV48" s="198"/>
      <c r="CW48" s="51"/>
      <c r="CX48" s="198"/>
      <c r="CY48" s="51"/>
      <c r="CZ48" s="198"/>
      <c r="DA48" s="51"/>
      <c r="DB48" s="198"/>
      <c r="DC48" s="51"/>
      <c r="DD48" s="198"/>
      <c r="DE48" s="51"/>
      <c r="DF48" s="198"/>
      <c r="DG48" s="51"/>
      <c r="DH48" s="198"/>
      <c r="DI48" s="51"/>
      <c r="DJ48" s="198"/>
      <c r="DK48" s="51"/>
      <c r="DL48" s="198"/>
      <c r="DM48" s="51"/>
      <c r="DN48" s="198"/>
      <c r="DO48" s="51"/>
      <c r="DP48" s="198"/>
      <c r="DQ48" s="51"/>
      <c r="DR48" s="198"/>
      <c r="DS48" s="51"/>
      <c r="DT48" s="198"/>
      <c r="DU48" s="51"/>
      <c r="DV48" s="198"/>
      <c r="DW48" s="51"/>
      <c r="DX48" s="198"/>
      <c r="DY48" s="51"/>
      <c r="DZ48" s="198"/>
      <c r="EA48" s="51"/>
      <c r="EB48" s="198"/>
      <c r="EC48" s="51"/>
      <c r="ED48" s="198"/>
      <c r="EE48" s="51"/>
      <c r="EF48" s="198"/>
      <c r="EG48" s="51"/>
      <c r="EH48" s="198"/>
      <c r="EI48" s="51"/>
      <c r="EJ48" s="198"/>
      <c r="EK48" s="51"/>
      <c r="EL48" s="198"/>
      <c r="EM48" s="51"/>
      <c r="EN48" s="198"/>
      <c r="EO48" s="51"/>
      <c r="EP48" s="198"/>
      <c r="EQ48" s="51"/>
      <c r="ER48" s="198"/>
      <c r="ES48" s="51"/>
      <c r="ET48" s="198"/>
      <c r="EU48" s="51"/>
      <c r="EV48" s="198"/>
      <c r="EW48" s="51"/>
      <c r="EX48" s="198"/>
      <c r="EY48" s="51"/>
      <c r="EZ48" s="198"/>
      <c r="FA48" s="51"/>
      <c r="FB48" s="198"/>
      <c r="FC48" s="51"/>
      <c r="FD48" s="198"/>
      <c r="FE48" s="51"/>
      <c r="FF48" s="198"/>
      <c r="FG48" s="51"/>
      <c r="FH48" s="198"/>
      <c r="FI48" s="51"/>
      <c r="FJ48" s="198"/>
      <c r="FK48" s="51"/>
      <c r="FL48" s="198"/>
      <c r="FM48" s="51"/>
      <c r="FN48" s="198"/>
      <c r="FO48" s="51"/>
      <c r="FP48" s="198"/>
      <c r="FQ48" s="51"/>
      <c r="FR48" s="198"/>
      <c r="FS48" s="51"/>
      <c r="FT48" s="198"/>
      <c r="FU48" s="51"/>
      <c r="FV48" s="198"/>
      <c r="FW48" s="51"/>
      <c r="FX48" s="198"/>
      <c r="FY48" s="110"/>
      <c r="FZ48" s="198"/>
      <c r="GA48" s="110"/>
      <c r="GB48" s="198"/>
      <c r="GC48" s="110"/>
      <c r="GD48" s="198"/>
      <c r="GE48" s="110"/>
      <c r="GF48" s="198"/>
      <c r="GG48" s="110"/>
      <c r="GH48" s="198"/>
      <c r="GI48" s="110"/>
      <c r="GJ48" s="198"/>
      <c r="GK48" s="110"/>
      <c r="GL48" s="198"/>
      <c r="GM48" s="110"/>
      <c r="GN48" s="198"/>
      <c r="GO48" s="110"/>
      <c r="GP48" s="198"/>
      <c r="GQ48" s="110"/>
      <c r="GR48" s="198"/>
      <c r="GS48" s="110"/>
      <c r="GT48" s="198"/>
      <c r="GU48" s="222"/>
      <c r="GV48" s="224">
        <f>2.7172*GV11</f>
        <v>39834.152000000002</v>
      </c>
      <c r="GX48" s="224">
        <f>2.7172*GX11</f>
        <v>34733.967600000004</v>
      </c>
      <c r="GZ48" s="224">
        <f>2.7172*GZ11</f>
        <v>25275.394400000001</v>
      </c>
      <c r="HA48" s="51"/>
      <c r="HB48" s="224">
        <f>2.7172*HB11</f>
        <v>25780.793600000001</v>
      </c>
      <c r="HD48" s="224">
        <f>2.7172*HD11</f>
        <v>17664.517200000002</v>
      </c>
      <c r="HF48" s="224">
        <f>2.7172*HF11</f>
        <v>17088.470799999999</v>
      </c>
      <c r="HG48" s="51"/>
      <c r="HH48" s="224">
        <f>2.7172*HH11</f>
        <v>18816.61</v>
      </c>
      <c r="HJ48" s="224">
        <f>2.7172*HJ11</f>
        <v>12577.918799999999</v>
      </c>
      <c r="HL48" s="224">
        <f>2.7172*HL11</f>
        <v>15406.523999999999</v>
      </c>
      <c r="HN48" s="224">
        <f>2.7172*HN11</f>
        <v>31183.130640000003</v>
      </c>
      <c r="HP48" s="224">
        <f>2.7172*HP11</f>
        <v>30054.405759999998</v>
      </c>
      <c r="HR48" s="224">
        <f>2.7172*HR11</f>
        <v>34243.784720000003</v>
      </c>
      <c r="HS48" s="51"/>
      <c r="HT48" s="224">
        <f>2.7172*HT11</f>
        <v>33034.630720000001</v>
      </c>
      <c r="HV48" s="224">
        <f>2.7172*HV11</f>
        <v>34513.059240000002</v>
      </c>
      <c r="HX48" s="224">
        <f>2.7172*HX11</f>
        <v>28052.916240000002</v>
      </c>
      <c r="HY48" s="51"/>
      <c r="HZ48" s="224">
        <f>2.7172*HZ11</f>
        <v>20600.99524</v>
      </c>
      <c r="IB48" s="224">
        <f>2.7172*IB11</f>
        <v>0</v>
      </c>
      <c r="ID48" s="224">
        <f>2.7172*ID11</f>
        <v>0</v>
      </c>
      <c r="IE48" s="51"/>
      <c r="IF48" s="224">
        <f>2.7172*IF11</f>
        <v>0</v>
      </c>
      <c r="IH48" s="224">
        <f>2.7172*IH11</f>
        <v>0</v>
      </c>
      <c r="IJ48" s="224">
        <f>2.7172*IJ11</f>
        <v>0</v>
      </c>
      <c r="IK48" s="51"/>
    </row>
    <row r="49" spans="1:245" x14ac:dyDescent="0.35">
      <c r="C49" s="226" t="s">
        <v>138</v>
      </c>
      <c r="F49" s="33">
        <f>F11*F36*F47</f>
        <v>1071.8459999999998</v>
      </c>
      <c r="G49" s="24"/>
      <c r="H49" s="33">
        <f>H11*H36*H47</f>
        <v>3455.2439999999997</v>
      </c>
      <c r="I49" s="24"/>
      <c r="J49" s="33">
        <f>J11*J36*J47</f>
        <v>3614.22</v>
      </c>
      <c r="K49" s="53"/>
      <c r="L49" s="33">
        <f>L11*L36*L47</f>
        <v>3978.7469999999998</v>
      </c>
      <c r="N49" s="33">
        <f>N11*N47</f>
        <v>1636.14</v>
      </c>
      <c r="P49" s="33">
        <f>P11*P47</f>
        <v>1003.8599999999999</v>
      </c>
      <c r="Q49" s="53"/>
      <c r="R49" s="33">
        <f>R11*R36*R47</f>
        <v>807.73469999999998</v>
      </c>
      <c r="T49" s="33">
        <f>T11*T47</f>
        <v>677.28</v>
      </c>
      <c r="V49" s="33">
        <f>V11*V47</f>
        <v>443.64</v>
      </c>
      <c r="W49" s="51"/>
      <c r="X49" s="33">
        <f>X11*X36*X47</f>
        <v>544.67909999999995</v>
      </c>
      <c r="Z49" s="33">
        <f>Z11*Z47</f>
        <v>486</v>
      </c>
      <c r="AB49" s="33">
        <f>AB11*AB47</f>
        <v>751.9799999999999</v>
      </c>
      <c r="AC49" s="51"/>
      <c r="AD49" s="33">
        <f>AD47*AD28</f>
        <v>2557.5497490400858</v>
      </c>
      <c r="AF49" s="33">
        <f>AF47*AF28</f>
        <v>2010.7615426339287</v>
      </c>
      <c r="AH49" s="33">
        <f>AH47*AH28</f>
        <v>1868.5401927388129</v>
      </c>
      <c r="AI49" s="51"/>
      <c r="AJ49" s="33">
        <f>AJ47*AJ28</f>
        <v>3191.8189812332439</v>
      </c>
      <c r="AL49" s="33">
        <f>AL47*AL28</f>
        <v>2073.6925855840359</v>
      </c>
      <c r="AN49" s="33">
        <f>AN47*AN28</f>
        <v>2224.5330106632382</v>
      </c>
      <c r="AO49" s="51"/>
      <c r="AP49" s="33">
        <f>AP47*AP28</f>
        <v>-3366.0447454664622</v>
      </c>
      <c r="AR49" s="33">
        <f>AR47*AR28</f>
        <v>713.90178793066548</v>
      </c>
      <c r="AT49" s="33">
        <f>AT47*AT28</f>
        <v>756.08667457781826</v>
      </c>
      <c r="AU49" s="51"/>
      <c r="AV49" s="33">
        <f>AV47*AV28</f>
        <v>872.51071580943335</v>
      </c>
      <c r="AX49" s="33">
        <f>AX47*AX28</f>
        <v>808.43528947601737</v>
      </c>
      <c r="AZ49" s="33">
        <f>AZ47*AZ28</f>
        <v>1333.4342414396401</v>
      </c>
      <c r="BA49" s="51"/>
      <c r="BB49" s="33">
        <f>BB47*BB28</f>
        <v>2095.6341458274492</v>
      </c>
      <c r="BD49" s="33">
        <f>BD47*BD28</f>
        <v>1341.8222208828886</v>
      </c>
      <c r="BF49" s="33">
        <f>BF47*BF28</f>
        <v>3328.2835405044489</v>
      </c>
      <c r="BG49" s="51"/>
      <c r="BH49" s="33">
        <f>BH47*BH28</f>
        <v>2522.4923742846499</v>
      </c>
      <c r="BJ49" s="33">
        <f>BJ47*BJ28</f>
        <v>2949.2871641791048</v>
      </c>
      <c r="BL49" s="33">
        <f>BL47*BL28</f>
        <v>1718.504820532165</v>
      </c>
      <c r="BM49" s="51"/>
      <c r="BN49" s="33">
        <f>BN47*BN28</f>
        <v>1262.9342993825442</v>
      </c>
      <c r="BP49" s="33">
        <f>BP47*BP28</f>
        <v>699.75178887841662</v>
      </c>
      <c r="BR49" s="33">
        <f>BR47*BR28</f>
        <v>489.96032015470558</v>
      </c>
      <c r="BS49" s="51"/>
      <c r="BT49" s="33">
        <f>BT47*BT28</f>
        <v>631.71735271217221</v>
      </c>
      <c r="BV49" s="33">
        <f>BV47*BV28</f>
        <v>630.69558761316523</v>
      </c>
      <c r="BX49" s="33">
        <f>BX47*BX28</f>
        <v>997.51338182159441</v>
      </c>
      <c r="BY49" s="51"/>
      <c r="BZ49" s="33">
        <f>BZ47*BZ28</f>
        <v>2022.9414798473647</v>
      </c>
      <c r="CB49" s="33">
        <f>CB47*CB28</f>
        <v>3638.2996105731122</v>
      </c>
      <c r="CD49" s="33">
        <f>CD47*CD28</f>
        <v>4827.8502155172409</v>
      </c>
      <c r="CE49" s="51"/>
      <c r="CF49" s="33">
        <f>CF47*CF28</f>
        <v>4592.869976297422</v>
      </c>
      <c r="CH49" s="33">
        <f>CH47*CH28</f>
        <v>3315.6807762925341</v>
      </c>
      <c r="CJ49" s="33">
        <f>CJ47*CJ28</f>
        <v>2874.9788559982194</v>
      </c>
      <c r="CK49" s="51"/>
      <c r="CL49" s="33">
        <f>CL47*CL28</f>
        <v>1520.1900204437038</v>
      </c>
      <c r="CN49" s="33">
        <f>CN47*CN28</f>
        <v>1452.011965303172</v>
      </c>
      <c r="CP49" s="33">
        <f>CP47*CP28</f>
        <v>783.85340599455037</v>
      </c>
      <c r="CQ49" s="51"/>
      <c r="CR49" s="33">
        <f>CR47*CR28</f>
        <v>596.60222070711984</v>
      </c>
      <c r="CT49" s="33">
        <f>CT47*CT28</f>
        <v>881.34335716046348</v>
      </c>
      <c r="CV49" s="33">
        <f>CV47*CV28</f>
        <v>1268.7266121707537</v>
      </c>
      <c r="CW49" s="51"/>
      <c r="CX49" s="33">
        <f>CX47*CX28</f>
        <v>1893.4687137143594</v>
      </c>
      <c r="CZ49" s="33">
        <f>CZ47*CZ28</f>
        <v>2732.5553481880588</v>
      </c>
      <c r="DB49" s="33">
        <f>DB47*DB28</f>
        <v>6067.4766375507479</v>
      </c>
      <c r="DC49" s="51"/>
      <c r="DD49" s="33">
        <f>DD47*DD28</f>
        <v>5344.4635718665149</v>
      </c>
      <c r="DF49" s="33">
        <f>DF47*DF28</f>
        <v>9594.8680151664594</v>
      </c>
      <c r="DH49" s="33">
        <f>DH47*DH28</f>
        <v>4423.6920140927778</v>
      </c>
      <c r="DI49" s="51"/>
      <c r="DJ49" s="33">
        <f>DJ47*DJ28</f>
        <v>6030.7317043591529</v>
      </c>
      <c r="DL49" s="33">
        <f>DL47*DL28</f>
        <v>5229.0190026851951</v>
      </c>
      <c r="DN49" s="33">
        <f>DN47*DN28</f>
        <v>3454.1142968775434</v>
      </c>
      <c r="DO49" s="51"/>
      <c r="DP49" s="33">
        <f>DP47*DP28</f>
        <v>3750.4314011692336</v>
      </c>
      <c r="DR49" s="33">
        <f>DR47*DR28</f>
        <v>3386.9087898982812</v>
      </c>
      <c r="DT49" s="33">
        <f>DT47*DT28</f>
        <v>4781.7539761610396</v>
      </c>
      <c r="DU49" s="51"/>
      <c r="DV49" s="33">
        <f>DV47*DV28</f>
        <v>5163.7610460452424</v>
      </c>
      <c r="DX49" s="33">
        <f>DX47*DX28</f>
        <v>5127.7691443145486</v>
      </c>
      <c r="DZ49" s="33">
        <f>DZ47*DZ28</f>
        <v>11852.920206423438</v>
      </c>
      <c r="EA49" s="51"/>
      <c r="EB49" s="33">
        <f>EB47*EB28</f>
        <v>11721.792668641274</v>
      </c>
      <c r="ED49" s="33">
        <f>ED47*ED28</f>
        <v>11695.550591966554</v>
      </c>
      <c r="EF49" s="33">
        <f>EF47*EF28</f>
        <v>12961.712614876509</v>
      </c>
      <c r="EG49" s="51"/>
      <c r="EH49" s="33">
        <f>EH47*EH28</f>
        <v>13133.054634281078</v>
      </c>
      <c r="EJ49" s="33">
        <f>EJ47*EJ28</f>
        <v>13345.204240524137</v>
      </c>
      <c r="EL49" s="33">
        <f>EL47*EL28</f>
        <v>13337.62894148614</v>
      </c>
      <c r="EM49" s="51"/>
      <c r="EN49" s="33">
        <f>EN47*EN28</f>
        <v>13431.975987176989</v>
      </c>
      <c r="EP49" s="33">
        <f>EP47*EP28</f>
        <v>13438.963155860811</v>
      </c>
      <c r="ER49" s="33">
        <f>ER47*ER28</f>
        <v>13396.378260869566</v>
      </c>
      <c r="ES49" s="51"/>
      <c r="ET49" s="33">
        <f>ET47*ET28</f>
        <v>12993.275882166212</v>
      </c>
      <c r="EV49" s="33">
        <f>EV47*EV28</f>
        <v>10970.470925677488</v>
      </c>
      <c r="EX49" s="33">
        <f>EX47*EX28</f>
        <v>11490.952223028518</v>
      </c>
      <c r="EY49" s="51"/>
      <c r="EZ49" s="33">
        <f>EZ47*EZ28</f>
        <v>11228.080918741311</v>
      </c>
      <c r="FB49" s="33">
        <f>FB47*FB28</f>
        <v>12024.940908433226</v>
      </c>
      <c r="FD49" s="33">
        <f>FD47*FD28</f>
        <v>12987.198996655517</v>
      </c>
      <c r="FE49" s="51"/>
      <c r="FF49" s="33">
        <f>FF47*FF28</f>
        <v>12543.728721064685</v>
      </c>
      <c r="FH49" s="33">
        <f>FH47*FH28</f>
        <v>13290.216065356226</v>
      </c>
      <c r="FJ49" s="33">
        <f>FJ47*FJ28</f>
        <v>12885.951267016424</v>
      </c>
      <c r="FK49" s="51"/>
      <c r="FL49" s="33">
        <f>FL47*FL28</f>
        <v>13420.687507994031</v>
      </c>
      <c r="FN49" s="33">
        <f>FN47*FN28</f>
        <v>13301.113904872356</v>
      </c>
      <c r="FP49" s="33">
        <f>FP47*FP28</f>
        <v>12463.905768410274</v>
      </c>
      <c r="FQ49" s="51"/>
      <c r="FR49" s="33">
        <f>FR47*FR28</f>
        <v>12769.352226655621</v>
      </c>
      <c r="FT49" s="33">
        <f>FT47*FT28</f>
        <v>11989.983969279201</v>
      </c>
      <c r="FV49" s="33">
        <f>FV47*FV28</f>
        <v>10396.13435334452</v>
      </c>
      <c r="FW49" s="51"/>
      <c r="FX49" s="33">
        <f>FX47*FX28</f>
        <v>12076.497865999047</v>
      </c>
      <c r="FZ49" s="33">
        <f>FZ47*FZ28</f>
        <v>11978.271234957507</v>
      </c>
      <c r="GB49" s="33">
        <f>GB47*GB28</f>
        <v>12756.561710566719</v>
      </c>
      <c r="GC49" s="51"/>
      <c r="GD49" s="33">
        <f>GD47*GD28</f>
        <v>13267.005975123082</v>
      </c>
      <c r="GF49" s="33">
        <f>GF47*GF28</f>
        <v>13403.711711269334</v>
      </c>
      <c r="GH49" s="33">
        <f>GH47*GH28</f>
        <v>13349.068473014851</v>
      </c>
      <c r="GI49" s="51"/>
      <c r="GJ49" s="33">
        <f>GJ47*GJ28</f>
        <v>13257.702980837474</v>
      </c>
      <c r="GL49" s="33">
        <f>GL47*GL28</f>
        <v>13357.25751331195</v>
      </c>
      <c r="GN49" s="33">
        <f>GN47*GN28</f>
        <v>13467.702533844764</v>
      </c>
      <c r="GO49" s="51"/>
      <c r="GP49" s="33">
        <f>GP47*GP28</f>
        <v>13562.154806259805</v>
      </c>
      <c r="GR49" s="33">
        <f>GR47*GR28</f>
        <v>13656.062736205593</v>
      </c>
      <c r="GT49" s="33">
        <f>GT47*GT28</f>
        <v>13637.697214531621</v>
      </c>
      <c r="GU49" s="222"/>
      <c r="GV49" s="33">
        <f>SUM(GV47:GV48)</f>
        <v>39834.152000000002</v>
      </c>
      <c r="GW49" s="175"/>
      <c r="GX49" s="33">
        <f>SUM(GX47:GX48)</f>
        <v>34733.967600000004</v>
      </c>
      <c r="GY49" s="175"/>
      <c r="GZ49" s="33">
        <f>SUM(GZ47:GZ48)</f>
        <v>25275.394400000001</v>
      </c>
      <c r="HA49" s="51"/>
      <c r="HB49" s="33">
        <f>SUM(HB47:HB48)</f>
        <v>25780.793600000001</v>
      </c>
      <c r="HD49" s="33">
        <f>SUM(HD47:HD48)</f>
        <v>17664.517200000002</v>
      </c>
      <c r="HF49" s="33">
        <f>SUM(HF47:HF48)</f>
        <v>17088.470799999999</v>
      </c>
      <c r="HG49" s="51"/>
      <c r="HH49" s="33">
        <f>SUM(HH47:HH48)</f>
        <v>18816.61</v>
      </c>
      <c r="HJ49" s="33">
        <f>SUM(HJ47:HJ48)</f>
        <v>12577.918799999999</v>
      </c>
      <c r="HL49" s="33">
        <f>SUM(HL47:HL48)</f>
        <v>15406.523999999999</v>
      </c>
      <c r="HN49" s="33">
        <f>SUM(HN47:HN48)</f>
        <v>31183.130640000003</v>
      </c>
      <c r="HP49" s="33">
        <f>SUM(HP47:HP48)</f>
        <v>30054.405759999998</v>
      </c>
      <c r="HR49" s="33">
        <f>SUM(HR47:HR48)</f>
        <v>34243.784720000003</v>
      </c>
      <c r="HS49" s="51"/>
      <c r="HT49" s="37">
        <v>33744.910000000003</v>
      </c>
      <c r="HV49" s="37">
        <v>32731.39</v>
      </c>
      <c r="HX49" s="37">
        <v>28310.51</v>
      </c>
      <c r="HY49" s="51"/>
      <c r="HZ49" s="37">
        <v>19379.07</v>
      </c>
      <c r="IB49" s="33">
        <f>SUM(IB47:IB48)</f>
        <v>0</v>
      </c>
      <c r="ID49" s="33">
        <f>SUM(ID47:ID48)</f>
        <v>0</v>
      </c>
      <c r="IE49" s="51"/>
      <c r="IF49" s="33">
        <f>SUM(IF47:IF48)</f>
        <v>0</v>
      </c>
      <c r="IH49" s="33">
        <f>SUM(IH47:IH48)</f>
        <v>0</v>
      </c>
      <c r="IJ49" s="33">
        <f>SUM(IJ47:IJ48)</f>
        <v>0</v>
      </c>
      <c r="IK49" s="51"/>
    </row>
    <row r="50" spans="1:245" s="51" customFormat="1" ht="6.85" customHeight="1" x14ac:dyDescent="0.35">
      <c r="F50" s="53"/>
      <c r="G50" s="53"/>
      <c r="H50" s="53"/>
      <c r="I50" s="53"/>
      <c r="J50" s="53"/>
      <c r="K50" s="53"/>
      <c r="L50" s="53"/>
      <c r="Q50" s="53"/>
      <c r="R50" s="53"/>
      <c r="X50" s="53"/>
      <c r="AD50" s="53"/>
      <c r="AJ50" s="53"/>
      <c r="AP50" s="53"/>
      <c r="AV50" s="53"/>
      <c r="BB50" s="53"/>
      <c r="BH50" s="53"/>
      <c r="BN50" s="53"/>
      <c r="BT50" s="53"/>
      <c r="BZ50" s="53"/>
      <c r="CF50" s="53"/>
      <c r="CL50" s="53"/>
      <c r="CR50" s="53"/>
      <c r="CX50" s="53"/>
      <c r="DD50" s="53"/>
      <c r="DJ50" s="53"/>
      <c r="DP50" s="53"/>
      <c r="DV50" s="53"/>
      <c r="EB50" s="53"/>
      <c r="EH50" s="53"/>
      <c r="EN50" s="53"/>
      <c r="ET50" s="53"/>
      <c r="EZ50" s="53"/>
      <c r="FF50" s="53"/>
      <c r="FL50" s="53"/>
      <c r="FR50" s="53"/>
      <c r="FX50" s="53"/>
      <c r="GD50" s="53"/>
      <c r="GJ50" s="53"/>
      <c r="GP50" s="53"/>
      <c r="GU50" s="221"/>
      <c r="GV50" s="53"/>
      <c r="HB50" s="53"/>
      <c r="HH50" s="53"/>
      <c r="HN50" s="53"/>
      <c r="HT50" s="53"/>
      <c r="HZ50" s="53"/>
      <c r="IF50" s="53"/>
    </row>
    <row r="51" spans="1:245" s="51" customFormat="1" x14ac:dyDescent="0.35">
      <c r="A51" s="221" t="s">
        <v>154</v>
      </c>
    </row>
    <row r="52" spans="1:245" x14ac:dyDescent="0.35">
      <c r="B52" s="127" t="s">
        <v>140</v>
      </c>
      <c r="AP52" s="129">
        <f>(773.36+4094.67)+10000</f>
        <v>14868.029999999999</v>
      </c>
      <c r="AR52" s="129">
        <v>10000</v>
      </c>
      <c r="AT52" s="129">
        <v>10000</v>
      </c>
      <c r="AV52" s="180">
        <f>-6081.49-6887.83-5665.99+5271.52</f>
        <v>-13363.789999999997</v>
      </c>
      <c r="AX52" s="180">
        <v>4044.87</v>
      </c>
      <c r="AZ52" s="180">
        <v>8278.67</v>
      </c>
      <c r="BB52" s="180">
        <v>3732.06</v>
      </c>
      <c r="BD52" s="180">
        <v>0</v>
      </c>
      <c r="BF52" s="180">
        <v>0</v>
      </c>
      <c r="BH52" s="180">
        <v>-9768.5</v>
      </c>
      <c r="BJ52" s="180">
        <v>-5361.24</v>
      </c>
      <c r="BL52" s="180">
        <v>1931.3</v>
      </c>
      <c r="BN52" s="180">
        <v>4661.6899999999996</v>
      </c>
      <c r="BP52" s="180">
        <v>7006.5</v>
      </c>
      <c r="BR52" s="180">
        <v>3974.92</v>
      </c>
      <c r="BT52" s="180">
        <v>5318.24</v>
      </c>
      <c r="BV52" s="180">
        <v>2903.43</v>
      </c>
      <c r="BX52" s="180">
        <v>2606.11</v>
      </c>
      <c r="BZ52" s="180">
        <v>0</v>
      </c>
      <c r="CB52" s="180">
        <v>7034.22</v>
      </c>
      <c r="CD52" s="180">
        <v>0</v>
      </c>
      <c r="CF52" s="180">
        <v>4003.23</v>
      </c>
      <c r="CH52" s="180">
        <v>2228.23</v>
      </c>
      <c r="CJ52" s="180">
        <v>18949.650000000001</v>
      </c>
      <c r="CL52" s="180">
        <v>7033.33</v>
      </c>
      <c r="CN52" s="180">
        <v>6812.27</v>
      </c>
      <c r="CP52" s="180">
        <v>7047.01</v>
      </c>
      <c r="CR52" s="180">
        <v>6231.5</v>
      </c>
      <c r="CT52" s="180">
        <v>6231.5</v>
      </c>
      <c r="CV52" s="180">
        <v>14188.11</v>
      </c>
      <c r="CX52" s="180">
        <v>0</v>
      </c>
      <c r="CZ52" s="180">
        <v>3746.32</v>
      </c>
      <c r="DB52" s="180">
        <v>-10874.95</v>
      </c>
      <c r="DD52" s="180">
        <v>-20238.11</v>
      </c>
      <c r="DF52" s="180">
        <v>35444.14</v>
      </c>
      <c r="DH52" s="180">
        <v>22336.06</v>
      </c>
      <c r="DJ52" s="180">
        <v>17900.990000000002</v>
      </c>
      <c r="DL52" s="180">
        <v>33326.769999999997</v>
      </c>
      <c r="DN52" s="180">
        <v>26310.73</v>
      </c>
      <c r="DP52" s="180">
        <v>27750.67</v>
      </c>
      <c r="DR52" s="180">
        <v>21311.9</v>
      </c>
      <c r="DT52" s="180">
        <v>14222.12</v>
      </c>
      <c r="DV52" s="180">
        <v>13106.09</v>
      </c>
      <c r="DX52" s="180">
        <f>25114.86-15783.43</f>
        <v>9331.43</v>
      </c>
      <c r="DZ52" s="180">
        <v>29807.88</v>
      </c>
      <c r="EB52" s="180">
        <v>24143.98</v>
      </c>
      <c r="ED52" s="180">
        <v>32837.64</v>
      </c>
      <c r="EF52" s="180">
        <v>18457.919999999998</v>
      </c>
      <c r="EH52" s="180">
        <v>14369.95</v>
      </c>
      <c r="EJ52" s="180">
        <v>0</v>
      </c>
      <c r="EL52" s="180">
        <v>22578.3</v>
      </c>
      <c r="EN52" s="180">
        <v>0</v>
      </c>
      <c r="EP52" s="180">
        <v>18213.72</v>
      </c>
      <c r="ER52" s="180">
        <v>0</v>
      </c>
      <c r="ET52" s="180">
        <v>20953.66</v>
      </c>
      <c r="EV52" s="180">
        <v>13323.17</v>
      </c>
      <c r="EX52" s="180">
        <v>15429.87</v>
      </c>
      <c r="EZ52" s="180">
        <v>12652.29</v>
      </c>
      <c r="FB52" s="180">
        <v>18322.080000000002</v>
      </c>
      <c r="FD52" s="180">
        <v>18972.8</v>
      </c>
      <c r="FF52" s="180">
        <v>0</v>
      </c>
      <c r="FH52" s="180">
        <v>9783.02</v>
      </c>
      <c r="FJ52" s="180">
        <v>10890.16</v>
      </c>
      <c r="FL52" s="180">
        <v>0</v>
      </c>
      <c r="FN52" s="180">
        <v>10479.56</v>
      </c>
      <c r="FP52" s="180">
        <v>0</v>
      </c>
      <c r="FR52" s="180">
        <v>21908.07</v>
      </c>
      <c r="FT52" s="180">
        <v>24649.96</v>
      </c>
      <c r="FV52" s="180">
        <v>18218.53</v>
      </c>
      <c r="FX52" s="180">
        <v>16342.48</v>
      </c>
      <c r="FZ52" s="180">
        <v>15311.6</v>
      </c>
      <c r="GB52" s="180">
        <f>3320.24+282.8+16574.4</f>
        <v>20177.440000000002</v>
      </c>
      <c r="GD52" s="180">
        <v>17047.5</v>
      </c>
      <c r="GF52" s="180">
        <v>19265.45</v>
      </c>
      <c r="GH52" s="180">
        <v>19191.560000000001</v>
      </c>
      <c r="GJ52" s="180">
        <v>23705.82</v>
      </c>
      <c r="GL52" s="180">
        <v>21839.42</v>
      </c>
      <c r="GN52" s="180">
        <v>23271.06</v>
      </c>
      <c r="GP52" s="180">
        <v>23780.63</v>
      </c>
      <c r="GR52" s="180">
        <v>31806.720000000001</v>
      </c>
      <c r="GT52" s="180">
        <v>31970.29</v>
      </c>
      <c r="GV52" s="180">
        <v>25412.35</v>
      </c>
      <c r="GW52" s="175"/>
      <c r="GX52" s="180">
        <v>22052.25</v>
      </c>
      <c r="GY52" s="175"/>
      <c r="GZ52" s="180">
        <v>24468</v>
      </c>
      <c r="HB52" s="180">
        <v>21200.400000000001</v>
      </c>
      <c r="HD52" s="180">
        <v>19690.88</v>
      </c>
      <c r="HF52" s="180">
        <v>16171.72</v>
      </c>
      <c r="HH52" s="204">
        <v>14483.2</v>
      </c>
      <c r="HJ52" s="204">
        <v>10620.48</v>
      </c>
      <c r="HL52" s="204">
        <v>9947.8799999999992</v>
      </c>
      <c r="HN52" s="204">
        <v>18519.3</v>
      </c>
      <c r="HP52" s="204">
        <v>27460.799999999999</v>
      </c>
      <c r="HR52" s="204">
        <v>22360.799999999999</v>
      </c>
      <c r="HS52" s="51"/>
      <c r="HT52" s="204">
        <v>25768.75</v>
      </c>
      <c r="HV52" s="204">
        <v>27727.95</v>
      </c>
      <c r="HX52" s="204">
        <v>16920.900000000001</v>
      </c>
      <c r="HY52" s="51"/>
      <c r="HZ52" s="204">
        <v>17343.72</v>
      </c>
      <c r="IB52" s="204"/>
      <c r="ID52" s="204"/>
      <c r="IE52" s="51"/>
      <c r="IF52" s="204"/>
      <c r="IH52" s="204"/>
      <c r="IJ52" s="204"/>
      <c r="IK52" s="51"/>
    </row>
    <row r="53" spans="1:245" x14ac:dyDescent="0.35">
      <c r="C53" s="126" t="s">
        <v>38</v>
      </c>
      <c r="AP53" s="33">
        <f>AP52*AP28</f>
        <v>13567.578173476075</v>
      </c>
      <c r="AR53" s="33">
        <f>AR52*AR28</f>
        <v>9416.8628290177621</v>
      </c>
      <c r="AT53" s="33">
        <f>AT52*AT28</f>
        <v>9544.5002282062978</v>
      </c>
      <c r="AV53" s="33">
        <f>((-6081.49*AP28)+(-6887.83*AR28)+(-5665.99*AT28)+(5271.52*AV28))</f>
        <v>-12332.05612618204</v>
      </c>
      <c r="AX53" s="33">
        <f>AX52*AX28</f>
        <v>3760.8433096905751</v>
      </c>
      <c r="AZ53" s="33">
        <f>AZ52*AZ28</f>
        <v>7501.9110102474378</v>
      </c>
      <c r="BB53" s="33">
        <f>BB52*BB28</f>
        <v>2977.977439763617</v>
      </c>
      <c r="BD53" s="33">
        <f>BD52*BD28</f>
        <v>0</v>
      </c>
      <c r="BF53" s="33">
        <f>BF52*BF28</f>
        <v>0</v>
      </c>
      <c r="BH53" s="33">
        <f>BH52*BH28</f>
        <v>-7119.0536300836411</v>
      </c>
      <c r="BJ53" s="33">
        <f>BJ52*BJ28</f>
        <v>-4283.6574328358211</v>
      </c>
      <c r="BL53" s="33">
        <f>BL52*BL28</f>
        <v>1418.311571830659</v>
      </c>
      <c r="BN53" s="33">
        <f>BN52*BN28</f>
        <v>4156.8054013461642</v>
      </c>
      <c r="BP53" s="33">
        <f>BP52*BP28</f>
        <v>6017.2693685202639</v>
      </c>
      <c r="BR53" s="33">
        <f>BR52*BR28</f>
        <v>3458.1974817361411</v>
      </c>
      <c r="BT53" s="33">
        <f>BT52*BT28</f>
        <v>4818.1165567955695</v>
      </c>
      <c r="BV53" s="33">
        <f>BV52*BV28</f>
        <v>2581.1269151366441</v>
      </c>
      <c r="BX53" s="33">
        <f>BX52*BX28</f>
        <v>1979.1321026699827</v>
      </c>
      <c r="BZ53" s="33">
        <f>BZ52*BZ28</f>
        <v>0</v>
      </c>
      <c r="CB53" s="33">
        <f>CB52*CB28</f>
        <v>4734.4079884205812</v>
      </c>
      <c r="CD53" s="33">
        <f>CD52*CD28</f>
        <v>0</v>
      </c>
      <c r="CF53" s="33">
        <f>CF52*CF28</f>
        <v>2993.3925199376663</v>
      </c>
      <c r="CH53" s="33">
        <f>CH52*CH28</f>
        <v>1514.8767541225527</v>
      </c>
      <c r="CJ53" s="33">
        <f>CJ52*CJ28</f>
        <v>15295.807700868017</v>
      </c>
      <c r="CL53" s="33">
        <f>CL52*CL28</f>
        <v>5522.4980767774659</v>
      </c>
      <c r="CN53" s="33">
        <f>CN52*CN28</f>
        <v>5787.4459818011737</v>
      </c>
      <c r="CP53" s="33">
        <f>CP52*CP28</f>
        <v>5742.4970793596731</v>
      </c>
      <c r="CR53" s="33">
        <f>CR52*CR28</f>
        <v>5183.3067108210771</v>
      </c>
      <c r="CT53" s="33">
        <f>CT52*CT28</f>
        <v>4961.2385999507023</v>
      </c>
      <c r="CV53" s="33">
        <f>CV52*CV28</f>
        <v>12521.447366030881</v>
      </c>
      <c r="CX53" s="33">
        <f>CX52*CX28</f>
        <v>0</v>
      </c>
      <c r="CZ53" s="33">
        <f>CZ52*CZ28</f>
        <v>2681.1975527029003</v>
      </c>
      <c r="DB53" s="33">
        <f>DB52*DB28</f>
        <v>-8644.6859962389499</v>
      </c>
      <c r="DD53" s="33">
        <f>DD52*DD28</f>
        <v>-16181.379411943053</v>
      </c>
      <c r="DF53" s="33">
        <f>DF52*DF28</f>
        <v>31533.352422901618</v>
      </c>
      <c r="DH53" s="33">
        <f>DH52*DH28</f>
        <v>21348.165726449126</v>
      </c>
      <c r="DJ53" s="33">
        <f>DJ52*DJ28</f>
        <v>17536.352860062438</v>
      </c>
      <c r="DL53" s="33">
        <f>DL52*DL28</f>
        <v>32721.582511340017</v>
      </c>
      <c r="DN53" s="33">
        <f>DN52*DN28</f>
        <v>25965.494295575161</v>
      </c>
      <c r="DP53" s="33">
        <f>DP52*DP28</f>
        <v>27293.655030377136</v>
      </c>
      <c r="DR53" s="33">
        <f>DR52*DR28</f>
        <v>20788.633426867767</v>
      </c>
      <c r="DT53" s="33">
        <f>DT52*DT28</f>
        <v>13553.086782940622</v>
      </c>
      <c r="DV53" s="33">
        <f>DV52*DV28</f>
        <v>12225.061328413285</v>
      </c>
      <c r="DX53" s="33">
        <f>DX52*DX28</f>
        <v>8020.0694957655032</v>
      </c>
      <c r="DZ53" s="33">
        <f>DZ52*DZ28</f>
        <v>25422.277486992069</v>
      </c>
      <c r="EB53" s="33">
        <f>EB52*EB28</f>
        <v>20363.897527846148</v>
      </c>
      <c r="ED53" s="33">
        <f>ED52*ED28</f>
        <v>27634.436559566071</v>
      </c>
      <c r="EF53" s="33">
        <f>EF52*EF28</f>
        <v>17214.846410109134</v>
      </c>
      <c r="EH53" s="33">
        <f>EH52*EH28</f>
        <v>13579.350958965595</v>
      </c>
      <c r="EJ53" s="33">
        <f>EJ52*EJ28</f>
        <v>0</v>
      </c>
      <c r="EL53" s="33">
        <f>EL52*EL28</f>
        <v>21668.451440389395</v>
      </c>
      <c r="EN53" s="33">
        <f>EN52*EN28</f>
        <v>0</v>
      </c>
      <c r="EP53" s="33">
        <f>EP52*EP28</f>
        <v>17612.557501449177</v>
      </c>
      <c r="ER53" s="33">
        <f>ER52*ER28</f>
        <v>0</v>
      </c>
      <c r="ET53" s="33">
        <f>ET52*ET28</f>
        <v>19590.09568662307</v>
      </c>
      <c r="EV53" s="33">
        <f>EV52*EV28</f>
        <v>10516.975084518379</v>
      </c>
      <c r="EX53" s="33">
        <f>EX52*EX28</f>
        <v>12757.814725600841</v>
      </c>
      <c r="EZ53" s="33">
        <f>EZ52*EZ28</f>
        <v>10221.924677113611</v>
      </c>
      <c r="FB53" s="33">
        <f>FB52*FB28</f>
        <v>15853.155911716585</v>
      </c>
      <c r="FD53" s="33">
        <f>FD52*FD28</f>
        <v>17729.844579972458</v>
      </c>
      <c r="FF53" s="33">
        <f>FF52*FF28</f>
        <v>0</v>
      </c>
      <c r="FH53" s="33">
        <f>FH52*FH28</f>
        <v>9355.4135025296509</v>
      </c>
      <c r="FJ53" s="33">
        <f>FJ52*FJ28</f>
        <v>10097.381147344237</v>
      </c>
      <c r="FL53" s="33">
        <f>FL52*FL28</f>
        <v>0</v>
      </c>
      <c r="FN53" s="33">
        <f>FN52*FN28</f>
        <v>10029.725934846931</v>
      </c>
      <c r="FP53" s="33">
        <f>FP52*FP28</f>
        <v>0</v>
      </c>
      <c r="FR53" s="33">
        <f>FR52*FR28</f>
        <v>20129.407478823949</v>
      </c>
      <c r="FT53" s="33">
        <f>FT52*FT28</f>
        <v>21266.343584455059</v>
      </c>
      <c r="FV53" s="33">
        <f>FV52*FV28</f>
        <v>13628.348176380479</v>
      </c>
      <c r="FX53" s="33">
        <f>FX52*FX28</f>
        <v>14200.936188953407</v>
      </c>
      <c r="FZ53" s="33">
        <f>FZ52*FZ28</f>
        <v>13196.924221195019</v>
      </c>
      <c r="GB53" s="33">
        <f>GB52*GB28</f>
        <v>18520.713077894165</v>
      </c>
      <c r="GD53" s="33">
        <f>GD52*GD28</f>
        <v>16273.899463788588</v>
      </c>
      <c r="GF53" s="33">
        <f>GF52*GF28</f>
        <v>18580.70725437241</v>
      </c>
      <c r="GH53" s="33">
        <f>GH52*GH28</f>
        <v>18433.985592115292</v>
      </c>
      <c r="GJ53" s="33">
        <f>GJ52*GJ28</f>
        <v>22614.202271114264</v>
      </c>
      <c r="GL53" s="33">
        <f>GL52*GL28</f>
        <v>20990.191656685995</v>
      </c>
      <c r="GN53" s="33">
        <f>GN52*GN28</f>
        <v>22551.097682363557</v>
      </c>
      <c r="GP53" s="33">
        <f>GP52*GP28</f>
        <v>23206.522060920004</v>
      </c>
      <c r="GR53" s="33">
        <f>GR52*GR28</f>
        <v>31253.768707482996</v>
      </c>
      <c r="GT53" s="33">
        <f>GT52*GT28</f>
        <v>31372.246922021328</v>
      </c>
      <c r="GV53" s="33">
        <f>GV52*GV28</f>
        <v>22576.572351436844</v>
      </c>
      <c r="GW53" s="175"/>
      <c r="GX53" s="33">
        <f>GX52*GX28</f>
        <v>19401.754506411184</v>
      </c>
      <c r="GY53" s="175"/>
      <c r="GZ53" s="33">
        <f>GZ52*GZ28</f>
        <v>22507.820927403802</v>
      </c>
      <c r="HB53" s="33">
        <f>HB52*HB28</f>
        <v>20954.15336215428</v>
      </c>
      <c r="HD53" s="33">
        <f>HD52*HD28</f>
        <v>19189.088724329187</v>
      </c>
      <c r="HF53" s="33">
        <f>HF52*HF28</f>
        <v>15972.35132783667</v>
      </c>
      <c r="HH53" s="33">
        <f>HH52*HH28</f>
        <v>14278.862772454835</v>
      </c>
      <c r="HJ53" s="33">
        <f>HJ52*HJ28</f>
        <v>10373.304479564491</v>
      </c>
      <c r="HL53" s="33">
        <f>HL52*HL28</f>
        <v>9086.2122203070376</v>
      </c>
      <c r="HN53" s="33">
        <f>HN52*HN28</f>
        <v>15802.867941616043</v>
      </c>
      <c r="HP53" s="33">
        <f>HP52*HP28</f>
        <v>23244.33823925554</v>
      </c>
      <c r="HR53" s="33">
        <f>HR52*HR28</f>
        <v>19923.236457987205</v>
      </c>
      <c r="HT53" s="33">
        <f>HT52*HT28</f>
        <v>22858.926174006945</v>
      </c>
      <c r="HV53" s="33">
        <f>HV52*HV28</f>
        <v>25762.173852123855</v>
      </c>
      <c r="HX53" s="33">
        <f>HX52*HX28</f>
        <v>16289.010954152565</v>
      </c>
      <c r="HZ53" s="33">
        <f>HZ52*HZ28</f>
        <v>17343.72</v>
      </c>
      <c r="IB53" s="33" t="e">
        <f>IB52*IB28</f>
        <v>#DIV/0!</v>
      </c>
      <c r="ID53" s="33" t="e">
        <f>ID52*ID28</f>
        <v>#DIV/0!</v>
      </c>
      <c r="IF53" s="33" t="e">
        <f>IF52*IF28</f>
        <v>#DIV/0!</v>
      </c>
      <c r="IH53" s="33" t="e">
        <f>IH52*IH28</f>
        <v>#DIV/0!</v>
      </c>
      <c r="IJ53" s="33" t="e">
        <f>IJ52*IJ28</f>
        <v>#DIV/0!</v>
      </c>
    </row>
    <row r="54" spans="1:245" x14ac:dyDescent="0.35">
      <c r="C54" s="126"/>
      <c r="GV54" s="175"/>
      <c r="GW54" s="175"/>
      <c r="GX54" s="175"/>
      <c r="GY54" s="175"/>
      <c r="GZ54" s="175"/>
    </row>
    <row r="55" spans="1:245" x14ac:dyDescent="0.35">
      <c r="GV55" s="175"/>
      <c r="GW55" s="175"/>
      <c r="GX55" s="175"/>
      <c r="GY55" s="175"/>
      <c r="GZ55" s="175"/>
    </row>
  </sheetData>
  <pageMargins left="0.5" right="0.5" top="1" bottom="1" header="0.5" footer="0.5"/>
  <pageSetup scale="83" fitToWidth="0" orientation="landscape" r:id="rId1"/>
  <headerFooter>
    <oddHeader>&amp;C&amp;"Arial,Bold"Schedule IV&amp;"Arial,Regular"
Actual Adjustment&amp;R&amp;"Arial,Bold"Navitas KY NG, LLC</oddHeader>
    <oddFooter>&amp;L&amp;F&amp;C&amp;A&amp;R&amp;D&amp;T</oddFooter>
  </headerFooter>
  <colBreaks count="3" manualBreakCount="3">
    <brk id="173" max="51" man="1"/>
    <brk id="191" max="51" man="1"/>
    <brk id="208" max="5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W218"/>
  <sheetViews>
    <sheetView zoomScale="70" zoomScaleNormal="70" workbookViewId="0">
      <pane xSplit="4" ySplit="18" topLeftCell="JT212" activePane="bottomRight" state="frozen"/>
      <selection pane="topRight" activeCell="E1" sqref="E1"/>
      <selection pane="bottomLeft" activeCell="A19" sqref="A19"/>
      <selection pane="bottomRight" activeCell="C219" sqref="C219"/>
    </sheetView>
  </sheetViews>
  <sheetFormatPr defaultRowHeight="12.75" x14ac:dyDescent="0.35"/>
  <cols>
    <col min="1" max="2" width="1.73046875" customWidth="1"/>
    <col min="3" max="3" width="20.73046875" customWidth="1"/>
    <col min="4" max="5" width="1.73046875" customWidth="1"/>
    <col min="6" max="6" width="11.73046875" hidden="1" customWidth="1"/>
    <col min="7" max="7" width="1.73046875" hidden="1" customWidth="1"/>
    <col min="8" max="8" width="11.73046875" hidden="1" customWidth="1"/>
    <col min="9" max="9" width="1.265625" hidden="1" customWidth="1"/>
    <col min="10" max="10" width="11.73046875" hidden="1" customWidth="1"/>
    <col min="11" max="11" width="1.265625" hidden="1" customWidth="1"/>
    <col min="12" max="12" width="11.73046875" hidden="1" customWidth="1"/>
    <col min="13" max="13" width="1.265625" hidden="1" customWidth="1"/>
    <col min="14" max="14" width="11.73046875" hidden="1" customWidth="1"/>
    <col min="15" max="15" width="1.265625" hidden="1" customWidth="1"/>
    <col min="16" max="16" width="11.73046875" hidden="1" customWidth="1"/>
    <col min="17" max="17" width="1.265625" hidden="1" customWidth="1"/>
    <col min="18" max="18" width="11.73046875" hidden="1" customWidth="1"/>
    <col min="19" max="19" width="1.265625" hidden="1" customWidth="1"/>
    <col min="20" max="20" width="11.73046875" hidden="1" customWidth="1"/>
    <col min="21" max="21" width="1.265625" hidden="1" customWidth="1"/>
    <col min="22" max="22" width="11.73046875" hidden="1" customWidth="1"/>
    <col min="23" max="23" width="1.265625" hidden="1" customWidth="1"/>
    <col min="24" max="24" width="11.73046875" hidden="1" customWidth="1"/>
    <col min="25" max="25" width="1.265625" hidden="1" customWidth="1"/>
    <col min="26" max="26" width="11.73046875" hidden="1" customWidth="1"/>
    <col min="27" max="27" width="1.265625" hidden="1" customWidth="1"/>
    <col min="28" max="28" width="11.73046875" hidden="1" customWidth="1"/>
    <col min="29" max="29" width="1.265625" hidden="1" customWidth="1"/>
    <col min="30" max="30" width="11.73046875" hidden="1" customWidth="1"/>
    <col min="31" max="31" width="1.265625" hidden="1" customWidth="1"/>
    <col min="32" max="32" width="11.73046875" hidden="1" customWidth="1"/>
    <col min="33" max="33" width="1.265625" hidden="1" customWidth="1"/>
    <col min="34" max="34" width="11.73046875" hidden="1" customWidth="1"/>
    <col min="35" max="35" width="1.265625" hidden="1" customWidth="1"/>
    <col min="36" max="36" width="11.73046875" hidden="1" customWidth="1"/>
    <col min="37" max="37" width="1.265625" hidden="1" customWidth="1"/>
    <col min="38" max="38" width="11.73046875" hidden="1" customWidth="1"/>
    <col min="39" max="39" width="1.265625" hidden="1" customWidth="1"/>
    <col min="40" max="40" width="11.73046875" hidden="1" customWidth="1"/>
    <col min="41" max="41" width="1.265625" hidden="1" customWidth="1"/>
    <col min="42" max="42" width="11.73046875" hidden="1" customWidth="1"/>
    <col min="43" max="43" width="1.265625" hidden="1" customWidth="1"/>
    <col min="44" max="44" width="11.73046875" hidden="1" customWidth="1"/>
    <col min="45" max="45" width="1.265625" hidden="1" customWidth="1"/>
    <col min="46" max="46" width="11.73046875" hidden="1" customWidth="1"/>
    <col min="47" max="47" width="1.265625" hidden="1" customWidth="1"/>
    <col min="48" max="48" width="11.73046875" hidden="1" customWidth="1"/>
    <col min="49" max="49" width="1.265625" hidden="1" customWidth="1"/>
    <col min="50" max="50" width="11.73046875" hidden="1" customWidth="1"/>
    <col min="51" max="51" width="1.265625" hidden="1" customWidth="1"/>
    <col min="52" max="52" width="11.73046875" hidden="1" customWidth="1"/>
    <col min="53" max="53" width="1.265625" hidden="1" customWidth="1"/>
    <col min="54" max="54" width="11.73046875" hidden="1" customWidth="1"/>
    <col min="55" max="55" width="1.265625" hidden="1" customWidth="1"/>
    <col min="56" max="56" width="11.73046875" hidden="1" customWidth="1"/>
    <col min="57" max="57" width="1.265625" hidden="1" customWidth="1"/>
    <col min="58" max="58" width="11.73046875" hidden="1" customWidth="1"/>
    <col min="59" max="59" width="1.265625" hidden="1" customWidth="1"/>
    <col min="60" max="60" width="11.73046875" hidden="1" customWidth="1"/>
    <col min="61" max="61" width="1.265625" hidden="1" customWidth="1"/>
    <col min="62" max="62" width="11.73046875" hidden="1" customWidth="1"/>
    <col min="63" max="63" width="1.265625" hidden="1" customWidth="1"/>
    <col min="64" max="64" width="11.73046875" hidden="1" customWidth="1"/>
    <col min="65" max="65" width="1.265625" hidden="1" customWidth="1"/>
    <col min="66" max="66" width="11.73046875" hidden="1" customWidth="1"/>
    <col min="67" max="67" width="1.265625" hidden="1" customWidth="1"/>
    <col min="68" max="68" width="11.73046875" hidden="1" customWidth="1"/>
    <col min="69" max="69" width="1.265625" hidden="1" customWidth="1"/>
    <col min="70" max="70" width="11.73046875" hidden="1" customWidth="1"/>
    <col min="71" max="71" width="1.265625" hidden="1" customWidth="1"/>
    <col min="72" max="72" width="11.73046875" hidden="1" customWidth="1"/>
    <col min="73" max="73" width="1.265625" hidden="1" customWidth="1"/>
    <col min="74" max="74" width="11.73046875" hidden="1" customWidth="1"/>
    <col min="75" max="75" width="1.265625" hidden="1" customWidth="1"/>
    <col min="76" max="76" width="11.73046875" hidden="1" customWidth="1"/>
    <col min="77" max="77" width="1.265625" hidden="1" customWidth="1"/>
    <col min="78" max="78" width="11.73046875" hidden="1" customWidth="1"/>
    <col min="79" max="79" width="1.265625" hidden="1" customWidth="1"/>
    <col min="80" max="80" width="11.73046875" hidden="1" customWidth="1"/>
    <col min="81" max="81" width="1.265625" hidden="1" customWidth="1"/>
    <col min="82" max="82" width="11.73046875" hidden="1" customWidth="1"/>
    <col min="83" max="83" width="1.265625" hidden="1" customWidth="1"/>
    <col min="84" max="84" width="11.73046875" hidden="1" customWidth="1"/>
    <col min="85" max="85" width="1.265625" hidden="1" customWidth="1"/>
    <col min="86" max="86" width="11.73046875" hidden="1" customWidth="1"/>
    <col min="87" max="87" width="1.265625" hidden="1" customWidth="1"/>
    <col min="88" max="88" width="11.73046875" hidden="1" customWidth="1"/>
    <col min="89" max="89" width="1.265625" hidden="1" customWidth="1"/>
    <col min="90" max="90" width="11.73046875" hidden="1" customWidth="1"/>
    <col min="91" max="91" width="1.265625" hidden="1" customWidth="1"/>
    <col min="92" max="92" width="11.73046875" hidden="1" customWidth="1"/>
    <col min="93" max="93" width="1.265625" hidden="1" customWidth="1"/>
    <col min="94" max="94" width="11.73046875" hidden="1" customWidth="1"/>
    <col min="95" max="95" width="1.265625" hidden="1" customWidth="1"/>
    <col min="96" max="96" width="11.73046875" hidden="1" customWidth="1"/>
    <col min="97" max="97" width="1.265625" hidden="1" customWidth="1"/>
    <col min="98" max="98" width="11.73046875" hidden="1" customWidth="1"/>
    <col min="99" max="99" width="1.265625" hidden="1" customWidth="1"/>
    <col min="100" max="100" width="11.73046875" hidden="1" customWidth="1"/>
    <col min="101" max="101" width="1.265625" hidden="1" customWidth="1"/>
    <col min="102" max="102" width="11.73046875" hidden="1" customWidth="1"/>
    <col min="103" max="103" width="1.265625" hidden="1" customWidth="1"/>
    <col min="104" max="104" width="11.73046875" hidden="1" customWidth="1"/>
    <col min="105" max="105" width="1.265625" hidden="1" customWidth="1"/>
    <col min="106" max="106" width="11.73046875" hidden="1" customWidth="1"/>
    <col min="107" max="107" width="1.265625" hidden="1" customWidth="1"/>
    <col min="108" max="108" width="11.73046875" hidden="1" customWidth="1"/>
    <col min="109" max="109" width="1.265625" hidden="1" customWidth="1"/>
    <col min="110" max="110" width="11.73046875" hidden="1" customWidth="1"/>
    <col min="111" max="111" width="1.265625" hidden="1" customWidth="1"/>
    <col min="112" max="112" width="11.73046875" hidden="1" customWidth="1"/>
    <col min="113" max="113" width="1.265625" hidden="1" customWidth="1"/>
    <col min="114" max="114" width="11.73046875" hidden="1" customWidth="1"/>
    <col min="115" max="115" width="1.265625" hidden="1" customWidth="1"/>
    <col min="116" max="116" width="11.73046875" hidden="1" customWidth="1"/>
    <col min="117" max="117" width="1.265625" hidden="1" customWidth="1"/>
    <col min="118" max="118" width="11.73046875" hidden="1" customWidth="1"/>
    <col min="119" max="119" width="1.265625" hidden="1" customWidth="1"/>
    <col min="120" max="120" width="11.73046875" hidden="1" customWidth="1"/>
    <col min="121" max="121" width="1.265625" hidden="1" customWidth="1"/>
    <col min="122" max="122" width="11.73046875" hidden="1" customWidth="1"/>
    <col min="123" max="123" width="1.265625" hidden="1" customWidth="1"/>
    <col min="124" max="124" width="11.73046875" hidden="1" customWidth="1"/>
    <col min="125" max="125" width="1.265625" hidden="1" customWidth="1"/>
    <col min="126" max="126" width="11.73046875" hidden="1" customWidth="1"/>
    <col min="127" max="127" width="1.265625" hidden="1" customWidth="1"/>
    <col min="128" max="128" width="11.73046875" hidden="1" customWidth="1"/>
    <col min="129" max="129" width="1.265625" hidden="1" customWidth="1"/>
    <col min="130" max="130" width="11.73046875" hidden="1" customWidth="1"/>
    <col min="131" max="131" width="1.265625" hidden="1" customWidth="1"/>
    <col min="132" max="132" width="11.73046875" hidden="1" customWidth="1"/>
    <col min="133" max="133" width="1.265625" hidden="1" customWidth="1"/>
    <col min="134" max="134" width="11.73046875" hidden="1" customWidth="1"/>
    <col min="135" max="135" width="1.265625" hidden="1" customWidth="1"/>
    <col min="136" max="136" width="11.73046875" hidden="1" customWidth="1"/>
    <col min="137" max="137" width="1.265625" hidden="1" customWidth="1"/>
    <col min="138" max="138" width="11.73046875" hidden="1" customWidth="1"/>
    <col min="139" max="139" width="1.265625" hidden="1" customWidth="1"/>
    <col min="140" max="140" width="11.73046875" hidden="1" customWidth="1"/>
    <col min="141" max="141" width="1.265625" hidden="1" customWidth="1"/>
    <col min="142" max="142" width="11.73046875" hidden="1" customWidth="1"/>
    <col min="143" max="143" width="1.265625" hidden="1" customWidth="1"/>
    <col min="144" max="144" width="11.73046875" hidden="1" customWidth="1"/>
    <col min="145" max="145" width="1.265625" hidden="1" customWidth="1"/>
    <col min="146" max="146" width="11.73046875" hidden="1" customWidth="1"/>
    <col min="147" max="147" width="1.265625" hidden="1" customWidth="1"/>
    <col min="148" max="148" width="11.73046875" hidden="1" customWidth="1"/>
    <col min="149" max="149" width="1.265625" hidden="1" customWidth="1"/>
    <col min="150" max="150" width="11.73046875" hidden="1" customWidth="1"/>
    <col min="151" max="151" width="1.265625" hidden="1" customWidth="1"/>
    <col min="152" max="152" width="11.73046875" hidden="1" customWidth="1"/>
    <col min="153" max="153" width="1.265625" hidden="1" customWidth="1"/>
    <col min="154" max="154" width="11.73046875" hidden="1" customWidth="1"/>
    <col min="155" max="155" width="1.265625" hidden="1" customWidth="1"/>
    <col min="156" max="156" width="11.73046875" hidden="1" customWidth="1"/>
    <col min="157" max="157" width="1.265625" hidden="1" customWidth="1"/>
    <col min="158" max="158" width="11.73046875" hidden="1" customWidth="1"/>
    <col min="159" max="159" width="1.265625" hidden="1" customWidth="1"/>
    <col min="160" max="160" width="11.73046875" style="175" hidden="1" customWidth="1"/>
    <col min="161" max="161" width="1.265625" style="175" hidden="1" customWidth="1"/>
    <col min="162" max="162" width="11.73046875" style="175" hidden="1" customWidth="1"/>
    <col min="163" max="163" width="1.265625" style="175" hidden="1" customWidth="1"/>
    <col min="164" max="164" width="12.3984375" style="175" hidden="1" customWidth="1"/>
    <col min="165" max="165" width="1.265625" style="175" hidden="1" customWidth="1"/>
    <col min="166" max="166" width="12.265625" style="175" hidden="1" customWidth="1"/>
    <col min="167" max="167" width="1.265625" style="175" hidden="1" customWidth="1"/>
    <col min="168" max="168" width="12.1328125" style="175" hidden="1" customWidth="1"/>
    <col min="169" max="169" width="1.265625" style="175" hidden="1" customWidth="1"/>
    <col min="170" max="170" width="11.73046875" style="175" hidden="1" customWidth="1"/>
    <col min="171" max="171" width="1.265625" style="175" hidden="1" customWidth="1"/>
    <col min="172" max="172" width="11.73046875" style="175" hidden="1" customWidth="1"/>
    <col min="173" max="173" width="1.265625" style="175" hidden="1" customWidth="1"/>
    <col min="174" max="174" width="11.73046875" style="175" hidden="1" customWidth="1"/>
    <col min="175" max="175" width="1.265625" style="175" hidden="1" customWidth="1"/>
    <col min="176" max="176" width="11.73046875" style="175" hidden="1" customWidth="1"/>
    <col min="177" max="177" width="1.265625" style="175" hidden="1" customWidth="1"/>
    <col min="178" max="178" width="11.73046875" style="175" hidden="1" customWidth="1"/>
    <col min="179" max="179" width="1.265625" style="175" hidden="1" customWidth="1"/>
    <col min="180" max="180" width="11.73046875" style="175" hidden="1" customWidth="1"/>
    <col min="181" max="181" width="1.265625" style="175" hidden="1" customWidth="1"/>
    <col min="182" max="182" width="11.73046875" style="175" hidden="1" customWidth="1"/>
    <col min="183" max="183" width="1.265625" style="175" hidden="1" customWidth="1"/>
    <col min="184" max="184" width="11.73046875" style="175" hidden="1" customWidth="1"/>
    <col min="185" max="185" width="1.265625" style="175" hidden="1" customWidth="1"/>
    <col min="186" max="186" width="11.73046875" style="175" hidden="1" customWidth="1"/>
    <col min="187" max="187" width="1.265625" style="175" hidden="1" customWidth="1"/>
    <col min="188" max="188" width="11.73046875" style="175" hidden="1" customWidth="1"/>
    <col min="189" max="189" width="1.265625" style="175" hidden="1" customWidth="1"/>
    <col min="190" max="190" width="11.73046875" style="175" hidden="1" customWidth="1"/>
    <col min="191" max="191" width="1.265625" style="175" hidden="1" customWidth="1"/>
    <col min="192" max="192" width="11.73046875" style="175" hidden="1" customWidth="1"/>
    <col min="193" max="193" width="1.265625" style="175" hidden="1" customWidth="1"/>
    <col min="194" max="194" width="11.73046875" style="175" hidden="1" customWidth="1"/>
    <col min="195" max="195" width="1.265625" style="175" hidden="1" customWidth="1"/>
    <col min="196" max="196" width="11.73046875" style="175" hidden="1" customWidth="1"/>
    <col min="197" max="197" width="1.265625" style="175" hidden="1" customWidth="1"/>
    <col min="198" max="198" width="11.73046875" style="175" hidden="1" customWidth="1"/>
    <col min="199" max="199" width="1.265625" style="175" hidden="1" customWidth="1"/>
    <col min="200" max="200" width="11.73046875" style="175" hidden="1" customWidth="1"/>
    <col min="201" max="201" width="1.265625" style="175" hidden="1" customWidth="1"/>
    <col min="202" max="202" width="11.73046875" style="175" hidden="1" customWidth="1"/>
    <col min="203" max="203" width="1.265625" style="175" hidden="1" customWidth="1"/>
    <col min="204" max="204" width="11.73046875" style="175" hidden="1" customWidth="1"/>
    <col min="205" max="205" width="1.265625" style="175" hidden="1" customWidth="1"/>
    <col min="206" max="206" width="11.73046875" style="175" hidden="1" customWidth="1"/>
    <col min="207" max="207" width="1.265625" style="175" hidden="1" customWidth="1"/>
    <col min="208" max="208" width="11.73046875" style="175" hidden="1" customWidth="1"/>
    <col min="209" max="209" width="1.265625" style="175" hidden="1" customWidth="1"/>
    <col min="210" max="210" width="11.73046875" style="175" hidden="1" customWidth="1"/>
    <col min="211" max="211" width="1.265625" style="175" hidden="1" customWidth="1"/>
    <col min="212" max="212" width="11.73046875" style="175" hidden="1" customWidth="1"/>
    <col min="213" max="213" width="1.265625" style="175" hidden="1" customWidth="1"/>
    <col min="214" max="214" width="11.73046875" style="175" hidden="1" customWidth="1"/>
    <col min="215" max="215" width="1.265625" style="175" hidden="1" customWidth="1"/>
    <col min="216" max="216" width="11.73046875" style="175" hidden="1" customWidth="1"/>
    <col min="217" max="217" width="1.265625" style="175" hidden="1" customWidth="1"/>
    <col min="218" max="218" width="11.73046875" style="175" hidden="1" customWidth="1"/>
    <col min="219" max="219" width="1.265625" style="175" hidden="1" customWidth="1"/>
    <col min="220" max="220" width="11.73046875" style="175" hidden="1" customWidth="1"/>
    <col min="221" max="221" width="1.265625" style="175" hidden="1" customWidth="1"/>
    <col min="222" max="222" width="11.73046875" style="175" hidden="1" customWidth="1"/>
    <col min="223" max="223" width="1.265625" style="175" hidden="1" customWidth="1"/>
    <col min="224" max="224" width="11.73046875" style="175" hidden="1" customWidth="1"/>
    <col min="225" max="225" width="1.265625" style="175" hidden="1" customWidth="1"/>
    <col min="226" max="226" width="11.73046875" style="175" hidden="1" customWidth="1"/>
    <col min="227" max="227" width="1.265625" style="175" hidden="1" customWidth="1"/>
    <col min="228" max="228" width="11.73046875" style="175" hidden="1" customWidth="1"/>
    <col min="229" max="229" width="1.265625" style="175" hidden="1" customWidth="1"/>
    <col min="230" max="230" width="11.73046875" style="175" hidden="1" customWidth="1"/>
    <col min="231" max="231" width="1.265625" style="175" hidden="1" customWidth="1"/>
    <col min="232" max="232" width="11.73046875" style="175" hidden="1" customWidth="1"/>
    <col min="233" max="233" width="1.265625" style="175" hidden="1" customWidth="1"/>
    <col min="234" max="234" width="11.73046875" style="175" hidden="1" customWidth="1"/>
    <col min="235" max="235" width="1.265625" style="175" customWidth="1"/>
    <col min="236" max="236" width="11.73046875" style="175" customWidth="1"/>
    <col min="237" max="237" width="1.265625" style="175" customWidth="1"/>
    <col min="238" max="238" width="11.73046875" style="175" customWidth="1"/>
    <col min="239" max="239" width="1.265625" style="175" customWidth="1"/>
    <col min="240" max="240" width="11.73046875" style="175" customWidth="1"/>
    <col min="241" max="241" width="1.265625" style="175" customWidth="1"/>
    <col min="242" max="242" width="11.73046875" style="175" customWidth="1"/>
    <col min="243" max="243" width="1.265625" style="175" customWidth="1"/>
    <col min="244" max="244" width="11.73046875" style="175" customWidth="1"/>
    <col min="245" max="245" width="1.265625" style="175" customWidth="1"/>
    <col min="246" max="246" width="11.73046875" style="175" customWidth="1"/>
    <col min="247" max="247" width="1.265625" style="175" customWidth="1"/>
    <col min="248" max="248" width="11.73046875" style="175" customWidth="1"/>
    <col min="249" max="249" width="1.265625" style="175" customWidth="1"/>
    <col min="250" max="250" width="11.73046875" style="175" customWidth="1"/>
    <col min="251" max="251" width="1.265625" style="175" customWidth="1"/>
    <col min="252" max="252" width="11.73046875" style="175" customWidth="1"/>
    <col min="253" max="253" width="1.265625" style="175" customWidth="1"/>
    <col min="254" max="254" width="11.73046875" style="175" customWidth="1"/>
    <col min="255" max="255" width="1.265625" style="175" customWidth="1"/>
    <col min="256" max="256" width="11.73046875" style="175" customWidth="1"/>
    <col min="257" max="257" width="1.265625" style="175" customWidth="1"/>
    <col min="258" max="258" width="11.73046875" style="175" customWidth="1"/>
    <col min="259" max="259" width="1.265625" style="175" customWidth="1"/>
    <col min="260" max="260" width="11.73046875" style="175" customWidth="1"/>
    <col min="261" max="261" width="1.265625" style="175" customWidth="1"/>
    <col min="262" max="262" width="11.73046875" style="175" customWidth="1"/>
    <col min="263" max="263" width="1.265625" style="175" customWidth="1"/>
    <col min="264" max="264" width="11.73046875" style="175" customWidth="1"/>
    <col min="265" max="265" width="1.265625" style="175" customWidth="1"/>
    <col min="266" max="266" width="11.73046875" style="175" customWidth="1"/>
    <col min="267" max="267" width="1.265625" style="175" customWidth="1"/>
    <col min="268" max="268" width="11.73046875" style="175" customWidth="1"/>
    <col min="269" max="269" width="1.265625" style="175" customWidth="1"/>
    <col min="270" max="270" width="11.73046875" style="175" customWidth="1"/>
    <col min="271" max="271" width="1.265625" style="175" customWidth="1"/>
    <col min="272" max="272" width="12.265625" style="175" bestFit="1" customWidth="1"/>
    <col min="273" max="273" width="1.265625" style="175" customWidth="1"/>
    <col min="274" max="274" width="11.73046875" style="175" customWidth="1"/>
    <col min="275" max="275" width="1.265625" style="175" customWidth="1"/>
    <col min="276" max="276" width="11.73046875" style="175" customWidth="1"/>
    <col min="277" max="277" width="1.265625" style="175" customWidth="1"/>
    <col min="278" max="278" width="12.265625" style="175" bestFit="1" customWidth="1"/>
    <col min="279" max="279" width="1.265625" style="175" customWidth="1"/>
    <col min="280" max="280" width="12.265625" style="175" bestFit="1" customWidth="1"/>
    <col min="281" max="281" width="1.265625" style="175" customWidth="1"/>
    <col min="282" max="282" width="11.73046875" style="175" customWidth="1"/>
    <col min="283" max="283" width="1.265625" style="175" customWidth="1"/>
    <col min="284" max="284" width="11.73046875" style="175" customWidth="1"/>
    <col min="285" max="285" width="1.265625" style="175" customWidth="1"/>
    <col min="286" max="286" width="11.73046875" style="175" customWidth="1"/>
    <col min="287" max="287" width="1.265625" style="175" customWidth="1"/>
    <col min="288" max="288" width="11.73046875" style="175" customWidth="1"/>
    <col min="289" max="289" width="1.265625" style="175" customWidth="1"/>
    <col min="290" max="290" width="11.73046875" style="175" customWidth="1"/>
    <col min="291" max="291" width="1.265625" style="175" customWidth="1"/>
    <col min="292" max="292" width="11.73046875" style="175" customWidth="1"/>
    <col min="293" max="293" width="1.265625" style="175" customWidth="1"/>
    <col min="294" max="294" width="11.73046875" style="175" customWidth="1"/>
    <col min="295" max="295" width="1.265625" style="175" customWidth="1"/>
    <col min="296" max="296" width="11.73046875" style="175" customWidth="1"/>
    <col min="297" max="297" width="1.265625" style="175" customWidth="1"/>
    <col min="298" max="298" width="11.73046875" style="175" customWidth="1"/>
    <col min="299" max="299" width="1.265625" style="175" customWidth="1"/>
    <col min="300" max="300" width="11.73046875" style="175" customWidth="1"/>
    <col min="301" max="301" width="1.265625" style="175" customWidth="1"/>
    <col min="302" max="302" width="11.73046875" style="175" customWidth="1"/>
    <col min="303" max="303" width="1.265625" style="175" customWidth="1"/>
    <col min="304" max="304" width="11.73046875" style="175" customWidth="1"/>
    <col min="305" max="305" width="1.265625" style="175" customWidth="1"/>
    <col min="306" max="306" width="11.73046875" style="175" customWidth="1"/>
    <col min="307" max="307" width="1.265625" style="175" customWidth="1"/>
    <col min="308" max="308" width="11.73046875" style="175" customWidth="1"/>
    <col min="309" max="309" width="1.265625" style="175" customWidth="1"/>
    <col min="310" max="310" width="11.73046875" style="175" customWidth="1"/>
    <col min="311" max="311" width="1.265625" style="175" customWidth="1"/>
    <col min="312" max="312" width="11.73046875" style="175" customWidth="1"/>
    <col min="313" max="313" width="1.265625" style="175" customWidth="1"/>
    <col min="314" max="314" width="11.73046875" style="175" customWidth="1"/>
    <col min="315" max="315" width="1.265625" style="175" customWidth="1"/>
    <col min="316" max="316" width="11.73046875" style="175" customWidth="1"/>
    <col min="317" max="317" width="1.265625" style="175" customWidth="1"/>
    <col min="318" max="318" width="11.73046875" style="175" customWidth="1"/>
    <col min="319" max="319" width="1.265625" style="175" customWidth="1"/>
    <col min="320" max="320" width="11.73046875" style="175" customWidth="1"/>
    <col min="321" max="321" width="1.265625" style="175" customWidth="1"/>
    <col min="322" max="322" width="11.73046875" style="175" customWidth="1"/>
    <col min="323" max="323" width="1.265625" style="175" customWidth="1"/>
    <col min="324" max="324" width="11.73046875" style="175" customWidth="1"/>
    <col min="325" max="325" width="1.265625" style="175" customWidth="1"/>
    <col min="326" max="326" width="11.73046875" style="175" customWidth="1"/>
    <col min="327" max="327" width="1.265625" style="175" customWidth="1"/>
    <col min="328" max="328" width="11.73046875" style="175" customWidth="1"/>
    <col min="329" max="329" width="1.265625" style="175" customWidth="1"/>
    <col min="330" max="330" width="11.73046875" style="175" customWidth="1"/>
    <col min="331" max="331" width="1.265625" style="175" customWidth="1"/>
    <col min="332" max="332" width="11.73046875" style="175" customWidth="1"/>
    <col min="333" max="333" width="1.265625" style="175" customWidth="1"/>
    <col min="334" max="334" width="11.73046875" style="175" customWidth="1"/>
    <col min="335" max="335" width="1.265625" style="175" customWidth="1"/>
    <col min="336" max="336" width="11.73046875" style="175" customWidth="1"/>
    <col min="337" max="337" width="1.265625" style="175" customWidth="1"/>
    <col min="338" max="338" width="11.73046875" style="175" customWidth="1"/>
    <col min="339" max="339" width="1.265625" style="175" customWidth="1"/>
    <col min="340" max="340" width="11.73046875" style="175" customWidth="1"/>
    <col min="341" max="341" width="1.265625" style="175" customWidth="1"/>
    <col min="342" max="342" width="11.73046875" style="175" customWidth="1"/>
    <col min="343" max="343" width="1.265625" style="175" customWidth="1"/>
    <col min="344" max="344" width="11.73046875" style="175" customWidth="1"/>
    <col min="345" max="345" width="1.265625" style="175" customWidth="1"/>
    <col min="346" max="346" width="11.73046875" style="175" customWidth="1"/>
    <col min="347" max="347" width="1.265625" style="175" customWidth="1"/>
    <col min="348" max="348" width="11.73046875" style="175" customWidth="1"/>
    <col min="349" max="349" width="1.265625" style="175" customWidth="1"/>
    <col min="350" max="350" width="11.73046875" style="175" customWidth="1"/>
    <col min="351" max="351" width="1.265625" style="175" customWidth="1"/>
    <col min="352" max="352" width="11.73046875" style="175" customWidth="1"/>
    <col min="353" max="353" width="1.265625" style="175" customWidth="1"/>
    <col min="354" max="354" width="11.73046875" style="175" customWidth="1"/>
    <col min="355" max="355" width="1.265625" style="175" customWidth="1"/>
    <col min="356" max="356" width="11.73046875" style="175" customWidth="1"/>
    <col min="357" max="357" width="1.265625" style="175" customWidth="1"/>
    <col min="358" max="358" width="11.73046875" style="175" customWidth="1"/>
    <col min="359" max="359" width="1.265625" style="175" customWidth="1"/>
    <col min="360" max="360" width="11.73046875" style="175" customWidth="1"/>
    <col min="361" max="361" width="1.265625" style="175" customWidth="1"/>
  </cols>
  <sheetData>
    <row r="1" spans="1:361" x14ac:dyDescent="0.35">
      <c r="F1" s="24">
        <f>F85+F81+F77+F73+F69+F65+F61+F57+F53+F49+F45+F41+F37+F33+F29+F25+F21</f>
        <v>4469.5200000000004</v>
      </c>
      <c r="H1" s="24">
        <f>H85+H81+H77+H73+H69+H65+H61+H57+H53+H49+H45+H41+H37+H33+H29+H25+H21</f>
        <v>4139.5092000000004</v>
      </c>
      <c r="J1" s="24">
        <f>J85+J81+J77+J73+J69+J65+J61+J57+J53+J49+J45+J41+J37+J33+J29+J25+J21</f>
        <v>3814.1204000000002</v>
      </c>
      <c r="L1" s="24">
        <f>L85+L81+L77+L73+L69+L65+L61+L57+L53+L49+L45+L41+L37+L33+L29+L25+L21</f>
        <v>3666.9097000000002</v>
      </c>
      <c r="N1" s="24">
        <f>N85+N81+N77+N73+N69+N65+N61+N57+N53+N49+N45+N41+N37+N33+N29+N25+N21</f>
        <v>30480.5651</v>
      </c>
      <c r="P1" s="24">
        <f>P85+P81+P77+P73+P69+P65+P61+P57+P53+P49+P45+P41+P37+P33+P29+P25+P21</f>
        <v>29407.298899999998</v>
      </c>
      <c r="R1" s="24">
        <f>R85+R81+R77+R73+R69+R65+R61+R57+R53+R49+R45+R41+R37+R33+R29+R25+R21</f>
        <v>28070.037499999999</v>
      </c>
      <c r="T1" s="24">
        <f>T85+T81+T77+T73+T69+T65+T61+T57+T53+T49+T45+T41+T37+T33+T29+T25+T21</f>
        <v>70997.886899999998</v>
      </c>
      <c r="V1" s="24">
        <f>V85+V81+V77+V73+V69+V65+V61+V57+V53+V49+V45+V41+V37+V33+V29+V25+V21</f>
        <v>58803.966899999992</v>
      </c>
      <c r="X1" s="24">
        <f>X85+X81+X77+X73+X69+X65+X61+X57+X53+X49+X45+X41+X37+X33+X29+X25+X21</f>
        <v>47500.281899999994</v>
      </c>
      <c r="Z1" s="24">
        <f>Z85+Z81+Z77+Z73+Z69+Z65+Z61+Z57+Z53+Z49+Z45+Z41+Z37+Z33+Z29+Z25+Z21</f>
        <v>20523.496899999991</v>
      </c>
      <c r="AB1" s="24">
        <f>AB85+AB81+AB77+AB73+AB69+AB65+AB61+AB57+AB53+AB49+AB45+AB41+AB37+AB33+AB29+AB25+AB21</f>
        <v>7329.8478999999916</v>
      </c>
      <c r="AD1" s="24">
        <f>AD85+AD81+AD77+AD73+AD69+AD65+AD61+AD57+AD53+AD49+AD45+AD41+AD37+AD33+AD29+AD25+AD21</f>
        <v>-2868.8873000000076</v>
      </c>
      <c r="AF1" s="24">
        <f>AF85+AF81+AF77+AF73+AF69+AF65+AF61+AF57+AF53+AF49+AF45+AF41+AF37+AF33+AF29+AF25+AF21</f>
        <v>-20016.462300000007</v>
      </c>
      <c r="AH1" s="24">
        <f>AH85+AH81+AH77+AH73+AH69+AH65+AH61+AH57+AH53+AH49+AH45+AH41+AH37+AH33+AH29+AH25+AH21</f>
        <v>-22196.637500000008</v>
      </c>
      <c r="AJ1" s="24">
        <f>AJ85+AJ81+AJ77+AJ73+AJ69+AJ65+AJ61+AJ57+AJ53+AJ49+AJ45+AJ41+AJ37+AJ33+AJ29+AJ25+AJ21</f>
        <v>-23753.905500000008</v>
      </c>
      <c r="AL1" s="24">
        <f>AL85+AL81+AL77+AL73+AL69+AL65+AL61+AL57+AL53+AL49+AL45+AL41+AL37+AL33+AL29+AL25+AL21</f>
        <v>-41327.718100000006</v>
      </c>
      <c r="AN1" s="24">
        <f>AN85+AN81+AN77+AN73+AN69+AN65+AN61+AN57+AN53+AN49+AN45+AN41+AN37+AN33+AN29+AN25+AN21</f>
        <v>-41517.847900000008</v>
      </c>
      <c r="AP1" s="24">
        <f>AP85+AP81+AP77+AP73+AP69+AP65+AP61+AP57+AP53+AP49+AP45+AP41+AP37+AP33+AP29+AP25+AP21</f>
        <v>-41730.713700000008</v>
      </c>
      <c r="AR1" s="24">
        <f>AR85+AR81+AR77+AR73+AR69+AR65+AR61+AR57+AR53+AR49+AR45+AR41+AR37+AR33+AR29+AR25+AR21</f>
        <v>-42110.404900000009</v>
      </c>
      <c r="AT1" s="24">
        <f>AT85+AT81+AT77+AT73+AT69+AT65+AT61+AT57+AT53+AT49+AT45+AT41+AT37+AT33+AT29+AT25+AT21</f>
        <v>-42600.934100000013</v>
      </c>
      <c r="AV1" s="24">
        <f>AV85+AV81+AV77+AV73+AV69+AV65+AV61+AV57+AV53+AV49+AV45+AV41+AV37+AV33+AV29+AV25+AV21</f>
        <v>-44182.222900000015</v>
      </c>
      <c r="AX1" s="24">
        <f>AX85+AX81+AX77+AX73+AX69+AX65+AX61+AX57+AX53+AX49+AX45+AX41+AX37+AX33+AX29+AX25+AX21</f>
        <v>459.95309999999358</v>
      </c>
      <c r="AZ1" s="24">
        <f>AZ85+AZ81+AZ77+AZ73+AZ69+AZ65+AZ61+AZ57+AZ53+AZ49+AZ45+AZ41+AZ37+AZ33+AZ29+AZ25+AZ21</f>
        <v>327.32819999999657</v>
      </c>
      <c r="BB1" s="24">
        <f>BB85+BB81+BB77+BB73+BB69+BB65+BB61+BB57+BB53+BB49+BB45+BB41+BB37+BB33+BB29+BB25+BB21</f>
        <v>242.12700000000024</v>
      </c>
      <c r="BD1" s="24">
        <f>BD85+BD81+BD77+BD73+BD69+BD65+BD61+BD57+BD53+BD49+BD45+BD41+BD37+BD33+BD29+BD25+BD21</f>
        <v>57048.568700000011</v>
      </c>
      <c r="BF1" s="24">
        <f>BF85+BF81+BF77+BF73+BF69+BF65+BF61+BF57+BF53+BF49+BF45+BF41+BF37+BF33+BF29+BF25+BF21</f>
        <v>54764.055499999995</v>
      </c>
      <c r="BH1" s="24">
        <f>BH85+BH81+BH77+BH73+BH69+BH65+BH61+BH57+BH53+BH49+BH45+BH41+BH37+BH33+BH29+BH25+BH21</f>
        <v>52289.737899999993</v>
      </c>
      <c r="BJ1" s="24">
        <f>BJ85+BJ81+BJ77+BJ73+BJ69+BJ65+BJ61+BJ57+BJ53+BJ49+BJ45+BJ41+BJ37+BJ33+BJ29+BJ25+BJ21</f>
        <v>2642.5850999999989</v>
      </c>
      <c r="BL1" s="24">
        <f>BL85+BL81+BL77+BL73+BL69+BL65+BL61+BL57+BL53+BL49+BL45+BL41+BL37+BL33+BL29+BL25+BL21</f>
        <v>1833.5922999999948</v>
      </c>
      <c r="BN1" s="24">
        <f>BN85+BN81+BN77+BN73+BN69+BN65+BN61+BN57+BN53+BN49+BN45+BN41+BN37+BN33+BN29+BN25+BN21</f>
        <v>455.54089999999064</v>
      </c>
      <c r="BP1" s="24">
        <f>BP85+BP81+BP77+BP73+BP69+BP65+BP61+BP57+BP53+BP49+BP45+BP41+BP37+BP33+BP29+BP25+BP21</f>
        <v>7138.9600999999893</v>
      </c>
      <c r="BR1" s="24">
        <f>BR85+BR81+BR77+BR73+BR69+BR65+BR61+BR57+BR53+BR49+BR45+BR41+BR37+BR33+BR29+BR25+BR21</f>
        <v>3313.6746999999928</v>
      </c>
      <c r="BT1" s="24">
        <f>BT85+BT81+BT77+BT73+BT69+BT65+BT61+BT57+BT53+BT49+BT45+BT41+BT37+BT33+BT29+BT25+BT21</f>
        <v>-7582.8629000000074</v>
      </c>
      <c r="BV1" s="24">
        <f>BV85+BV81+BV77+BV73+BV69+BV65+BV61+BV57+BV53+BV49+BV45+BV41+BV37+BV33+BV29+BV25+BV21</f>
        <v>-18980.750900000006</v>
      </c>
      <c r="BX1" s="24">
        <f>BX85+BX81+BX77+BX73+BX69+BX65+BX61+BX57+BX53+BX49+BX45+BX41+BX37+BX33+BX29+BX25+BX21</f>
        <v>-33916.792700000013</v>
      </c>
      <c r="BZ1" s="24">
        <f>BZ85+BZ81+BZ77+BZ73+BZ69+BZ65+BZ61+BZ57+BZ53+BZ49+BZ45+BZ41+BZ37+BZ33+BZ29+BZ25+BZ21</f>
        <v>-35242.338790000016</v>
      </c>
      <c r="CB1" s="24">
        <f>CB85+CB81+CB77+CB73+CB69+CB65+CB61+CB57+CB53+CB49+CB45+CB41+CB37+CB33+CB29+CB25+CB21</f>
        <v>-36055.632700000016</v>
      </c>
      <c r="CD1" s="24">
        <f>CD85+CD81+CD77+CD73+CD69+CD65+CD61+CD57+CD53+CD49+CD45+CD41+CD37+CD33+CD29+CD25+CD21</f>
        <v>-41302.864070000011</v>
      </c>
      <c r="CF1" s="24">
        <f>CF85+CF81+CF77+CF73+CF69+CF65+CF61+CF57+CF53+CF49+CF45+CF41+CF37+CF33+CF29+CF25+CF21</f>
        <v>-41851.573750000018</v>
      </c>
      <c r="CH1" s="24">
        <f>CH85+CH81+CH77+CH73+CH69+CH65+CH61+CH57+CH53+CH49+CH45+CH41+CH37+CH33+CH29+CH25+CH21</f>
        <v>-40100.541615281545</v>
      </c>
      <c r="CJ1" s="24">
        <f>CJ85+CJ81+CJ77+CJ73+CJ69+CJ65+CJ61+CJ57+CJ53+CJ49+CJ45+CJ41+CJ37+CJ33+CJ29+CJ25+CJ21</f>
        <v>-45390.469035281552</v>
      </c>
      <c r="CL1" s="24">
        <f>CL85+CL81+CL77+CL73+CL69+CL65+CL61+CL57+CL53+CL49+CL45+CL41+CL37+CL33+CL29+CL25+CL21</f>
        <v>-44728.780035281554</v>
      </c>
      <c r="CN1" s="24">
        <f>CN85+CN81+CN77+CN73+CN69+CN65+CN61+CN57+CN53+CN49+CN45+CN41+CN37+CN33+CN29+CN25+CN21</f>
        <v>-37698.528855281547</v>
      </c>
      <c r="CP1" s="24">
        <f>CP85+CP81+CP77+CP73+CP69+CP65+CP61+CP57+CP53+CP49+CP45+CP41+CP37+CP33+CP29+CP25+CP21</f>
        <v>-35572.791675281544</v>
      </c>
      <c r="CR1" s="24">
        <f>CR85+CR81+CR77+CR73+CR69+CR65+CR61+CR57+CR53+CR49+CR45+CR41+CR37+CR33+CR29+CR25+CR21</f>
        <v>-32848.185105281547</v>
      </c>
      <c r="CT1" s="24">
        <f>CT85+CT81+CT77+CT73+CT69+CT65+CT61+CT57+CT53+CT49+CT45+CT41+CT37+CT33+CT29+CT25+CT21</f>
        <v>2181.2840475513003</v>
      </c>
      <c r="CV1" s="24">
        <f>CV85+CV81+CV77+CV73+CV69+CV65+CV61+CV57+CV53+CV49+CV45+CV41+CV37+CV33+CV29+CV25+CV21</f>
        <v>-13671.335239310567</v>
      </c>
      <c r="CX1" s="24">
        <f>CX85+CX81+CX77+CX73+CX69+CX65+CX61+CX57+CX53+CX49+CX45+CX41+CX37+CX33+CX29+CX25+CX21</f>
        <v>-14048.689170186462</v>
      </c>
      <c r="CZ1" s="24">
        <f>CZ85+CZ81+CZ77+CZ73+CZ69+CZ65+CZ61+CZ57+CZ53+CZ49+CZ45+CZ41+CZ37+CZ33+CZ29+CZ25+CZ21</f>
        <v>-32697.128497742629</v>
      </c>
      <c r="DB1" s="24">
        <f>DB85+DB81+DB77+DB73+DB69+DB65+DB61+DB57+DB53+DB49+DB45+DB41+DB37+DB33+DB29+DB25+DB21</f>
        <v>-32093.256615767696</v>
      </c>
      <c r="DD1" s="24">
        <f>DD85+DD81+DD77+DD73+DD69+DD65+DD61+DD57+DD53+DD49+DD45+DD41+DD37+DD33+DD29+DD25+DD21</f>
        <v>-31669.10047584261</v>
      </c>
      <c r="DF1" s="24">
        <f>DF85+DF81+DF77+DF73+DF69+DF65+DF61+DF57+DF53+DF49+DF45+DF41+DF37+DF33+DF29+DF25+DF21+DF89</f>
        <v>-52991.849426823785</v>
      </c>
      <c r="DH1" s="24">
        <f>DH85+DH81+DH77+DH73+DH69+DH65+DH61+DH57+DH53+DH49+DH45+DH41+DH37+DH33+DH29+DH25+DH21+DH89</f>
        <v>-20739.374485515556</v>
      </c>
      <c r="DJ1" s="24">
        <f>DJ85+DJ81+DJ77+DJ73+DJ69+DJ65+DJ61+DJ57+DJ53+DJ49+DJ45+DJ41+DJ37+DJ33+DJ29+DJ25+DJ21+DJ89</f>
        <v>-20150.007100964151</v>
      </c>
      <c r="DL1" s="24">
        <f>DL85+DL81+DL77+DL73+DL69+DL65+DL61+DL57+DL53+DL49+DL45+DL41+DL37+DL33+DL29+DL25+DL21+DL89+DL93</f>
        <v>-29718.587543964903</v>
      </c>
      <c r="DN1" s="24">
        <f>DN85+DN81+DN77+DN73+DN69+DN65+DN61+DN57+DN53+DN49+DN45+DN41+DN37+DN33+DN29+DN25+DN21+DN89+DN93</f>
        <v>-26241.410583926168</v>
      </c>
      <c r="DP1" s="24">
        <f>DP85+DP81+DP77+DP73+DP69+DP65+DP61+DP57+DP53+DP49+DP45+DP41+DP37+DP33+DP29+DP25+DP21+DP89+DP93</f>
        <v>-23266.112486663791</v>
      </c>
      <c r="DR1" s="24">
        <f>DR85+DR81+DR77+DR73+DR69+DR65+DR61+DR57+DR53+DR49+DR45+DR41+DR37+DR33+DR29+DR25+DR21+DR89+DR93+DR97</f>
        <v>-29963.540435692583</v>
      </c>
      <c r="DT1" s="24">
        <f>DT85+DT81+DT77+DT73+DT69+DT65+DT61+DT57+DT53+DT49+DT45+DT41+DT37+DT33+DT29+DT25+DT21+DT89+DT93+DT97</f>
        <v>-16007.118621365211</v>
      </c>
      <c r="DV1" s="24">
        <f>DV85+DV81+DV77+DV73+DV69+DV65+DV61+DV57+DV53+DV49+DV45+DV41+DV37+DV33+DV29+DV25+DV21+DV89+DV93+DV97</f>
        <v>-2080.078899224859</v>
      </c>
      <c r="DX1" s="24">
        <f>DX85+DX81+DX77+DX73+DX69+DX65+DX61+DX57+DX53+DX49+DX45+DX41+DX37+DX33+DX29+DX25+DX21+DX89+DX93+DX97+DX101</f>
        <v>2508.7534471760937</v>
      </c>
      <c r="DZ1" s="24">
        <f>DZ85+DZ81+DZ77+DZ73+DZ69+DZ65+DZ61+DZ57+DZ53+DZ49+DZ45+DZ41+DZ37+DZ33+DZ29+DZ25+DZ21+DZ89+DZ93+DZ97+DZ101</f>
        <v>8067.470004269413</v>
      </c>
      <c r="EB1" s="24">
        <f>EB85+EB81+EB77+EB73+EB69+EB65+EB61+EB57+EB53+EB49+EB45+EB41+EB37+EB33+EB29+EB25+EB21+EB89+EB93+EB97+EB101</f>
        <v>9756.7090138161584</v>
      </c>
      <c r="ED1" s="24">
        <f>ED85+ED81+ED77+ED73+ED69+ED65+ED61+ED57+ED53+ED49+ED45+ED41+ED37+ED33+ED29+ED25+ED21+ED89+ED93+ED97+ED101+ED105</f>
        <v>23780.919290864775</v>
      </c>
      <c r="EF1" s="24">
        <f>EF85+EF81+EF77+EF73+EF69+EF65+EF61+EF57+EF53+EF49+EF45+EF41+EF37+EF33+EF29+EF25+EF21+EF89+EF93+EF97+EF101+EF105</f>
        <v>24198.947736490445</v>
      </c>
      <c r="EH1" s="24">
        <f>EH85+EH81+EH77+EH73+EH69+EH65+EH61+EH57+EH53+EH49+EH45+EH41+EH37+EH33+EH29+EH25+EH21+EH89+EH93+EH97+EH101+EH105</f>
        <v>24618.373336011926</v>
      </c>
      <c r="EJ1" s="24">
        <f>EJ85+EJ81+EJ77+EJ73+EJ69+EJ65+EJ61+EJ57+EJ53+EJ49+EJ45+EJ41+EJ37+EJ33+EJ29+EJ25+EJ21+EJ89+EJ93+EJ97+EJ101+EJ105+EJ109</f>
        <v>34556.493463550207</v>
      </c>
      <c r="EL1" s="24">
        <f>EL85+EL81+EL77+EL73+EL69+EL65+EL61+EL57+EL53+EL49+EL45+EL41+EL37+EL33+EL29+EL25+EL21+EL89+EL93+EL97+EL101+EL105+EL109</f>
        <v>22007.330328047057</v>
      </c>
      <c r="EN1" s="24">
        <f>EN85+EN81+EN77+EN73+EN69+EN65+EN61+EN57+EN53+EN49+EN45+EN41+EN37+EN33+EN29+EN25+EN21+EN89+EN93+EN97+EN101+EN105+EN109</f>
        <v>19648.477289831655</v>
      </c>
      <c r="EP1" s="24">
        <f>EP85+EP81+EP77+EP73+EP69+EP65+EP61+EP57+EP53+EP49+EP45+EP41+EP37+EP33+EP29+EP25+EP21+EP89+EP93+EP97+EP101+EP105+EP109+EP113</f>
        <v>31711.936073695695</v>
      </c>
      <c r="ER1" s="24">
        <f>ER85+ER81+ER77+ER73+ER69+ER65+ER61+ER57+ER53+ER49+ER45+ER41+ER37+ER33+ER29+ER25+ER21+ER89+ER93+ER97+ER101+ER105+ER109+ER113</f>
        <v>23677.389122689292</v>
      </c>
      <c r="ET1" s="24">
        <f>ET85+ET81+ET77+ET73+ET69+ET65+ET61+ET57+ET53+ET49+ET45+ET41+ET37+ET33+ET29+ET25+ET21+ET89+ET93+ET97+ET101+ET105+ET109+ET113</f>
        <v>18102.455234917928</v>
      </c>
      <c r="EV1" s="24">
        <f>EV85+EV81+EV77+EV73+EV69+EV65+EV61+EV57+EV53+EV49+EV45+EV41+EV37+EV33+EV29+EV25+EV21+EV89+EV93+EV97+EV101+EV105+EV109+EV113+EV117</f>
        <v>57607.51076368909</v>
      </c>
      <c r="EX1" s="24">
        <f>EX85+EX81+EX77+EX73+EX69+EX65+EX61+EX57+EX53+EX49+EX45+EX41+EX37+EX33+EX29+EX25+EX21+EX89+EX93+EX97+EX101+EX105+EX109+EX113+EX117</f>
        <v>54835.947836694468</v>
      </c>
      <c r="EZ1" s="24">
        <f>EZ85+EZ81+EZ77+EZ73+EZ69+EZ65+EZ61+EZ57+EZ53+EZ49+EZ45+EZ41+EZ37+EZ33+EZ29+EZ25+EZ21+EZ89+EZ93+EZ97+EZ101+EZ105+EZ109+EZ113+EZ117</f>
        <v>52045.5441447915</v>
      </c>
      <c r="FB1" s="24">
        <f>FB85+FB81+FB77+FB73+FB69+FB65+FB61+FB57+FB53+FB49+FB45+FB41+FB37+FB33+FB29+FB25+FB21+FB89+FB93+FB97+FB101+FB105+FB109+FB113+FB117+FB121</f>
        <v>119311.45547635664</v>
      </c>
      <c r="FD1" s="24">
        <f>FD85+FD81+FD77+FD73+FD69+FD65+FD61+FD57+FD53+FD49+FD45+FD41+FD37+FD33+FD29+FD25+FD21+FD89+FD93+FD97+FD101+FD105+FD109+FD113+FD117+FD121</f>
        <v>116638.25398570328</v>
      </c>
      <c r="FF1" s="24">
        <f>FF85+FF81+FF77+FF73+FF69+FF65+FF61+FF57+FF53+FF49+FF45+FF41+FF37+FF33+FF29+FF25+FF21+FF89+FF93+FF97+FF101+FF105+FF109+FF113+FF117+FF121</f>
        <v>113798.54551092608</v>
      </c>
      <c r="FH1" s="24">
        <f>FH85+FH81+FH77+FH73+FH69+FH65+FH61+FH57+FH53+FH49+FH45+FH41+FH37+FH33+FH29+FH25+FH21+FH89+FH93+FH97+FH101+FH105+FH109+FH113+FH117+FH121+FH125</f>
        <v>134015.66129574468</v>
      </c>
      <c r="FJ1" s="24">
        <f>FJ85+FJ81+FJ77+FJ73+FJ69+FJ65+FJ61+FJ57+FJ53+FJ49+FJ45+FJ41+FJ37+FJ33+FJ29+FJ25+FJ21+FJ89+FJ93+FJ97+FJ101+FJ105+FJ109+FJ113+FJ117+FJ121+FJ125</f>
        <v>125254.86402399627</v>
      </c>
      <c r="FL1" s="24">
        <f>FL85+FL81+FL77+FL73+FL69+FL65+FL61+FL57+FL53+FL49+FL45+FL41+FL37+FL33+FL29+FL25+FL21+FL89+FL93+FL97+FL101+FL105+FL109+FL113+FL117+FL121+FL125</f>
        <v>113726.40821068066</v>
      </c>
      <c r="FN1" s="24">
        <f>FN85+FN81+FN77+FN73+FN69+FN65+FN61+FN57+FN53+FN49+FN45+FN41+FN37+FN33+FN29+FN25+FN21+FN89+FN93+FN97+FN101+FN105+FN109+FN113+FN117+FN121+FN125+FN129</f>
        <v>94746.4510098233</v>
      </c>
      <c r="FP1" s="24">
        <f>FP85+FP81+FP77+FP73+FP69+FP65+FP61+FP57+FP53+FP49+FP45+FP41+FP37+FP33+FP29+FP25+FP21+FP89+FP93+FP97+FP101+FP105+FP109+FP113+FP117+FP121+FP125+FP129</f>
        <v>67138.557461735021</v>
      </c>
      <c r="FR1" s="24">
        <f>FR85+FR81+FR77+FR73+FR69+FR65+FR61+FR57+FR53+FR49+FR45+FR41+FR37+FR33+FR29+FR25+FR21+FR89+FR93+FR97+FR101+FR105+FR109+FR113+FR117+FR121+FR125+FR129</f>
        <v>35590.734729119467</v>
      </c>
      <c r="FT1" s="24">
        <f>FT85+FT81+FT77+FT73+FT69+FT65+FT61+FT57+FT53+FT49+FT45+FT41+FT37+FT33+FT29+FT25+FT21+FT89+FT93+FT97+FT101+FT105+FT109+FT113+FT117+FT121+FT125+FT129+FT133</f>
        <v>1236.9151772682417</v>
      </c>
      <c r="FV1" s="24">
        <f>FV85+FV81+FV77+FV73+FV69+FV65+FV61+FV57+FV53+FV49+FV45+FV41+FV37+FV33+FV29+FV25+FV21+FV89+FV93+FV97+FV101+FV105+FV109+FV113+FV117+FV121+FV125+FV129+FV133</f>
        <v>-3130.5177096199586</v>
      </c>
      <c r="FX1" s="24">
        <f>FX85+FX81+FX77+FX73+FX69+FX65+FX61+FX57+FX53+FX49+FX45+FX41+FX37+FX33+FX29+FX25+FX21+FX89+FX93+FX97+FX101+FX105+FX109+FX113+FX117+FX121+FX125+FX129+FX133</f>
        <v>-8488.508883296121</v>
      </c>
      <c r="FZ1" s="24">
        <f>FZ85+FZ81+FZ77+FZ73+FZ69+FZ65+FZ61+FZ57+FZ53+FZ49+FZ45+FZ41+FZ37+FZ33+FZ29+FZ25+FZ21+FZ89+FZ93+FZ97+FZ101+FZ105+FZ109+FZ113+FZ117+FZ121+FZ125+FZ129+FZ133+FZ137</f>
        <v>-69980.223790089003</v>
      </c>
      <c r="GB1" s="24">
        <f>GB85+GB81+GB77+GB73+GB69+GB65+GB61+GB57+GB53+GB49+GB45+GB41+GB37+GB33+GB29+GB25+GB21+GB89+GB93+GB97+GB101+GB105+GB109+GB113+GB117+GB121+GB125+GB129+GB133+GB137</f>
        <v>-67744.74620424358</v>
      </c>
      <c r="GD1" s="24">
        <f>GD85+GD81+GD77+GD73+GD69+GD65+GD61+GD57+GD53+GD49+GD45+GD41+GD37+GD33+GD29+GD25+GD21+GD89+GD93+GD97+GD101+GD105+GD109+GD113+GD117+GD121+GD125+GD129+GD133+GD137</f>
        <v>-64900.049068607696</v>
      </c>
      <c r="GF1" s="24">
        <f>GF85+GF81+GF77+GF73+GF69+GF65+GF61+GF57+GF53+GF49+GF45+GF41+GF37+GF33+GF29+GF25+GF21+GF89+GF93+GF97+GF101+GF105+GF109+GF113+GF117+GF121+GF125+GF129+GF133+GF137+GF141</f>
        <v>-78038.8177924185</v>
      </c>
      <c r="GH1" s="24">
        <f>GH85+GH81+GH77+GH73+GH69+GH65+GH61+GH57+GH53+GH49+GH45+GH41+GH37+GH33+GH29+GH25+GH21+GH89+GH93+GH97+GH101+GH105+GH109+GH113+GH117+GH121+GH125+GH129+GH133+GH137+GH141</f>
        <v>-70969.151241474668</v>
      </c>
      <c r="GJ1" s="24">
        <f>GJ85+GJ81+GJ77+GJ73+GJ69+GJ65+GJ61+GJ57+GJ53+GJ49+GJ45+GJ41+GJ37+GJ33+GJ29+GJ25+GJ21+GJ89+GJ93+GJ97+GJ101+GJ105+GJ109+GJ113+GJ117+GJ121+GJ125+GJ129+GJ133+GJ137+GJ141</f>
        <v>-65946.265190897524</v>
      </c>
      <c r="GL1" s="24">
        <f>GL85+GL81+GL77+GL73+GL69+GL65+GL61+GL57+GL53+GL49+GL45+GL41+GL37+GL33+GL29+GL25+GL21+GL89+GL93+GL97+GL101+GL105+GL109+GL113+GL117+GL121+GL125+GL129+GL133+GL137+GL141+GL145</f>
        <v>-59587.610304181318</v>
      </c>
      <c r="GN1" s="24">
        <f>GN85+GN81+GN77+GN73+GN69+GN65+GN61+GN57+GN53+GN49+GN45+GN41+GN37+GN33+GN29+GN25+GN21+GN89+GN93+GN97+GN101+GN105+GN109+GN113+GN117+GN121+GN125+GN129+GN133+GN137+GN141+GN145</f>
        <v>-52804.560570090958</v>
      </c>
      <c r="GP1" s="24">
        <f>GP85+GP81+GP77+GP73+GP69+GP65+GP61+GP57+GP53+GP49+GP45+GP41+GP37+GP33+GP29+GP25+GP21+GP89+GP93+GP97+GP101+GP105+GP109+GP113+GP117+GP121+GP125+GP129+GP133+GP137+GP141+GP145</f>
        <v>-46360.06109828296</v>
      </c>
      <c r="GR1" s="24">
        <f>GR85+GR81+GR77+GR73+GR69+GR65+GR61+GR57+GR53+GR49+GR45+GR41+GR37+GR33+GR29+GR25+GR21+GR89+GR93+GR97+GR101+GR105+GR109+GR113+GR117+GR121+GR125+GR129+GR133+GR137+GR141+GR145+GR149</f>
        <v>-59990.060091040425</v>
      </c>
      <c r="GT1" s="24">
        <f>GT85+GT81+GT77+GT73+GT69+GT65+GT61+GT57+GT53+GT49+GT45+GT41+GT37+GT33+GT29+GT25+GT21+GT89+GT93+GT97+GT101+GT105+GT109+GT113+GT117+GT121+GT125+GT129+GT133+GT137+GT141+GT145+GT149</f>
        <v>-55437.365036899762</v>
      </c>
      <c r="GV1" s="24">
        <f>GV85+GV81+GV77+GV73+GV69+GV65+GV61+GV57+GV53+GV49+GV45+GV41+GV37+GV33+GV29+GV25+GV21+GV89+GV93+GV97+GV101+GV105+GV109+GV113+GV117+GV121+GV125+GV129+GV133+GV137+GV141+GV145+GV149</f>
        <v>-51749.409448973602</v>
      </c>
      <c r="GX1" s="24">
        <f>GX85+GX81+GX77+GX73+GX69+GX65+GX61+GX57+GX53+GX49+GX45+GX41+GX37+GX33+GX29+GX25+GX21+GX89+GX93+GX97+GX101+GX105+GX109+GX113+GX117+GX121+GX125+GX129+GX133+GX137+GX141+GX145+GX149+GX153</f>
        <v>-61622.001305877697</v>
      </c>
      <c r="GZ1" s="24">
        <f>GZ85+GZ81+GZ77+GZ73+GZ69+GZ65+GZ61+GZ57+GZ53+GZ49+GZ45+GZ41+GZ37+GZ33+GZ29+GZ25+GZ21+GZ89+GZ93+GZ97+GZ101+GZ105+GZ109+GZ113+GZ117+GZ121+GZ125+GZ129+GZ133+GZ137+GZ141+GZ145+GZ149+GZ153</f>
        <v>-46798.537569723034</v>
      </c>
      <c r="HB1" s="24">
        <f>HB85+HB81+HB77+HB73+HB69+HB65+HB61+HB57+HB53+HB49+HB45+HB41+HB37+HB33+HB29+HB25+HB21+HB89+HB93+HB97+HB101+HB105+HB109+HB113+HB117+HB121+HB125+HB129+HB133+HB137+HB141+HB145+HB149+HB153</f>
        <v>-45133.420264241548</v>
      </c>
      <c r="HD1" s="24">
        <f>HD85+HD81+HD77+HD73+HD69+HD65+HD61+HD57+HD53+HD49+HD45+HD41+HD37+HD33+HD29+HD25+HD21+HD89+HD93+HD97+HD101+HD105+HD109+HD113+HD117+HD121+HD125+HD129+HD133+HD137+HD141+HD145+HD149+HD153+HD157</f>
        <v>-21762.632977956491</v>
      </c>
      <c r="HF1" s="24">
        <f>HF85+HF81+HF77+HF73+HF69+HF65+HF61+HF57+HF53+HF49+HF45+HF41+HF37+HF33+HF29+HF25+HF21+HF89+HF93+HF97+HF101+HF105+HF109+HF113+HF117+HF121+HF125+HF129+HF133+HF137+HF141+HF145+HF149+HF153+HF157</f>
        <v>-25679.030290018127</v>
      </c>
      <c r="HH1" s="24">
        <f>HH85+HH81+HH77+HH73+HH69+HH65+HH61+HH57+HH53+HH49+HH45+HH41+HH37+HH33+HH29+HH25+HH21+HH89+HH93+HH97+HH101+HH105+HH109+HH113+HH117+HH121+HH125+HH129+HH133+HH137+HH141+HH145+HH149+HH153+HH157</f>
        <v>-23193.453309421653</v>
      </c>
      <c r="HJ1" s="24">
        <f>HJ85+HJ81+HJ77+HJ73+HJ69+HJ65+HJ61+HJ57+HJ53+HJ49+HJ45+HJ41+HJ37+HJ33+HJ29+HJ25+HJ21+HJ89+HJ93+HJ97+HJ101+HJ105+HJ109+HJ113+HJ117+HJ121+HJ125+HJ129+HJ133+HJ137+HJ141+HJ145+HJ149+HJ153+HJ157+HJ161</f>
        <v>-8352.0359558714117</v>
      </c>
      <c r="HL1" s="24">
        <f>HL85+HL81+HL77+HL73+HL69+HL65+HL61+HL57+HL53+HL49+HL45+HL41+HL37+HL33+HL29+HL25+HL21+HL89+HL93+HL97+HL101+HL105+HL109+HL113+HL117+HL121+HL125+HL129+HL133+HL137+HL141+HL145+HL149+HL153+HL157+HL161</f>
        <v>-8550.2011707225374</v>
      </c>
      <c r="HN1" s="24">
        <f>HN85+HN81+HN77+HN73+HN69+HN65+HN61+HN57+HN53+HN49+HN45+HN41+HN37+HN33+HN29+HN25+HN21+HN89+HN93+HN97+HN101+HN105+HN109+HN113+HN117+HN121+HN125+HN129+HN133+HN137+HN141+HN145+HN149+HN153+HN157+HN161</f>
        <v>-6558.530254204994</v>
      </c>
      <c r="HP1" s="24">
        <f>HP85+HP81+HP77+HP73+HP69+HP65+HP61+HP57+HP53+HP49+HP45+HP41+HP37+HP33+HP29+HP25+HP21+HP89+HP93+HP97+HP101+HP105+HP109+HP113+HP117+HP121+HP125+HP129+HP133+HP137+HP141+HP145+HP149+HP153+HP157+HP161+HP165</f>
        <v>-1327.1378431490775</v>
      </c>
      <c r="HR1" s="24">
        <f>HR85+HR81+HR77+HR73+HR69+HR65+HR61+HR57+HR53+HR49+HR45+HR41+HR37+HR33+HR29+HR25+HR21+HR89+HR93+HR97+HR101+HR105+HR109+HR113+HR117+HR121+HR125+HR129+HR133+HR137+HR141+HR145+HR149+HR153+HR157+HR161+HR165</f>
        <v>-1590.1123543769907</v>
      </c>
      <c r="HT1" s="24">
        <f>HT85+HT81+HT77+HT73+HT69+HT65+HT61+HT57+HT53+HT49+HT45+HT41+HT37+HT33+HT29+HT25+HT21+HT89+HT93+HT97+HT101+HT105+HT109+HT113+HT117+HT121+HT125+HT129+HT133+HT137+HT141+HT145+HT149+HT153+HT157+HT161+HT165</f>
        <v>-1447.4035336188933</v>
      </c>
      <c r="HV1" s="24">
        <f>HV85+HV81+HV77+HV73+HV69+HV65+HV61+HV57+HV53+HV49+HV45+HV41+HV37+HV33+HV29+HV25+HV21+HV89+HV93+HV97+HV101+HV105+HV109+HV113+HV117+HV121+HV125+HV129+HV133+HV137+HV141+HV145+HV149+HV153+HV157+HV161+HV165+HV169</f>
        <v>-611.15132895664215</v>
      </c>
      <c r="HX1" s="24">
        <f>HX85+HX81+HX77+HX73+HX69+HX65+HX61+HX57+HX53+HX49+HX45+HX41+HX37+HX33+HX29+HX25+HX21+HX89+HX93+HX97+HX101+HX105+HX109+HX113+HX117+HX121+HX125+HX129+HX133+HX137+HX141+HX145+HX149+HX153+HX157+HX161+HX165+HX169</f>
        <v>116.11589894129128</v>
      </c>
      <c r="HZ1" s="24">
        <f>HZ85+HZ81+HZ77+HZ73+HZ69+HZ65+HZ61+HZ57+HZ53+HZ49+HZ45+HZ41+HZ37+HZ33+HZ29+HZ25+HZ21+HZ89+HZ93+HZ97+HZ101+HZ105+HZ109+HZ113+HZ117+HZ121+HZ125+HZ129+HZ133+HZ137+HZ141+HZ145+HZ149+HZ153+HZ157+HZ161+HZ165+HZ169</f>
        <v>-472.60853732691658</v>
      </c>
      <c r="IB1" s="24">
        <f>IB85+IB81+IB77+IB73+IB69+IB65+IB61+IB57+IB53+IB49+IB45+IB41+IB37+IB33+IB29+IB25+IB21+IB89+IB93+IB97+IB101+IB105+IB109+IB113+IB117+IB121+IB125+IB129+IB133+IB137+IB141+IB145+IB149+IB153+IB157+IB161+IB165+IB169+IB173</f>
        <v>18051.647077357648</v>
      </c>
      <c r="ID1" s="24">
        <f>ID85+ID81+ID77+ID73+ID69+ID65+ID61+ID57+ID53+ID49+ID45+ID41+ID37+ID33+ID29+ID25+ID21+ID89+ID93+ID97+ID101+ID105+ID109+ID113+ID117+ID121+ID125+ID129+ID133+ID137+ID141+ID145+ID149+ID153+ID157+ID161+ID165+ID169+ID173</f>
        <v>20542.489181784436</v>
      </c>
      <c r="IF1" s="24">
        <f>IF85+IF81+IF77+IF73+IF69+IF65+IF61+IF57+IF53+IF49+IF45+IF41+IF37+IF33+IF29+IF25+IF21+IF89+IF93+IF97+IF101+IF105+IF109+IF113+IF117+IF121+IF125+IF129+IF133+IF137+IF141+IF145+IF149+IF153+IF157+IF161+IF165+IF169+IF173</f>
        <v>16838.128656162109</v>
      </c>
      <c r="IH1" s="24">
        <f>IH85+IH81+IH77+IH73+IH69+IH65+IH61+IH57+IH53+IH49+IH45+IH41+IH37+IH33+IH29+IH25+IH21+IH89+IH93+IH97+IH101+IH105+IH109+IH113+IH117+IH121+IH125+IH129+IH133+IH137+IH141+IH145+IH149+IH153+IH157+IH161+IH165+IH169+IH173+IH177</f>
        <v>12991.030963332436</v>
      </c>
      <c r="IJ1" s="24">
        <f>IJ85+IJ81+IJ77+IJ73+IJ69+IJ65+IJ61+IJ57+IJ53+IJ49+IJ45+IJ41+IJ37+IJ33+IJ29+IJ25+IJ21+IJ89+IJ93+IJ97+IJ101+IJ105+IJ109+IJ113+IJ117+IJ121+IJ125+IJ129+IJ133+IJ137+IJ141+IJ145+IJ149+IJ153+IJ157+IJ161+IJ165+IJ169+IJ173+IJ177</f>
        <v>9406.873581014821</v>
      </c>
      <c r="IL1" s="24">
        <f>IL85+IL81+IL77+IL73+IL69+IL65+IL61+IL57+IL53+IL49+IL45+IL41+IL37+IL33+IL29+IL25+IL21+IL89+IL93+IL97+IL101+IL105+IL109+IL113+IL117+IL121+IL125+IL129+IL133+IL137+IL141+IL145+IL149+IL153+IL157+IL161+IL165+IL169+IL173+IL177</f>
        <v>5598.4972463323302</v>
      </c>
      <c r="IN1" s="24">
        <f>IN85+IN81+IN77+IN73+IN69+IN65+IN61+IN57+IN53+IN49+IN45+IN41+IN37+IN33+IN29+IN25+IN21+IN89+IN93+IN97+IN101+IN105+IN109+IN113+IN117+IN121+IN125+IN129+IN133+IN137+IN141+IN145+IN149+IN153+IN157+IN161+IN165+IN169+IN173+IN177+IN181</f>
        <v>7173.4671774716926</v>
      </c>
      <c r="IP1" s="24">
        <f>IP85+IP81+IP77+IP73+IP69+IP65+IP61+IP57+IP53+IP49+IP45+IP41+IP37+IP33+IP29+IP25+IP21+IP89+IP93+IP97+IP101+IP105+IP109+IP113+IP117+IP121+IP125+IP129+IP133+IP137+IP141+IP145+IP149+IP153+IP157+IP161+IP165+IP169+IP173+IP177+IP181</f>
        <v>5446.2681038503333</v>
      </c>
      <c r="IR1" s="24">
        <f>IR85+IR81+IR77+IR73+IR69+IR65+IR61+IR57+IR53+IR49+IR45+IR41+IR37+IR33+IR29+IR25+IR21+IR89+IR93+IR97+IR101+IR105+IR109+IR113+IR117+IR121+IR125+IR129+IR133+IR137+IR141+IR145+IR149+IR153+IR157+IR161+IR165+IR169+IR173+IR177+IR181</f>
        <v>3421.7870072319856</v>
      </c>
      <c r="IT1" s="24">
        <f>IT85+IT81+IT77+IT73+IT69+IT65+IT61+IT57+IT53+IT49+IT45+IT41+IT37+IT33+IT29+IT25+IT21+IT89+IT93+IT97+IT101+IT105+IT109+IT113+IT117+IT121+IT125+IT129+IT133+IT137+IT141+IT145+IT149+IT153+IT157+IT161+IT165+IT169+IT173+IT177+IT181+IT185</f>
        <v>-42901.897595498936</v>
      </c>
      <c r="IV1" s="24">
        <f>IV85+IV81+IV77+IV73+IV69+IV65+IV61+IV57+IV53+IV49+IV45+IV41+IV37+IV33+IV29+IV25+IV21+IV89+IV93+IV97+IV101+IV105+IV109+IV113+IV117+IV121+IV125+IV129+IV133+IV137+IV141+IV145+IV149+IV153+IV157+IV161+IV165+IV169+IV173+IV177+IV181+IV185</f>
        <v>-44362.831505379523</v>
      </c>
      <c r="IX1" s="24">
        <f>IX85+IX81+IX77+IX73+IX69+IX65+IX61+IX57+IX53+IX49+IX45+IX41+IX37+IX33+IX29+IX25+IX21+IX89+IX93+IX97+IX101+IX105+IX109+IX113+IX117+IX121+IX125+IX129+IX133+IX137+IX141+IX145+IX149+IX153+IX157+IX161+IX165+IX169+IX173+IX177+IX181+IX185</f>
        <v>-43815.987785379519</v>
      </c>
      <c r="IZ1" s="24">
        <f>IZ189+IZ85+IZ81+IZ77+IZ73+IZ69+IZ65+IZ61+IZ57+IZ53+IZ49+IZ45+IZ41+IZ37+IZ33+IZ29+IZ25+IZ21+IZ89+IZ93+IZ97+IZ101+IZ105+IZ109+IZ113+IZ117+IZ121+IZ125+IZ129+IZ133+IZ137+IZ141+IZ145+IZ149+IZ153+IZ157+IZ161+IZ165+IZ169+IZ173+IZ177+IZ181+IZ185</f>
        <v>-53136.571303608522</v>
      </c>
      <c r="JB1" s="24">
        <f>JB189+JB85+JB81+JB77+JB73+JB69+JB65+JB61+JB57+JB53+JB49+JB45+JB41+JB37+JB33+JB29+JB25+JB21+JB89+JB93+JB97+JB101+JB105+JB109+JB113+JB117+JB121+JB125+JB129+JB133+JB137+JB141+JB145+JB149+JB153+JB157+JB161+JB165+JB169+JB173+JB177+JB181+JB185</f>
        <v>-50495.867663716112</v>
      </c>
      <c r="JD1" s="24">
        <f>JD189+JD85+JD81+JD77+JD73+JD69+JD65+JD61+JD57+JD53+JD49+JD45+JD41+JD37+JD33+JD29+JD25+JD21+JD89+JD93+JD97+JD101+JD105+JD109+JD113+JD117+JD121+JD125+JD129+JD133+JD137+JD141+JD145+JD149+JD153+JD157+JD161+JD165+JD169+JD173+JD177+JD181+JD185</f>
        <v>-44990.289663716103</v>
      </c>
      <c r="JF1" s="24">
        <f>JF193+JF189+JF85+JF81+JF77+JF73+JF69+JF65+JF61+JF57+JF53+JF49+JF45+JF41+JF37+JF33+JF29+JF25+JF21+JF89+JF93+JF97+JF101+JF105+JF109+JF113+JF117+JF121+JF125+JF129+JF133+JF137+JF141+JF145+JF149+JF153+JF157+JF161+JF165+JF169+JF173+JF177+JF181+JF185</f>
        <v>-23688.667252770414</v>
      </c>
      <c r="JH1" s="24">
        <f>JH193+JH189+JH85+JH81+JH77+JH73+JH69+JH65+JH61+JH57+JH53+JH49+JH45+JH41+JH37+JH33+JH29+JH25+JH21+JH89+JH93+JH97+JH101+JH105+JH109+JH113+JH117+JH121+JH125+JH129+JH133+JH137+JH141+JH145+JH149+JH153+JH157+JH161+JH165+JH169+JH173+JH177+JH181+JH185</f>
        <v>-17081.606669916357</v>
      </c>
      <c r="JJ1" s="24">
        <f>JJ193+JJ189+JJ85+JJ81+JJ77+JJ73+JJ69+JJ65+JJ61+JJ57+JJ53+JJ49+JJ45+JJ41+JJ37+JJ33+JJ29+JJ25+JJ21+JJ89+JJ93+JJ97+JJ101+JJ105+JJ109+JJ113+JJ117+JJ121+JJ125+JJ129+JJ133+JJ137+JJ141+JJ145+JJ149+JJ153+JJ157+JJ161+JJ165+JJ169+JJ173+JJ177+JJ181+JJ185</f>
        <v>-11514.610169916359</v>
      </c>
      <c r="JL1" s="24">
        <f>JL197+JL193+JL189+JL85+JL81+JL77+JL73+JL69+JL65+JL61+JL57+JL53+JL49+JL45+JL41+JL37+JL33+JL29+JL25+JL21+JL89+JL93+JL97+JL101+JL105+JL109+JL113+JL117+JL121+JL125+JL129+JL133+JL137+JL141+JL145+JL149+JL153+JL157+JL161+JL165+JL169+JL173+JL177+JL181+JL185</f>
        <v>98737.342982034068</v>
      </c>
      <c r="JN1" s="24">
        <f>JN197+JN193+JN189+JN85+JN81+JN77+JN73+JN69+JN65+JN61+JN57+JN53+JN49+JN45+JN41+JN37+JN33+JN29+JN25+JN21+JN89+JN93+JN97+JN101+JN105+JN109+JN113+JN117+JN121+JN125+JN129+JN133+JN137+JN141+JN145+JN149+JN153+JN157+JN161+JN165+JN169+JN173+JN177+JN181+JN185</f>
        <v>94909.215062349031</v>
      </c>
      <c r="JP1" s="24">
        <f>JP197+JP193+JP189+JP85+JP81+JP77+JP73+JP69+JP65+JP61+JP57+JP53+JP49+JP45+JP41+JP37+JP33+JP29+JP25+JP21+JP89+JP93+JP97+JP101+JP105+JP109+JP113+JP117+JP121+JP125+JP129+JP133+JP137+JP141+JP145+JP149+JP153+JP157+JP161+JP165+JP169+JP173+JP177+JP181+JP185</f>
        <v>92294.512862349045</v>
      </c>
      <c r="JR1" s="24">
        <f>JR197+JR193+JR189+JR85+JR81+JR77+JR73+JR69+JR65+JR61+JR57+JR53+JR49+JR45+JR41+JR37+JR33+JR29+JR25+JR21+JR89+JR93+JR97+JR101+JR105+JR109+JR113+JR117+JR121+JR125+JR129+JR133+JR137+JR141+JR145+JR149+JR153+JR157+JR161+JR165+JR169+JR173+JR177+JR181+JR185+JR201</f>
        <v>133952.23234176633</v>
      </c>
      <c r="JT1" s="24">
        <f>JT197+JT193+JT189+JT85+JT81+JT77+JT73+JT69+JT65+JT61+JT57+JT53+JT49+JT45+JT41+JT37+JT33+JT29+JT25+JT21+JT89+JT93+JT97+JT101+JT105+JT109+JT113+JT117+JT121+JT125+JT129+JT133+JT137+JT141+JT145+JT149+JT153+JT157+JT161+JT165+JT169+JT173+JT177+JT181+JT185+JT201</f>
        <v>125349.34766216486</v>
      </c>
      <c r="JV1" s="24">
        <f>JV197+JV193+JV189+JV85+JV81+JV77+JV73+JV69+JV65+JV61+JV57+JV53+JV49+JV45+JV41+JV37+JV33+JV29+JV25+JV21+JV89+JV93+JV97+JV101+JV105+JV109+JV113+JV117+JV121+JV125+JV129+JV133+JV137+JV141+JV145+JV149+JV153+JV157+JV161+JV165+JV169+JV173+JV177+JV181+JV185+JV201</f>
        <v>119693.63546216485</v>
      </c>
      <c r="JX1" s="24">
        <f>JX169+JX173+JX177+JX181+JX185+JX189+JX193+JX197+JX201+JX205</f>
        <v>99250.772770740004</v>
      </c>
      <c r="JZ1" s="24">
        <f>JZ169+JZ173+JZ177+JZ181+JZ185+JZ189+JZ193+JZ197+JZ201+JZ205</f>
        <v>88459.986156700077</v>
      </c>
      <c r="KB1" s="24">
        <f>KB169+KB173+KB177+KB181+KB185+KB189+KB193+KB197+KB201+KB205</f>
        <v>77944.483596700084</v>
      </c>
      <c r="KD1" s="24">
        <f>KD173+KD177+KD181+KD185+KD189+KD193+KD197+KD201+KD205+KD209</f>
        <v>65843.555050740018</v>
      </c>
      <c r="KF1" s="24">
        <f>KF173+KF177+KF181+KF185+KF189+KF193+KF197+KF201+KF205+KF209</f>
        <v>55732.651247081492</v>
      </c>
      <c r="KH1" s="24">
        <f>KH173+KH177+KH181+KH185+KH189+KH193+KH197+KH201+KH205+KH209</f>
        <v>45574.917815081491</v>
      </c>
      <c r="KJ1" s="24">
        <f>+KJ177+KJ181+KJ185+KJ189+KJ193+KJ197+KJ201+KJ205+KJ209+KJ213</f>
        <v>102576.27113657171</v>
      </c>
      <c r="KL1" s="24">
        <f>KL181+KL185+KL189+KL193+KL197+KL201+KL205+KL209+KL213</f>
        <v>98632.126041929427</v>
      </c>
      <c r="KN1" s="24">
        <f>KN181+KN185+KN189+KN193+KN197+KN201+KN205+KN209+KN213</f>
        <v>95232.425445357992</v>
      </c>
      <c r="KP1" s="24">
        <f>KP181+KP185+KP189+KP193+KP197+KP201+KP205+KP209+KP213</f>
        <v>91868.457693476303</v>
      </c>
      <c r="KR1" s="24">
        <f>KR181+KR185+KR189+KR193+KR197+KR201+KR205+KR209+KR213+KR217</f>
        <v>124201.79162183474</v>
      </c>
      <c r="KT1" s="24"/>
      <c r="KV1" s="24"/>
      <c r="KX1" s="24"/>
      <c r="KZ1" s="24"/>
      <c r="LB1" s="24"/>
      <c r="LD1" s="24"/>
      <c r="LF1" s="24"/>
      <c r="LH1" s="24"/>
      <c r="LJ1" s="24"/>
      <c r="LL1" s="24"/>
      <c r="LN1" s="24"/>
      <c r="LP1" s="24"/>
      <c r="LR1" s="24"/>
      <c r="LT1" s="24"/>
      <c r="LV1" s="24"/>
      <c r="LX1" s="24"/>
      <c r="LZ1" s="24"/>
      <c r="MB1" s="24"/>
      <c r="MD1" s="24"/>
      <c r="MF1" s="24"/>
      <c r="MH1" s="24"/>
      <c r="MJ1" s="24"/>
      <c r="ML1" s="24"/>
      <c r="MN1" s="24"/>
      <c r="MP1" s="24"/>
      <c r="MR1" s="24"/>
      <c r="MT1" s="24"/>
      <c r="MV1" s="24"/>
    </row>
    <row r="2" spans="1:361" ht="13.15" x14ac:dyDescent="0.4">
      <c r="B2" s="59" t="s">
        <v>46</v>
      </c>
      <c r="C2" s="127" t="s">
        <v>112</v>
      </c>
      <c r="FN2" s="51"/>
      <c r="FO2" s="51"/>
      <c r="FP2" s="51"/>
      <c r="FQ2" s="51"/>
      <c r="FR2" s="51"/>
      <c r="FS2" s="51"/>
      <c r="FT2" s="51"/>
      <c r="GM2" s="51"/>
      <c r="GN2" s="51"/>
      <c r="GO2" s="51"/>
      <c r="GP2" s="51"/>
      <c r="GQ2" s="51"/>
      <c r="GR2" s="51"/>
      <c r="GS2" s="51"/>
      <c r="GT2" s="51"/>
      <c r="GU2" s="51"/>
      <c r="GV2" s="51"/>
      <c r="GW2" s="51"/>
      <c r="GX2" s="51"/>
      <c r="GY2" s="51"/>
      <c r="IP2" s="51"/>
      <c r="IQ2" s="51"/>
      <c r="IR2" s="51"/>
      <c r="IS2" s="51"/>
      <c r="IT2" s="24"/>
      <c r="IU2" s="51"/>
      <c r="IV2" s="51"/>
      <c r="IW2" s="51"/>
      <c r="IX2" s="193"/>
      <c r="IY2" s="51"/>
      <c r="IZ2" s="51"/>
      <c r="JA2" s="51"/>
      <c r="JB2" s="51"/>
      <c r="JC2" s="51"/>
      <c r="JD2" s="51"/>
      <c r="JE2" s="51"/>
      <c r="JF2" s="51"/>
      <c r="JG2" s="51"/>
      <c r="JH2" s="51"/>
      <c r="JI2" s="51"/>
      <c r="JJ2" s="51"/>
      <c r="JK2" s="51"/>
      <c r="JL2" s="51"/>
    </row>
    <row r="3" spans="1:361" x14ac:dyDescent="0.35">
      <c r="B3" s="59" t="s">
        <v>77</v>
      </c>
      <c r="C3" s="127" t="s">
        <v>113</v>
      </c>
      <c r="AL3" s="31">
        <f>SUM(P5:AL5)</f>
        <v>27251</v>
      </c>
      <c r="BJ3" s="31"/>
      <c r="CT3" s="119"/>
      <c r="CU3" s="10"/>
      <c r="CV3" s="11"/>
      <c r="DL3" s="119"/>
      <c r="DM3" s="10"/>
      <c r="DN3" s="11"/>
      <c r="HB3" s="24"/>
      <c r="ID3" s="175" t="s">
        <v>131</v>
      </c>
      <c r="JX3" s="119"/>
      <c r="JY3" s="10"/>
      <c r="JZ3" s="11"/>
      <c r="KD3" s="119"/>
      <c r="KE3" s="10"/>
      <c r="KF3" s="11"/>
      <c r="KP3" s="117" t="s">
        <v>83</v>
      </c>
      <c r="KQ3" s="179"/>
      <c r="KR3" s="116" t="s">
        <v>82</v>
      </c>
    </row>
    <row r="4" spans="1:361" s="80" customFormat="1" ht="13.15" x14ac:dyDescent="0.4">
      <c r="A4" s="79"/>
      <c r="H4" s="96">
        <v>39568</v>
      </c>
      <c r="I4" s="97"/>
      <c r="J4" s="97">
        <v>39599</v>
      </c>
      <c r="K4" s="97"/>
      <c r="L4" s="97">
        <v>39629</v>
      </c>
      <c r="M4" s="97"/>
      <c r="N4" s="96">
        <v>39660</v>
      </c>
      <c r="O4" s="97"/>
      <c r="P4" s="97">
        <v>39691</v>
      </c>
      <c r="Q4" s="97"/>
      <c r="R4" s="97">
        <v>39721</v>
      </c>
      <c r="S4" s="97"/>
      <c r="T4" s="96">
        <v>39752</v>
      </c>
      <c r="U4" s="97"/>
      <c r="V4" s="97">
        <v>39782</v>
      </c>
      <c r="W4" s="97"/>
      <c r="X4" s="97">
        <v>39813</v>
      </c>
      <c r="Y4" s="97"/>
      <c r="Z4" s="96">
        <v>39844</v>
      </c>
      <c r="AA4" s="97"/>
      <c r="AB4" s="97">
        <v>39872</v>
      </c>
      <c r="AC4" s="97"/>
      <c r="AD4" s="97">
        <v>39903</v>
      </c>
      <c r="AE4" s="97"/>
      <c r="AF4" s="96">
        <v>39933</v>
      </c>
      <c r="AG4" s="97"/>
      <c r="AH4" s="97">
        <v>39964</v>
      </c>
      <c r="AI4" s="97"/>
      <c r="AJ4" s="97">
        <v>39994</v>
      </c>
      <c r="AK4" s="97"/>
      <c r="AL4" s="96">
        <v>40025</v>
      </c>
      <c r="AM4" s="97"/>
      <c r="AN4" s="97">
        <v>40056</v>
      </c>
      <c r="AO4" s="97"/>
      <c r="AP4" s="97">
        <v>40086</v>
      </c>
      <c r="AQ4" s="97"/>
      <c r="AR4" s="96">
        <v>40117</v>
      </c>
      <c r="AS4" s="97"/>
      <c r="AT4" s="97">
        <v>40147</v>
      </c>
      <c r="AU4" s="97"/>
      <c r="AV4" s="97">
        <v>40178</v>
      </c>
      <c r="AW4" s="97"/>
      <c r="AX4" s="96">
        <v>40209</v>
      </c>
      <c r="AY4" s="97"/>
      <c r="AZ4" s="97">
        <v>40237</v>
      </c>
      <c r="BA4" s="97"/>
      <c r="BB4" s="97">
        <v>40268</v>
      </c>
      <c r="BC4" s="97"/>
      <c r="BD4" s="96">
        <v>40298</v>
      </c>
      <c r="BE4" s="97"/>
      <c r="BF4" s="97">
        <v>40329</v>
      </c>
      <c r="BG4" s="97"/>
      <c r="BH4" s="97">
        <v>40359</v>
      </c>
      <c r="BI4" s="97"/>
      <c r="BJ4" s="96">
        <v>40390</v>
      </c>
      <c r="BK4" s="97"/>
      <c r="BL4" s="97">
        <v>40421</v>
      </c>
      <c r="BM4" s="97"/>
      <c r="BN4" s="97">
        <v>40451</v>
      </c>
      <c r="BO4" s="97"/>
      <c r="BP4" s="96">
        <v>40482</v>
      </c>
      <c r="BQ4" s="97"/>
      <c r="BR4" s="97">
        <v>40512</v>
      </c>
      <c r="BS4" s="97"/>
      <c r="BT4" s="97">
        <v>40543</v>
      </c>
      <c r="BU4" s="97"/>
      <c r="BV4" s="96">
        <v>40574</v>
      </c>
      <c r="BW4" s="97"/>
      <c r="BX4" s="98">
        <v>40602</v>
      </c>
      <c r="BY4" s="97"/>
      <c r="BZ4" s="97">
        <v>40633</v>
      </c>
      <c r="CA4" s="97"/>
      <c r="CB4" s="96">
        <v>40663</v>
      </c>
      <c r="CC4" s="97"/>
      <c r="CD4" s="97">
        <v>40694</v>
      </c>
      <c r="CE4" s="97"/>
      <c r="CF4" s="97">
        <v>40724</v>
      </c>
      <c r="CG4" s="97"/>
      <c r="CH4" s="96">
        <v>40755</v>
      </c>
      <c r="CI4" s="97"/>
      <c r="CJ4" s="97">
        <v>40786</v>
      </c>
      <c r="CK4" s="97"/>
      <c r="CL4" s="97">
        <v>40816</v>
      </c>
      <c r="CM4" s="97"/>
      <c r="CN4" s="96">
        <v>40847</v>
      </c>
      <c r="CO4" s="97"/>
      <c r="CP4" s="97">
        <v>40877</v>
      </c>
      <c r="CQ4" s="97"/>
      <c r="CR4" s="97">
        <v>40908</v>
      </c>
      <c r="CS4" s="97"/>
      <c r="CT4" s="96">
        <v>40939</v>
      </c>
      <c r="CU4" s="97"/>
      <c r="CV4" s="97">
        <v>40967</v>
      </c>
      <c r="CW4" s="97"/>
      <c r="CX4" s="97">
        <v>40999</v>
      </c>
      <c r="CY4" s="97"/>
      <c r="CZ4" s="96">
        <v>41029</v>
      </c>
      <c r="DA4" s="97"/>
      <c r="DB4" s="97">
        <v>41060</v>
      </c>
      <c r="DC4" s="97"/>
      <c r="DD4" s="97">
        <v>41090</v>
      </c>
      <c r="DE4" s="97"/>
      <c r="DF4" s="96">
        <v>41121</v>
      </c>
      <c r="DG4" s="97"/>
      <c r="DH4" s="97">
        <v>41152</v>
      </c>
      <c r="DI4" s="97"/>
      <c r="DJ4" s="97">
        <v>41182</v>
      </c>
      <c r="DK4" s="97"/>
      <c r="DL4" s="96">
        <v>41213</v>
      </c>
      <c r="DM4" s="97"/>
      <c r="DN4" s="97">
        <v>41243</v>
      </c>
      <c r="DO4" s="97"/>
      <c r="DP4" s="97">
        <v>41274</v>
      </c>
      <c r="DQ4" s="97"/>
      <c r="DR4" s="96">
        <v>41305</v>
      </c>
      <c r="DS4" s="97"/>
      <c r="DT4" s="97">
        <v>41333</v>
      </c>
      <c r="DU4" s="97"/>
      <c r="DV4" s="97">
        <v>41364</v>
      </c>
      <c r="DW4" s="97"/>
      <c r="DX4" s="96">
        <v>41394</v>
      </c>
      <c r="DY4" s="97"/>
      <c r="DZ4" s="97">
        <v>41425</v>
      </c>
      <c r="EA4" s="97"/>
      <c r="EB4" s="97">
        <v>41455</v>
      </c>
      <c r="EC4" s="97"/>
      <c r="ED4" s="96">
        <v>41486</v>
      </c>
      <c r="EE4" s="97"/>
      <c r="EF4" s="97">
        <v>41517</v>
      </c>
      <c r="EG4" s="97"/>
      <c r="EH4" s="97">
        <v>41547</v>
      </c>
      <c r="EI4" s="97"/>
      <c r="EJ4" s="96">
        <v>41578</v>
      </c>
      <c r="EL4" s="97">
        <v>41608</v>
      </c>
      <c r="EM4" s="97"/>
      <c r="EN4" s="97">
        <v>41639</v>
      </c>
      <c r="EO4" s="97"/>
      <c r="EP4" s="122">
        <v>41670</v>
      </c>
      <c r="ER4" s="97">
        <v>41698</v>
      </c>
      <c r="ES4" s="97"/>
      <c r="ET4" s="97">
        <v>41729</v>
      </c>
      <c r="EU4" s="97"/>
      <c r="EV4" s="96">
        <v>41759</v>
      </c>
      <c r="EW4" s="97"/>
      <c r="EX4" s="97">
        <v>41790</v>
      </c>
      <c r="EY4" s="97"/>
      <c r="EZ4" s="97">
        <v>41820</v>
      </c>
      <c r="FA4" s="97"/>
      <c r="FB4" s="96">
        <v>41851</v>
      </c>
      <c r="FC4" s="97"/>
      <c r="FD4" s="97">
        <v>41882</v>
      </c>
      <c r="FE4" s="97"/>
      <c r="FF4" s="97">
        <v>41912</v>
      </c>
      <c r="FG4" s="97"/>
      <c r="FH4" s="96">
        <v>41943</v>
      </c>
      <c r="FI4" s="97"/>
      <c r="FJ4" s="97">
        <v>41973</v>
      </c>
      <c r="FK4" s="97"/>
      <c r="FL4" s="97">
        <v>42004</v>
      </c>
      <c r="FM4" s="97"/>
      <c r="FN4" s="96">
        <v>42035</v>
      </c>
      <c r="FO4" s="97"/>
      <c r="FP4" s="97">
        <v>42063</v>
      </c>
      <c r="FQ4" s="97"/>
      <c r="FR4" s="97">
        <v>42094</v>
      </c>
      <c r="FS4" s="97"/>
      <c r="FT4" s="96">
        <v>42124</v>
      </c>
      <c r="FU4" s="97"/>
      <c r="FV4" s="97">
        <v>42155</v>
      </c>
      <c r="FW4" s="97"/>
      <c r="FX4" s="97">
        <v>42185</v>
      </c>
      <c r="FY4" s="97"/>
      <c r="FZ4" s="96">
        <v>42216</v>
      </c>
      <c r="GA4" s="97"/>
      <c r="GB4" s="97">
        <v>42247</v>
      </c>
      <c r="GC4" s="97"/>
      <c r="GD4" s="97">
        <v>42277</v>
      </c>
      <c r="GE4" s="97"/>
      <c r="GF4" s="96">
        <v>42308</v>
      </c>
      <c r="GG4" s="97"/>
      <c r="GH4" s="97">
        <v>42338</v>
      </c>
      <c r="GI4" s="97"/>
      <c r="GJ4" s="97">
        <v>42369</v>
      </c>
      <c r="GK4" s="97"/>
      <c r="GL4" s="96">
        <v>42400</v>
      </c>
      <c r="GM4" s="97"/>
      <c r="GN4" s="97">
        <v>42428</v>
      </c>
      <c r="GO4" s="97"/>
      <c r="GP4" s="97">
        <v>42460</v>
      </c>
      <c r="GQ4" s="97"/>
      <c r="GR4" s="96">
        <v>42490</v>
      </c>
      <c r="GS4" s="97"/>
      <c r="GT4" s="97">
        <v>42521</v>
      </c>
      <c r="GU4" s="97"/>
      <c r="GV4" s="97">
        <v>42551</v>
      </c>
      <c r="GW4" s="97"/>
      <c r="GX4" s="96">
        <v>42582</v>
      </c>
      <c r="GY4" s="97"/>
      <c r="GZ4" s="97">
        <v>42613</v>
      </c>
      <c r="HA4" s="97"/>
      <c r="HB4" s="97">
        <v>42643</v>
      </c>
      <c r="HC4" s="97"/>
      <c r="HD4" s="96">
        <v>42674</v>
      </c>
      <c r="HE4" s="97"/>
      <c r="HF4" s="97">
        <v>42704</v>
      </c>
      <c r="HG4" s="97"/>
      <c r="HH4" s="97">
        <v>42735</v>
      </c>
      <c r="HI4" s="97"/>
      <c r="HJ4" s="187">
        <v>42766</v>
      </c>
      <c r="HK4" s="188"/>
      <c r="HL4" s="97">
        <v>42794</v>
      </c>
      <c r="HM4" s="97"/>
      <c r="HN4" s="97">
        <v>42825</v>
      </c>
      <c r="HO4" s="97"/>
      <c r="HP4" s="96">
        <v>42855</v>
      </c>
      <c r="HQ4" s="97"/>
      <c r="HR4" s="97">
        <v>42886</v>
      </c>
      <c r="HS4" s="97"/>
      <c r="HT4" s="97">
        <v>42916</v>
      </c>
      <c r="HU4" s="97"/>
      <c r="HV4" s="96">
        <v>42947</v>
      </c>
      <c r="HW4" s="97"/>
      <c r="HX4" s="97">
        <v>42978</v>
      </c>
      <c r="HY4" s="97"/>
      <c r="HZ4" s="97">
        <v>43008</v>
      </c>
      <c r="IA4" s="97"/>
      <c r="IB4" s="96">
        <v>43039</v>
      </c>
      <c r="IC4" s="97"/>
      <c r="ID4" s="97">
        <v>43069</v>
      </c>
      <c r="IE4" s="97"/>
      <c r="IF4" s="97">
        <v>43100</v>
      </c>
      <c r="IG4" s="97"/>
      <c r="IH4" s="96">
        <v>43131</v>
      </c>
      <c r="II4" s="97"/>
      <c r="IJ4" s="97">
        <v>43151</v>
      </c>
      <c r="IK4" s="97"/>
      <c r="IL4" s="97">
        <v>43190</v>
      </c>
      <c r="IM4" s="97"/>
      <c r="IN4" s="96">
        <v>43220</v>
      </c>
      <c r="IO4" s="97"/>
      <c r="IP4" s="97">
        <v>43251</v>
      </c>
      <c r="IQ4" s="97"/>
      <c r="IR4" s="97">
        <v>43281</v>
      </c>
      <c r="IS4" s="97"/>
      <c r="IT4" s="96">
        <v>43312</v>
      </c>
      <c r="IU4" s="97"/>
      <c r="IV4" s="97">
        <v>43343</v>
      </c>
      <c r="IW4" s="97"/>
      <c r="IX4" s="97">
        <v>43373</v>
      </c>
      <c r="IY4" s="97"/>
      <c r="IZ4" s="96">
        <v>43404</v>
      </c>
      <c r="JA4" s="97"/>
      <c r="JB4" s="97">
        <v>43434</v>
      </c>
      <c r="JC4" s="97"/>
      <c r="JD4" s="97">
        <v>43465</v>
      </c>
      <c r="JE4" s="97"/>
      <c r="JF4" s="96">
        <v>43496</v>
      </c>
      <c r="JG4" s="188"/>
      <c r="JH4" s="97">
        <v>43524</v>
      </c>
      <c r="JI4" s="97"/>
      <c r="JJ4" s="97">
        <v>43555</v>
      </c>
      <c r="JK4" s="97"/>
      <c r="JL4" s="96">
        <v>43585</v>
      </c>
      <c r="JM4" s="97"/>
      <c r="JN4" s="97">
        <v>43616</v>
      </c>
      <c r="JO4" s="97"/>
      <c r="JP4" s="97">
        <v>43646</v>
      </c>
      <c r="JQ4" s="97"/>
      <c r="JR4" s="96">
        <v>43677</v>
      </c>
      <c r="JS4" s="97"/>
      <c r="JT4" s="97">
        <v>43708</v>
      </c>
      <c r="JU4" s="97"/>
      <c r="JV4" s="97">
        <v>43738</v>
      </c>
      <c r="JW4" s="97"/>
      <c r="JX4" s="96">
        <v>43769</v>
      </c>
      <c r="JY4" s="97"/>
      <c r="JZ4" s="97">
        <v>43799</v>
      </c>
      <c r="KA4" s="97"/>
      <c r="KB4" s="97">
        <v>43830</v>
      </c>
      <c r="KC4" s="97"/>
      <c r="KD4" s="96">
        <v>43861</v>
      </c>
      <c r="KE4" s="97"/>
      <c r="KF4" s="97">
        <v>43889</v>
      </c>
      <c r="KG4" s="97"/>
      <c r="KH4" s="97">
        <v>43921</v>
      </c>
      <c r="KI4" s="97"/>
      <c r="KJ4" s="96">
        <v>43951</v>
      </c>
      <c r="KK4" s="97"/>
      <c r="KL4" s="97">
        <v>43982</v>
      </c>
      <c r="KM4" s="97"/>
      <c r="KN4" s="97">
        <v>44012</v>
      </c>
      <c r="KO4" s="97"/>
      <c r="KP4" s="96">
        <v>44043</v>
      </c>
      <c r="KQ4" s="97"/>
      <c r="KR4" s="97">
        <v>44074</v>
      </c>
      <c r="KS4" s="97"/>
      <c r="KT4" s="97">
        <v>44104</v>
      </c>
      <c r="KU4" s="97"/>
      <c r="KV4" s="96">
        <v>44135</v>
      </c>
      <c r="KW4" s="97"/>
      <c r="KX4" s="97">
        <v>44165</v>
      </c>
      <c r="KY4" s="97"/>
      <c r="KZ4" s="97">
        <v>44196</v>
      </c>
      <c r="LA4" s="97"/>
      <c r="LB4" s="122">
        <v>44227</v>
      </c>
      <c r="LC4" s="97"/>
      <c r="LD4" s="97">
        <v>44255</v>
      </c>
      <c r="LE4" s="97"/>
      <c r="LF4" s="97">
        <v>44286</v>
      </c>
      <c r="LG4" s="97"/>
      <c r="LH4" s="122">
        <v>44316</v>
      </c>
      <c r="LI4" s="97"/>
      <c r="LJ4" s="97">
        <v>44346</v>
      </c>
      <c r="LK4" s="97"/>
      <c r="LL4" s="97">
        <v>44377</v>
      </c>
      <c r="LM4" s="97"/>
      <c r="LN4" s="122">
        <v>44408</v>
      </c>
      <c r="LO4" s="97"/>
      <c r="LP4" s="97">
        <v>44439</v>
      </c>
      <c r="LQ4" s="97"/>
      <c r="LR4" s="97">
        <v>44469</v>
      </c>
      <c r="LS4" s="97"/>
      <c r="LT4" s="122">
        <v>44500</v>
      </c>
      <c r="LU4" s="97"/>
      <c r="LV4" s="97">
        <v>44530</v>
      </c>
      <c r="LW4" s="97"/>
      <c r="LX4" s="97">
        <v>44561</v>
      </c>
      <c r="LY4" s="97"/>
      <c r="LZ4" s="122">
        <v>44592</v>
      </c>
      <c r="MA4" s="97"/>
      <c r="MB4" s="97">
        <v>44620</v>
      </c>
      <c r="MC4" s="97"/>
      <c r="MD4" s="97">
        <v>44651</v>
      </c>
      <c r="ME4" s="97"/>
      <c r="MF4" s="122">
        <v>44681</v>
      </c>
      <c r="MG4" s="97"/>
      <c r="MH4" s="97">
        <v>44712</v>
      </c>
      <c r="MI4" s="97"/>
      <c r="MJ4" s="97">
        <v>44742</v>
      </c>
      <c r="MK4" s="97"/>
      <c r="ML4" s="122">
        <v>44773</v>
      </c>
      <c r="MM4" s="97"/>
      <c r="MN4" s="97">
        <v>44804</v>
      </c>
      <c r="MO4" s="97"/>
      <c r="MP4" s="97">
        <v>44834</v>
      </c>
      <c r="MQ4" s="97"/>
      <c r="MR4" s="97">
        <v>44865</v>
      </c>
      <c r="MS4" s="188"/>
      <c r="MT4" s="97">
        <v>44895</v>
      </c>
      <c r="MU4" s="97"/>
      <c r="MV4" s="97">
        <v>44926</v>
      </c>
      <c r="MW4" s="97"/>
    </row>
    <row r="5" spans="1:361" ht="13.15" x14ac:dyDescent="0.4">
      <c r="A5" s="7" t="s">
        <v>37</v>
      </c>
      <c r="H5" s="115">
        <f>Sales!L4</f>
        <v>1428</v>
      </c>
      <c r="J5" s="123">
        <f>Sales!N4</f>
        <v>1408</v>
      </c>
      <c r="L5" s="123">
        <f>Sales!P4</f>
        <v>637</v>
      </c>
      <c r="N5" s="115">
        <f>Sales!R4</f>
        <v>786</v>
      </c>
      <c r="P5" s="123">
        <f>Sales!T4</f>
        <v>683</v>
      </c>
      <c r="Q5" s="87"/>
      <c r="R5" s="123">
        <f>Sales!V4</f>
        <v>851</v>
      </c>
      <c r="S5" s="87"/>
      <c r="T5" s="115">
        <f>Sales!X4</f>
        <v>1129</v>
      </c>
      <c r="V5" s="123">
        <f>Sales!Z4</f>
        <v>3712</v>
      </c>
      <c r="W5" s="87"/>
      <c r="X5" s="123">
        <f>Sales!AB4</f>
        <v>3441</v>
      </c>
      <c r="Y5" s="87"/>
      <c r="Z5" s="115">
        <f>Sales!F5</f>
        <v>5621</v>
      </c>
      <c r="AB5" s="123">
        <f>Sales!H5</f>
        <v>4445</v>
      </c>
      <c r="AD5" s="123">
        <f>Sales!J5</f>
        <v>3436</v>
      </c>
      <c r="AE5" s="87"/>
      <c r="AF5" s="115">
        <f>Sales!L5</f>
        <v>1575</v>
      </c>
      <c r="AG5" s="87"/>
      <c r="AH5" s="123">
        <f>Sales!N5</f>
        <v>952</v>
      </c>
      <c r="AJ5" s="123">
        <f>Sales!P5</f>
        <v>680</v>
      </c>
      <c r="AK5" s="87"/>
      <c r="AL5" s="115">
        <f>Sales!R5</f>
        <v>726</v>
      </c>
      <c r="AN5" s="123">
        <f>Sales!T5</f>
        <v>669</v>
      </c>
      <c r="AO5" s="87"/>
      <c r="AP5" s="123">
        <f>Sales!V5</f>
        <v>749</v>
      </c>
      <c r="AQ5" s="87"/>
      <c r="AR5" s="115">
        <f>Sales!X5</f>
        <v>1336</v>
      </c>
      <c r="AT5" s="123">
        <f>Sales!Z5</f>
        <v>1726</v>
      </c>
      <c r="AU5" s="87"/>
      <c r="AV5" s="123">
        <f>Sales!AB5</f>
        <v>5564</v>
      </c>
      <c r="AW5" s="87"/>
      <c r="AX5" s="115">
        <f>Sales!F6</f>
        <v>5820</v>
      </c>
      <c r="AZ5" s="123">
        <f>Sales!H6</f>
        <v>6407</v>
      </c>
      <c r="BB5" s="123">
        <f>Sales!J6</f>
        <v>4116</v>
      </c>
      <c r="BC5" s="87"/>
      <c r="BD5" s="115">
        <f>Sales!L6</f>
        <v>1569</v>
      </c>
      <c r="BE5" s="87"/>
      <c r="BF5" s="123">
        <f>Sales!N6</f>
        <v>999</v>
      </c>
      <c r="BH5" s="123">
        <f>Sales!P6</f>
        <v>1082</v>
      </c>
      <c r="BI5" s="87"/>
      <c r="BJ5" s="115">
        <f>Sales!R6</f>
        <v>771</v>
      </c>
      <c r="BL5" s="123">
        <f>Sales!T6</f>
        <v>644</v>
      </c>
      <c r="BM5" s="87"/>
      <c r="BN5" s="123">
        <f>Sales!V6</f>
        <v>1097</v>
      </c>
      <c r="BO5" s="87"/>
      <c r="BP5" s="115">
        <f>Sales!X6</f>
        <v>1384</v>
      </c>
      <c r="BR5" s="123">
        <f>Sales!Z6</f>
        <v>1726</v>
      </c>
      <c r="BS5" s="87"/>
      <c r="BT5" s="123">
        <f>Sales!AB6</f>
        <v>5564</v>
      </c>
      <c r="BV5" s="115">
        <f>Sales!F7</f>
        <v>5820</v>
      </c>
      <c r="BX5" s="123">
        <f>Sales!H7</f>
        <v>6407</v>
      </c>
      <c r="BZ5" s="123">
        <f>Sales!J7</f>
        <v>2726.9</v>
      </c>
      <c r="CA5" s="87"/>
      <c r="CB5" s="115">
        <f>Sales!L7</f>
        <v>1673.1</v>
      </c>
      <c r="CD5" s="123">
        <f>Sales!N7</f>
        <v>1300.7</v>
      </c>
      <c r="CE5" s="87"/>
      <c r="CF5" s="123">
        <f>Sales!P7</f>
        <v>1128.8</v>
      </c>
      <c r="CG5" s="87"/>
      <c r="CH5" s="115">
        <f>Sales!R7</f>
        <v>739.4</v>
      </c>
      <c r="CJ5" s="123">
        <f>Sales!T7</f>
        <v>877.1</v>
      </c>
      <c r="CL5" s="123">
        <f>Sales!V7</f>
        <v>810</v>
      </c>
      <c r="CN5" s="115">
        <f>Sales!X7</f>
        <v>1253.3</v>
      </c>
      <c r="CP5" s="123">
        <f>Sales!Z7</f>
        <v>2602.1999999999998</v>
      </c>
      <c r="CR5" s="123">
        <f>Sales!AB7</f>
        <v>3335.3</v>
      </c>
      <c r="CT5" s="115">
        <f>Sales!F8</f>
        <v>5134.3</v>
      </c>
      <c r="CV5" s="123">
        <f>Sales!H8</f>
        <v>3660.8</v>
      </c>
      <c r="CX5" s="123">
        <f>Sales!J8</f>
        <v>1928.7</v>
      </c>
      <c r="CZ5" s="115">
        <f>Sales!L8</f>
        <v>1176.5999999999999</v>
      </c>
      <c r="DB5" s="123">
        <f>Sales!N8</f>
        <v>1253</v>
      </c>
      <c r="DD5" s="123">
        <f>Sales!P8</f>
        <v>880.1</v>
      </c>
      <c r="DF5" s="123">
        <f>Sales!R8</f>
        <v>1045.5999999999999</v>
      </c>
      <c r="DH5" s="123">
        <f>Sales!T8</f>
        <v>1227.3</v>
      </c>
      <c r="DJ5" s="123">
        <f>Sales!V8</f>
        <v>1048.7</v>
      </c>
      <c r="DL5" s="115">
        <f>Sales!X8</f>
        <v>1812.8</v>
      </c>
      <c r="DN5" s="115">
        <f>Sales!Z8</f>
        <v>3672.7</v>
      </c>
      <c r="DP5" s="115">
        <f>Sales!AB8</f>
        <v>2853.5</v>
      </c>
      <c r="DR5" s="115">
        <f>Sales!F9</f>
        <v>6072.5</v>
      </c>
      <c r="DT5" s="123">
        <f>Sales!H9</f>
        <v>4304.3</v>
      </c>
      <c r="DV5" s="123">
        <f>Sales!J9</f>
        <v>5380.1</v>
      </c>
      <c r="DX5" s="115">
        <f>Sales!L9</f>
        <v>2530.9</v>
      </c>
      <c r="DZ5" s="123">
        <f>Sales!N9</f>
        <v>1603</v>
      </c>
      <c r="EB5" s="123">
        <f>Sales!P9</f>
        <v>911.2</v>
      </c>
      <c r="ED5" s="115">
        <f>Sales!R9</f>
        <v>809.8</v>
      </c>
      <c r="EF5" s="115">
        <f>Sales!T9</f>
        <v>1047.2</v>
      </c>
      <c r="EH5" s="115">
        <f>Sales!V9</f>
        <v>1050.7</v>
      </c>
      <c r="EJ5" s="115">
        <f>Sales!X9</f>
        <v>1618.4</v>
      </c>
      <c r="EL5" s="123">
        <f>Sales!Z9</f>
        <v>2334</v>
      </c>
      <c r="EN5" s="123">
        <f>Sales!AB9</f>
        <v>3906</v>
      </c>
      <c r="EP5" s="115">
        <f>Sales!F10</f>
        <v>6465</v>
      </c>
      <c r="ER5" s="123">
        <f>Sales!H10</f>
        <v>5710</v>
      </c>
      <c r="ET5" s="123">
        <f>Sales!J10</f>
        <v>3962</v>
      </c>
      <c r="EV5" s="115">
        <f>Sales!L10</f>
        <v>2176</v>
      </c>
      <c r="EX5" s="123">
        <f>Sales!N10</f>
        <v>1037</v>
      </c>
      <c r="EZ5" s="123">
        <f>Sales!P10</f>
        <v>999</v>
      </c>
      <c r="FB5" s="115">
        <f>Sales!R10</f>
        <v>957</v>
      </c>
      <c r="FD5" s="123">
        <f>Sales!T10</f>
        <v>854</v>
      </c>
      <c r="FF5" s="123">
        <f>Sales!V10</f>
        <v>969</v>
      </c>
      <c r="FH5" s="115">
        <f>Sales!X10</f>
        <v>1749</v>
      </c>
      <c r="FJ5" s="123">
        <f>Sales!Z10</f>
        <v>3252</v>
      </c>
      <c r="FL5" s="123">
        <f>Sales!AB10</f>
        <v>4410</v>
      </c>
      <c r="FN5" s="115">
        <f>Sales!F11</f>
        <v>9046</v>
      </c>
      <c r="FP5" s="115">
        <f>Sales!H11</f>
        <v>11867</v>
      </c>
      <c r="FR5" s="115">
        <f>Sales!J11</f>
        <v>13351</v>
      </c>
      <c r="FT5" s="115">
        <f>Sales!L11</f>
        <v>9115</v>
      </c>
      <c r="FV5" s="115">
        <f>Sales!N11</f>
        <v>8724</v>
      </c>
      <c r="FX5" s="115">
        <f>Sales!P11</f>
        <v>6472</v>
      </c>
      <c r="FZ5" s="115">
        <f>Sales!R11</f>
        <v>6062</v>
      </c>
      <c r="GB5" s="115">
        <f>Sales!T11</f>
        <v>5148</v>
      </c>
      <c r="GD5" s="115">
        <f>Sales!V11</f>
        <v>5562</v>
      </c>
      <c r="GF5" s="115">
        <f>Sales!X11</f>
        <v>7939</v>
      </c>
      <c r="GH5" s="115">
        <f>Sales!Z11</f>
        <v>8721</v>
      </c>
      <c r="GJ5" s="115">
        <f>Sales!AB11</f>
        <v>7043</v>
      </c>
      <c r="GL5" s="115">
        <f>Sales!F12</f>
        <v>11015</v>
      </c>
      <c r="GN5" s="115">
        <f>Sales!H12</f>
        <v>10109</v>
      </c>
      <c r="GP5" s="115">
        <f>Sales!J12</f>
        <v>9340</v>
      </c>
      <c r="GR5" s="115">
        <f>Sales!L12</f>
        <v>7794</v>
      </c>
      <c r="GT5" s="115">
        <f>Sales!N12</f>
        <v>5474</v>
      </c>
      <c r="GV5" s="115">
        <f>Sales!P12</f>
        <v>4778</v>
      </c>
      <c r="GX5" s="115">
        <f>Sales!R12</f>
        <v>4594</v>
      </c>
      <c r="GZ5" s="115">
        <f>Sales!T12</f>
        <v>4462</v>
      </c>
      <c r="HB5" s="115">
        <f>Sales!V12</f>
        <v>5505</v>
      </c>
      <c r="HD5" s="115">
        <f>Sales!X12</f>
        <v>5465</v>
      </c>
      <c r="HF5" s="115">
        <f>Sales!Z12</f>
        <v>7363</v>
      </c>
      <c r="HH5" s="115">
        <f>Sales!AB12</f>
        <v>8826</v>
      </c>
      <c r="HJ5" s="123">
        <f>Sales!F13</f>
        <v>7634</v>
      </c>
      <c r="HK5" s="179"/>
      <c r="HL5" s="115">
        <f>Sales!H13</f>
        <v>6393</v>
      </c>
      <c r="HN5" s="115">
        <f>Sales!J13</f>
        <v>7774</v>
      </c>
      <c r="HP5" s="115">
        <f>Sales!L13</f>
        <v>6650</v>
      </c>
      <c r="HR5" s="115">
        <f>Sales!N13</f>
        <v>3981</v>
      </c>
      <c r="HT5" s="115">
        <f>Sales!P13</f>
        <v>3459</v>
      </c>
      <c r="HV5" s="115">
        <f>Sales!R13</f>
        <v>2704</v>
      </c>
      <c r="HX5" s="115">
        <f>Sales!T13</f>
        <v>4983</v>
      </c>
      <c r="HZ5" s="115">
        <f>Sales!V13</f>
        <v>6437</v>
      </c>
      <c r="IB5" s="115">
        <f>Sales!X13</f>
        <v>6306</v>
      </c>
      <c r="ID5" s="115">
        <f>Sales!Z13</f>
        <v>10869</v>
      </c>
      <c r="IF5" s="115">
        <f>Sales!AB13</f>
        <v>12716</v>
      </c>
      <c r="IH5" s="115">
        <f>Sales!F14</f>
        <v>12306</v>
      </c>
      <c r="IJ5" s="115">
        <f>Sales!H14</f>
        <v>12391</v>
      </c>
      <c r="IL5" s="115">
        <f>Sales!J14</f>
        <v>13164</v>
      </c>
      <c r="IN5" s="115">
        <f>Sales!L14</f>
        <v>10761</v>
      </c>
      <c r="IP5" s="115">
        <f>Sales!N14</f>
        <v>6961</v>
      </c>
      <c r="IR5" s="115">
        <f>Sales!P14</f>
        <v>6678</v>
      </c>
      <c r="IT5" s="115">
        <f>Sales!R14</f>
        <v>5672</v>
      </c>
      <c r="IV5" s="115">
        <f>Sales!T14</f>
        <v>6855</v>
      </c>
      <c r="IX5" s="115">
        <f>Sales!V14</f>
        <v>6082.8</v>
      </c>
      <c r="IZ5" s="115">
        <f>Sales!X14</f>
        <v>7301.3</v>
      </c>
      <c r="JB5" s="115">
        <f>Sales!Z14</f>
        <v>13375.6</v>
      </c>
      <c r="JD5" s="115">
        <f>Sales!AB14</f>
        <v>13910</v>
      </c>
      <c r="JF5" s="115">
        <f>Sales!F15</f>
        <v>12228</v>
      </c>
      <c r="JG5" s="179"/>
      <c r="JH5" s="115">
        <f>Sales!H15</f>
        <v>14660</v>
      </c>
      <c r="JJ5" s="115">
        <f>Sales!J15</f>
        <v>12783</v>
      </c>
      <c r="JL5" s="115">
        <f>Sales!L15</f>
        <v>9302</v>
      </c>
      <c r="JN5" s="115">
        <f>Sales!N15</f>
        <v>9488</v>
      </c>
      <c r="JP5" s="115">
        <f>Sales!P15</f>
        <v>6501</v>
      </c>
      <c r="JR5" s="115">
        <f>Sales!R15</f>
        <v>6289</v>
      </c>
      <c r="JT5" s="115">
        <f>Sales!T15</f>
        <v>6925</v>
      </c>
      <c r="JV5" s="115">
        <f>Sales!V15</f>
        <v>4629</v>
      </c>
      <c r="JX5" s="115">
        <f>Sales!X15</f>
        <v>5670</v>
      </c>
      <c r="JZ5" s="115">
        <f>Sales!Z15</f>
        <v>11476.2</v>
      </c>
      <c r="KB5" s="115">
        <f>Sales!AB15</f>
        <v>11060.8</v>
      </c>
      <c r="KD5" s="115">
        <f>Sales!F16</f>
        <v>12602.6</v>
      </c>
      <c r="KF5" s="115">
        <f>Sales!H20</f>
        <v>11142.119999999999</v>
      </c>
      <c r="KH5" s="115">
        <f>Sales!J20</f>
        <v>11152.539999999999</v>
      </c>
      <c r="KJ5" s="115">
        <f>Sales!L20</f>
        <v>8966.24</v>
      </c>
      <c r="KL5" s="115">
        <f>Sales!N20</f>
        <v>6925.6</v>
      </c>
      <c r="KN5" s="115">
        <f>Sales!P20</f>
        <v>5577.6</v>
      </c>
      <c r="KP5" s="115">
        <f>Sales!R20</f>
        <v>5064.2</v>
      </c>
      <c r="KR5" s="115">
        <f>Sales!T20</f>
        <v>5674.6</v>
      </c>
      <c r="KT5" s="123">
        <f>Sales!V20</f>
        <v>5643.16</v>
      </c>
      <c r="KV5" s="115">
        <f>Sales!X20</f>
        <v>6536.26</v>
      </c>
      <c r="KX5" s="115">
        <f>Sales!Z20</f>
        <v>10360.960000000001</v>
      </c>
      <c r="KZ5" s="115">
        <f>Sales!AB20</f>
        <v>10711.16</v>
      </c>
      <c r="LB5" s="115">
        <f>Sales!F20</f>
        <v>11157.119999999999</v>
      </c>
      <c r="LD5" s="123">
        <f>Sales!H20</f>
        <v>11142.119999999999</v>
      </c>
      <c r="LE5" s="10"/>
      <c r="LF5" s="123">
        <f>Sales!J20</f>
        <v>11152.539999999999</v>
      </c>
      <c r="LH5" s="115">
        <f>Sales!L20</f>
        <v>8966.24</v>
      </c>
      <c r="LJ5" s="123">
        <f>Sales!N20</f>
        <v>6925.6</v>
      </c>
      <c r="LK5" s="10"/>
      <c r="LL5" s="123">
        <f>Sales!P20</f>
        <v>5577.6</v>
      </c>
      <c r="LN5" s="115">
        <f>Sales!R20</f>
        <v>5064.2</v>
      </c>
      <c r="LP5" s="123">
        <f>Sales!T20</f>
        <v>5674.6</v>
      </c>
      <c r="LQ5" s="10"/>
      <c r="LR5" s="123">
        <f>Sales!V20</f>
        <v>5643.16</v>
      </c>
      <c r="LT5" s="115">
        <f>Sales!X20</f>
        <v>6536.26</v>
      </c>
      <c r="LV5" s="123">
        <f>Sales!Z20</f>
        <v>10360.960000000001</v>
      </c>
      <c r="LW5" s="10"/>
      <c r="LX5" s="123">
        <f>Sales!AB20</f>
        <v>10711.16</v>
      </c>
      <c r="LZ5" s="115">
        <f>Sales!F20</f>
        <v>11157.119999999999</v>
      </c>
      <c r="MB5" s="123">
        <f>Sales!H20</f>
        <v>11142.119999999999</v>
      </c>
      <c r="MC5" s="10"/>
      <c r="MD5" s="123">
        <f>Sales!J20</f>
        <v>11152.539999999999</v>
      </c>
      <c r="MF5" s="115">
        <f>Sales!L20</f>
        <v>8966.24</v>
      </c>
      <c r="MH5" s="123">
        <f>Sales!N20</f>
        <v>6925.6</v>
      </c>
      <c r="MI5" s="10"/>
      <c r="MJ5" s="123">
        <f>Sales!P20</f>
        <v>5577.6</v>
      </c>
      <c r="ML5" s="115">
        <f>Sales!R20</f>
        <v>5064.2</v>
      </c>
      <c r="MN5" s="123">
        <f>Sales!T20</f>
        <v>5674.6</v>
      </c>
      <c r="MO5" s="10"/>
      <c r="MP5" s="123">
        <f>Sales!V20</f>
        <v>5643.16</v>
      </c>
      <c r="MQ5" s="10"/>
      <c r="MR5" s="123">
        <f>Sales!X20</f>
        <v>6536.26</v>
      </c>
      <c r="MS5" s="179"/>
      <c r="MT5" s="123">
        <f>Sales!Z20</f>
        <v>10360.960000000001</v>
      </c>
      <c r="MU5" s="10"/>
      <c r="MV5" s="123">
        <f>Sales!AB20</f>
        <v>10711.16</v>
      </c>
      <c r="MW5" s="10"/>
    </row>
    <row r="6" spans="1:361" s="51" customFormat="1" ht="13.15" x14ac:dyDescent="0.4">
      <c r="A6" s="54"/>
      <c r="H6" s="133"/>
      <c r="J6" s="111"/>
      <c r="L6" s="111"/>
      <c r="N6" s="133"/>
      <c r="P6" s="111"/>
      <c r="Q6" s="134"/>
      <c r="R6" s="111"/>
      <c r="S6" s="134"/>
      <c r="T6" s="133"/>
      <c r="V6" s="111"/>
      <c r="W6" s="134"/>
      <c r="X6" s="111"/>
      <c r="Y6" s="134"/>
      <c r="Z6" s="133"/>
      <c r="AB6" s="111"/>
      <c r="AD6" s="111"/>
      <c r="AE6" s="134"/>
      <c r="AF6" s="133"/>
      <c r="AG6" s="134"/>
      <c r="AH6" s="111"/>
      <c r="AJ6" s="111"/>
      <c r="AK6" s="134"/>
      <c r="AL6" s="133"/>
      <c r="AN6" s="111"/>
      <c r="AO6" s="134"/>
      <c r="AP6" s="111"/>
      <c r="AQ6" s="134"/>
      <c r="AR6" s="133"/>
      <c r="AT6" s="111"/>
      <c r="AU6" s="134"/>
      <c r="AV6" s="111"/>
      <c r="AW6" s="134"/>
      <c r="AX6" s="133"/>
      <c r="AZ6" s="111"/>
      <c r="BB6" s="111"/>
      <c r="BC6" s="134"/>
      <c r="BD6" s="133"/>
      <c r="BE6" s="134"/>
      <c r="BF6" s="111"/>
      <c r="BH6" s="111"/>
      <c r="BI6" s="134"/>
      <c r="BJ6" s="133"/>
      <c r="BL6" s="111"/>
      <c r="BM6" s="134"/>
      <c r="BN6" s="111"/>
      <c r="BO6" s="134"/>
      <c r="BP6" s="133"/>
      <c r="BR6" s="111"/>
      <c r="BS6" s="134"/>
      <c r="BT6" s="111"/>
      <c r="BV6" s="133"/>
      <c r="BX6" s="111"/>
      <c r="BZ6" s="111"/>
      <c r="CA6" s="134"/>
      <c r="CB6" s="133"/>
      <c r="CD6" s="111"/>
      <c r="CE6" s="134"/>
      <c r="CF6" s="111"/>
      <c r="CG6" s="134"/>
      <c r="CH6" s="133"/>
      <c r="CJ6" s="111"/>
      <c r="CL6" s="111"/>
      <c r="CN6" s="133"/>
      <c r="CP6" s="111"/>
      <c r="CR6" s="111"/>
      <c r="CT6" s="133"/>
      <c r="CV6" s="111"/>
      <c r="CX6" s="111"/>
      <c r="CZ6" s="133"/>
      <c r="DB6" s="111"/>
      <c r="DD6" s="111"/>
      <c r="DF6" s="133"/>
      <c r="DH6" s="111"/>
      <c r="DJ6" s="111"/>
      <c r="DL6" s="133"/>
      <c r="DN6" s="111"/>
      <c r="DP6" s="111"/>
      <c r="DR6" s="133"/>
      <c r="DT6" s="111"/>
      <c r="DV6" s="111"/>
      <c r="DX6" s="133"/>
      <c r="DZ6" s="111"/>
      <c r="EB6" s="111"/>
      <c r="ED6" s="133"/>
      <c r="EF6" s="111"/>
      <c r="EH6" s="111"/>
      <c r="EJ6" s="133"/>
      <c r="EL6" s="111"/>
      <c r="EN6" s="111"/>
      <c r="EP6" s="133"/>
      <c r="EV6" s="83"/>
      <c r="FB6" s="83"/>
      <c r="FH6" s="83"/>
      <c r="FN6" s="83"/>
      <c r="FT6" s="83"/>
      <c r="FZ6" s="83"/>
      <c r="GF6" s="83"/>
      <c r="GL6" s="83"/>
      <c r="GR6" s="83"/>
      <c r="GX6" s="83"/>
      <c r="HD6" s="83"/>
      <c r="HJ6" s="110"/>
      <c r="HK6" s="183"/>
      <c r="HP6" s="83"/>
      <c r="HV6" s="83"/>
      <c r="IB6" s="83"/>
      <c r="IH6" s="83"/>
      <c r="IN6" s="83"/>
      <c r="IT6" s="83"/>
      <c r="IZ6" s="83"/>
      <c r="JF6" s="83"/>
      <c r="JG6" s="183"/>
      <c r="JL6" s="83"/>
      <c r="JR6" s="83"/>
      <c r="JX6" s="83"/>
      <c r="KD6" s="83"/>
      <c r="KJ6" s="83"/>
      <c r="KP6" s="83"/>
      <c r="KV6" s="83"/>
      <c r="LB6" s="83"/>
      <c r="LH6" s="83"/>
      <c r="LN6" s="83"/>
      <c r="LT6" s="83"/>
      <c r="LZ6" s="83"/>
      <c r="MF6" s="83"/>
      <c r="ML6" s="83"/>
      <c r="MS6" s="183"/>
    </row>
    <row r="7" spans="1:361" x14ac:dyDescent="0.35">
      <c r="B7" s="127" t="s">
        <v>103</v>
      </c>
      <c r="H7" s="81"/>
      <c r="N7" s="81"/>
      <c r="T7" s="81"/>
      <c r="Z7" s="81"/>
      <c r="AF7" s="81"/>
      <c r="AL7" s="81"/>
      <c r="AR7" s="81"/>
      <c r="AX7" s="81"/>
      <c r="BD7" s="81"/>
      <c r="BJ7" s="81"/>
      <c r="BP7" s="81"/>
      <c r="BV7" s="81"/>
      <c r="CB7" s="81"/>
      <c r="CH7" s="81"/>
      <c r="CN7" s="81"/>
      <c r="CT7" s="81"/>
      <c r="CZ7" s="81"/>
      <c r="DF7" s="81"/>
      <c r="DL7" s="81"/>
      <c r="DR7" s="81"/>
      <c r="DX7" s="81"/>
      <c r="ED7" s="81"/>
      <c r="EJ7" s="81"/>
      <c r="EP7" s="81"/>
      <c r="EV7" s="81"/>
      <c r="FB7" s="81"/>
      <c r="FH7" s="81"/>
      <c r="FN7" s="81"/>
      <c r="FT7" s="81"/>
      <c r="FZ7" s="81"/>
      <c r="GF7" s="81"/>
      <c r="GL7" s="81"/>
      <c r="GR7" s="81"/>
      <c r="GX7" s="81"/>
      <c r="HD7" s="81"/>
      <c r="HJ7" s="10"/>
      <c r="HK7" s="179"/>
      <c r="HP7" s="81"/>
      <c r="HV7" s="81"/>
      <c r="IB7" s="81"/>
      <c r="IH7" s="81"/>
      <c r="IN7" s="81"/>
      <c r="IT7" s="81"/>
      <c r="JA7" s="179"/>
      <c r="JF7" s="81"/>
      <c r="JG7" s="179"/>
      <c r="JL7" s="81"/>
      <c r="JR7" s="81"/>
      <c r="JX7" s="81"/>
      <c r="KD7" s="81"/>
      <c r="KJ7" s="81"/>
      <c r="KM7" s="10"/>
      <c r="KP7" s="81"/>
      <c r="KV7" s="81"/>
      <c r="LB7" s="81"/>
      <c r="LH7" s="81"/>
      <c r="LN7" s="81"/>
      <c r="LT7" s="81"/>
      <c r="LZ7" s="81"/>
      <c r="MF7" s="81"/>
      <c r="ML7" s="81"/>
      <c r="MS7" s="179"/>
    </row>
    <row r="8" spans="1:361" x14ac:dyDescent="0.35">
      <c r="C8" s="127" t="s">
        <v>104</v>
      </c>
      <c r="H8" s="81"/>
      <c r="N8" s="81"/>
      <c r="T8" s="81"/>
      <c r="Z8" s="81"/>
      <c r="AF8" s="81"/>
      <c r="AL8" s="81"/>
      <c r="AR8" s="81"/>
      <c r="AX8" s="81"/>
      <c r="BD8" s="81"/>
      <c r="BJ8" s="81"/>
      <c r="BL8" s="40">
        <f>BL20</f>
        <v>-6.7400000000000002E-2</v>
      </c>
      <c r="BN8" s="40">
        <f>BN20</f>
        <v>-6.7400000000000002E-2</v>
      </c>
      <c r="BP8" s="161">
        <f>BP20</f>
        <v>-6.7400000000000002E-2</v>
      </c>
      <c r="BR8" s="40">
        <f>BR24</f>
        <v>-0.37740000000000001</v>
      </c>
      <c r="BT8" s="40">
        <f>BT24</f>
        <v>-0.37740000000000001</v>
      </c>
      <c r="BV8" s="161">
        <f>BV24</f>
        <v>-0.37740000000000001</v>
      </c>
      <c r="BX8" s="40">
        <f>BX24</f>
        <v>-0.37740000000000001</v>
      </c>
      <c r="BY8" s="10"/>
      <c r="BZ8" s="40">
        <f>BZ28</f>
        <v>-0.33360000000000001</v>
      </c>
      <c r="CB8" s="161">
        <f>CB28</f>
        <v>-0.33360000000000001</v>
      </c>
      <c r="CD8" s="40">
        <f>CD28</f>
        <v>-0.33360000000000001</v>
      </c>
      <c r="CF8" s="40">
        <f>CF28</f>
        <v>-0.33360000000000001</v>
      </c>
      <c r="CH8" s="161">
        <f>CH28</f>
        <v>-0.33360000000000001</v>
      </c>
      <c r="CJ8" s="40">
        <f>CJ36</f>
        <v>-0.23680000000000001</v>
      </c>
      <c r="CL8" s="40">
        <f>CL36</f>
        <v>-0.23680000000000001</v>
      </c>
      <c r="CN8" s="161">
        <f>CN36</f>
        <v>-0.23680000000000001</v>
      </c>
      <c r="CP8" s="40">
        <f>CP36</f>
        <v>-0.23680000000000001</v>
      </c>
      <c r="CR8" s="40">
        <f>CR36</f>
        <v>-0.23680000000000001</v>
      </c>
      <c r="CT8" s="161">
        <f>CT36</f>
        <v>-0.23680000000000001</v>
      </c>
      <c r="CZ8" s="81"/>
      <c r="DB8" s="40">
        <f>DB48</f>
        <v>-0.74760000000000004</v>
      </c>
      <c r="DD8" s="40">
        <f>DD48</f>
        <v>-0.74760000000000004</v>
      </c>
      <c r="DF8" s="161">
        <f>DF48</f>
        <v>-0.74760000000000004</v>
      </c>
      <c r="DH8" s="40"/>
      <c r="DJ8" s="40"/>
      <c r="DL8" s="161"/>
      <c r="DN8" s="40">
        <f>DN60</f>
        <v>0</v>
      </c>
      <c r="DO8" s="175"/>
      <c r="DP8" s="40">
        <f>DP60</f>
        <v>0</v>
      </c>
      <c r="DQ8" s="175"/>
      <c r="DR8" s="40">
        <f>DR60</f>
        <v>0</v>
      </c>
      <c r="DS8" s="179"/>
      <c r="DT8" s="40">
        <f>DT64</f>
        <v>0.52129999999999999</v>
      </c>
      <c r="DU8" s="175"/>
      <c r="DV8" s="40">
        <f>DV64</f>
        <v>0.52129999999999999</v>
      </c>
      <c r="DW8" s="175"/>
      <c r="DX8" s="40">
        <f>DX64</f>
        <v>0.52129999999999999</v>
      </c>
      <c r="DY8" s="179"/>
      <c r="DZ8" s="40">
        <f>DZ68</f>
        <v>0</v>
      </c>
      <c r="EA8" s="175"/>
      <c r="EB8" s="40">
        <f>EB68</f>
        <v>0</v>
      </c>
      <c r="EC8" s="175"/>
      <c r="ED8" s="40">
        <f>ED68</f>
        <v>0</v>
      </c>
      <c r="EE8" s="179"/>
      <c r="EF8" s="162">
        <f>EF72</f>
        <v>-1.3562278633064113</v>
      </c>
      <c r="EG8" s="10"/>
      <c r="EH8" s="162">
        <f>EH72</f>
        <v>-1.3562278633064113</v>
      </c>
      <c r="EI8" s="10"/>
      <c r="EJ8" s="162">
        <f>EJ72</f>
        <v>-1.3562278633064113</v>
      </c>
      <c r="EK8" s="179"/>
      <c r="EL8" s="162">
        <f>EL76</f>
        <v>-9.2808718543824921E-8</v>
      </c>
      <c r="EM8" s="10"/>
      <c r="EN8" s="162">
        <f>EN76</f>
        <v>-9.2808718543824921E-8</v>
      </c>
      <c r="EO8" s="10"/>
      <c r="EP8" s="162">
        <f>EP76</f>
        <v>-9.2808718543824921E-8</v>
      </c>
      <c r="EQ8" s="179"/>
      <c r="ER8" s="162">
        <f>ER80</f>
        <v>2.5192954380654324E-2</v>
      </c>
      <c r="ES8" s="10"/>
      <c r="ET8" s="162">
        <f>ET80</f>
        <v>2.5192954380654324E-2</v>
      </c>
      <c r="EU8" s="10"/>
      <c r="EV8" s="162">
        <f>EV80</f>
        <v>2.5192954380654324E-2</v>
      </c>
      <c r="EW8" s="179"/>
      <c r="EX8" s="162">
        <f>EX84</f>
        <v>0.20813833197200574</v>
      </c>
      <c r="EY8" s="10"/>
      <c r="EZ8" s="162">
        <f>EZ84</f>
        <v>0.20813833197200574</v>
      </c>
      <c r="FA8" s="10"/>
      <c r="FB8" s="162">
        <f>FB84</f>
        <v>0.20813833197200574</v>
      </c>
      <c r="FC8" s="179"/>
      <c r="FD8" s="162">
        <f>FD88</f>
        <v>0.23407415250415198</v>
      </c>
      <c r="FE8" s="10"/>
      <c r="FF8" s="162">
        <f>FF88</f>
        <v>0.23407415250415198</v>
      </c>
      <c r="FG8" s="10"/>
      <c r="FH8" s="162">
        <f>FH88</f>
        <v>0.23407415250415198</v>
      </c>
      <c r="FI8" s="179"/>
      <c r="FJ8" s="162">
        <f>FJ92</f>
        <v>0.13264235906393793</v>
      </c>
      <c r="FK8" s="10"/>
      <c r="FL8" s="162">
        <f>FL92</f>
        <v>0.13264235906393793</v>
      </c>
      <c r="FM8" s="10"/>
      <c r="FN8" s="162">
        <f>FN92</f>
        <v>0.13264235906393793</v>
      </c>
      <c r="FO8" s="184"/>
      <c r="FP8" s="162">
        <f>FP96</f>
        <v>0.11132317218110355</v>
      </c>
      <c r="FQ8" s="10"/>
      <c r="FR8" s="162">
        <f>FR96</f>
        <v>0.11132317218110355</v>
      </c>
      <c r="FS8" s="10"/>
      <c r="FT8" s="161">
        <f>FT96</f>
        <v>0.11132317218110355</v>
      </c>
      <c r="FV8" s="162">
        <f>FV100</f>
        <v>-8.9769418702264799E-3</v>
      </c>
      <c r="FW8" s="10"/>
      <c r="FX8" s="162">
        <f>FX100</f>
        <v>-8.9769418702264799E-3</v>
      </c>
      <c r="FY8" s="10"/>
      <c r="FZ8" s="161">
        <f>FZ100</f>
        <v>-8.9769418702264799E-3</v>
      </c>
      <c r="GB8" s="162">
        <f>GB104</f>
        <v>1.4242509590270231E-2</v>
      </c>
      <c r="GC8" s="10"/>
      <c r="GD8" s="162">
        <f>GD104</f>
        <v>1.4242509590270231E-2</v>
      </c>
      <c r="GE8" s="10"/>
      <c r="GF8" s="162">
        <f>GF104</f>
        <v>1.4242509590270231E-2</v>
      </c>
      <c r="GG8" s="179"/>
      <c r="GH8" s="162">
        <f>GH108</f>
        <v>3.8334390072602793E-3</v>
      </c>
      <c r="GI8" s="10"/>
      <c r="GJ8" s="162">
        <f>GJ108</f>
        <v>3.8334390072602793E-3</v>
      </c>
      <c r="GK8" s="10"/>
      <c r="GL8" s="162">
        <f>GL108</f>
        <v>3.8334390072602793E-3</v>
      </c>
      <c r="GM8" s="179"/>
      <c r="GN8" s="162">
        <f>GN112</f>
        <v>-6.3979462979555386E-3</v>
      </c>
      <c r="GO8" s="10"/>
      <c r="GP8" s="162">
        <f>GP112</f>
        <v>-6.3979462979555386E-3</v>
      </c>
      <c r="GQ8" s="10"/>
      <c r="GR8" s="162">
        <f>GR112</f>
        <v>-6.3979462979555386E-3</v>
      </c>
      <c r="GS8" s="179"/>
      <c r="GT8" s="162">
        <f>GT116</f>
        <v>-0.26899771250216598</v>
      </c>
      <c r="GU8" s="10"/>
      <c r="GV8" s="162">
        <f>GV116</f>
        <v>-0.26899771250216598</v>
      </c>
      <c r="GW8" s="10"/>
      <c r="GX8" s="162">
        <f>GX116</f>
        <v>-0.26899771250216598</v>
      </c>
      <c r="GY8" s="179"/>
      <c r="GZ8" s="162">
        <f>GZ120</f>
        <v>0.14408997670313278</v>
      </c>
      <c r="HA8" s="10"/>
      <c r="HB8" s="162">
        <f>HB120</f>
        <v>0.14408997670313278</v>
      </c>
      <c r="HC8" s="10"/>
      <c r="HD8" s="162">
        <f>HD120</f>
        <v>0.14408997670313278</v>
      </c>
      <c r="HE8" s="179"/>
      <c r="HF8" s="162">
        <f>HF124</f>
        <v>6.2019621831037854E-2</v>
      </c>
      <c r="HG8" s="10"/>
      <c r="HH8" s="162">
        <f>HH124</f>
        <v>6.2019621831037854E-2</v>
      </c>
      <c r="HI8" s="10"/>
      <c r="HJ8" s="162">
        <f>HJ124</f>
        <v>6.2019621831037854E-2</v>
      </c>
      <c r="HK8" s="179"/>
      <c r="HL8" s="162">
        <f>HL128</f>
        <v>1.6367940516871241E-2</v>
      </c>
      <c r="HM8" s="10"/>
      <c r="HN8" s="162">
        <f>HN128</f>
        <v>1.6367940516871241E-2</v>
      </c>
      <c r="HO8" s="10"/>
      <c r="HP8" s="162">
        <f>HP128</f>
        <v>1.6367940516871241E-2</v>
      </c>
      <c r="HQ8" s="179"/>
      <c r="HR8" s="162">
        <f>HR132</f>
        <v>-4.9888653214072293E-2</v>
      </c>
      <c r="HS8" s="10"/>
      <c r="HT8" s="162">
        <f>HT132</f>
        <v>-4.9888653214072293E-2</v>
      </c>
      <c r="HU8" s="10"/>
      <c r="HV8" s="162">
        <f>HV132</f>
        <v>-4.9888653214072293E-2</v>
      </c>
      <c r="HW8" s="179"/>
      <c r="HX8" s="162">
        <f>HX136</f>
        <v>-0.37696701355284562</v>
      </c>
      <c r="HY8" s="10"/>
      <c r="HZ8" s="162">
        <f>HZ136</f>
        <v>-0.37696701355284562</v>
      </c>
      <c r="IA8" s="10"/>
      <c r="IB8" s="162">
        <f>IB136</f>
        <v>-0.37696701355284562</v>
      </c>
      <c r="IC8" s="179"/>
      <c r="ID8" s="162">
        <f>ID140</f>
        <v>2.1159140750274382E-3</v>
      </c>
      <c r="IE8" s="10"/>
      <c r="IF8" s="162">
        <f>IF140</f>
        <v>2.1159140750274382E-3</v>
      </c>
      <c r="IG8" s="10"/>
      <c r="IH8" s="161">
        <f>IH140</f>
        <v>2.1159140750274382E-3</v>
      </c>
      <c r="IJ8" s="162">
        <f>IJ144</f>
        <v>2.0449228463831258E-2</v>
      </c>
      <c r="IK8" s="10"/>
      <c r="IL8" s="162">
        <f>IL144</f>
        <v>2.0449228463831258E-2</v>
      </c>
      <c r="IM8" s="10"/>
      <c r="IN8" s="162">
        <f>IN144</f>
        <v>2.0449228463831258E-2</v>
      </c>
      <c r="IO8" s="179"/>
      <c r="IP8" s="162">
        <f>IP148</f>
        <v>-6.0513849847945639E-2</v>
      </c>
      <c r="IQ8" s="10"/>
      <c r="IR8" s="162">
        <f>IR148</f>
        <v>-6.0513849847945639E-2</v>
      </c>
      <c r="IS8" s="10"/>
      <c r="IT8" s="162">
        <f>IT148</f>
        <v>-6.0513849847945639E-2</v>
      </c>
      <c r="IU8" s="179"/>
      <c r="IV8" s="162">
        <f>IV152</f>
        <v>-6.3899999999999998E-2</v>
      </c>
      <c r="IW8" s="10"/>
      <c r="IX8" s="162">
        <f>IX152</f>
        <v>-6.3899999999999998E-2</v>
      </c>
      <c r="IY8" s="10"/>
      <c r="IZ8" s="162">
        <f>IZ152</f>
        <v>-6.3899999999999998E-2</v>
      </c>
      <c r="JA8" s="179"/>
      <c r="JB8" s="162">
        <f>JB156</f>
        <v>5.1999999999999998E-3</v>
      </c>
      <c r="JC8" s="10"/>
      <c r="JD8" s="162">
        <f>JD156</f>
        <v>5.1999999999999998E-3</v>
      </c>
      <c r="JE8" s="10"/>
      <c r="JF8" s="161">
        <f>JF156</f>
        <v>5.1999999999999998E-3</v>
      </c>
      <c r="JG8" s="179"/>
      <c r="JH8" s="40">
        <f>JH160</f>
        <v>-2.9999999999999997E-4</v>
      </c>
      <c r="JI8" s="40"/>
      <c r="JJ8" s="40">
        <f>JJ160</f>
        <v>-2.9999999999999997E-4</v>
      </c>
      <c r="JK8" s="10"/>
      <c r="JL8" s="161">
        <f>JL160</f>
        <v>-2.9999999999999997E-4</v>
      </c>
      <c r="JN8" s="40">
        <f>JN164</f>
        <v>-7.7000000000000002E-3</v>
      </c>
      <c r="JO8" s="10"/>
      <c r="JP8" s="40">
        <f>JP164</f>
        <v>-7.7000000000000002E-3</v>
      </c>
      <c r="JQ8" s="10"/>
      <c r="JR8" s="161">
        <f>JR164</f>
        <v>-7.7000000000000002E-3</v>
      </c>
      <c r="JT8" s="162">
        <f>JT168</f>
        <v>1.78E-2</v>
      </c>
      <c r="JU8" s="10"/>
      <c r="JV8" s="162">
        <f>JV168</f>
        <v>1.78E-2</v>
      </c>
      <c r="JW8" s="10"/>
      <c r="JX8" s="162">
        <f>JX168</f>
        <v>1.78E-2</v>
      </c>
      <c r="JY8" s="179"/>
      <c r="JZ8" s="162">
        <f>JZ172</f>
        <v>-8.3599999999999994E-2</v>
      </c>
      <c r="KA8" s="10"/>
      <c r="KB8" s="162">
        <f>KB172</f>
        <v>-8.3599999999999994E-2</v>
      </c>
      <c r="KC8" s="10"/>
      <c r="KD8" s="161">
        <f>KD172</f>
        <v>-8.3599999999999994E-2</v>
      </c>
      <c r="KF8" s="162">
        <f>KF176</f>
        <v>-2.9600000000000001E-2</v>
      </c>
      <c r="KG8" s="10"/>
      <c r="KH8" s="162">
        <f>KH176</f>
        <v>-2.9600000000000001E-2</v>
      </c>
      <c r="KI8" s="10"/>
      <c r="KJ8" s="161">
        <f>KJ176</f>
        <v>-2.9600000000000001E-2</v>
      </c>
      <c r="KL8" s="162">
        <f>KL180</f>
        <v>-1.2800000000000001E-2</v>
      </c>
      <c r="KM8" s="10"/>
      <c r="KN8" s="162">
        <f>KN180</f>
        <v>-1.2800000000000001E-2</v>
      </c>
      <c r="KO8" s="10"/>
      <c r="KP8" s="162">
        <f>KP180</f>
        <v>-1.2800000000000001E-2</v>
      </c>
      <c r="KQ8" s="179"/>
      <c r="KR8" s="162">
        <f>KR184</f>
        <v>4.7500000000000001E-2</v>
      </c>
      <c r="KS8" s="10"/>
      <c r="KT8" s="162"/>
      <c r="KU8" s="10"/>
      <c r="KV8" s="161"/>
      <c r="KX8" s="162"/>
      <c r="KY8" s="10"/>
      <c r="KZ8" s="162"/>
      <c r="LA8" s="10"/>
      <c r="LB8" s="161"/>
      <c r="LD8" s="162"/>
      <c r="LE8" s="10"/>
      <c r="LF8" s="162"/>
      <c r="LG8" s="10"/>
      <c r="LH8" s="161"/>
      <c r="LJ8" s="162"/>
      <c r="LK8" s="10"/>
      <c r="LL8" s="162"/>
      <c r="LM8" s="10"/>
      <c r="LN8" s="161"/>
      <c r="LP8" s="162"/>
      <c r="LQ8" s="10"/>
      <c r="LR8" s="162"/>
      <c r="LS8" s="10"/>
      <c r="LT8" s="161"/>
      <c r="LV8" s="162"/>
      <c r="LW8" s="10"/>
      <c r="LX8" s="162"/>
      <c r="LY8" s="10"/>
      <c r="LZ8" s="161"/>
      <c r="MB8" s="162"/>
      <c r="MC8" s="10"/>
      <c r="MD8" s="162"/>
      <c r="ME8" s="10"/>
      <c r="MF8" s="161"/>
      <c r="MH8" s="162"/>
      <c r="MI8" s="10"/>
      <c r="MJ8" s="162"/>
      <c r="MK8" s="10"/>
      <c r="ML8" s="161"/>
      <c r="MN8" s="162"/>
      <c r="MO8" s="10"/>
      <c r="MP8" s="162"/>
      <c r="MQ8" s="10"/>
      <c r="MR8" s="162"/>
      <c r="MS8" s="179"/>
      <c r="MT8" s="162"/>
      <c r="MU8" s="10"/>
      <c r="MV8" s="162"/>
      <c r="MW8" s="10"/>
    </row>
    <row r="9" spans="1:361" x14ac:dyDescent="0.35">
      <c r="C9" s="127" t="s">
        <v>105</v>
      </c>
      <c r="H9" s="81"/>
      <c r="N9" s="81"/>
      <c r="T9" s="81"/>
      <c r="Z9" s="81"/>
      <c r="AF9" s="81"/>
      <c r="AL9" s="81"/>
      <c r="AR9" s="81"/>
      <c r="AX9" s="81"/>
      <c r="BD9" s="81"/>
      <c r="BF9" s="40">
        <f>BF20</f>
        <v>-6.7400000000000002E-2</v>
      </c>
      <c r="BH9" s="40">
        <f>BH20</f>
        <v>-6.7400000000000002E-2</v>
      </c>
      <c r="BJ9" s="161">
        <f>BJ20</f>
        <v>-6.7400000000000002E-2</v>
      </c>
      <c r="BL9" s="40">
        <f>BL24</f>
        <v>-0.37740000000000001</v>
      </c>
      <c r="BN9" s="40">
        <f>BN24</f>
        <v>-0.37740000000000001</v>
      </c>
      <c r="BP9" s="161">
        <f>BP24</f>
        <v>-0.37740000000000001</v>
      </c>
      <c r="BR9" s="40">
        <f>BR28</f>
        <v>-0.33360000000000001</v>
      </c>
      <c r="BT9" s="40">
        <f>BT28</f>
        <v>-0.33360000000000001</v>
      </c>
      <c r="BV9" s="161">
        <f>BV28</f>
        <v>-0.33360000000000001</v>
      </c>
      <c r="BX9" s="162">
        <f>BX28</f>
        <v>-0.33360000000000001</v>
      </c>
      <c r="BY9" s="10"/>
      <c r="BZ9" s="40">
        <f>BZ32</f>
        <v>-0.86129999999999995</v>
      </c>
      <c r="CB9" s="161">
        <f>CB32</f>
        <v>-0.86129999999999995</v>
      </c>
      <c r="CD9" s="40">
        <f>CD32</f>
        <v>-0.86129999999999995</v>
      </c>
      <c r="CF9" s="40">
        <f>CF32</f>
        <v>-0.86129999999999995</v>
      </c>
      <c r="CH9" s="161">
        <f>CH32</f>
        <v>-0.86129999999999995</v>
      </c>
      <c r="CJ9" s="40">
        <f>CJ40</f>
        <v>6.2799999999999995E-2</v>
      </c>
      <c r="CL9" s="40">
        <f>CL40</f>
        <v>6.2799999999999995E-2</v>
      </c>
      <c r="CN9" s="161">
        <f>CN40</f>
        <v>6.2799999999999995E-2</v>
      </c>
      <c r="CP9" s="40">
        <f>CP40</f>
        <v>6.2799999999999995E-2</v>
      </c>
      <c r="CR9" s="40">
        <f>CR40</f>
        <v>6.2799999999999995E-2</v>
      </c>
      <c r="CT9" s="161">
        <f>CT40</f>
        <v>6.2799999999999995E-2</v>
      </c>
      <c r="CV9" s="40">
        <f>CV48</f>
        <v>-0.74760000000000004</v>
      </c>
      <c r="CX9" s="40">
        <f>CX48</f>
        <v>-0.74760000000000004</v>
      </c>
      <c r="CZ9" s="161">
        <f>CZ48</f>
        <v>-0.74760000000000004</v>
      </c>
      <c r="DF9" s="81"/>
      <c r="DL9" s="81"/>
      <c r="DN9" s="40">
        <f>DN64</f>
        <v>0.52129999999999999</v>
      </c>
      <c r="DO9" s="175"/>
      <c r="DP9" s="40">
        <f>DP64</f>
        <v>0.52129999999999999</v>
      </c>
      <c r="DQ9" s="175"/>
      <c r="DR9" s="40">
        <f>DR64</f>
        <v>0.52129999999999999</v>
      </c>
      <c r="DS9" s="179"/>
      <c r="DT9" s="40">
        <f>DT68</f>
        <v>0</v>
      </c>
      <c r="DU9" s="175"/>
      <c r="DV9" s="40">
        <f>DV68</f>
        <v>0</v>
      </c>
      <c r="DW9" s="175"/>
      <c r="DX9" s="40">
        <f>DX68</f>
        <v>0</v>
      </c>
      <c r="DY9" s="179"/>
      <c r="DZ9" s="40">
        <f>DZ72</f>
        <v>-1.3562278633064113</v>
      </c>
      <c r="EA9" s="175"/>
      <c r="EB9" s="40">
        <f>EB72</f>
        <v>-1.3562278633064113</v>
      </c>
      <c r="EC9" s="175"/>
      <c r="ED9" s="40">
        <f>ED72</f>
        <v>-1.3562278633064113</v>
      </c>
      <c r="EE9" s="179"/>
      <c r="EF9" s="162">
        <f>EF76</f>
        <v>-9.2808718543824921E-8</v>
      </c>
      <c r="EG9" s="10"/>
      <c r="EH9" s="162">
        <f>EH76</f>
        <v>-9.2808718543824921E-8</v>
      </c>
      <c r="EI9" s="10"/>
      <c r="EJ9" s="162">
        <f>EJ76</f>
        <v>-9.2808718543824921E-8</v>
      </c>
      <c r="EK9" s="179"/>
      <c r="EL9" s="162">
        <f>EL80</f>
        <v>2.5192954380654324E-2</v>
      </c>
      <c r="EM9" s="10"/>
      <c r="EN9" s="162">
        <f>EN80</f>
        <v>2.5192954380654324E-2</v>
      </c>
      <c r="EO9" s="10"/>
      <c r="EP9" s="162">
        <f>EP80</f>
        <v>2.5192954380654324E-2</v>
      </c>
      <c r="EQ9" s="179"/>
      <c r="ER9" s="162">
        <f>ER84</f>
        <v>0.20813833197200574</v>
      </c>
      <c r="ES9" s="10"/>
      <c r="ET9" s="162">
        <f>ET84</f>
        <v>0.20813833197200574</v>
      </c>
      <c r="EU9" s="10"/>
      <c r="EV9" s="162">
        <f>EV84</f>
        <v>0.20813833197200574</v>
      </c>
      <c r="EW9" s="179"/>
      <c r="EX9" s="40">
        <f>EX88</f>
        <v>0.23407415250415198</v>
      </c>
      <c r="EZ9" s="40">
        <f>EZ88</f>
        <v>0.23407415250415198</v>
      </c>
      <c r="FB9" s="40">
        <f>FB88</f>
        <v>0.23407415250415198</v>
      </c>
      <c r="FC9" s="179"/>
      <c r="FD9" s="40">
        <f>FD92</f>
        <v>0.13264235906393793</v>
      </c>
      <c r="FF9" s="40">
        <f>FF92</f>
        <v>0.13264235906393793</v>
      </c>
      <c r="FH9" s="40">
        <f>FH92</f>
        <v>0.13264235906393793</v>
      </c>
      <c r="FI9" s="179"/>
      <c r="FJ9" s="40">
        <f>FJ96</f>
        <v>0.11132317218110355</v>
      </c>
      <c r="FL9" s="40">
        <f>FL96</f>
        <v>0.11132317218110355</v>
      </c>
      <c r="FN9" s="40">
        <f>FN96</f>
        <v>0.11132317218110355</v>
      </c>
      <c r="FO9" s="184"/>
      <c r="FP9" s="40">
        <f>FP100</f>
        <v>-8.9769418702264799E-3</v>
      </c>
      <c r="FR9" s="40">
        <f>FR100</f>
        <v>-8.9769418702264799E-3</v>
      </c>
      <c r="FT9" s="161">
        <f>FT100</f>
        <v>-8.9769418702264799E-3</v>
      </c>
      <c r="FV9" s="40">
        <f>FV104</f>
        <v>1.4242509590270231E-2</v>
      </c>
      <c r="FX9" s="40">
        <f>FX104</f>
        <v>1.4242509590270231E-2</v>
      </c>
      <c r="FZ9" s="161">
        <f>FZ104</f>
        <v>1.4242509590270231E-2</v>
      </c>
      <c r="GB9" s="40">
        <f>GB108</f>
        <v>3.8334390072602793E-3</v>
      </c>
      <c r="GD9" s="40">
        <f>GD108</f>
        <v>3.8334390072602793E-3</v>
      </c>
      <c r="GF9" s="40">
        <f>GF108</f>
        <v>3.8334390072602793E-3</v>
      </c>
      <c r="GG9" s="179"/>
      <c r="GH9" s="40">
        <f>GH112</f>
        <v>-6.3979462979555386E-3</v>
      </c>
      <c r="GJ9" s="40">
        <f>GJ112</f>
        <v>-6.3979462979555386E-3</v>
      </c>
      <c r="GL9" s="40">
        <f>GL112</f>
        <v>-6.3979462979555386E-3</v>
      </c>
      <c r="GM9" s="179"/>
      <c r="GN9" s="40">
        <f>GN116</f>
        <v>-0.26899771250216598</v>
      </c>
      <c r="GP9" s="40">
        <f>GP116</f>
        <v>-0.26899771250216598</v>
      </c>
      <c r="GR9" s="40">
        <f>GR116</f>
        <v>-0.26899771250216598</v>
      </c>
      <c r="GS9" s="179"/>
      <c r="GT9" s="40">
        <f>GT120</f>
        <v>0.14408997670313278</v>
      </c>
      <c r="GV9" s="40">
        <f>GV120</f>
        <v>0.14408997670313278</v>
      </c>
      <c r="GX9" s="40">
        <f>GX120</f>
        <v>0.14408997670313278</v>
      </c>
      <c r="GY9" s="179"/>
      <c r="GZ9" s="40">
        <f>GZ124</f>
        <v>6.2019621831037854E-2</v>
      </c>
      <c r="HB9" s="40">
        <f>HB124</f>
        <v>6.2019621831037854E-2</v>
      </c>
      <c r="HD9" s="40">
        <f>HD124</f>
        <v>6.2019621831037854E-2</v>
      </c>
      <c r="HE9" s="179"/>
      <c r="HF9" s="40">
        <f>HF128</f>
        <v>1.6367940516871241E-2</v>
      </c>
      <c r="HH9" s="40">
        <f>HH128</f>
        <v>1.6367940516871241E-2</v>
      </c>
      <c r="HJ9" s="40">
        <f>HJ128</f>
        <v>1.6367940516871241E-2</v>
      </c>
      <c r="HK9" s="179"/>
      <c r="HL9" s="40">
        <f>HL132</f>
        <v>-4.9888653214072293E-2</v>
      </c>
      <c r="HN9" s="40">
        <f>HN132</f>
        <v>-4.9888653214072293E-2</v>
      </c>
      <c r="HP9" s="40">
        <f>HP132</f>
        <v>-4.9888653214072293E-2</v>
      </c>
      <c r="HQ9" s="179"/>
      <c r="HR9" s="40">
        <f>HR136</f>
        <v>-0.37696701355284562</v>
      </c>
      <c r="HT9" s="40">
        <f>HT136</f>
        <v>-0.37696701355284562</v>
      </c>
      <c r="HV9" s="40">
        <f>HV136</f>
        <v>-0.37696701355284562</v>
      </c>
      <c r="HW9" s="179"/>
      <c r="HX9" s="40">
        <f>HX140</f>
        <v>2.1159140750274382E-3</v>
      </c>
      <c r="HZ9" s="40">
        <f>HZ140</f>
        <v>2.1159140750274382E-3</v>
      </c>
      <c r="IB9" s="40">
        <f>IB140</f>
        <v>2.1159140750274382E-3</v>
      </c>
      <c r="IC9" s="179"/>
      <c r="ID9" s="40">
        <f>ID144</f>
        <v>2.0449228463831258E-2</v>
      </c>
      <c r="IF9" s="40">
        <f>IF144</f>
        <v>2.0449228463831258E-2</v>
      </c>
      <c r="IH9" s="161">
        <f>IH144</f>
        <v>2.0449228463831258E-2</v>
      </c>
      <c r="IJ9" s="40">
        <f>IJ148</f>
        <v>-6.0513849847945639E-2</v>
      </c>
      <c r="IL9" s="40">
        <f>IL148</f>
        <v>-6.0513849847945639E-2</v>
      </c>
      <c r="IN9" s="40">
        <f>IN148</f>
        <v>-6.0513849847945639E-2</v>
      </c>
      <c r="IO9" s="179"/>
      <c r="IP9" s="40">
        <f>IP152</f>
        <v>-6.3899999999999998E-2</v>
      </c>
      <c r="IR9" s="40">
        <f>IR152</f>
        <v>-6.3899999999999998E-2</v>
      </c>
      <c r="IT9" s="40">
        <f>IT152</f>
        <v>-6.3899999999999998E-2</v>
      </c>
      <c r="IU9" s="179"/>
      <c r="IV9" s="40">
        <f>IV156</f>
        <v>5.1999999999999998E-3</v>
      </c>
      <c r="IX9" s="40">
        <f>IX156</f>
        <v>5.1999999999999998E-3</v>
      </c>
      <c r="IZ9" s="40">
        <f>IZ156</f>
        <v>5.1999999999999998E-3</v>
      </c>
      <c r="JA9" s="179"/>
      <c r="JB9" s="40">
        <f>JB160</f>
        <v>-2.9999999999999997E-4</v>
      </c>
      <c r="JD9" s="40">
        <f>JD160</f>
        <v>-2.9999999999999997E-4</v>
      </c>
      <c r="JF9" s="161">
        <f>JF160</f>
        <v>-2.9999999999999997E-4</v>
      </c>
      <c r="JG9" s="179"/>
      <c r="JH9" s="40">
        <f>JH164</f>
        <v>-7.7000000000000002E-3</v>
      </c>
      <c r="JI9" s="40"/>
      <c r="JJ9" s="40">
        <f>JJ164</f>
        <v>-7.7000000000000002E-3</v>
      </c>
      <c r="JL9" s="161">
        <f>JL164</f>
        <v>-7.7000000000000002E-3</v>
      </c>
      <c r="JN9" s="40">
        <f>JN168</f>
        <v>1.78E-2</v>
      </c>
      <c r="JP9" s="40">
        <f>JP168</f>
        <v>1.78E-2</v>
      </c>
      <c r="JR9" s="161">
        <f>JR168</f>
        <v>1.78E-2</v>
      </c>
      <c r="JT9" s="162">
        <f>JT172</f>
        <v>-8.3599999999999994E-2</v>
      </c>
      <c r="JU9" s="10"/>
      <c r="JV9" s="162">
        <f>JV172</f>
        <v>-8.3599999999999994E-2</v>
      </c>
      <c r="JX9" s="162">
        <f>JX172</f>
        <v>-8.3599999999999994E-2</v>
      </c>
      <c r="JY9" s="179"/>
      <c r="JZ9" s="162">
        <f>JZ176</f>
        <v>-2.9600000000000001E-2</v>
      </c>
      <c r="KB9" s="162">
        <f>KB176</f>
        <v>-2.9600000000000001E-2</v>
      </c>
      <c r="KD9" s="161">
        <f>KD176</f>
        <v>-2.9600000000000001E-2</v>
      </c>
      <c r="KF9" s="40">
        <f>KF180</f>
        <v>-1.2800000000000001E-2</v>
      </c>
      <c r="KH9" s="40">
        <f>KH180</f>
        <v>-1.2800000000000001E-2</v>
      </c>
      <c r="KJ9" s="161">
        <f>KJ180</f>
        <v>-1.2800000000000001E-2</v>
      </c>
      <c r="KL9" s="162">
        <f>KL184</f>
        <v>4.7500000000000001E-2</v>
      </c>
      <c r="KM9" s="10"/>
      <c r="KN9" s="162">
        <f>KN184</f>
        <v>4.7500000000000001E-2</v>
      </c>
      <c r="KP9" s="162">
        <f>KP184</f>
        <v>4.7500000000000001E-2</v>
      </c>
      <c r="KQ9" s="179"/>
      <c r="KR9" s="162">
        <f>KR188</f>
        <v>0</v>
      </c>
      <c r="KV9" s="81"/>
      <c r="LB9" s="81"/>
      <c r="LH9" s="81"/>
      <c r="LN9" s="81"/>
      <c r="LT9" s="81"/>
      <c r="LZ9" s="81"/>
      <c r="MF9" s="81"/>
      <c r="ML9" s="81"/>
      <c r="MS9" s="179"/>
    </row>
    <row r="10" spans="1:361" x14ac:dyDescent="0.35">
      <c r="C10" s="127" t="s">
        <v>106</v>
      </c>
      <c r="H10" s="81"/>
      <c r="N10" s="81"/>
      <c r="T10" s="81"/>
      <c r="Z10" s="81"/>
      <c r="AF10" s="81"/>
      <c r="AL10" s="81"/>
      <c r="AR10" s="81"/>
      <c r="AT10" s="40"/>
      <c r="AV10" s="40"/>
      <c r="AX10" s="161"/>
      <c r="AZ10" s="40">
        <f>AZ20</f>
        <v>-6.7400000000000002E-2</v>
      </c>
      <c r="BB10" s="40">
        <f>BB20</f>
        <v>-6.7400000000000002E-2</v>
      </c>
      <c r="BD10" s="161">
        <f>BD20</f>
        <v>-6.7400000000000002E-2</v>
      </c>
      <c r="BF10" s="40">
        <f>BF24</f>
        <v>-0.37740000000000001</v>
      </c>
      <c r="BH10" s="40">
        <f>BH24</f>
        <v>-0.37740000000000001</v>
      </c>
      <c r="BJ10" s="161">
        <f>BJ24</f>
        <v>-0.37740000000000001</v>
      </c>
      <c r="BL10" s="40">
        <f>BL28</f>
        <v>-0.33360000000000001</v>
      </c>
      <c r="BN10" s="40">
        <f>BN28</f>
        <v>-0.33360000000000001</v>
      </c>
      <c r="BP10" s="161">
        <f>BP28</f>
        <v>-0.33360000000000001</v>
      </c>
      <c r="BR10" s="40">
        <f>BR32</f>
        <v>-0.86129999999999995</v>
      </c>
      <c r="BT10" s="40">
        <f>BT32</f>
        <v>-0.86129999999999995</v>
      </c>
      <c r="BV10" s="161">
        <f>BV32</f>
        <v>-0.86129999999999995</v>
      </c>
      <c r="BX10" s="162">
        <f>BX32</f>
        <v>-0.86129999999999995</v>
      </c>
      <c r="BY10" s="10"/>
      <c r="BZ10" s="40">
        <f>BZ36</f>
        <v>-0.23680000000000001</v>
      </c>
      <c r="CB10" s="161">
        <f>CB36</f>
        <v>-0.23680000000000001</v>
      </c>
      <c r="CD10" s="40">
        <f>CD36</f>
        <v>-0.23680000000000001</v>
      </c>
      <c r="CF10" s="40">
        <f>CF36</f>
        <v>-0.23680000000000001</v>
      </c>
      <c r="CH10" s="161">
        <f>CH36</f>
        <v>-0.23680000000000001</v>
      </c>
      <c r="CP10" s="40">
        <f>CP48</f>
        <v>-0.74760000000000004</v>
      </c>
      <c r="CR10" s="40">
        <f>CR48</f>
        <v>-0.74760000000000004</v>
      </c>
      <c r="CT10" s="161">
        <f>CT48</f>
        <v>-0.74760000000000004</v>
      </c>
      <c r="CZ10" s="81"/>
      <c r="DF10" s="81"/>
      <c r="DH10" s="40">
        <f>DH64</f>
        <v>0.52129999999999999</v>
      </c>
      <c r="DJ10" s="40">
        <f>DJ64</f>
        <v>0.52129999999999999</v>
      </c>
      <c r="DL10" s="161">
        <f>DL64</f>
        <v>0.52129999999999999</v>
      </c>
      <c r="DN10" s="40">
        <f>DN68</f>
        <v>0</v>
      </c>
      <c r="DO10" s="175"/>
      <c r="DP10" s="40">
        <f>DP68</f>
        <v>0</v>
      </c>
      <c r="DQ10" s="175"/>
      <c r="DR10" s="40">
        <f>DR68</f>
        <v>0</v>
      </c>
      <c r="DS10" s="179"/>
      <c r="DT10" s="40">
        <f>DT72</f>
        <v>-1.3562278633064113</v>
      </c>
      <c r="DU10" s="175"/>
      <c r="DV10" s="40">
        <f>DV72</f>
        <v>-1.3562278633064113</v>
      </c>
      <c r="DW10" s="175"/>
      <c r="DX10" s="40">
        <f>DX72</f>
        <v>-1.3562278633064113</v>
      </c>
      <c r="DY10" s="179"/>
      <c r="DZ10" s="40">
        <f>DZ76</f>
        <v>-9.2808718543824921E-8</v>
      </c>
      <c r="EA10" s="175"/>
      <c r="EB10" s="40">
        <f>EB76</f>
        <v>-9.2808718543824921E-8</v>
      </c>
      <c r="EC10" s="175"/>
      <c r="ED10" s="40">
        <f>ED76</f>
        <v>-9.2808718543824921E-8</v>
      </c>
      <c r="EE10" s="179"/>
      <c r="EF10" s="162">
        <f>EF80</f>
        <v>2.5192954380654324E-2</v>
      </c>
      <c r="EG10" s="10"/>
      <c r="EH10" s="162">
        <f>EH80</f>
        <v>2.5192954380654324E-2</v>
      </c>
      <c r="EI10" s="10"/>
      <c r="EJ10" s="162">
        <f>EJ80</f>
        <v>2.5192954380654324E-2</v>
      </c>
      <c r="EK10" s="179"/>
      <c r="EL10" s="162">
        <f>EL84</f>
        <v>0.20813833197200574</v>
      </c>
      <c r="EM10" s="10"/>
      <c r="EN10" s="162">
        <f>EN84</f>
        <v>0.20813833197200574</v>
      </c>
      <c r="EO10" s="10"/>
      <c r="EP10" s="162">
        <f>EP84</f>
        <v>0.20813833197200574</v>
      </c>
      <c r="EQ10" s="179"/>
      <c r="ER10" s="40">
        <f>ER88</f>
        <v>0.23407415250415198</v>
      </c>
      <c r="ET10" s="40">
        <f>ET88</f>
        <v>0.23407415250415198</v>
      </c>
      <c r="EV10" s="40">
        <f>EV88</f>
        <v>0.23407415250415198</v>
      </c>
      <c r="EW10" s="179"/>
      <c r="EX10" s="40">
        <f>EX92</f>
        <v>0.13264235906393793</v>
      </c>
      <c r="EZ10" s="40">
        <f>EZ92</f>
        <v>0.13264235906393793</v>
      </c>
      <c r="FB10" s="40">
        <f>FB92</f>
        <v>0.13264235906393793</v>
      </c>
      <c r="FC10" s="179"/>
      <c r="FD10" s="40">
        <f>FD96</f>
        <v>0.11132317218110355</v>
      </c>
      <c r="FF10" s="40">
        <f>FF96</f>
        <v>0.11132317218110355</v>
      </c>
      <c r="FH10" s="40">
        <f>FH96</f>
        <v>0.11132317218110355</v>
      </c>
      <c r="FI10" s="179"/>
      <c r="FJ10" s="40">
        <f>FJ100</f>
        <v>-8.9769418702264799E-3</v>
      </c>
      <c r="FL10" s="40">
        <f>FL100</f>
        <v>-8.9769418702264799E-3</v>
      </c>
      <c r="FN10" s="40">
        <f>FN100</f>
        <v>-8.9769418702264799E-3</v>
      </c>
      <c r="FO10" s="184"/>
      <c r="FP10" s="40">
        <f>FP104</f>
        <v>1.4242509590270231E-2</v>
      </c>
      <c r="FR10" s="40">
        <f>FR104</f>
        <v>1.4242509590270231E-2</v>
      </c>
      <c r="FT10" s="161">
        <f>FT104</f>
        <v>1.4242509590270231E-2</v>
      </c>
      <c r="FV10" s="40">
        <f>FV108</f>
        <v>3.8334390072602793E-3</v>
      </c>
      <c r="FX10" s="40">
        <f>FX108</f>
        <v>3.8334390072602793E-3</v>
      </c>
      <c r="FZ10" s="161">
        <f>FZ108</f>
        <v>3.8334390072602793E-3</v>
      </c>
      <c r="GB10" s="40">
        <f>GB112</f>
        <v>-6.3979462979555386E-3</v>
      </c>
      <c r="GD10" s="40">
        <f>GD112</f>
        <v>-6.3979462979555386E-3</v>
      </c>
      <c r="GF10" s="40">
        <f>GF112</f>
        <v>-6.3979462979555386E-3</v>
      </c>
      <c r="GG10" s="179"/>
      <c r="GH10" s="40">
        <f>GH116</f>
        <v>-0.26899771250216598</v>
      </c>
      <c r="GJ10" s="40">
        <f>GJ116</f>
        <v>-0.26899771250216598</v>
      </c>
      <c r="GL10" s="40">
        <f>GL116</f>
        <v>-0.26899771250216598</v>
      </c>
      <c r="GM10" s="179"/>
      <c r="GN10" s="40">
        <f>GN120</f>
        <v>0.14408997670313278</v>
      </c>
      <c r="GP10" s="40">
        <f>GP120</f>
        <v>0.14408997670313278</v>
      </c>
      <c r="GR10" s="40">
        <f>GR120</f>
        <v>0.14408997670313278</v>
      </c>
      <c r="GS10" s="179"/>
      <c r="GT10" s="40">
        <f>GT124</f>
        <v>6.2019621831037854E-2</v>
      </c>
      <c r="GV10" s="40">
        <f>GV124</f>
        <v>6.2019621831037854E-2</v>
      </c>
      <c r="GX10" s="40">
        <f>GX124</f>
        <v>6.2019621831037854E-2</v>
      </c>
      <c r="GY10" s="179"/>
      <c r="GZ10" s="40">
        <f>GZ128</f>
        <v>1.6367940516871241E-2</v>
      </c>
      <c r="HB10" s="40">
        <f>HB128</f>
        <v>1.6367940516871241E-2</v>
      </c>
      <c r="HD10" s="40">
        <f>HD128</f>
        <v>1.6367940516871241E-2</v>
      </c>
      <c r="HE10" s="179"/>
      <c r="HF10" s="40">
        <f>HF132</f>
        <v>-4.9888653214072293E-2</v>
      </c>
      <c r="HH10" s="40">
        <f>HH132</f>
        <v>-4.9888653214072293E-2</v>
      </c>
      <c r="HJ10" s="40">
        <f>HJ132</f>
        <v>-4.9888653214072293E-2</v>
      </c>
      <c r="HK10" s="179"/>
      <c r="HL10" s="40">
        <f>HL136</f>
        <v>-0.37696701355284562</v>
      </c>
      <c r="HN10" s="40">
        <f>HN136</f>
        <v>-0.37696701355284562</v>
      </c>
      <c r="HP10" s="40">
        <f>HP136</f>
        <v>-0.37696701355284562</v>
      </c>
      <c r="HQ10" s="179"/>
      <c r="HR10" s="40">
        <f>HR140</f>
        <v>2.1159140750274382E-3</v>
      </c>
      <c r="HT10" s="40">
        <f>HT140</f>
        <v>2.1159140750274382E-3</v>
      </c>
      <c r="HV10" s="40">
        <f>HV140</f>
        <v>2.1159140750274382E-3</v>
      </c>
      <c r="HW10" s="179"/>
      <c r="HX10" s="40">
        <f>HX144</f>
        <v>2.0449228463831258E-2</v>
      </c>
      <c r="HZ10" s="40">
        <f>HZ144</f>
        <v>2.0449228463831258E-2</v>
      </c>
      <c r="IB10" s="40">
        <f>IB144</f>
        <v>2.0449228463831258E-2</v>
      </c>
      <c r="IC10" s="179"/>
      <c r="ID10" s="40">
        <f>ID148</f>
        <v>-6.0513849847945639E-2</v>
      </c>
      <c r="IF10" s="40">
        <f>IF148</f>
        <v>-6.0513849847945639E-2</v>
      </c>
      <c r="IH10" s="161">
        <f>IH148</f>
        <v>-6.0513849847945639E-2</v>
      </c>
      <c r="IJ10" s="40">
        <f>IJ152</f>
        <v>-6.3899999999999998E-2</v>
      </c>
      <c r="IL10" s="40">
        <f>IL152</f>
        <v>-6.3899999999999998E-2</v>
      </c>
      <c r="IN10" s="40">
        <f>IN152</f>
        <v>-6.3899999999999998E-2</v>
      </c>
      <c r="IO10" s="179"/>
      <c r="IP10" s="40">
        <f>IP156</f>
        <v>5.1999999999999998E-3</v>
      </c>
      <c r="IR10" s="40">
        <f>IR156</f>
        <v>5.1999999999999998E-3</v>
      </c>
      <c r="IT10" s="40">
        <f>IT156</f>
        <v>5.1999999999999998E-3</v>
      </c>
      <c r="IU10" s="179"/>
      <c r="IV10" s="40">
        <f>IV160</f>
        <v>-2.9999999999999997E-4</v>
      </c>
      <c r="IX10" s="40">
        <f>IX160</f>
        <v>-2.9999999999999997E-4</v>
      </c>
      <c r="IZ10" s="40">
        <f>IZ160</f>
        <v>-2.9999999999999997E-4</v>
      </c>
      <c r="JA10" s="179"/>
      <c r="JB10" s="40">
        <f>JB164</f>
        <v>-7.7000000000000002E-3</v>
      </c>
      <c r="JD10" s="40">
        <f>JD164</f>
        <v>-7.7000000000000002E-3</v>
      </c>
      <c r="JF10" s="161">
        <f>JF164</f>
        <v>-7.7000000000000002E-3</v>
      </c>
      <c r="JG10" s="179"/>
      <c r="JH10" s="40">
        <f>JH168</f>
        <v>1.78E-2</v>
      </c>
      <c r="JI10" s="40"/>
      <c r="JJ10" s="40">
        <f>JJ168</f>
        <v>1.78E-2</v>
      </c>
      <c r="JL10" s="161">
        <f>JL168</f>
        <v>1.78E-2</v>
      </c>
      <c r="JN10" s="40">
        <f>JN172</f>
        <v>-8.3599999999999994E-2</v>
      </c>
      <c r="JP10" s="40">
        <f>JP172</f>
        <v>-8.3599999999999994E-2</v>
      </c>
      <c r="JR10" s="161">
        <f>JR172</f>
        <v>-8.3599999999999994E-2</v>
      </c>
      <c r="JT10" s="162">
        <f>JT176</f>
        <v>-2.9600000000000001E-2</v>
      </c>
      <c r="JU10" s="10"/>
      <c r="JV10" s="162">
        <f>JV176</f>
        <v>-2.9600000000000001E-2</v>
      </c>
      <c r="JX10" s="162">
        <f>JX176</f>
        <v>-2.9600000000000001E-2</v>
      </c>
      <c r="JY10" s="179"/>
      <c r="JZ10" s="40">
        <f>JZ180</f>
        <v>-1.2800000000000001E-2</v>
      </c>
      <c r="KB10" s="40">
        <f>KB180</f>
        <v>-1.2800000000000001E-2</v>
      </c>
      <c r="KD10" s="161">
        <f>KD180</f>
        <v>-1.2800000000000001E-2</v>
      </c>
      <c r="KF10" s="40">
        <f>KF184</f>
        <v>4.7500000000000001E-2</v>
      </c>
      <c r="KH10" s="40">
        <f>KH184</f>
        <v>4.7500000000000001E-2</v>
      </c>
      <c r="KJ10" s="161">
        <f>KJ184</f>
        <v>4.7500000000000001E-2</v>
      </c>
      <c r="KL10" s="162">
        <f>KL188</f>
        <v>0</v>
      </c>
      <c r="KM10" s="10"/>
      <c r="KN10" s="162">
        <f>KN188</f>
        <v>0</v>
      </c>
      <c r="KP10" s="162">
        <f>KP188</f>
        <v>0</v>
      </c>
      <c r="KQ10" s="179"/>
      <c r="KR10" s="162">
        <f>KR192</f>
        <v>5.2750225391356997E-4</v>
      </c>
      <c r="KV10" s="81"/>
      <c r="LB10" s="81"/>
      <c r="LH10" s="81"/>
      <c r="LN10" s="81"/>
      <c r="LT10" s="81"/>
      <c r="LZ10" s="81"/>
      <c r="MF10" s="81"/>
      <c r="ML10" s="81"/>
      <c r="MS10" s="179"/>
    </row>
    <row r="11" spans="1:361" x14ac:dyDescent="0.35">
      <c r="C11" s="127" t="s">
        <v>107</v>
      </c>
      <c r="H11" s="81"/>
      <c r="N11" s="81"/>
      <c r="T11" s="81"/>
      <c r="Z11" s="81"/>
      <c r="AF11" s="81"/>
      <c r="AL11" s="81"/>
      <c r="AN11" s="40">
        <f>AN20</f>
        <v>-6.7400000000000002E-2</v>
      </c>
      <c r="AP11" s="40">
        <f>AP20</f>
        <v>-6.7400000000000002E-2</v>
      </c>
      <c r="AR11" s="161">
        <f>AR20</f>
        <v>-6.7400000000000002E-2</v>
      </c>
      <c r="AT11" s="40">
        <f>AT20</f>
        <v>-6.7400000000000002E-2</v>
      </c>
      <c r="AV11" s="40">
        <f>AV20</f>
        <v>-6.7400000000000002E-2</v>
      </c>
      <c r="AX11" s="161">
        <f>AX20</f>
        <v>-6.7400000000000002E-2</v>
      </c>
      <c r="AZ11" s="40">
        <f>AZ24</f>
        <v>-0.37740000000000001</v>
      </c>
      <c r="BB11" s="40">
        <f>BB24</f>
        <v>-0.37740000000000001</v>
      </c>
      <c r="BD11" s="161">
        <f>BD24</f>
        <v>-0.37740000000000001</v>
      </c>
      <c r="BF11" s="40">
        <f>BF28</f>
        <v>-0.33360000000000001</v>
      </c>
      <c r="BH11" s="40">
        <f>BH28</f>
        <v>-0.33360000000000001</v>
      </c>
      <c r="BJ11" s="161">
        <f>BJ28</f>
        <v>-0.33360000000000001</v>
      </c>
      <c r="BL11" s="40">
        <f>BL32</f>
        <v>-0.86129999999999995</v>
      </c>
      <c r="BN11" s="40">
        <f>BN32</f>
        <v>-0.86129999999999995</v>
      </c>
      <c r="BP11" s="161">
        <f>BP32</f>
        <v>-0.86129999999999995</v>
      </c>
      <c r="BR11" s="40">
        <f>BR36</f>
        <v>-0.23680000000000001</v>
      </c>
      <c r="BT11" s="40">
        <f>BT36</f>
        <v>-0.23680000000000001</v>
      </c>
      <c r="BV11" s="161">
        <f>BV36</f>
        <v>-0.23680000000000001</v>
      </c>
      <c r="BX11" s="40">
        <f>BX36</f>
        <v>-0.23680000000000001</v>
      </c>
      <c r="BY11" s="10"/>
      <c r="BZ11" s="40">
        <f>BZ40</f>
        <v>6.2799999999999995E-2</v>
      </c>
      <c r="CB11" s="166">
        <f>CB40</f>
        <v>6.2799999999999995E-2</v>
      </c>
      <c r="CD11" s="40">
        <f>CD40</f>
        <v>6.2799999999999995E-2</v>
      </c>
      <c r="CF11" s="40">
        <f>CF40</f>
        <v>6.2799999999999995E-2</v>
      </c>
      <c r="CH11" s="166">
        <f>CH40</f>
        <v>6.2799999999999995E-2</v>
      </c>
      <c r="CJ11" s="40">
        <f>CJ48</f>
        <v>-0.74760000000000004</v>
      </c>
      <c r="CL11" s="40">
        <f>CL48</f>
        <v>-0.74760000000000004</v>
      </c>
      <c r="CN11" s="161">
        <f>CN48</f>
        <v>-0.74760000000000004</v>
      </c>
      <c r="CT11" s="81"/>
      <c r="CZ11" s="167"/>
      <c r="DB11" s="40">
        <f>DB64</f>
        <v>0.52129999999999999</v>
      </c>
      <c r="DD11" s="40">
        <f>DD64</f>
        <v>0.52129999999999999</v>
      </c>
      <c r="DF11" s="166">
        <f>DF64</f>
        <v>0.52129999999999999</v>
      </c>
      <c r="DL11" s="167"/>
      <c r="DN11" s="40">
        <f>DN72</f>
        <v>-1.3562278633064113</v>
      </c>
      <c r="DO11" s="175"/>
      <c r="DP11" s="40">
        <f>DP72</f>
        <v>-1.3562278633064113</v>
      </c>
      <c r="DQ11" s="175"/>
      <c r="DR11" s="40">
        <f>DR72</f>
        <v>-1.3562278633064113</v>
      </c>
      <c r="DS11" s="179"/>
      <c r="DT11" s="40">
        <f>DT76</f>
        <v>-9.2808718543824921E-8</v>
      </c>
      <c r="DU11" s="175"/>
      <c r="DV11" s="40">
        <f>DV76</f>
        <v>-9.2808718543824921E-8</v>
      </c>
      <c r="DW11" s="175"/>
      <c r="DX11" s="40">
        <f>DX76</f>
        <v>-9.2808718543824921E-8</v>
      </c>
      <c r="DY11" s="179"/>
      <c r="DZ11" s="40">
        <f>DZ80</f>
        <v>2.5192954380654324E-2</v>
      </c>
      <c r="EA11" s="175"/>
      <c r="EB11" s="40">
        <f>EB80</f>
        <v>2.5192954380654324E-2</v>
      </c>
      <c r="EC11" s="175"/>
      <c r="ED11" s="40">
        <f>ED80</f>
        <v>2.5192954380654324E-2</v>
      </c>
      <c r="EE11" s="179"/>
      <c r="EF11" s="162">
        <f>EF84</f>
        <v>0.20813833197200574</v>
      </c>
      <c r="EG11" s="10"/>
      <c r="EH11" s="162">
        <f>EH84</f>
        <v>0.20813833197200574</v>
      </c>
      <c r="EI11" s="10"/>
      <c r="EJ11" s="162">
        <f>EJ84</f>
        <v>0.20813833197200574</v>
      </c>
      <c r="EK11" s="179"/>
      <c r="EL11" s="40">
        <f>EL88</f>
        <v>0.23407415250415198</v>
      </c>
      <c r="EN11" s="40">
        <f>EN88</f>
        <v>0.23407415250415198</v>
      </c>
      <c r="EP11" s="40">
        <f>EP88</f>
        <v>0.23407415250415198</v>
      </c>
      <c r="EQ11" s="179"/>
      <c r="ER11" s="40">
        <f>ER92</f>
        <v>0.13264235906393793</v>
      </c>
      <c r="ET11" s="40">
        <f>ET92</f>
        <v>0.13264235906393793</v>
      </c>
      <c r="EV11" s="40">
        <f>EV92</f>
        <v>0.13264235906393793</v>
      </c>
      <c r="EW11" s="179"/>
      <c r="EX11" s="40">
        <f>EX96</f>
        <v>0.11132317218110355</v>
      </c>
      <c r="EZ11" s="40">
        <f>EZ96</f>
        <v>0.11132317218110355</v>
      </c>
      <c r="FB11" s="40">
        <f>FB96</f>
        <v>0.11132317218110355</v>
      </c>
      <c r="FC11" s="179"/>
      <c r="FD11" s="40">
        <f>FD100</f>
        <v>-8.9769418702264799E-3</v>
      </c>
      <c r="FF11" s="40">
        <f>FF100</f>
        <v>-8.9769418702264799E-3</v>
      </c>
      <c r="FH11" s="40">
        <f>FH100</f>
        <v>-8.9769418702264799E-3</v>
      </c>
      <c r="FI11" s="179"/>
      <c r="FJ11" s="40">
        <f>FJ104</f>
        <v>1.4242509590270231E-2</v>
      </c>
      <c r="FL11" s="40">
        <f>FL104</f>
        <v>1.4242509590270231E-2</v>
      </c>
      <c r="FN11" s="40">
        <f>FN104</f>
        <v>1.4242509590270231E-2</v>
      </c>
      <c r="FO11" s="184"/>
      <c r="FP11" s="40">
        <f>FP108</f>
        <v>3.8334390072602793E-3</v>
      </c>
      <c r="FR11" s="40">
        <f>FR108</f>
        <v>3.8334390072602793E-3</v>
      </c>
      <c r="FT11" s="161">
        <f>FT108</f>
        <v>3.8334390072602793E-3</v>
      </c>
      <c r="FV11" s="40">
        <f>FV112</f>
        <v>-6.3979462979555386E-3</v>
      </c>
      <c r="FX11" s="40">
        <f>FX112</f>
        <v>-6.3979462979555386E-3</v>
      </c>
      <c r="FZ11" s="161">
        <f>FZ112</f>
        <v>-6.3979462979555386E-3</v>
      </c>
      <c r="GB11" s="40">
        <f>GB116</f>
        <v>-0.26899771250216598</v>
      </c>
      <c r="GD11" s="40">
        <f>GD116</f>
        <v>-0.26899771250216598</v>
      </c>
      <c r="GF11" s="40">
        <f>GF116</f>
        <v>-0.26899771250216598</v>
      </c>
      <c r="GG11" s="179"/>
      <c r="GH11" s="40">
        <f>GH120</f>
        <v>0.14408997670313278</v>
      </c>
      <c r="GJ11" s="40">
        <f>GJ120</f>
        <v>0.14408997670313278</v>
      </c>
      <c r="GL11" s="40">
        <f>GL120</f>
        <v>0.14408997670313278</v>
      </c>
      <c r="GM11" s="179"/>
      <c r="GN11" s="40">
        <f>GN124</f>
        <v>6.2019621831037854E-2</v>
      </c>
      <c r="GP11" s="40">
        <f>GP124</f>
        <v>6.2019621831037854E-2</v>
      </c>
      <c r="GR11" s="40">
        <f>GR124</f>
        <v>6.2019621831037854E-2</v>
      </c>
      <c r="GS11" s="179"/>
      <c r="GT11" s="40">
        <f>GT128</f>
        <v>1.6367940516871241E-2</v>
      </c>
      <c r="GV11" s="40">
        <f>GV128</f>
        <v>1.6367940516871241E-2</v>
      </c>
      <c r="GX11" s="40">
        <f>GX128</f>
        <v>1.6367940516871241E-2</v>
      </c>
      <c r="GY11" s="179"/>
      <c r="GZ11" s="40">
        <f>GZ132</f>
        <v>-4.9888653214072293E-2</v>
      </c>
      <c r="HB11" s="40">
        <f>HB132</f>
        <v>-4.9888653214072293E-2</v>
      </c>
      <c r="HD11" s="40">
        <f>HD132</f>
        <v>-4.9888653214072293E-2</v>
      </c>
      <c r="HE11" s="179"/>
      <c r="HF11" s="40">
        <f>HF136</f>
        <v>-0.37696701355284562</v>
      </c>
      <c r="HH11" s="40">
        <f>HH136</f>
        <v>-0.37696701355284562</v>
      </c>
      <c r="HJ11" s="40">
        <f>HJ136</f>
        <v>-0.37696701355284562</v>
      </c>
      <c r="HK11" s="179"/>
      <c r="HL11" s="40">
        <f>HL140</f>
        <v>2.1159140750274382E-3</v>
      </c>
      <c r="HN11" s="40">
        <f>HN140</f>
        <v>2.1159140750274382E-3</v>
      </c>
      <c r="HP11" s="40">
        <f>HP140</f>
        <v>2.1159140750274382E-3</v>
      </c>
      <c r="HQ11" s="179"/>
      <c r="HR11" s="40">
        <f>HR144</f>
        <v>2.0449228463831258E-2</v>
      </c>
      <c r="HT11" s="40">
        <f>HT144</f>
        <v>2.0449228463831258E-2</v>
      </c>
      <c r="HV11" s="40">
        <f>HV144</f>
        <v>2.0449228463831258E-2</v>
      </c>
      <c r="HW11" s="179"/>
      <c r="HX11" s="40">
        <f>HX148</f>
        <v>-6.0513849847945639E-2</v>
      </c>
      <c r="HZ11" s="40">
        <f>HZ148</f>
        <v>-6.0513849847945639E-2</v>
      </c>
      <c r="IB11" s="40">
        <f>IB148</f>
        <v>-6.0513849847945639E-2</v>
      </c>
      <c r="IC11" s="179"/>
      <c r="ID11" s="40">
        <f>ID152</f>
        <v>-6.3899999999999998E-2</v>
      </c>
      <c r="IF11" s="40">
        <f>IF152</f>
        <v>-6.3899999999999998E-2</v>
      </c>
      <c r="IH11" s="161">
        <f>IH152</f>
        <v>-6.3899999999999998E-2</v>
      </c>
      <c r="IJ11" s="40">
        <f>IJ156</f>
        <v>5.1999999999999998E-3</v>
      </c>
      <c r="IL11" s="40">
        <f>IL156</f>
        <v>5.1999999999999998E-3</v>
      </c>
      <c r="IN11" s="40">
        <f>IN156</f>
        <v>5.1999999999999998E-3</v>
      </c>
      <c r="IO11" s="179"/>
      <c r="IP11" s="40">
        <f>IP160</f>
        <v>-2.9999999999999997E-4</v>
      </c>
      <c r="IR11" s="40">
        <f>IR160</f>
        <v>-2.9999999999999997E-4</v>
      </c>
      <c r="IT11" s="40">
        <f>IT160</f>
        <v>-2.9999999999999997E-4</v>
      </c>
      <c r="IU11" s="179"/>
      <c r="IV11" s="40">
        <f>IV164</f>
        <v>-7.7000000000000002E-3</v>
      </c>
      <c r="IX11" s="40">
        <f>IX164</f>
        <v>-7.7000000000000002E-3</v>
      </c>
      <c r="IZ11" s="40">
        <f>IZ164</f>
        <v>-7.7000000000000002E-3</v>
      </c>
      <c r="JA11" s="179"/>
      <c r="JB11" s="40">
        <f>JB168</f>
        <v>1.78E-2</v>
      </c>
      <c r="JD11" s="40">
        <f>JD168</f>
        <v>1.78E-2</v>
      </c>
      <c r="JF11" s="161">
        <f>JF168</f>
        <v>1.78E-2</v>
      </c>
      <c r="JG11" s="179"/>
      <c r="JH11" s="40">
        <f>JH172</f>
        <v>-8.3599999999999994E-2</v>
      </c>
      <c r="JJ11" s="40">
        <f>JJ172</f>
        <v>-8.3599999999999994E-2</v>
      </c>
      <c r="JL11" s="161">
        <f>JL172</f>
        <v>-8.3599999999999994E-2</v>
      </c>
      <c r="JN11" s="40">
        <f>JN176</f>
        <v>-2.9600000000000001E-2</v>
      </c>
      <c r="JP11" s="40">
        <f>JP176</f>
        <v>-2.9600000000000001E-2</v>
      </c>
      <c r="JR11" s="161">
        <f>JR176</f>
        <v>-2.9600000000000001E-2</v>
      </c>
      <c r="JT11" s="40">
        <f>JT180</f>
        <v>-1.2800000000000001E-2</v>
      </c>
      <c r="JU11" s="10"/>
      <c r="JV11" s="40">
        <f>JV180</f>
        <v>-1.2800000000000001E-2</v>
      </c>
      <c r="JX11" s="40">
        <f>JX180</f>
        <v>-1.2800000000000001E-2</v>
      </c>
      <c r="JY11" s="179"/>
      <c r="JZ11" s="40">
        <f>JZ184</f>
        <v>4.7500000000000001E-2</v>
      </c>
      <c r="KB11" s="40">
        <f>KB184</f>
        <v>4.7500000000000001E-2</v>
      </c>
      <c r="KD11" s="161">
        <f>KD184</f>
        <v>4.7500000000000001E-2</v>
      </c>
      <c r="KF11" s="40">
        <f>KF188</f>
        <v>0</v>
      </c>
      <c r="KH11" s="40">
        <f>KH188</f>
        <v>0</v>
      </c>
      <c r="KJ11" s="161">
        <f>KJ188</f>
        <v>0</v>
      </c>
      <c r="KL11" s="162">
        <f>KL192</f>
        <v>5.2750225391356997E-4</v>
      </c>
      <c r="KM11" s="10"/>
      <c r="KN11" s="162">
        <f>KN192</f>
        <v>5.2750225391356997E-4</v>
      </c>
      <c r="KP11" s="162">
        <f>KP192</f>
        <v>5.2750225391356997E-4</v>
      </c>
      <c r="KQ11" s="179"/>
      <c r="KR11" s="40">
        <f>KR196</f>
        <v>8.5550143581165417E-2</v>
      </c>
      <c r="KV11" s="81"/>
      <c r="LB11" s="81"/>
      <c r="LH11" s="81"/>
      <c r="LN11" s="81"/>
      <c r="LT11" s="81"/>
      <c r="LZ11" s="81"/>
      <c r="MF11" s="81"/>
      <c r="ML11" s="81"/>
      <c r="MS11" s="179"/>
    </row>
    <row r="12" spans="1:361" x14ac:dyDescent="0.35">
      <c r="H12" s="81"/>
      <c r="N12" s="81"/>
      <c r="T12" s="81"/>
      <c r="Z12" s="81"/>
      <c r="AF12" s="81"/>
      <c r="AL12" s="81"/>
      <c r="AR12" s="81"/>
      <c r="AX12" s="81"/>
      <c r="AZ12" s="164">
        <f>SUM(AZ10:AZ11)</f>
        <v>-0.44480000000000003</v>
      </c>
      <c r="BB12" s="164">
        <f>SUM(BB10:BB11)</f>
        <v>-0.44480000000000003</v>
      </c>
      <c r="BD12" s="165">
        <f>SUM(BD10:BD11)</f>
        <v>-0.44480000000000003</v>
      </c>
      <c r="BF12" s="164">
        <f>SUM(BF9:BF11)</f>
        <v>-0.77839999999999998</v>
      </c>
      <c r="BH12" s="164">
        <f>SUM(BH9:BH11)</f>
        <v>-0.77839999999999998</v>
      </c>
      <c r="BJ12" s="165">
        <f>SUM(BJ9:BJ11)</f>
        <v>-0.77839999999999998</v>
      </c>
      <c r="BL12" s="164">
        <f>SUM(BL8:BL11)</f>
        <v>-1.6396999999999999</v>
      </c>
      <c r="BN12" s="164">
        <f>SUM(BN8:BN11)</f>
        <v>-1.6396999999999999</v>
      </c>
      <c r="BP12" s="165">
        <f>SUM(BP8:BP11)</f>
        <v>-1.6396999999999999</v>
      </c>
      <c r="BR12" s="164">
        <f>SUM(BR8:BR11)</f>
        <v>-1.8090999999999999</v>
      </c>
      <c r="BT12" s="164">
        <f>SUM(BT8:BT11)</f>
        <v>-1.8090999999999999</v>
      </c>
      <c r="BV12" s="165">
        <f>SUM(BV8:BV11)</f>
        <v>-1.8090999999999999</v>
      </c>
      <c r="BX12" s="164">
        <f>SUM(BX8:BX11)</f>
        <v>-1.8090999999999999</v>
      </c>
      <c r="BY12" s="10"/>
      <c r="BZ12" s="164">
        <f>SUM(BZ8:BZ11)</f>
        <v>-1.3689000000000002</v>
      </c>
      <c r="CB12" s="165">
        <f>SUM(CB8:CB11)</f>
        <v>-1.3689000000000002</v>
      </c>
      <c r="CD12" s="164">
        <f>SUM(CD8:CD11)</f>
        <v>-1.3689000000000002</v>
      </c>
      <c r="CF12" s="164">
        <f>SUM(CF8:CF11)</f>
        <v>-1.3689000000000002</v>
      </c>
      <c r="CH12" s="165">
        <f>SUM(CH8:CH11)</f>
        <v>-1.3689000000000002</v>
      </c>
      <c r="CJ12" s="164">
        <f>SUM(CJ8:CJ11)</f>
        <v>-0.92160000000000009</v>
      </c>
      <c r="CL12" s="164">
        <f>SUM(CL8:CL11)</f>
        <v>-0.92160000000000009</v>
      </c>
      <c r="CN12" s="165">
        <f>SUM(CN8:CN11)</f>
        <v>-0.92160000000000009</v>
      </c>
      <c r="CP12" s="164">
        <f>SUM(CP8:CP10)</f>
        <v>-0.92160000000000009</v>
      </c>
      <c r="CR12" s="164">
        <f>SUM(CR8:CR10)</f>
        <v>-0.92160000000000009</v>
      </c>
      <c r="CT12" s="165">
        <f>SUM(CT8:CT10)</f>
        <v>-0.92160000000000009</v>
      </c>
      <c r="CV12" s="164">
        <f>SUM(CV9:CV10)</f>
        <v>-0.74760000000000004</v>
      </c>
      <c r="CX12" s="164">
        <f>SUM(CX9:CX10)</f>
        <v>-0.74760000000000004</v>
      </c>
      <c r="CZ12" s="165">
        <f>SUM(CZ9:CZ10)</f>
        <v>-0.74760000000000004</v>
      </c>
      <c r="DB12" s="164">
        <f>SUM(DB8:DB11)</f>
        <v>-0.22630000000000006</v>
      </c>
      <c r="DD12" s="164">
        <f>SUM(DD8:DD11)</f>
        <v>-0.22630000000000006</v>
      </c>
      <c r="DF12" s="165">
        <f>SUM(DF8:DF11)</f>
        <v>-0.22630000000000006</v>
      </c>
      <c r="DH12" s="164">
        <f>SUM(DH8:DH11)</f>
        <v>0.52129999999999999</v>
      </c>
      <c r="DJ12" s="164">
        <f>SUM(DJ8:DJ11)</f>
        <v>0.52129999999999999</v>
      </c>
      <c r="DL12" s="164">
        <f>SUM(DL8:DL11)</f>
        <v>0.52129999999999999</v>
      </c>
      <c r="DM12" s="179"/>
      <c r="DN12" s="164">
        <f>SUM(DN8:DN11)</f>
        <v>-0.83492786330641133</v>
      </c>
      <c r="DO12" s="175"/>
      <c r="DP12" s="164">
        <f>SUM(DP8:DP11)</f>
        <v>-0.83492786330641133</v>
      </c>
      <c r="DQ12" s="175"/>
      <c r="DR12" s="164">
        <f>SUM(DR8:DR11)</f>
        <v>-0.83492786330641133</v>
      </c>
      <c r="DS12" s="179"/>
      <c r="DT12" s="164">
        <f>SUM(DT8:DT11)</f>
        <v>-0.83492795611512993</v>
      </c>
      <c r="DU12" s="175"/>
      <c r="DV12" s="164">
        <f>SUM(DV8:DV11)</f>
        <v>-0.83492795611512993</v>
      </c>
      <c r="DW12" s="175"/>
      <c r="DX12" s="164">
        <f>SUM(DX8:DX11)</f>
        <v>-0.83492795611512993</v>
      </c>
      <c r="DY12" s="179"/>
      <c r="DZ12" s="164">
        <f>SUM(DZ8:DZ11)</f>
        <v>-1.3310350017344754</v>
      </c>
      <c r="EA12" s="175"/>
      <c r="EB12" s="164">
        <f>SUM(EB8:EB11)</f>
        <v>-1.3310350017344754</v>
      </c>
      <c r="EC12" s="175"/>
      <c r="ED12" s="164">
        <f>SUM(ED8:ED11)</f>
        <v>-1.3310350017344754</v>
      </c>
      <c r="EE12" s="179"/>
      <c r="EF12" s="164">
        <f>SUM(EF8:EF11)</f>
        <v>-1.1228966697624696</v>
      </c>
      <c r="EH12" s="164">
        <f>SUM(EH8:EH11)</f>
        <v>-1.1228966697624696</v>
      </c>
      <c r="EJ12" s="164">
        <f>SUM(EJ8:EJ11)</f>
        <v>-1.1228966697624696</v>
      </c>
      <c r="EK12" s="179"/>
      <c r="EL12" s="164">
        <f>SUM(EL8:EL11)</f>
        <v>0.46740534604809347</v>
      </c>
      <c r="EN12" s="164">
        <f>SUM(EN8:EN11)</f>
        <v>0.46740534604809347</v>
      </c>
      <c r="EP12" s="164">
        <f>SUM(EP8:EP11)</f>
        <v>0.46740534604809347</v>
      </c>
      <c r="EQ12" s="179"/>
      <c r="ER12" s="164">
        <f>SUM(ER8:ER11)</f>
        <v>0.60004779792075003</v>
      </c>
      <c r="ES12" s="175"/>
      <c r="ET12" s="164">
        <f>SUM(ET8:ET11)</f>
        <v>0.60004779792075003</v>
      </c>
      <c r="EU12" s="175"/>
      <c r="EV12" s="164">
        <f>SUM(EV8:EV11)</f>
        <v>0.60004779792075003</v>
      </c>
      <c r="EW12" s="179"/>
      <c r="EX12" s="164">
        <f>SUM(EX8:EX11)</f>
        <v>0.68617801572119919</v>
      </c>
      <c r="EZ12" s="164">
        <f>SUM(EZ8:EZ11)</f>
        <v>0.68617801572119919</v>
      </c>
      <c r="FB12" s="164">
        <f>SUM(FB8:FB11)</f>
        <v>0.68617801572119919</v>
      </c>
      <c r="FC12" s="179"/>
      <c r="FD12" s="164">
        <f>SUM(FD8:FD11)</f>
        <v>0.46906274187896702</v>
      </c>
      <c r="FF12" s="164">
        <f>SUM(FF8:FF11)</f>
        <v>0.46906274187896702</v>
      </c>
      <c r="FH12" s="164">
        <f>SUM(FH8:FH11)</f>
        <v>0.46906274187896702</v>
      </c>
      <c r="FI12" s="179"/>
      <c r="FJ12" s="164">
        <f>SUM(FJ8:FJ11)</f>
        <v>0.24923109896508522</v>
      </c>
      <c r="FL12" s="164">
        <f>SUM(FL8:FL11)</f>
        <v>0.24923109896508522</v>
      </c>
      <c r="FN12" s="164">
        <f>SUM(FN8:FN11)</f>
        <v>0.24923109896508522</v>
      </c>
      <c r="FO12" s="184"/>
      <c r="FP12" s="164">
        <f>SUM(FP8:FP11)</f>
        <v>0.12042217890840759</v>
      </c>
      <c r="FR12" s="164">
        <f>SUM(FR8:FR11)</f>
        <v>0.12042217890840759</v>
      </c>
      <c r="FT12" s="165">
        <f>SUM(FT8:FT11)</f>
        <v>0.12042217890840759</v>
      </c>
      <c r="FV12" s="164">
        <f>SUM(FV8:FV11)</f>
        <v>2.7010604293484907E-3</v>
      </c>
      <c r="FX12" s="164">
        <f>SUM(FX8:FX11)</f>
        <v>2.7010604293484907E-3</v>
      </c>
      <c r="FZ12" s="165">
        <f>SUM(FZ8:FZ11)</f>
        <v>2.7010604293484907E-3</v>
      </c>
      <c r="GB12" s="164">
        <f>SUM(GB8:GB11)</f>
        <v>-0.25731971020259098</v>
      </c>
      <c r="GD12" s="164">
        <f>SUM(GD8:GD11)</f>
        <v>-0.25731971020259098</v>
      </c>
      <c r="GF12" s="164">
        <f>SUM(GF8:GF11)</f>
        <v>-0.25731971020259098</v>
      </c>
      <c r="GG12" s="179"/>
      <c r="GH12" s="164">
        <f>SUM(GH8:GH11)</f>
        <v>-0.12747224308972843</v>
      </c>
      <c r="GJ12" s="164">
        <f>SUM(GJ8:GJ11)</f>
        <v>-0.12747224308972843</v>
      </c>
      <c r="GL12" s="164">
        <f>SUM(GL8:GL11)</f>
        <v>-0.12747224308972843</v>
      </c>
      <c r="GM12" s="179"/>
      <c r="GN12" s="164">
        <f>SUM(GN8:GN11)</f>
        <v>-6.9286060265950883E-2</v>
      </c>
      <c r="GP12" s="164">
        <f>SUM(GP8:GP11)</f>
        <v>-6.9286060265950883E-2</v>
      </c>
      <c r="GR12" s="164">
        <f>SUM(GR8:GR11)</f>
        <v>-6.9286060265950883E-2</v>
      </c>
      <c r="GS12" s="179"/>
      <c r="GT12" s="164">
        <f>SUM(GT8:GT11)</f>
        <v>-4.6520173451124108E-2</v>
      </c>
      <c r="GV12" s="164">
        <f>SUM(GV8:GV11)</f>
        <v>-4.6520173451124108E-2</v>
      </c>
      <c r="GX12" s="164">
        <f>SUM(GX8:GX11)</f>
        <v>-4.6520173451124108E-2</v>
      </c>
      <c r="GY12" s="179"/>
      <c r="GZ12" s="164">
        <f>SUM(GZ8:GZ11)</f>
        <v>0.17258888583696957</v>
      </c>
      <c r="HB12" s="164">
        <f>SUM(HB8:HB11)</f>
        <v>0.17258888583696957</v>
      </c>
      <c r="HD12" s="164">
        <f>SUM(HD8:HD11)</f>
        <v>0.17258888583696957</v>
      </c>
      <c r="HE12" s="179"/>
      <c r="HF12" s="164">
        <f>SUM(HF8:HF11)</f>
        <v>-0.34846810441900883</v>
      </c>
      <c r="HH12" s="164">
        <f>SUM(HH8:HH11)</f>
        <v>-0.34846810441900883</v>
      </c>
      <c r="HJ12" s="164">
        <f>SUM(HJ8:HJ11)</f>
        <v>-0.34846810441900883</v>
      </c>
      <c r="HK12" s="179"/>
      <c r="HL12" s="164">
        <f>SUM(HL8:HL11)</f>
        <v>-0.40837181217501928</v>
      </c>
      <c r="HN12" s="164">
        <f>SUM(HN8:HN11)</f>
        <v>-0.40837181217501928</v>
      </c>
      <c r="HP12" s="164">
        <f>SUM(HP8:HP11)</f>
        <v>-0.40837181217501928</v>
      </c>
      <c r="HQ12" s="179"/>
      <c r="HR12" s="164">
        <f>SUM(HR8:HR11)</f>
        <v>-0.40429052422805922</v>
      </c>
      <c r="HT12" s="164">
        <f>SUM(HT8:HT11)</f>
        <v>-0.40429052422805922</v>
      </c>
      <c r="HV12" s="164">
        <f>SUM(HV8:HV11)</f>
        <v>-0.40429052422805922</v>
      </c>
      <c r="HW12" s="179"/>
      <c r="HX12" s="164">
        <f>SUM(HX8:HX11)</f>
        <v>-0.41491572086193262</v>
      </c>
      <c r="HZ12" s="164">
        <f>SUM(HZ8:HZ11)</f>
        <v>-0.41491572086193262</v>
      </c>
      <c r="IB12" s="164">
        <f>SUM(IB8:IB11)</f>
        <v>-0.41491572086193262</v>
      </c>
      <c r="IC12" s="179"/>
      <c r="ID12" s="164">
        <f>SUM(ID8:ID11)</f>
        <v>-0.10184870730908693</v>
      </c>
      <c r="IF12" s="164">
        <f>SUM(IF8:IF11)</f>
        <v>-0.10184870730908693</v>
      </c>
      <c r="IH12" s="165">
        <f>SUM(IH8:IH11)</f>
        <v>-0.10184870730908693</v>
      </c>
      <c r="IJ12" s="164">
        <f>SUM(IJ8:IJ11)</f>
        <v>-9.876462138411439E-2</v>
      </c>
      <c r="IL12" s="164">
        <f>SUM(IL8:IL11)</f>
        <v>-9.876462138411439E-2</v>
      </c>
      <c r="IN12" s="164">
        <f>SUM(IN8:IN11)</f>
        <v>-9.876462138411439E-2</v>
      </c>
      <c r="IO12" s="179"/>
      <c r="IP12" s="164">
        <f>SUM(IP8:IP11)</f>
        <v>-0.11951384984794564</v>
      </c>
      <c r="IR12" s="164">
        <f>SUM(IR8:IR11)</f>
        <v>-0.11951384984794564</v>
      </c>
      <c r="IT12" s="164">
        <f>SUM(IT8:IT11)</f>
        <v>-0.11951384984794564</v>
      </c>
      <c r="IU12" s="179"/>
      <c r="IV12" s="164">
        <f>SUM(IV8:IV11)</f>
        <v>-6.6700000000000009E-2</v>
      </c>
      <c r="IX12" s="164">
        <f>SUM(IX8:IX11)</f>
        <v>-6.6700000000000009E-2</v>
      </c>
      <c r="IZ12" s="164">
        <f>SUM(IZ8:IZ11)</f>
        <v>-6.6700000000000009E-2</v>
      </c>
      <c r="JA12" s="179"/>
      <c r="JB12" s="164">
        <f>SUM(JB8:JB11)</f>
        <v>1.4999999999999999E-2</v>
      </c>
      <c r="JD12" s="164">
        <f>SUM(JD8:JD11)</f>
        <v>1.4999999999999999E-2</v>
      </c>
      <c r="JF12" s="165">
        <f>SUM(JF8:JF11)</f>
        <v>1.4999999999999999E-2</v>
      </c>
      <c r="JG12" s="179"/>
      <c r="JH12" s="164">
        <f>SUM(JH8:JH11)</f>
        <v>-7.3799999999999991E-2</v>
      </c>
      <c r="JJ12" s="164">
        <f>SUM(JJ8:JJ11)</f>
        <v>-7.3799999999999991E-2</v>
      </c>
      <c r="JL12" s="165">
        <f>SUM(JL8:JL11)</f>
        <v>-7.3799999999999991E-2</v>
      </c>
      <c r="JN12" s="164">
        <f>SUM(JN8:JN11)</f>
        <v>-0.1031</v>
      </c>
      <c r="JP12" s="164">
        <f>SUM(JP8:JP11)</f>
        <v>-0.1031</v>
      </c>
      <c r="JR12" s="165">
        <f>SUM(JR8:JR11)</f>
        <v>-0.1031</v>
      </c>
      <c r="JT12" s="164">
        <f>SUM(JT8:JT11)</f>
        <v>-0.1082</v>
      </c>
      <c r="JU12" s="10"/>
      <c r="JV12" s="164">
        <f>SUM(JV8:JV11)</f>
        <v>-0.1082</v>
      </c>
      <c r="JX12" s="164">
        <f>SUM(JX8:JX11)</f>
        <v>-0.1082</v>
      </c>
      <c r="JY12" s="179"/>
      <c r="JZ12" s="164">
        <f>SUM(JZ8:JZ11)</f>
        <v>-7.85E-2</v>
      </c>
      <c r="KB12" s="164">
        <f>SUM(KB8:KB11)</f>
        <v>-7.85E-2</v>
      </c>
      <c r="KD12" s="165">
        <f>SUM(KD8:KD11)</f>
        <v>-7.85E-2</v>
      </c>
      <c r="KF12" s="164">
        <f>SUM(KF8:KF11)</f>
        <v>5.1000000000000004E-3</v>
      </c>
      <c r="KH12" s="164">
        <f>SUM(KH8:KH11)</f>
        <v>5.1000000000000004E-3</v>
      </c>
      <c r="KJ12" s="165">
        <f>SUM(KJ8:KJ11)</f>
        <v>5.1000000000000004E-3</v>
      </c>
      <c r="KL12" s="164">
        <f>SUM(KL8:KL11)</f>
        <v>3.5227502253913572E-2</v>
      </c>
      <c r="KM12" s="10"/>
      <c r="KN12" s="164">
        <f>SUM(KN8:KN11)</f>
        <v>3.5227502253913572E-2</v>
      </c>
      <c r="KP12" s="164">
        <f>SUM(KP8:KP11)</f>
        <v>3.5227502253913572E-2</v>
      </c>
      <c r="KQ12" s="179"/>
      <c r="KR12" s="164">
        <f>SUM(KR8:KR10)</f>
        <v>4.802750225391357E-2</v>
      </c>
      <c r="KV12" s="81"/>
      <c r="LB12" s="81"/>
      <c r="LH12" s="81"/>
      <c r="LN12" s="81"/>
      <c r="LT12" s="81"/>
      <c r="LZ12" s="81"/>
      <c r="MF12" s="81"/>
      <c r="ML12" s="81"/>
      <c r="MS12" s="179"/>
    </row>
    <row r="13" spans="1:361" x14ac:dyDescent="0.35">
      <c r="H13" s="81"/>
      <c r="N13" s="81"/>
      <c r="T13" s="81"/>
      <c r="Z13" s="81"/>
      <c r="AF13" s="81"/>
      <c r="AL13" s="81"/>
      <c r="AR13" s="81"/>
      <c r="AX13" s="81"/>
      <c r="BD13" s="81"/>
      <c r="BJ13" s="81"/>
      <c r="BP13" s="81"/>
      <c r="BV13" s="81"/>
      <c r="BX13" s="10"/>
      <c r="BY13" s="10"/>
      <c r="BZ13" s="10"/>
      <c r="CB13" s="81"/>
      <c r="CD13" s="10"/>
      <c r="CF13" s="10"/>
      <c r="CH13" s="81"/>
      <c r="CN13" s="81"/>
      <c r="CT13" s="81"/>
      <c r="CZ13" s="81"/>
      <c r="DF13" s="81"/>
      <c r="DL13" s="81"/>
      <c r="DN13" s="175"/>
      <c r="DO13" s="175"/>
      <c r="DP13" s="175"/>
      <c r="DQ13" s="175"/>
      <c r="DR13" s="175"/>
      <c r="DS13" s="179"/>
      <c r="DT13" s="175"/>
      <c r="DU13" s="175"/>
      <c r="DV13" s="175"/>
      <c r="DW13" s="175"/>
      <c r="DX13" s="175"/>
      <c r="DY13" s="179"/>
      <c r="DZ13" s="175"/>
      <c r="EA13" s="175"/>
      <c r="EB13" s="175"/>
      <c r="EC13" s="175"/>
      <c r="ED13" s="175"/>
      <c r="EE13" s="179"/>
      <c r="EH13" s="175"/>
      <c r="EJ13" s="175"/>
      <c r="EK13" s="179"/>
      <c r="EN13" s="175"/>
      <c r="EP13" s="175"/>
      <c r="EQ13" s="179"/>
      <c r="ET13" s="175"/>
      <c r="EV13" s="175"/>
      <c r="EW13" s="179"/>
      <c r="EZ13" s="175"/>
      <c r="FB13" s="175"/>
      <c r="FC13" s="179"/>
      <c r="FI13" s="179"/>
      <c r="FO13" s="184"/>
      <c r="FT13" s="81"/>
      <c r="FZ13" s="81"/>
      <c r="GG13" s="179"/>
      <c r="GM13" s="179"/>
      <c r="GS13" s="179"/>
      <c r="GY13" s="179"/>
      <c r="HE13" s="179"/>
      <c r="HK13" s="179"/>
      <c r="HQ13" s="179"/>
      <c r="HW13" s="179"/>
      <c r="IC13" s="179"/>
      <c r="IH13" s="81"/>
      <c r="IO13" s="179"/>
      <c r="IU13" s="179"/>
      <c r="JA13" s="179"/>
      <c r="JF13" s="81"/>
      <c r="JG13" s="179"/>
      <c r="JL13" s="81"/>
      <c r="JR13" s="81"/>
      <c r="JU13" s="10"/>
      <c r="JY13" s="179"/>
      <c r="KD13" s="81"/>
      <c r="KJ13" s="81"/>
      <c r="KM13" s="10"/>
      <c r="KQ13" s="179"/>
      <c r="KV13" s="81"/>
      <c r="LB13" s="81"/>
      <c r="LH13" s="81"/>
      <c r="LN13" s="81"/>
      <c r="LT13" s="81"/>
      <c r="LZ13" s="81"/>
      <c r="MF13" s="81"/>
      <c r="ML13" s="81"/>
      <c r="MS13" s="179"/>
    </row>
    <row r="14" spans="1:361" x14ac:dyDescent="0.35">
      <c r="C14" s="127" t="s">
        <v>109</v>
      </c>
      <c r="H14" s="81"/>
      <c r="N14" s="81"/>
      <c r="T14" s="81"/>
      <c r="Z14" s="81"/>
      <c r="AB14" s="40">
        <f>AB20</f>
        <v>0.2311</v>
      </c>
      <c r="AD14" s="40">
        <f>AD20</f>
        <v>0.2311</v>
      </c>
      <c r="AF14" s="161">
        <f>AF20</f>
        <v>0.2311</v>
      </c>
      <c r="AH14" s="40">
        <f>AH24</f>
        <v>1.3403</v>
      </c>
      <c r="AJ14" s="40">
        <f>AJ24</f>
        <v>1.3403</v>
      </c>
      <c r="AL14" s="161">
        <f>AL24</f>
        <v>1.3403</v>
      </c>
      <c r="AN14" s="40">
        <f>AN28</f>
        <v>1.7136</v>
      </c>
      <c r="AP14" s="40">
        <f>AP28</f>
        <v>1.7136</v>
      </c>
      <c r="AR14" s="161">
        <f>AR28</f>
        <v>1.7136</v>
      </c>
      <c r="AT14" s="40">
        <f>AT28</f>
        <v>1.7136</v>
      </c>
      <c r="AV14" s="40">
        <f>AV28</f>
        <v>1.7136</v>
      </c>
      <c r="AX14" s="161">
        <f>AX28</f>
        <v>1.7136</v>
      </c>
      <c r="AZ14" s="40">
        <f>AZ32</f>
        <v>-0.31680000000000003</v>
      </c>
      <c r="BB14" s="40">
        <f>BB32</f>
        <v>-0.31680000000000003</v>
      </c>
      <c r="BD14" s="161">
        <f>BD32</f>
        <v>-0.31680000000000003</v>
      </c>
      <c r="BF14" s="40">
        <f>BF36</f>
        <v>-0.44700000000000001</v>
      </c>
      <c r="BH14" s="40">
        <f>BH36</f>
        <v>-0.44700000000000001</v>
      </c>
      <c r="BJ14" s="161">
        <f>BJ36</f>
        <v>-0.44700000000000001</v>
      </c>
      <c r="BL14" s="40">
        <f>BL40</f>
        <v>-0.59819999999999995</v>
      </c>
      <c r="BN14" s="40">
        <f>BN40</f>
        <v>-0.59819999999999995</v>
      </c>
      <c r="BP14" s="161">
        <f>BP40</f>
        <v>-0.59819999999999995</v>
      </c>
      <c r="BR14" s="40">
        <f>BR48</f>
        <v>1.8274999999999999</v>
      </c>
      <c r="BT14" s="40">
        <f>BT48</f>
        <v>1.8274999999999999</v>
      </c>
      <c r="BV14" s="161">
        <f>BV48</f>
        <v>1.8274999999999999</v>
      </c>
      <c r="BX14" s="162">
        <f>BX48</f>
        <v>1.8274999999999999</v>
      </c>
      <c r="BY14" s="10"/>
      <c r="BZ14" s="40">
        <f>BZ52</f>
        <v>2.2829000000000002</v>
      </c>
      <c r="CB14" s="161">
        <f>CB52</f>
        <v>2.2829000000000002</v>
      </c>
      <c r="CD14" s="40">
        <f>CD52</f>
        <v>2.2829000000000002</v>
      </c>
      <c r="CF14" s="40">
        <f>CF52</f>
        <v>2.2829000000000002</v>
      </c>
      <c r="CH14" s="161">
        <f>CH52</f>
        <v>2.2829000000000002</v>
      </c>
      <c r="CJ14" s="40">
        <f>CJ60</f>
        <v>0.27339999999999998</v>
      </c>
      <c r="CL14" s="40">
        <f>CL60</f>
        <v>0.27339999999999998</v>
      </c>
      <c r="CN14" s="161">
        <f>CN60</f>
        <v>0.27339999999999998</v>
      </c>
      <c r="CP14" s="40">
        <f>CP60</f>
        <v>0.27339999999999998</v>
      </c>
      <c r="CR14" s="40">
        <f>CR60</f>
        <v>0.27339999999999998</v>
      </c>
      <c r="CT14" s="161">
        <f>CT60</f>
        <v>0.27339999999999998</v>
      </c>
      <c r="CV14" s="40">
        <f>CV68</f>
        <v>0</v>
      </c>
      <c r="CX14" s="40">
        <f>CX68</f>
        <v>0</v>
      </c>
      <c r="CZ14" s="161">
        <f>CZ68</f>
        <v>0</v>
      </c>
      <c r="DB14" s="162">
        <f>DB72</f>
        <v>-8.3699999999999997E-2</v>
      </c>
      <c r="DC14" s="10"/>
      <c r="DD14" s="162">
        <f>DD72</f>
        <v>-8.3699999999999997E-2</v>
      </c>
      <c r="DE14" s="10"/>
      <c r="DF14" s="161">
        <f>DF72</f>
        <v>-8.3699999999999997E-2</v>
      </c>
      <c r="DH14" s="162">
        <f>DH76</f>
        <v>0</v>
      </c>
      <c r="DI14" s="10"/>
      <c r="DJ14" s="162">
        <f>DJ76</f>
        <v>0</v>
      </c>
      <c r="DK14" s="10"/>
      <c r="DL14" s="161">
        <f>DL76</f>
        <v>0</v>
      </c>
      <c r="DN14" s="162">
        <f>DN80</f>
        <v>1.0269519577310613</v>
      </c>
      <c r="DO14" s="10"/>
      <c r="DP14" s="162">
        <f>DP80</f>
        <v>1.0269519577310613</v>
      </c>
      <c r="DQ14" s="10"/>
      <c r="DR14" s="162">
        <f>DR80</f>
        <v>1.0269519577310613</v>
      </c>
      <c r="DS14" s="179"/>
      <c r="DT14" s="162">
        <f>DT84</f>
        <v>-1.198892805276897</v>
      </c>
      <c r="DU14" s="10"/>
      <c r="DV14" s="162">
        <f>DV84</f>
        <v>-1.198892805276897</v>
      </c>
      <c r="DW14" s="10"/>
      <c r="DX14" s="162">
        <f>DX84</f>
        <v>-1.198892805276897</v>
      </c>
      <c r="DY14" s="179"/>
      <c r="DZ14" s="162">
        <f>DZ88</f>
        <v>-0.91135723059987073</v>
      </c>
      <c r="EA14" s="10"/>
      <c r="EB14" s="162">
        <f>EB88</f>
        <v>-0.91135723059987073</v>
      </c>
      <c r="EC14" s="10"/>
      <c r="ED14" s="162">
        <f>ED88</f>
        <v>-0.91135723059987073</v>
      </c>
      <c r="EE14" s="179"/>
      <c r="EF14" s="40">
        <f>EF92</f>
        <v>0.87554218562160202</v>
      </c>
      <c r="EH14" s="40">
        <f>EH92</f>
        <v>0.87554218562160202</v>
      </c>
      <c r="EJ14" s="40">
        <f>EJ92</f>
        <v>0.87554218562160202</v>
      </c>
      <c r="EK14" s="179"/>
      <c r="EL14" s="40">
        <f>EL96</f>
        <v>-0.51898517133278621</v>
      </c>
      <c r="EN14" s="40">
        <f>EN96</f>
        <v>-0.51898517133278621</v>
      </c>
      <c r="EP14" s="40">
        <f>EP96</f>
        <v>-0.51898517133278621</v>
      </c>
      <c r="EQ14" s="179"/>
      <c r="ER14" s="40">
        <f>ER100</f>
        <v>3.1973267269909122E-2</v>
      </c>
      <c r="ET14" s="40">
        <f>ET100</f>
        <v>3.1973267269909122E-2</v>
      </c>
      <c r="EV14" s="40">
        <f>EV100</f>
        <v>3.1973267269909122E-2</v>
      </c>
      <c r="EW14" s="179"/>
      <c r="EX14" s="40">
        <f>EX104</f>
        <v>0.33517956083011025</v>
      </c>
      <c r="EZ14" s="40">
        <f>EZ104</f>
        <v>0.33517956083011025</v>
      </c>
      <c r="FB14" s="40">
        <f>FB104</f>
        <v>0.33517956083011025</v>
      </c>
      <c r="FC14" s="179"/>
      <c r="FD14" s="40">
        <f>FD108</f>
        <v>0.2883320248895892</v>
      </c>
      <c r="FF14" s="40">
        <f>FF108</f>
        <v>0.2883320248895892</v>
      </c>
      <c r="FH14" s="40">
        <f>FH108</f>
        <v>0.2883320248895892</v>
      </c>
      <c r="FI14" s="179"/>
      <c r="FJ14" s="40">
        <f>FJ112</f>
        <v>0.15156827987494342</v>
      </c>
      <c r="FL14" s="40">
        <f>FL112</f>
        <v>0.15156827987494342</v>
      </c>
      <c r="FN14" s="40">
        <f>FN112</f>
        <v>0.15156827987494342</v>
      </c>
      <c r="FO14" s="184"/>
      <c r="FP14" s="40">
        <f>FP116</f>
        <v>1.3319390074759128</v>
      </c>
      <c r="FR14" s="40">
        <f>FR116</f>
        <v>1.3319390074759128</v>
      </c>
      <c r="FT14" s="161">
        <f>FT116</f>
        <v>1.3319390074759128</v>
      </c>
      <c r="FV14" s="40">
        <f>FV120</f>
        <v>0.68965364740505042</v>
      </c>
      <c r="FX14" s="40">
        <f>FX120</f>
        <v>0.68965364740505042</v>
      </c>
      <c r="FZ14" s="161">
        <f>FZ120</f>
        <v>0.68965364740505042</v>
      </c>
      <c r="GB14" s="40">
        <f>GB124</f>
        <v>0.19177028222359419</v>
      </c>
      <c r="GD14" s="40">
        <f>GD124</f>
        <v>0.19177028222359419</v>
      </c>
      <c r="GF14" s="40">
        <f>GF124</f>
        <v>0.19177028222359419</v>
      </c>
      <c r="GG14" s="179"/>
      <c r="GH14" s="40">
        <f>GH128</f>
        <v>2.9170672513405119E-2</v>
      </c>
      <c r="GJ14" s="40">
        <f>GJ128</f>
        <v>2.9170672513405119E-2</v>
      </c>
      <c r="GL14" s="40">
        <f>GL128</f>
        <v>2.9170672513405119E-2</v>
      </c>
      <c r="GM14" s="179"/>
      <c r="GN14" s="40">
        <f>GN132</f>
        <v>-8.5423107924278305E-2</v>
      </c>
      <c r="GP14" s="40">
        <f>GP132</f>
        <v>-8.5423107924278305E-2</v>
      </c>
      <c r="GR14" s="40">
        <f>GR132</f>
        <v>-8.5423107924278305E-2</v>
      </c>
      <c r="GS14" s="179"/>
      <c r="GT14" s="40">
        <f>GT136</f>
        <v>-0.38965033647274666</v>
      </c>
      <c r="GV14" s="40">
        <f>GV136</f>
        <v>-0.38965033647274666</v>
      </c>
      <c r="GX14" s="40">
        <f>GX136</f>
        <v>-0.38965033647274666</v>
      </c>
      <c r="GY14" s="179"/>
      <c r="GZ14" s="40">
        <f>GZ140</f>
        <v>-0.13979920774100021</v>
      </c>
      <c r="HB14" s="40">
        <f>HB140</f>
        <v>-0.13979920774100021</v>
      </c>
      <c r="HD14" s="40">
        <f>HD140</f>
        <v>-0.13979920774100021</v>
      </c>
      <c r="HE14" s="179"/>
      <c r="HF14" s="40">
        <f>HF144</f>
        <v>-5.8305244063016834E-3</v>
      </c>
      <c r="HH14" s="40">
        <f>HH144</f>
        <v>-5.8305244063016834E-3</v>
      </c>
      <c r="HJ14" s="40">
        <f>HJ144</f>
        <v>-5.8305244063016834E-3</v>
      </c>
      <c r="HK14" s="179"/>
      <c r="HL14" s="40">
        <f>HL148</f>
        <v>-0.19006153857473845</v>
      </c>
      <c r="HN14" s="40">
        <f>HN148</f>
        <v>-0.19006153857473845</v>
      </c>
      <c r="HP14" s="40">
        <f>HP148</f>
        <v>-0.19006153857473845</v>
      </c>
      <c r="HQ14" s="179"/>
      <c r="HR14" s="40">
        <f>HR152</f>
        <v>-0.13937124008885932</v>
      </c>
      <c r="HT14" s="40">
        <f>HT152</f>
        <v>-0.13937124008885932</v>
      </c>
      <c r="HV14" s="40">
        <f>HV152</f>
        <v>-0.13937124008885932</v>
      </c>
      <c r="HW14" s="179"/>
      <c r="HX14" s="40">
        <f>HX156</f>
        <v>0.40211153658516074</v>
      </c>
      <c r="HZ14" s="40">
        <f>HZ156</f>
        <v>0.40211153658516074</v>
      </c>
      <c r="IB14" s="40">
        <f>IB156</f>
        <v>0.40211153658516074</v>
      </c>
      <c r="IC14" s="179"/>
      <c r="ID14" s="40">
        <f>ID160</f>
        <v>7.9496641014769914E-2</v>
      </c>
      <c r="IF14" s="40">
        <f>IF160</f>
        <v>7.9496641014769914E-2</v>
      </c>
      <c r="IH14" s="161">
        <f>IH160</f>
        <v>7.9496641014769914E-2</v>
      </c>
      <c r="IJ14" s="40">
        <f>IJ164</f>
        <v>2.0796338738353237E-2</v>
      </c>
      <c r="IL14" s="40">
        <f>IL164</f>
        <v>2.0796338738353237E-2</v>
      </c>
      <c r="IN14" s="40">
        <f>IN164</f>
        <v>2.0796338738353237E-2</v>
      </c>
      <c r="IO14" s="179"/>
      <c r="IP14" s="40">
        <f>IP168</f>
        <v>3.9706477842062163E-3</v>
      </c>
      <c r="IR14" s="40">
        <f>IR168</f>
        <v>3.9706477842062163E-3</v>
      </c>
      <c r="IT14" s="40">
        <f>IT168</f>
        <v>3.9706477842062163E-3</v>
      </c>
      <c r="IU14" s="179"/>
      <c r="IV14" s="40">
        <f>IV172</f>
        <v>0.28889999999999999</v>
      </c>
      <c r="IX14" s="40">
        <f>IX172</f>
        <v>0.28889999999999999</v>
      </c>
      <c r="IZ14" s="40">
        <f>IZ172</f>
        <v>0.28889999999999999</v>
      </c>
      <c r="JA14" s="179"/>
      <c r="JB14" s="40">
        <f>JB176</f>
        <v>7.4399999999999994E-2</v>
      </c>
      <c r="JD14" s="40">
        <f>JD176</f>
        <v>7.4399999999999994E-2</v>
      </c>
      <c r="JF14" s="161">
        <f>JF176</f>
        <v>7.4399999999999994E-2</v>
      </c>
      <c r="JG14" s="179"/>
      <c r="JH14" s="40">
        <f>JH180</f>
        <v>5.5399999999999998E-2</v>
      </c>
      <c r="JI14" s="40"/>
      <c r="JJ14" s="40">
        <f>JJ180</f>
        <v>5.5399999999999998E-2</v>
      </c>
      <c r="JL14" s="161">
        <f>JL180</f>
        <v>5.5399999999999998E-2</v>
      </c>
      <c r="JN14" s="40">
        <f>JN184</f>
        <v>-0.44190000000000002</v>
      </c>
      <c r="JP14" s="40">
        <f>JP184</f>
        <v>-0.44190000000000002</v>
      </c>
      <c r="JR14" s="161">
        <f>JR184</f>
        <v>-0.44190000000000002</v>
      </c>
      <c r="JT14" s="162">
        <f>JT188</f>
        <v>-9.8699999999999996E-2</v>
      </c>
      <c r="JU14" s="10"/>
      <c r="JV14" s="162">
        <f>JV188</f>
        <v>-9.8699999999999996E-2</v>
      </c>
      <c r="JX14" s="162">
        <f>JX188</f>
        <v>-9.8699999999999996E-2</v>
      </c>
      <c r="JY14" s="179"/>
      <c r="JZ14" s="162">
        <f>JZ192</f>
        <v>0.1235</v>
      </c>
      <c r="KB14" s="162">
        <f>KB192</f>
        <v>0.1235</v>
      </c>
      <c r="KD14" s="161">
        <f>KD192</f>
        <v>0.1235</v>
      </c>
      <c r="KF14" s="162">
        <f>KF196</f>
        <v>0.9224</v>
      </c>
      <c r="KH14" s="162">
        <f>KH196</f>
        <v>0.9224</v>
      </c>
      <c r="KJ14" s="161">
        <f>KJ196</f>
        <v>0.9224</v>
      </c>
      <c r="KL14" s="162">
        <f>KL200</f>
        <v>0.46329999999999999</v>
      </c>
      <c r="KM14" s="10"/>
      <c r="KN14" s="162">
        <f>KN200</f>
        <v>0.46329999999999999</v>
      </c>
      <c r="KP14" s="162">
        <f>KP200</f>
        <v>0.46329999999999999</v>
      </c>
      <c r="KQ14" s="179"/>
      <c r="KR14" s="162">
        <f>KR204</f>
        <v>-0.13880000000000001</v>
      </c>
      <c r="KV14" s="81"/>
      <c r="LB14" s="81"/>
      <c r="LH14" s="81"/>
      <c r="LN14" s="81"/>
      <c r="LT14" s="81"/>
      <c r="LZ14" s="81"/>
      <c r="MF14" s="81"/>
      <c r="ML14" s="81"/>
      <c r="MS14" s="179"/>
    </row>
    <row r="15" spans="1:361" x14ac:dyDescent="0.35">
      <c r="C15" s="127" t="s">
        <v>110</v>
      </c>
      <c r="H15" s="81"/>
      <c r="N15" s="81"/>
      <c r="T15" s="81"/>
      <c r="V15" s="40">
        <f>V20</f>
        <v>0.2311</v>
      </c>
      <c r="X15" s="40">
        <f>X20</f>
        <v>0.2311</v>
      </c>
      <c r="Z15" s="161">
        <f>Z20</f>
        <v>0.2311</v>
      </c>
      <c r="AB15" s="40">
        <f>AB24</f>
        <v>1.3403</v>
      </c>
      <c r="AD15" s="40">
        <f>AD24</f>
        <v>1.3403</v>
      </c>
      <c r="AF15" s="161">
        <f>AF24</f>
        <v>1.3403</v>
      </c>
      <c r="AH15" s="40">
        <f>AH28</f>
        <v>1.7136</v>
      </c>
      <c r="AJ15" s="40">
        <f>AJ28</f>
        <v>1.7136</v>
      </c>
      <c r="AL15" s="161">
        <f>AL28</f>
        <v>1.7136</v>
      </c>
      <c r="AN15" s="40">
        <f>AN32</f>
        <v>-0.31680000000000003</v>
      </c>
      <c r="AP15" s="40">
        <f>AP32</f>
        <v>-0.31680000000000003</v>
      </c>
      <c r="AR15" s="161">
        <f>AR32</f>
        <v>-0.31680000000000003</v>
      </c>
      <c r="AT15" s="40">
        <f>AT32</f>
        <v>-0.31680000000000003</v>
      </c>
      <c r="AV15" s="40">
        <f>AV32</f>
        <v>-0.31680000000000003</v>
      </c>
      <c r="AX15" s="161">
        <f>AX32</f>
        <v>-0.31680000000000003</v>
      </c>
      <c r="AZ15" s="40">
        <f>AZ36</f>
        <v>-0.44700000000000001</v>
      </c>
      <c r="BB15" s="40">
        <f>BB36</f>
        <v>-0.44700000000000001</v>
      </c>
      <c r="BD15" s="161">
        <f>BD36</f>
        <v>-0.44700000000000001</v>
      </c>
      <c r="BF15" s="40">
        <f>BF40</f>
        <v>-0.59819999999999995</v>
      </c>
      <c r="BH15" s="40">
        <f>BH40</f>
        <v>-0.59819999999999995</v>
      </c>
      <c r="BJ15" s="161">
        <f>BJ40</f>
        <v>-0.59819999999999995</v>
      </c>
      <c r="BL15" s="40">
        <f>BL48</f>
        <v>1.8274999999999999</v>
      </c>
      <c r="BN15" s="40">
        <f>BN48</f>
        <v>1.8274999999999999</v>
      </c>
      <c r="BP15" s="161">
        <f>BP48</f>
        <v>1.8274999999999999</v>
      </c>
      <c r="BR15" s="40">
        <f>BR52</f>
        <v>2.2829000000000002</v>
      </c>
      <c r="BT15" s="40">
        <f>BT52</f>
        <v>2.2829000000000002</v>
      </c>
      <c r="BV15" s="161">
        <f>BV52</f>
        <v>2.2829000000000002</v>
      </c>
      <c r="BX15" s="162">
        <f>BX52</f>
        <v>2.2829000000000002</v>
      </c>
      <c r="BY15" s="10"/>
      <c r="BZ15" s="40">
        <f>BZ56</f>
        <v>-0.61629999999999996</v>
      </c>
      <c r="CB15" s="161">
        <f>CB56</f>
        <v>-0.61629999999999996</v>
      </c>
      <c r="CD15" s="40">
        <f>CD56</f>
        <v>-0.61629999999999996</v>
      </c>
      <c r="CF15" s="40">
        <f>CF56</f>
        <v>-0.61629999999999996</v>
      </c>
      <c r="CH15" s="161">
        <f>CH56</f>
        <v>-0.61629999999999996</v>
      </c>
      <c r="CJ15" s="40">
        <f>CJ64</f>
        <v>-8.5000000000000006E-2</v>
      </c>
      <c r="CL15" s="40">
        <f>CL64</f>
        <v>-8.5000000000000006E-2</v>
      </c>
      <c r="CN15" s="161">
        <f>CN64</f>
        <v>-8.5000000000000006E-2</v>
      </c>
      <c r="CP15" s="40">
        <f>CP64</f>
        <v>-8.5000000000000006E-2</v>
      </c>
      <c r="CR15" s="40">
        <f>CR64</f>
        <v>-8.5000000000000006E-2</v>
      </c>
      <c r="CT15" s="161">
        <f>CT64</f>
        <v>-8.5000000000000006E-2</v>
      </c>
      <c r="CV15" s="162">
        <f>CV72</f>
        <v>-8.3699999999999997E-2</v>
      </c>
      <c r="CW15" s="10"/>
      <c r="CX15" s="162">
        <f>CX72</f>
        <v>-8.3699999999999997E-2</v>
      </c>
      <c r="CY15" s="10"/>
      <c r="CZ15" s="161">
        <f>CZ72</f>
        <v>-8.3699999999999997E-2</v>
      </c>
      <c r="DB15" s="162">
        <f>DB76</f>
        <v>0</v>
      </c>
      <c r="DC15" s="10"/>
      <c r="DD15" s="162">
        <f>DD76</f>
        <v>0</v>
      </c>
      <c r="DE15" s="10"/>
      <c r="DF15" s="161">
        <f>DF76</f>
        <v>0</v>
      </c>
      <c r="DH15" s="162">
        <f>DH80</f>
        <v>1.0269519577310613</v>
      </c>
      <c r="DI15" s="10"/>
      <c r="DJ15" s="162">
        <f>DJ80</f>
        <v>1.0269519577310613</v>
      </c>
      <c r="DK15" s="10"/>
      <c r="DL15" s="161">
        <f>DL80</f>
        <v>1.0269519577310613</v>
      </c>
      <c r="DN15" s="162">
        <f>DN84</f>
        <v>-1.198892805276897</v>
      </c>
      <c r="DO15" s="10"/>
      <c r="DP15" s="162">
        <f>DP84</f>
        <v>-1.198892805276897</v>
      </c>
      <c r="DQ15" s="10"/>
      <c r="DR15" s="162">
        <f>DR84</f>
        <v>-1.198892805276897</v>
      </c>
      <c r="DS15" s="179"/>
      <c r="DT15" s="162">
        <f>DT88</f>
        <v>-0.91135723059987073</v>
      </c>
      <c r="DU15" s="10"/>
      <c r="DV15" s="162">
        <f>DV88</f>
        <v>-0.91135723059987073</v>
      </c>
      <c r="DW15" s="10"/>
      <c r="DX15" s="162">
        <f>DX88</f>
        <v>-0.91135723059987073</v>
      </c>
      <c r="DY15" s="179"/>
      <c r="DZ15" s="162">
        <f>DZ92</f>
        <v>0.87554218562160202</v>
      </c>
      <c r="EA15" s="10"/>
      <c r="EB15" s="162">
        <f>EB92</f>
        <v>0.87554218562160202</v>
      </c>
      <c r="EC15" s="10"/>
      <c r="ED15" s="162">
        <f>ED92</f>
        <v>0.87554218562160202</v>
      </c>
      <c r="EE15" s="179"/>
      <c r="EF15" s="40">
        <f>EF96</f>
        <v>-0.51898517133278621</v>
      </c>
      <c r="EH15" s="40">
        <f>EH96</f>
        <v>-0.51898517133278621</v>
      </c>
      <c r="EJ15" s="40">
        <f>EJ96</f>
        <v>-0.51898517133278621</v>
      </c>
      <c r="EK15" s="179"/>
      <c r="EL15" s="40">
        <f>EL100</f>
        <v>3.1973267269909122E-2</v>
      </c>
      <c r="EN15" s="40">
        <f>EN100</f>
        <v>3.1973267269909122E-2</v>
      </c>
      <c r="EP15" s="40">
        <f>EP100</f>
        <v>3.1973267269909122E-2</v>
      </c>
      <c r="EQ15" s="179"/>
      <c r="ER15" s="40">
        <f>ER104</f>
        <v>0.33517956083011025</v>
      </c>
      <c r="ET15" s="40">
        <f>ET104</f>
        <v>0.33517956083011025</v>
      </c>
      <c r="EV15" s="40">
        <f>EV104</f>
        <v>0.33517956083011025</v>
      </c>
      <c r="EW15" s="179"/>
      <c r="EX15" s="40">
        <f>EX108</f>
        <v>0.2883320248895892</v>
      </c>
      <c r="EZ15" s="40">
        <f>EZ108</f>
        <v>0.2883320248895892</v>
      </c>
      <c r="FB15" s="40">
        <f>FB108</f>
        <v>0.2883320248895892</v>
      </c>
      <c r="FC15" s="179"/>
      <c r="FD15" s="40">
        <f>FD112</f>
        <v>0.15156827987494342</v>
      </c>
      <c r="FF15" s="40">
        <f>FF112</f>
        <v>0.15156827987494342</v>
      </c>
      <c r="FH15" s="40">
        <f>FH112</f>
        <v>0.15156827987494342</v>
      </c>
      <c r="FI15" s="179"/>
      <c r="FJ15" s="40">
        <f>FJ116</f>
        <v>1.3319390074759128</v>
      </c>
      <c r="FL15" s="40">
        <f>FL116</f>
        <v>1.3319390074759128</v>
      </c>
      <c r="FN15" s="40">
        <f>FN116</f>
        <v>1.3319390074759128</v>
      </c>
      <c r="FO15" s="184"/>
      <c r="FP15" s="40">
        <f>FP120</f>
        <v>0.68965364740505042</v>
      </c>
      <c r="FR15" s="40">
        <f>FR120</f>
        <v>0.68965364740505042</v>
      </c>
      <c r="FT15" s="161">
        <f>FT120</f>
        <v>0.68965364740505042</v>
      </c>
      <c r="FV15" s="40">
        <f>FV124</f>
        <v>0.19177028222359419</v>
      </c>
      <c r="FX15" s="40">
        <f>FX124</f>
        <v>0.19177028222359419</v>
      </c>
      <c r="FZ15" s="161">
        <f>FZ124</f>
        <v>0.19177028222359419</v>
      </c>
      <c r="GB15" s="40">
        <f>GB128</f>
        <v>2.9170672513405119E-2</v>
      </c>
      <c r="GD15" s="40">
        <f>GD128</f>
        <v>2.9170672513405119E-2</v>
      </c>
      <c r="GF15" s="40">
        <f>GF128</f>
        <v>2.9170672513405119E-2</v>
      </c>
      <c r="GG15" s="179"/>
      <c r="GH15" s="40">
        <f>GH132</f>
        <v>-8.5423107924278305E-2</v>
      </c>
      <c r="GJ15" s="40">
        <f>GJ132</f>
        <v>-8.5423107924278305E-2</v>
      </c>
      <c r="GL15" s="40">
        <f>GL132</f>
        <v>-8.5423107924278305E-2</v>
      </c>
      <c r="GM15" s="179"/>
      <c r="GN15" s="40">
        <f>GN136</f>
        <v>-0.38965033647274666</v>
      </c>
      <c r="GP15" s="40">
        <f>GP136</f>
        <v>-0.38965033647274666</v>
      </c>
      <c r="GR15" s="40">
        <f>GR136</f>
        <v>-0.38965033647274666</v>
      </c>
      <c r="GS15" s="179"/>
      <c r="GT15" s="40">
        <f>GT140</f>
        <v>-0.13979920774100021</v>
      </c>
      <c r="GV15" s="40">
        <f>GV140</f>
        <v>-0.13979920774100021</v>
      </c>
      <c r="GX15" s="40">
        <f>GX140</f>
        <v>-0.13979920774100021</v>
      </c>
      <c r="GY15" s="179"/>
      <c r="GZ15" s="40">
        <f>GZ144</f>
        <v>-5.8305244063016834E-3</v>
      </c>
      <c r="HB15" s="40">
        <f>HB144</f>
        <v>-5.8305244063016834E-3</v>
      </c>
      <c r="HD15" s="40">
        <f>HD144</f>
        <v>-5.8305244063016834E-3</v>
      </c>
      <c r="HE15" s="179"/>
      <c r="HF15" s="40">
        <f>HF148</f>
        <v>-0.19006153857473845</v>
      </c>
      <c r="HH15" s="40">
        <f>HH148</f>
        <v>-0.19006153857473845</v>
      </c>
      <c r="HJ15" s="40">
        <f>HJ148</f>
        <v>-0.19006153857473845</v>
      </c>
      <c r="HK15" s="179"/>
      <c r="HL15" s="40">
        <f>HL152</f>
        <v>-0.13937124008885932</v>
      </c>
      <c r="HN15" s="40">
        <f>HN152</f>
        <v>-0.13937124008885932</v>
      </c>
      <c r="HP15" s="40">
        <f>HP152</f>
        <v>-0.13937124008885932</v>
      </c>
      <c r="HQ15" s="179"/>
      <c r="HR15" s="40">
        <f>HR156</f>
        <v>0.40211153658516074</v>
      </c>
      <c r="HT15" s="40">
        <f>HT156</f>
        <v>0.40211153658516074</v>
      </c>
      <c r="HV15" s="40">
        <f>HV156</f>
        <v>0.40211153658516074</v>
      </c>
      <c r="HW15" s="179"/>
      <c r="HX15" s="40">
        <f>HX160</f>
        <v>7.9496641014769914E-2</v>
      </c>
      <c r="HZ15" s="40">
        <f>HZ160</f>
        <v>7.9496641014769914E-2</v>
      </c>
      <c r="IB15" s="40">
        <f>IB160</f>
        <v>7.9496641014769914E-2</v>
      </c>
      <c r="IC15" s="179"/>
      <c r="ID15" s="40">
        <f>ID164</f>
        <v>2.0796338738353237E-2</v>
      </c>
      <c r="IF15" s="40">
        <f>IF164</f>
        <v>2.0796338738353237E-2</v>
      </c>
      <c r="IH15" s="161">
        <f>IH164</f>
        <v>2.0796338738353237E-2</v>
      </c>
      <c r="IJ15" s="40">
        <f>IJ168</f>
        <v>3.9706477842062163E-3</v>
      </c>
      <c r="IL15" s="40">
        <f>IL168</f>
        <v>3.9706477842062163E-3</v>
      </c>
      <c r="IN15" s="40">
        <f>IN168</f>
        <v>3.9706477842062163E-3</v>
      </c>
      <c r="IO15" s="179"/>
      <c r="IP15" s="40">
        <f>IP172</f>
        <v>0.28889999999999999</v>
      </c>
      <c r="IR15" s="40">
        <f>IR172</f>
        <v>0.28889999999999999</v>
      </c>
      <c r="IT15" s="40">
        <f>IT172</f>
        <v>0.28889999999999999</v>
      </c>
      <c r="IU15" s="179"/>
      <c r="IV15" s="40">
        <f>IV176</f>
        <v>7.4399999999999994E-2</v>
      </c>
      <c r="IX15" s="40">
        <f>IX176</f>
        <v>7.4399999999999994E-2</v>
      </c>
      <c r="IZ15" s="40">
        <f>IZ176</f>
        <v>7.4399999999999994E-2</v>
      </c>
      <c r="JA15" s="179"/>
      <c r="JB15" s="40">
        <f>JB180</f>
        <v>5.5399999999999998E-2</v>
      </c>
      <c r="JD15" s="40">
        <f>JD180</f>
        <v>5.5399999999999998E-2</v>
      </c>
      <c r="JF15" s="161">
        <f>JF180</f>
        <v>5.5399999999999998E-2</v>
      </c>
      <c r="JG15" s="179"/>
      <c r="JH15" s="40">
        <f>JH184</f>
        <v>-0.44190000000000002</v>
      </c>
      <c r="JI15" s="40"/>
      <c r="JJ15" s="40">
        <f>JJ184</f>
        <v>-0.44190000000000002</v>
      </c>
      <c r="JL15" s="161">
        <f>JL184</f>
        <v>-0.44190000000000002</v>
      </c>
      <c r="JN15" s="40">
        <f>JN188</f>
        <v>-9.8699999999999996E-2</v>
      </c>
      <c r="JP15" s="40">
        <f>JP188</f>
        <v>-9.8699999999999996E-2</v>
      </c>
      <c r="JR15" s="161">
        <f>JR188</f>
        <v>-9.8699999999999996E-2</v>
      </c>
      <c r="JT15" s="162">
        <f>JT192</f>
        <v>0.1235</v>
      </c>
      <c r="JU15" s="10"/>
      <c r="JV15" s="162">
        <f>JV192</f>
        <v>0.1235</v>
      </c>
      <c r="JX15" s="162">
        <f>JX192</f>
        <v>0.1235</v>
      </c>
      <c r="JY15" s="179"/>
      <c r="JZ15" s="162">
        <f>JZ196</f>
        <v>0.9224</v>
      </c>
      <c r="KB15" s="162">
        <f>KB196</f>
        <v>0.9224</v>
      </c>
      <c r="KD15" s="161">
        <f>KD196</f>
        <v>0.9224</v>
      </c>
      <c r="KF15" s="40">
        <f>KF200</f>
        <v>0.38279999999999997</v>
      </c>
      <c r="KH15" s="40">
        <f>KH200</f>
        <v>0.38279999999999997</v>
      </c>
      <c r="KJ15" s="161">
        <f>KJ200</f>
        <v>0.38279999999999997</v>
      </c>
      <c r="KL15" s="162">
        <f>KL204</f>
        <v>-0.13880000000000001</v>
      </c>
      <c r="KM15" s="10"/>
      <c r="KN15" s="162">
        <f>KN204</f>
        <v>-0.13880000000000001</v>
      </c>
      <c r="KP15" s="162">
        <f>KP204</f>
        <v>-0.13880000000000001</v>
      </c>
      <c r="KQ15" s="179"/>
      <c r="KR15" s="162">
        <f>KR208</f>
        <v>0</v>
      </c>
      <c r="KV15" s="81"/>
      <c r="LB15" s="81"/>
      <c r="LH15" s="81"/>
      <c r="LN15" s="81"/>
      <c r="LT15" s="81"/>
      <c r="LZ15" s="81"/>
      <c r="MF15" s="81"/>
      <c r="ML15" s="81"/>
      <c r="MS15" s="179"/>
    </row>
    <row r="16" spans="1:361" x14ac:dyDescent="0.35">
      <c r="C16" s="127" t="s">
        <v>111</v>
      </c>
      <c r="H16" s="81"/>
      <c r="N16" s="81"/>
      <c r="P16" s="40">
        <f>P20</f>
        <v>0.2311</v>
      </c>
      <c r="R16" s="40">
        <f>R20</f>
        <v>0.2311</v>
      </c>
      <c r="T16" s="161">
        <f>T20</f>
        <v>0.2311</v>
      </c>
      <c r="V16" s="40">
        <f>V24</f>
        <v>1.3403</v>
      </c>
      <c r="X16" s="40">
        <f>X24</f>
        <v>1.3403</v>
      </c>
      <c r="Z16" s="161">
        <f>Z24</f>
        <v>1.3403</v>
      </c>
      <c r="AB16" s="40">
        <f>AB28</f>
        <v>1.7136</v>
      </c>
      <c r="AD16" s="40">
        <f>AD28</f>
        <v>1.7136</v>
      </c>
      <c r="AF16" s="161">
        <f>AF28</f>
        <v>1.7136</v>
      </c>
      <c r="AH16" s="40">
        <f>AH32</f>
        <v>-0.31680000000000003</v>
      </c>
      <c r="AJ16" s="40">
        <f>AJ32</f>
        <v>-0.31680000000000003</v>
      </c>
      <c r="AL16" s="161">
        <f>AL32</f>
        <v>-0.31680000000000003</v>
      </c>
      <c r="AN16" s="40">
        <f>AN36</f>
        <v>-0.44700000000000001</v>
      </c>
      <c r="AP16" s="40">
        <f>AP36</f>
        <v>-0.44700000000000001</v>
      </c>
      <c r="AR16" s="161">
        <f>AR36</f>
        <v>-0.44700000000000001</v>
      </c>
      <c r="AT16" s="40">
        <f>AT36</f>
        <v>-0.44700000000000001</v>
      </c>
      <c r="AV16" s="40">
        <f>AV36</f>
        <v>-0.44700000000000001</v>
      </c>
      <c r="AX16" s="161">
        <f>AX36</f>
        <v>-0.44700000000000001</v>
      </c>
      <c r="AZ16" s="40">
        <f>AZ40</f>
        <v>-0.59819999999999995</v>
      </c>
      <c r="BB16" s="40">
        <f>BB40</f>
        <v>-0.59819999999999995</v>
      </c>
      <c r="BD16" s="161">
        <f>BD40</f>
        <v>-0.59819999999999995</v>
      </c>
      <c r="BF16" s="40">
        <f>BF48</f>
        <v>1.8274999999999999</v>
      </c>
      <c r="BH16" s="40">
        <f>BH48</f>
        <v>1.8274999999999999</v>
      </c>
      <c r="BJ16" s="161">
        <f>BJ48</f>
        <v>1.8274999999999999</v>
      </c>
      <c r="BL16" s="40">
        <f>BL52</f>
        <v>2.2829000000000002</v>
      </c>
      <c r="BN16" s="40">
        <f>BN52</f>
        <v>2.2829000000000002</v>
      </c>
      <c r="BP16" s="161">
        <f>BP52</f>
        <v>2.2829000000000002</v>
      </c>
      <c r="BR16" s="40">
        <f>BR56</f>
        <v>-0.61629999999999996</v>
      </c>
      <c r="BT16" s="40">
        <f>BT56</f>
        <v>-0.61629999999999996</v>
      </c>
      <c r="BV16" s="161">
        <f>BV56</f>
        <v>-0.61629999999999996</v>
      </c>
      <c r="BX16" s="162">
        <f>BX56</f>
        <v>-0.61629999999999996</v>
      </c>
      <c r="BY16" s="10"/>
      <c r="BZ16" s="40">
        <f>BZ60</f>
        <v>0.27339999999999998</v>
      </c>
      <c r="CB16" s="161">
        <f>CB60</f>
        <v>0.27339999999999998</v>
      </c>
      <c r="CD16" s="40">
        <f>CD60</f>
        <v>0.27339999999999998</v>
      </c>
      <c r="CF16" s="40">
        <f>CF60</f>
        <v>0.27339999999999998</v>
      </c>
      <c r="CH16" s="161">
        <f>CH60</f>
        <v>0.27339999999999998</v>
      </c>
      <c r="CJ16" s="40">
        <f>CJ68</f>
        <v>0</v>
      </c>
      <c r="CL16" s="40">
        <f>CL68</f>
        <v>0</v>
      </c>
      <c r="CN16" s="161">
        <f>CN68</f>
        <v>0</v>
      </c>
      <c r="CP16" s="40">
        <f>CP68</f>
        <v>0</v>
      </c>
      <c r="CR16" s="40">
        <f>CR68</f>
        <v>0</v>
      </c>
      <c r="CT16" s="161">
        <f>CT68</f>
        <v>0</v>
      </c>
      <c r="CV16" s="162">
        <f>CV76</f>
        <v>0</v>
      </c>
      <c r="CW16" s="10"/>
      <c r="CX16" s="162">
        <f>CX76</f>
        <v>0</v>
      </c>
      <c r="CY16" s="10"/>
      <c r="CZ16" s="161">
        <f>CZ76</f>
        <v>0</v>
      </c>
      <c r="DB16" s="162">
        <f>DB80</f>
        <v>1.0269519577310613</v>
      </c>
      <c r="DC16" s="10"/>
      <c r="DD16" s="162">
        <f>DD80</f>
        <v>1.0269519577310613</v>
      </c>
      <c r="DE16" s="10"/>
      <c r="DF16" s="161">
        <f>DF80</f>
        <v>1.0269519577310613</v>
      </c>
      <c r="DH16" s="40">
        <f>DH84</f>
        <v>-1.198892805276897</v>
      </c>
      <c r="DJ16" s="40">
        <f>DJ84</f>
        <v>-1.198892805276897</v>
      </c>
      <c r="DL16" s="161">
        <f>DL84</f>
        <v>-1.198892805276897</v>
      </c>
      <c r="DN16" s="40">
        <f>DN88</f>
        <v>-0.91135723059987073</v>
      </c>
      <c r="DO16" s="175"/>
      <c r="DP16" s="40">
        <f>DP88</f>
        <v>-0.91135723059987073</v>
      </c>
      <c r="DQ16" s="175"/>
      <c r="DR16" s="40">
        <f>DR88</f>
        <v>-0.91135723059987073</v>
      </c>
      <c r="DS16" s="179"/>
      <c r="DT16" s="40">
        <f>DT92</f>
        <v>0.87554218562160202</v>
      </c>
      <c r="DU16" s="175"/>
      <c r="DV16" s="40">
        <f>DV92</f>
        <v>0.87554218562160202</v>
      </c>
      <c r="DW16" s="175"/>
      <c r="DX16" s="40">
        <f>DX92</f>
        <v>0.87554218562160202</v>
      </c>
      <c r="DY16" s="179"/>
      <c r="DZ16" s="40">
        <f>DZ96</f>
        <v>-0.51898517133278621</v>
      </c>
      <c r="EA16" s="175"/>
      <c r="EB16" s="40">
        <f>EB96</f>
        <v>-0.51898517133278621</v>
      </c>
      <c r="EC16" s="175"/>
      <c r="ED16" s="40">
        <f>ED96</f>
        <v>-0.51898517133278621</v>
      </c>
      <c r="EE16" s="179"/>
      <c r="EF16" s="40">
        <f>EF100</f>
        <v>3.1973267269909122E-2</v>
      </c>
      <c r="EH16" s="40">
        <f>EH100</f>
        <v>3.1973267269909122E-2</v>
      </c>
      <c r="EJ16" s="40">
        <f>EJ100</f>
        <v>3.1973267269909122E-2</v>
      </c>
      <c r="EK16" s="179"/>
      <c r="EL16" s="40">
        <f>EL104</f>
        <v>0.33517956083011025</v>
      </c>
      <c r="EN16" s="40">
        <f>EN104</f>
        <v>0.33517956083011025</v>
      </c>
      <c r="EP16" s="40">
        <f>EP104</f>
        <v>0.33517956083011025</v>
      </c>
      <c r="EQ16" s="179"/>
      <c r="ER16" s="40">
        <f>ER108</f>
        <v>0.2883320248895892</v>
      </c>
      <c r="ET16" s="40">
        <f>ET108</f>
        <v>0.2883320248895892</v>
      </c>
      <c r="EV16" s="40">
        <f>EV108</f>
        <v>0.2883320248895892</v>
      </c>
      <c r="EW16" s="179"/>
      <c r="EX16" s="40">
        <f>EX112</f>
        <v>0.15156827987494342</v>
      </c>
      <c r="EZ16" s="40">
        <f>EZ112</f>
        <v>0.15156827987494342</v>
      </c>
      <c r="FB16" s="40">
        <f>FB112</f>
        <v>0.15156827987494342</v>
      </c>
      <c r="FC16" s="179"/>
      <c r="FD16" s="40">
        <f>FD116</f>
        <v>1.3319390074759128</v>
      </c>
      <c r="FF16" s="40">
        <f>FF116</f>
        <v>1.3319390074759128</v>
      </c>
      <c r="FH16" s="40">
        <f>FH116</f>
        <v>1.3319390074759128</v>
      </c>
      <c r="FI16" s="179"/>
      <c r="FJ16" s="40">
        <f>FJ120</f>
        <v>0.68965364740505042</v>
      </c>
      <c r="FL16" s="40">
        <f>FL120</f>
        <v>0.68965364740505042</v>
      </c>
      <c r="FN16" s="40">
        <f>FN120</f>
        <v>0.68965364740505042</v>
      </c>
      <c r="FO16" s="184"/>
      <c r="FP16" s="40">
        <f>FP124</f>
        <v>0.19177028222359419</v>
      </c>
      <c r="FR16" s="40">
        <f>FR124</f>
        <v>0.19177028222359419</v>
      </c>
      <c r="FT16" s="161">
        <f>FT124</f>
        <v>0.19177028222359419</v>
      </c>
      <c r="FV16" s="40">
        <f>FV128</f>
        <v>2.9170672513405119E-2</v>
      </c>
      <c r="FX16" s="40">
        <f>FX128</f>
        <v>2.9170672513405119E-2</v>
      </c>
      <c r="FZ16" s="161">
        <f>FZ128</f>
        <v>2.9170672513405119E-2</v>
      </c>
      <c r="GB16" s="40">
        <f>GB132</f>
        <v>-8.5423107924278305E-2</v>
      </c>
      <c r="GD16" s="40">
        <f>GD132</f>
        <v>-8.5423107924278305E-2</v>
      </c>
      <c r="GF16" s="40">
        <f>GF132</f>
        <v>-8.5423107924278305E-2</v>
      </c>
      <c r="GG16" s="179"/>
      <c r="GH16" s="40">
        <f>GH136</f>
        <v>-0.38965033647274666</v>
      </c>
      <c r="GJ16" s="40">
        <f>GJ136</f>
        <v>-0.38965033647274666</v>
      </c>
      <c r="GL16" s="40">
        <f>GL136</f>
        <v>-0.38965033647274666</v>
      </c>
      <c r="GM16" s="179"/>
      <c r="GN16" s="40">
        <f>GN140</f>
        <v>-0.13979920774100021</v>
      </c>
      <c r="GP16" s="40">
        <f>GP140</f>
        <v>-0.13979920774100021</v>
      </c>
      <c r="GR16" s="40">
        <f>GR140</f>
        <v>-0.13979920774100021</v>
      </c>
      <c r="GS16" s="179"/>
      <c r="GT16" s="40">
        <f>GT144</f>
        <v>-5.8305244063016834E-3</v>
      </c>
      <c r="GV16" s="40">
        <f>GV144</f>
        <v>-5.8305244063016834E-3</v>
      </c>
      <c r="GX16" s="40">
        <f>GX144</f>
        <v>-5.8305244063016834E-3</v>
      </c>
      <c r="GY16" s="179"/>
      <c r="GZ16" s="40">
        <f>GZ148</f>
        <v>-0.19006153857473845</v>
      </c>
      <c r="HB16" s="40">
        <f>HB148</f>
        <v>-0.19006153857473845</v>
      </c>
      <c r="HD16" s="40">
        <f>HD148</f>
        <v>-0.19006153857473845</v>
      </c>
      <c r="HE16" s="179"/>
      <c r="HF16" s="40">
        <f>HF152</f>
        <v>-0.13937124008885932</v>
      </c>
      <c r="HH16" s="40">
        <f>HH152</f>
        <v>-0.13937124008885932</v>
      </c>
      <c r="HJ16" s="40">
        <f>HJ152</f>
        <v>-0.13937124008885932</v>
      </c>
      <c r="HK16" s="179"/>
      <c r="HL16" s="40">
        <f>HL156</f>
        <v>0.40211153658516074</v>
      </c>
      <c r="HN16" s="40">
        <f>HN156</f>
        <v>0.40211153658516074</v>
      </c>
      <c r="HP16" s="40">
        <f>HP156</f>
        <v>0.40211153658516074</v>
      </c>
      <c r="HQ16" s="179"/>
      <c r="HR16" s="40">
        <f>HR160</f>
        <v>7.9496641014769914E-2</v>
      </c>
      <c r="HT16" s="40">
        <f>HT160</f>
        <v>7.9496641014769914E-2</v>
      </c>
      <c r="HV16" s="40">
        <f>HV160</f>
        <v>7.9496641014769914E-2</v>
      </c>
      <c r="HW16" s="179"/>
      <c r="HX16" s="40">
        <f>HX164</f>
        <v>2.0796338738353237E-2</v>
      </c>
      <c r="HZ16" s="40">
        <f>HZ164</f>
        <v>2.0796338738353237E-2</v>
      </c>
      <c r="IB16" s="40">
        <f>IB164</f>
        <v>2.0796338738353237E-2</v>
      </c>
      <c r="IC16" s="179"/>
      <c r="ID16" s="40">
        <f>ID168</f>
        <v>3.9706477842062163E-3</v>
      </c>
      <c r="IF16" s="40">
        <f>IF168</f>
        <v>3.9706477842062163E-3</v>
      </c>
      <c r="IH16" s="161">
        <f>IH168</f>
        <v>3.9706477842062163E-3</v>
      </c>
      <c r="IJ16" s="40">
        <f>IJ172</f>
        <v>0.28889999999999999</v>
      </c>
      <c r="IL16" s="40">
        <f>IL172</f>
        <v>0.28889999999999999</v>
      </c>
      <c r="IN16" s="40">
        <f>IN172</f>
        <v>0.28889999999999999</v>
      </c>
      <c r="IO16" s="179"/>
      <c r="IP16" s="40">
        <f>IP176</f>
        <v>7.4399999999999994E-2</v>
      </c>
      <c r="IR16" s="40">
        <f>IR176</f>
        <v>7.4399999999999994E-2</v>
      </c>
      <c r="IT16" s="40">
        <f>IT176</f>
        <v>7.4399999999999994E-2</v>
      </c>
      <c r="IU16" s="179"/>
      <c r="IV16" s="40">
        <f>IV180</f>
        <v>5.5399999999999998E-2</v>
      </c>
      <c r="IX16" s="40">
        <f>IX180</f>
        <v>5.5399999999999998E-2</v>
      </c>
      <c r="IZ16" s="40">
        <f>IZ180</f>
        <v>5.5399999999999998E-2</v>
      </c>
      <c r="JA16" s="179"/>
      <c r="JB16" s="40">
        <f>JB184</f>
        <v>-0.44190000000000002</v>
      </c>
      <c r="JD16" s="40">
        <f>JD184</f>
        <v>-0.44190000000000002</v>
      </c>
      <c r="JF16" s="161">
        <f>JF184</f>
        <v>-0.44190000000000002</v>
      </c>
      <c r="JG16" s="179"/>
      <c r="JH16" s="40">
        <f>JH188</f>
        <v>-9.8699999999999996E-2</v>
      </c>
      <c r="JI16" s="40"/>
      <c r="JJ16" s="40">
        <f>JJ188</f>
        <v>-9.8699999999999996E-2</v>
      </c>
      <c r="JL16" s="161">
        <f>JL188</f>
        <v>-9.8699999999999996E-2</v>
      </c>
      <c r="JN16" s="40">
        <f>JN192</f>
        <v>0.1235</v>
      </c>
      <c r="JP16" s="40">
        <f>JP192</f>
        <v>0.1235</v>
      </c>
      <c r="JR16" s="161">
        <f>JR192</f>
        <v>0.1235</v>
      </c>
      <c r="JT16" s="162">
        <f>JT196</f>
        <v>0.9224</v>
      </c>
      <c r="JU16" s="10"/>
      <c r="JV16" s="162">
        <f>JV196</f>
        <v>0.9224</v>
      </c>
      <c r="JX16" s="162">
        <f>JX196</f>
        <v>0.9224</v>
      </c>
      <c r="JY16" s="179"/>
      <c r="JZ16" s="40">
        <f>JZ200</f>
        <v>0.38279999999999997</v>
      </c>
      <c r="KB16" s="40">
        <f>KB200</f>
        <v>0.38279999999999997</v>
      </c>
      <c r="KD16" s="161">
        <f>KD200</f>
        <v>0.38279999999999997</v>
      </c>
      <c r="KF16" s="40">
        <f>KF204</f>
        <v>-0.39950000000000002</v>
      </c>
      <c r="KH16" s="40">
        <f>KH204</f>
        <v>-0.39950000000000002</v>
      </c>
      <c r="KJ16" s="161">
        <f>KJ204</f>
        <v>-0.39950000000000002</v>
      </c>
      <c r="KL16" s="162">
        <f>KL208</f>
        <v>0</v>
      </c>
      <c r="KM16" s="10"/>
      <c r="KN16" s="162">
        <f>KN208</f>
        <v>0</v>
      </c>
      <c r="KP16" s="162">
        <f>KP208</f>
        <v>0</v>
      </c>
      <c r="KQ16" s="179"/>
      <c r="KR16" s="162">
        <f>KR212</f>
        <v>0.24979999999999999</v>
      </c>
      <c r="KV16" s="81"/>
      <c r="LB16" s="81"/>
      <c r="LH16" s="81"/>
      <c r="LN16" s="81"/>
      <c r="LT16" s="81"/>
      <c r="LZ16" s="81"/>
      <c r="MF16" s="81"/>
      <c r="ML16" s="81"/>
      <c r="MS16" s="179"/>
    </row>
    <row r="17" spans="1:357" x14ac:dyDescent="0.35">
      <c r="C17" s="127" t="s">
        <v>108</v>
      </c>
      <c r="H17" s="161">
        <f>H20</f>
        <v>0.2311</v>
      </c>
      <c r="J17" s="40">
        <f>J20</f>
        <v>0.2311</v>
      </c>
      <c r="L17" s="40">
        <f>L20</f>
        <v>0.2311</v>
      </c>
      <c r="N17" s="161">
        <f>N20</f>
        <v>0.2311</v>
      </c>
      <c r="P17" s="40">
        <f>P24</f>
        <v>1.3403</v>
      </c>
      <c r="R17" s="40">
        <f>R24</f>
        <v>1.3403</v>
      </c>
      <c r="T17" s="161">
        <f>T24</f>
        <v>1.3403</v>
      </c>
      <c r="V17" s="40">
        <f>V28</f>
        <v>1.7136</v>
      </c>
      <c r="X17" s="40">
        <f>X28</f>
        <v>1.7136</v>
      </c>
      <c r="Z17" s="161">
        <f>Z28</f>
        <v>1.7136</v>
      </c>
      <c r="AB17" s="40">
        <f>AB32</f>
        <v>-0.31680000000000003</v>
      </c>
      <c r="AD17" s="40">
        <f>AD32</f>
        <v>-0.31680000000000003</v>
      </c>
      <c r="AF17" s="161">
        <f>AF32</f>
        <v>-0.31680000000000003</v>
      </c>
      <c r="AH17" s="40">
        <f>AH36</f>
        <v>-0.44700000000000001</v>
      </c>
      <c r="AJ17" s="40">
        <f>AJ36</f>
        <v>-0.44700000000000001</v>
      </c>
      <c r="AL17" s="161">
        <f>AL36</f>
        <v>-0.44700000000000001</v>
      </c>
      <c r="AN17" s="40">
        <f>AN40</f>
        <v>-0.59819999999999995</v>
      </c>
      <c r="AP17" s="40">
        <f>AP40</f>
        <v>-0.59819999999999995</v>
      </c>
      <c r="AR17" s="161">
        <f>AR40</f>
        <v>-0.59819999999999995</v>
      </c>
      <c r="AT17" s="40">
        <f>AT40</f>
        <v>-0.59819999999999995</v>
      </c>
      <c r="AV17" s="40">
        <f>AV40</f>
        <v>-0.59819999999999995</v>
      </c>
      <c r="AX17" s="161">
        <f>AX40</f>
        <v>-0.59819999999999995</v>
      </c>
      <c r="AZ17" s="40">
        <f>AZ48</f>
        <v>1.8274999999999999</v>
      </c>
      <c r="BB17" s="40">
        <f>BB48</f>
        <v>1.8274999999999999</v>
      </c>
      <c r="BD17" s="161">
        <f>BD48</f>
        <v>1.8274999999999999</v>
      </c>
      <c r="BF17" s="40">
        <f>BF52</f>
        <v>2.2829000000000002</v>
      </c>
      <c r="BH17" s="40">
        <f>BH52</f>
        <v>2.2829000000000002</v>
      </c>
      <c r="BJ17" s="161">
        <f>BJ52</f>
        <v>2.2829000000000002</v>
      </c>
      <c r="BL17" s="40">
        <f>BL56</f>
        <v>-0.61629999999999996</v>
      </c>
      <c r="BN17" s="40">
        <f>BN56</f>
        <v>-0.61629999999999996</v>
      </c>
      <c r="BP17" s="161">
        <f>BP56</f>
        <v>-0.61629999999999996</v>
      </c>
      <c r="BR17" s="40">
        <f>BR60</f>
        <v>0.27339999999999998</v>
      </c>
      <c r="BT17" s="40">
        <f>BT60</f>
        <v>0.27339999999999998</v>
      </c>
      <c r="BV17" s="161">
        <f>BV60</f>
        <v>0.27339999999999998</v>
      </c>
      <c r="BX17" s="40">
        <f>BX60</f>
        <v>0.27339999999999998</v>
      </c>
      <c r="BY17" s="10"/>
      <c r="BZ17" s="40">
        <f>BZ64</f>
        <v>-8.5000000000000006E-2</v>
      </c>
      <c r="CB17" s="161">
        <f>CB64</f>
        <v>-8.5000000000000006E-2</v>
      </c>
      <c r="CD17" s="40">
        <f>CD64</f>
        <v>-8.5000000000000006E-2</v>
      </c>
      <c r="CF17" s="40">
        <f>CF64</f>
        <v>-8.5000000000000006E-2</v>
      </c>
      <c r="CH17" s="161">
        <f>CH64</f>
        <v>-8.5000000000000006E-2</v>
      </c>
      <c r="CJ17" s="40">
        <f>CJ72</f>
        <v>-8.3699999999999997E-2</v>
      </c>
      <c r="CL17" s="40">
        <f>CL72</f>
        <v>-8.3699999999999997E-2</v>
      </c>
      <c r="CN17" s="161">
        <f>CN72</f>
        <v>-8.3699999999999997E-2</v>
      </c>
      <c r="CP17" s="40">
        <f>CP72</f>
        <v>-8.3699999999999997E-2</v>
      </c>
      <c r="CR17" s="40">
        <f>CR72</f>
        <v>-8.3699999999999997E-2</v>
      </c>
      <c r="CT17" s="161">
        <f>CT72</f>
        <v>-8.3699999999999997E-2</v>
      </c>
      <c r="CV17" s="162">
        <f>CV80</f>
        <v>1.0269519577310613</v>
      </c>
      <c r="CW17" s="10"/>
      <c r="CX17" s="162">
        <f>CX80</f>
        <v>1.0269519577310613</v>
      </c>
      <c r="CY17" s="10"/>
      <c r="CZ17" s="161">
        <f>CZ80</f>
        <v>1.0269519577310613</v>
      </c>
      <c r="DB17" s="40">
        <f>DB84</f>
        <v>-1.198892805276897</v>
      </c>
      <c r="DD17" s="40">
        <f>DD84</f>
        <v>-1.198892805276897</v>
      </c>
      <c r="DF17" s="161">
        <f>DF84</f>
        <v>-1.198892805276897</v>
      </c>
      <c r="DH17" s="40">
        <f>DH88</f>
        <v>-0.91135723059987073</v>
      </c>
      <c r="DJ17" s="40">
        <f>DJ88</f>
        <v>-0.91135723059987073</v>
      </c>
      <c r="DL17" s="166">
        <f>DL88</f>
        <v>-0.91135723059987073</v>
      </c>
      <c r="DN17" s="40">
        <f>DN92</f>
        <v>0.87554218562160202</v>
      </c>
      <c r="DO17" s="175"/>
      <c r="DP17" s="40">
        <f>DP92</f>
        <v>0.87554218562160202</v>
      </c>
      <c r="DQ17" s="175"/>
      <c r="DR17" s="40">
        <f>DR92</f>
        <v>0.87554218562160202</v>
      </c>
      <c r="DS17" s="179"/>
      <c r="DT17" s="40">
        <f>DT96</f>
        <v>-0.51898517133278621</v>
      </c>
      <c r="DU17" s="175"/>
      <c r="DV17" s="40">
        <f>DV96</f>
        <v>-0.51898517133278621</v>
      </c>
      <c r="DW17" s="175"/>
      <c r="DX17" s="40">
        <f>DX96</f>
        <v>-0.51898517133278621</v>
      </c>
      <c r="DY17" s="179"/>
      <c r="DZ17" s="40">
        <f>DZ100</f>
        <v>3.1973267269909122E-2</v>
      </c>
      <c r="EA17" s="175"/>
      <c r="EB17" s="40">
        <f>EB100</f>
        <v>3.1973267269909122E-2</v>
      </c>
      <c r="EC17" s="175"/>
      <c r="ED17" s="40">
        <f>ED100</f>
        <v>3.1973267269909122E-2</v>
      </c>
      <c r="EE17" s="179"/>
      <c r="EF17" s="40">
        <f>EF104</f>
        <v>0.33517956083011025</v>
      </c>
      <c r="EH17" s="40">
        <f>EH104</f>
        <v>0.33517956083011025</v>
      </c>
      <c r="EJ17" s="40">
        <f>EJ104</f>
        <v>0.33517956083011025</v>
      </c>
      <c r="EK17" s="179"/>
      <c r="EL17" s="40">
        <f>EL108</f>
        <v>0.2883320248895892</v>
      </c>
      <c r="EN17" s="40">
        <f>EN108</f>
        <v>0.2883320248895892</v>
      </c>
      <c r="EP17" s="40">
        <f>EP108</f>
        <v>0.2883320248895892</v>
      </c>
      <c r="EQ17" s="179"/>
      <c r="ER17" s="40">
        <f>ER112</f>
        <v>0.15156827987494342</v>
      </c>
      <c r="ET17" s="40">
        <f>ET112</f>
        <v>0.15156827987494342</v>
      </c>
      <c r="EV17" s="40">
        <f>EV112</f>
        <v>0.15156827987494342</v>
      </c>
      <c r="EW17" s="179"/>
      <c r="EX17" s="40">
        <f>EX116</f>
        <v>1.3319390074759128</v>
      </c>
      <c r="EZ17" s="40">
        <f>EZ116</f>
        <v>1.3319390074759128</v>
      </c>
      <c r="FB17" s="40">
        <f>FB116</f>
        <v>1.3319390074759128</v>
      </c>
      <c r="FC17" s="179"/>
      <c r="FD17" s="40">
        <f>FD120</f>
        <v>0.68965364740505042</v>
      </c>
      <c r="FF17" s="40">
        <f>FF120</f>
        <v>0.68965364740505042</v>
      </c>
      <c r="FH17" s="40">
        <f>FH120</f>
        <v>0.68965364740505042</v>
      </c>
      <c r="FI17" s="179"/>
      <c r="FJ17" s="40">
        <f>FJ124</f>
        <v>0.19177028222359419</v>
      </c>
      <c r="FL17" s="40">
        <f>FL124</f>
        <v>0.19177028222359419</v>
      </c>
      <c r="FN17" s="40">
        <f>FN124</f>
        <v>0.19177028222359419</v>
      </c>
      <c r="FO17" s="184"/>
      <c r="FP17" s="40">
        <f>FP128</f>
        <v>2.9170672513405119E-2</v>
      </c>
      <c r="FR17" s="40">
        <f>FR128</f>
        <v>2.9170672513405119E-2</v>
      </c>
      <c r="FT17" s="161">
        <f>FT128</f>
        <v>2.9170672513405119E-2</v>
      </c>
      <c r="FV17" s="40">
        <f>FV132</f>
        <v>-8.5423107924278305E-2</v>
      </c>
      <c r="FX17" s="40">
        <f>FX132</f>
        <v>-8.5423107924278305E-2</v>
      </c>
      <c r="FZ17" s="161">
        <f>FZ132</f>
        <v>-8.5423107924278305E-2</v>
      </c>
      <c r="GB17" s="40">
        <f>GB136</f>
        <v>-0.38965033647274666</v>
      </c>
      <c r="GD17" s="40">
        <f>GD136</f>
        <v>-0.38965033647274666</v>
      </c>
      <c r="GF17" s="40">
        <f>GF136</f>
        <v>-0.38965033647274666</v>
      </c>
      <c r="GG17" s="179"/>
      <c r="GH17" s="40">
        <f>GH140</f>
        <v>-0.13979920774100021</v>
      </c>
      <c r="GJ17" s="40">
        <f>GJ140</f>
        <v>-0.13979920774100021</v>
      </c>
      <c r="GL17" s="40">
        <f>GL140</f>
        <v>-0.13979920774100021</v>
      </c>
      <c r="GM17" s="179"/>
      <c r="GN17" s="40">
        <f>GN144</f>
        <v>-5.8305244063016834E-3</v>
      </c>
      <c r="GP17" s="40">
        <f>GP144</f>
        <v>-5.8305244063016834E-3</v>
      </c>
      <c r="GR17" s="40">
        <f>GR144</f>
        <v>-5.8305244063016834E-3</v>
      </c>
      <c r="GS17" s="179"/>
      <c r="GT17" s="40">
        <f>GT148</f>
        <v>-0.19006153857473845</v>
      </c>
      <c r="GV17" s="40">
        <f>GV148</f>
        <v>-0.19006153857473845</v>
      </c>
      <c r="GX17" s="40">
        <f>GX148</f>
        <v>-0.19006153857473845</v>
      </c>
      <c r="GY17" s="179"/>
      <c r="GZ17" s="40">
        <f>GZ152</f>
        <v>-0.13937124008885932</v>
      </c>
      <c r="HB17" s="40">
        <f>HB152</f>
        <v>-0.13937124008885932</v>
      </c>
      <c r="HD17" s="40">
        <f>HD152</f>
        <v>-0.13937124008885932</v>
      </c>
      <c r="HE17" s="179"/>
      <c r="HF17" s="40">
        <f>HF156</f>
        <v>0.40211153658516074</v>
      </c>
      <c r="HH17" s="40">
        <f>HH156</f>
        <v>0.40211153658516074</v>
      </c>
      <c r="HJ17" s="40">
        <f>HJ156</f>
        <v>0.40211153658516074</v>
      </c>
      <c r="HK17" s="179"/>
      <c r="HL17" s="40">
        <f>HL160</f>
        <v>7.9496641014769914E-2</v>
      </c>
      <c r="HN17" s="40">
        <f>HN160</f>
        <v>7.9496641014769914E-2</v>
      </c>
      <c r="HP17" s="40">
        <f>HP160</f>
        <v>7.9496641014769914E-2</v>
      </c>
      <c r="HQ17" s="179"/>
      <c r="HR17" s="40">
        <f>HR164</f>
        <v>2.0796338738353237E-2</v>
      </c>
      <c r="HT17" s="40">
        <f>HT164</f>
        <v>2.0796338738353237E-2</v>
      </c>
      <c r="HV17" s="40">
        <f>HV164</f>
        <v>2.0796338738353237E-2</v>
      </c>
      <c r="HW17" s="179"/>
      <c r="HX17" s="40">
        <f>HX168</f>
        <v>3.9706477842062163E-3</v>
      </c>
      <c r="HZ17" s="40">
        <f>HZ168</f>
        <v>3.9706477842062163E-3</v>
      </c>
      <c r="IB17" s="40">
        <f>IB168</f>
        <v>3.9706477842062163E-3</v>
      </c>
      <c r="IC17" s="179"/>
      <c r="ID17" s="40">
        <f>ID172</f>
        <v>0.28889999999999999</v>
      </c>
      <c r="IF17" s="40">
        <f>IF172</f>
        <v>0.28889999999999999</v>
      </c>
      <c r="IH17" s="161">
        <f>IH172</f>
        <v>0.28889999999999999</v>
      </c>
      <c r="IJ17" s="40">
        <f>IJ176</f>
        <v>7.4399999999999994E-2</v>
      </c>
      <c r="IL17" s="40">
        <f>IL176</f>
        <v>7.4399999999999994E-2</v>
      </c>
      <c r="IN17" s="40">
        <f>IN176</f>
        <v>7.4399999999999994E-2</v>
      </c>
      <c r="IO17" s="179"/>
      <c r="IP17" s="40">
        <f>IP180</f>
        <v>5.5399999999999998E-2</v>
      </c>
      <c r="IR17" s="40">
        <f>IR180</f>
        <v>5.5399999999999998E-2</v>
      </c>
      <c r="IT17" s="40">
        <f>IT180</f>
        <v>5.5399999999999998E-2</v>
      </c>
      <c r="IU17" s="179"/>
      <c r="IV17" s="40">
        <f>IV184</f>
        <v>-0.44190000000000002</v>
      </c>
      <c r="IX17" s="40">
        <f>IX184</f>
        <v>-0.44190000000000002</v>
      </c>
      <c r="IZ17" s="40">
        <f>IZ184</f>
        <v>-0.44190000000000002</v>
      </c>
      <c r="JA17" s="179"/>
      <c r="JB17" s="40">
        <f>JB188</f>
        <v>-9.8699999999999996E-2</v>
      </c>
      <c r="JD17" s="40">
        <f>JD188</f>
        <v>-9.8699999999999996E-2</v>
      </c>
      <c r="JF17" s="161">
        <f>JF188</f>
        <v>-9.8699999999999996E-2</v>
      </c>
      <c r="JG17" s="179"/>
      <c r="JH17" s="40">
        <f>JH192</f>
        <v>0.1235</v>
      </c>
      <c r="JJ17" s="40">
        <f>JJ192</f>
        <v>0.1235</v>
      </c>
      <c r="JL17" s="161">
        <f>JL192</f>
        <v>0.1235</v>
      </c>
      <c r="JN17" s="40">
        <f>JN196</f>
        <v>0.9224</v>
      </c>
      <c r="JP17" s="40">
        <f>JP196</f>
        <v>0.9224</v>
      </c>
      <c r="JR17" s="161">
        <f>JR196</f>
        <v>0.9224</v>
      </c>
      <c r="JT17" s="40">
        <f>JT200</f>
        <v>0.38279999999999997</v>
      </c>
      <c r="JU17" s="10"/>
      <c r="JV17" s="40">
        <f>JV200</f>
        <v>0.38279999999999997</v>
      </c>
      <c r="JX17" s="40">
        <f>JX200</f>
        <v>0.38279999999999997</v>
      </c>
      <c r="JY17" s="179"/>
      <c r="JZ17" s="40">
        <f>JZ204</f>
        <v>-0.39950000000000002</v>
      </c>
      <c r="KB17" s="40">
        <f>KB204</f>
        <v>-0.39950000000000002</v>
      </c>
      <c r="KD17" s="161">
        <f>KD204</f>
        <v>-0.39950000000000002</v>
      </c>
      <c r="KF17" s="40">
        <f>KF208</f>
        <v>0</v>
      </c>
      <c r="KH17" s="40">
        <f>KH208</f>
        <v>0</v>
      </c>
      <c r="KJ17" s="166">
        <f>KJ208</f>
        <v>0</v>
      </c>
      <c r="KL17" s="162">
        <f>KL212</f>
        <v>0.24979999999999999</v>
      </c>
      <c r="KM17" s="10"/>
      <c r="KN17" s="162">
        <f>KN212</f>
        <v>0.24979999999999999</v>
      </c>
      <c r="KP17" s="162">
        <f>KP212</f>
        <v>0.24979999999999999</v>
      </c>
      <c r="KQ17" s="179"/>
      <c r="KR17" s="40">
        <f>KR216</f>
        <v>0.35716851610626471</v>
      </c>
      <c r="KV17" s="81"/>
      <c r="LB17" s="81"/>
      <c r="LH17" s="81"/>
      <c r="LN17" s="81"/>
      <c r="LT17" s="81"/>
      <c r="LZ17" s="81"/>
      <c r="MF17" s="81"/>
      <c r="ML17" s="81"/>
      <c r="MS17" s="179"/>
    </row>
    <row r="18" spans="1:357" x14ac:dyDescent="0.35">
      <c r="H18" s="81"/>
      <c r="N18" s="81"/>
      <c r="T18" s="81"/>
      <c r="Z18" s="81"/>
      <c r="AF18" s="81"/>
      <c r="AL18" s="81"/>
      <c r="AR18" s="81"/>
      <c r="AX18" s="81"/>
      <c r="AZ18" s="164">
        <f>SUM(AZ14:AZ17)</f>
        <v>0.4654999999999998</v>
      </c>
      <c r="BB18" s="164">
        <f>SUM(BB14:BB17)</f>
        <v>0.4654999999999998</v>
      </c>
      <c r="BD18" s="165">
        <f>SUM(BD14:BD17)</f>
        <v>0.4654999999999998</v>
      </c>
      <c r="BF18" s="164">
        <f>SUM(BF14:BF17)</f>
        <v>3.0651999999999999</v>
      </c>
      <c r="BH18" s="164">
        <f>SUM(BH14:BH17)</f>
        <v>3.0651999999999999</v>
      </c>
      <c r="BJ18" s="165">
        <f>SUM(BJ14:BJ17)</f>
        <v>3.0651999999999999</v>
      </c>
      <c r="BL18" s="164">
        <f>SUM(BL14:BL17)</f>
        <v>2.8959000000000001</v>
      </c>
      <c r="BN18" s="164">
        <f>SUM(BN14:BN17)</f>
        <v>2.8959000000000001</v>
      </c>
      <c r="BP18" s="165">
        <f>SUM(BP14:BP17)</f>
        <v>2.8959000000000001</v>
      </c>
      <c r="BR18" s="164">
        <f>SUM(BR14:BR17)</f>
        <v>3.7675000000000005</v>
      </c>
      <c r="BT18" s="164">
        <f>SUM(BT14:BT17)</f>
        <v>3.7675000000000005</v>
      </c>
      <c r="BV18" s="165">
        <f>SUM(BV14:BV17)</f>
        <v>3.7675000000000005</v>
      </c>
      <c r="BX18" s="164">
        <f>SUM(BX14:BX17)</f>
        <v>3.7675000000000005</v>
      </c>
      <c r="BY18" s="10"/>
      <c r="BZ18" s="164">
        <f>SUM(BZ14:BZ17)</f>
        <v>1.8550000000000004</v>
      </c>
      <c r="CB18" s="165">
        <f>SUM(CB14:CB17)</f>
        <v>1.8550000000000004</v>
      </c>
      <c r="CD18" s="164">
        <f>SUM(CD14:CD17)</f>
        <v>1.8550000000000004</v>
      </c>
      <c r="CF18" s="164">
        <f>SUM(CF14:CF17)</f>
        <v>1.8550000000000004</v>
      </c>
      <c r="CH18" s="165">
        <f>SUM(CH14:CH17)</f>
        <v>1.8550000000000004</v>
      </c>
      <c r="CJ18" s="164">
        <f>SUM(CJ14:CJ17)</f>
        <v>0.10469999999999996</v>
      </c>
      <c r="CL18" s="164">
        <f>SUM(CL14:CL17)</f>
        <v>0.10469999999999996</v>
      </c>
      <c r="CN18" s="165">
        <f>SUM(CN14:CN17)</f>
        <v>0.10469999999999996</v>
      </c>
      <c r="CP18" s="164">
        <f>SUM(CP14:CP17)</f>
        <v>0.10469999999999996</v>
      </c>
      <c r="CR18" s="164">
        <f>SUM(CR14:CR17)</f>
        <v>0.10469999999999996</v>
      </c>
      <c r="CT18" s="165">
        <f>SUM(CT14:CT17)</f>
        <v>0.10469999999999996</v>
      </c>
      <c r="CV18" s="164">
        <f>SUM(CV14:CV17)</f>
        <v>0.9432519577310613</v>
      </c>
      <c r="CX18" s="164">
        <f>SUM(CX14:CX17)</f>
        <v>0.9432519577310613</v>
      </c>
      <c r="CZ18" s="165">
        <f>SUM(CZ14:CZ17)</f>
        <v>0.9432519577310613</v>
      </c>
      <c r="DB18" s="164">
        <f>SUM(DB14:DB17)</f>
        <v>-0.25564084754583571</v>
      </c>
      <c r="DD18" s="164">
        <f>SUM(DD14:DD17)</f>
        <v>-0.25564084754583571</v>
      </c>
      <c r="DF18" s="165">
        <f>SUM(DF14:DF17)</f>
        <v>-0.25564084754583571</v>
      </c>
      <c r="DH18" s="164">
        <f>SUM(DH14:DH17)</f>
        <v>-1.0832980781457064</v>
      </c>
      <c r="DJ18" s="164">
        <f>SUM(DJ14:DJ17)</f>
        <v>-1.0832980781457064</v>
      </c>
      <c r="DL18" s="165">
        <f>SUM(DL14:DL17)</f>
        <v>-1.0832980781457064</v>
      </c>
      <c r="DN18" s="164">
        <f>SUM(DN14:DN17)</f>
        <v>-0.20775589252410442</v>
      </c>
      <c r="DO18" s="175"/>
      <c r="DP18" s="164">
        <f>SUM(DP14:DP17)</f>
        <v>-0.20775589252410442</v>
      </c>
      <c r="DQ18" s="175"/>
      <c r="DR18" s="165">
        <f>SUM(DR14:DR17)</f>
        <v>-0.20775589252410442</v>
      </c>
      <c r="DT18" s="164">
        <f>SUM(DT14:DT17)</f>
        <v>-1.7536930215879523</v>
      </c>
      <c r="DU18" s="175"/>
      <c r="DV18" s="164">
        <f>SUM(DV14:DV17)</f>
        <v>-1.7536930215879523</v>
      </c>
      <c r="DW18" s="175"/>
      <c r="DX18" s="164">
        <f>SUM(DX14:DX17)</f>
        <v>-1.7536930215879523</v>
      </c>
      <c r="DY18" s="179"/>
      <c r="DZ18" s="164">
        <f>SUM(DZ14:DZ17)</f>
        <v>-0.52282694904114579</v>
      </c>
      <c r="EA18" s="175"/>
      <c r="EB18" s="164">
        <f>SUM(EB14:EB17)</f>
        <v>-0.52282694904114579</v>
      </c>
      <c r="EC18" s="175"/>
      <c r="ED18" s="164">
        <f>SUM(ED14:ED17)</f>
        <v>-0.52282694904114579</v>
      </c>
      <c r="EE18" s="179"/>
      <c r="EF18" s="164">
        <f>SUM(EF14:EF17)</f>
        <v>0.72370984238883518</v>
      </c>
      <c r="EH18" s="164">
        <f>SUM(EH14:EH17)</f>
        <v>0.72370984238883518</v>
      </c>
      <c r="EJ18" s="164">
        <f>SUM(EJ14:EJ17)</f>
        <v>0.72370984238883518</v>
      </c>
      <c r="EK18" s="179"/>
      <c r="EL18" s="164">
        <f>SUM(EL14:EL17)</f>
        <v>0.13649968165682236</v>
      </c>
      <c r="EN18" s="164">
        <f>SUM(EN14:EN17)</f>
        <v>0.13649968165682236</v>
      </c>
      <c r="EP18" s="164">
        <f>SUM(EP14:EP17)</f>
        <v>0.13649968165682236</v>
      </c>
      <c r="EQ18" s="179"/>
      <c r="ER18" s="164">
        <f>SUM(ER14:ER17)</f>
        <v>0.80705313286455205</v>
      </c>
      <c r="ET18" s="164">
        <f>SUM(ET14:ET17)</f>
        <v>0.80705313286455205</v>
      </c>
      <c r="EV18" s="164">
        <f>SUM(EV14:EV17)</f>
        <v>0.80705313286455205</v>
      </c>
      <c r="EW18" s="179"/>
      <c r="EX18" s="164">
        <f>SUM(EX14:EX17)</f>
        <v>2.1070188730705555</v>
      </c>
      <c r="EZ18" s="164">
        <f>SUM(EZ14:EZ17)</f>
        <v>2.1070188730705555</v>
      </c>
      <c r="FB18" s="164">
        <f>SUM(FB14:FB17)</f>
        <v>2.1070188730705555</v>
      </c>
      <c r="FC18" s="179"/>
      <c r="FD18" s="164">
        <f>SUM(FD14:FD17)</f>
        <v>2.4614929596454957</v>
      </c>
      <c r="FF18" s="164">
        <f>SUM(FF14:FF17)</f>
        <v>2.4614929596454957</v>
      </c>
      <c r="FH18" s="164">
        <f>SUM(FH14:FH17)</f>
        <v>2.4614929596454957</v>
      </c>
      <c r="FI18" s="179"/>
      <c r="FJ18" s="164">
        <f>SUM(FJ14:FJ17)</f>
        <v>2.3649312169795009</v>
      </c>
      <c r="FL18" s="164">
        <f>SUM(FL14:FL17)</f>
        <v>2.3649312169795009</v>
      </c>
      <c r="FN18" s="164">
        <f>SUM(FN14:FN17)</f>
        <v>2.3649312169795009</v>
      </c>
      <c r="FO18" s="184"/>
      <c r="FP18" s="164">
        <f>SUM(FP14:FP17)</f>
        <v>2.2425336096179627</v>
      </c>
      <c r="FR18" s="164">
        <f>SUM(FR14:FR17)</f>
        <v>2.2425336096179627</v>
      </c>
      <c r="FT18" s="165">
        <f>SUM(FT14:FT17)</f>
        <v>2.2425336096179627</v>
      </c>
      <c r="FV18" s="164">
        <f>SUM(FV14:FV17)</f>
        <v>0.82517149421777136</v>
      </c>
      <c r="FX18" s="164">
        <f>SUM(FX14:FX17)</f>
        <v>0.82517149421777136</v>
      </c>
      <c r="FZ18" s="165">
        <f>SUM(FZ14:FZ17)</f>
        <v>0.82517149421777136</v>
      </c>
      <c r="GB18" s="164">
        <f>SUM(GB14:GB17)</f>
        <v>-0.25413248966002566</v>
      </c>
      <c r="GD18" s="164">
        <f>SUM(GD14:GD17)</f>
        <v>-0.25413248966002566</v>
      </c>
      <c r="GF18" s="164">
        <f>SUM(GF14:GF17)</f>
        <v>-0.25413248966002566</v>
      </c>
      <c r="GG18" s="179"/>
      <c r="GH18" s="164">
        <f>SUM(GH14:GH17)</f>
        <v>-0.58570197962462001</v>
      </c>
      <c r="GJ18" s="164">
        <f>SUM(GJ14:GJ17)</f>
        <v>-0.58570197962462001</v>
      </c>
      <c r="GL18" s="164">
        <f>SUM(GL14:GL17)</f>
        <v>-0.58570197962462001</v>
      </c>
      <c r="GM18" s="179"/>
      <c r="GN18" s="164">
        <f>SUM(GN14:GN17)</f>
        <v>-0.62070317654432694</v>
      </c>
      <c r="GP18" s="164">
        <f>SUM(GP14:GP17)</f>
        <v>-0.62070317654432694</v>
      </c>
      <c r="GR18" s="164">
        <f>SUM(GR14:GR17)</f>
        <v>-0.62070317654432694</v>
      </c>
      <c r="GS18" s="179"/>
      <c r="GT18" s="164">
        <f>SUM(GT14:GT17)</f>
        <v>-0.72534160719478713</v>
      </c>
      <c r="GV18" s="164">
        <f>SUM(GV14:GV17)</f>
        <v>-0.72534160719478713</v>
      </c>
      <c r="GX18" s="164">
        <f>SUM(GX14:GX17)</f>
        <v>-0.72534160719478713</v>
      </c>
      <c r="GY18" s="179"/>
      <c r="GZ18" s="164">
        <f>SUM(GZ14:GZ17)</f>
        <v>-0.47506251081089967</v>
      </c>
      <c r="HB18" s="164">
        <f>SUM(HB14:HB17)</f>
        <v>-0.47506251081089967</v>
      </c>
      <c r="HD18" s="164">
        <f>SUM(HD14:HD17)</f>
        <v>-0.47506251081089967</v>
      </c>
      <c r="HE18" s="179"/>
      <c r="HF18" s="164">
        <f>SUM(HF14:HF17)</f>
        <v>6.6848233515261257E-2</v>
      </c>
      <c r="HH18" s="164">
        <f>SUM(HH14:HH17)</f>
        <v>6.6848233515261257E-2</v>
      </c>
      <c r="HJ18" s="164">
        <f>SUM(HJ14:HJ17)</f>
        <v>6.6848233515261257E-2</v>
      </c>
      <c r="HK18" s="179"/>
      <c r="HL18" s="164">
        <f>SUM(HL14:HL17)</f>
        <v>0.15217539893633289</v>
      </c>
      <c r="HN18" s="164">
        <f>SUM(HN14:HN17)</f>
        <v>0.15217539893633289</v>
      </c>
      <c r="HP18" s="164">
        <f>SUM(HP14:HP17)</f>
        <v>0.15217539893633289</v>
      </c>
      <c r="HQ18" s="179"/>
      <c r="HR18" s="164">
        <f>SUM(HR14:HR17)</f>
        <v>0.36303327624942455</v>
      </c>
      <c r="HT18" s="164">
        <f>SUM(HT14:HT17)</f>
        <v>0.36303327624942455</v>
      </c>
      <c r="HV18" s="164">
        <f>SUM(HV14:HV17)</f>
        <v>0.36303327624942455</v>
      </c>
      <c r="HW18" s="179"/>
      <c r="HX18" s="164">
        <f>SUM(HX14:HX17)</f>
        <v>0.50637516412249017</v>
      </c>
      <c r="HZ18" s="164">
        <f>SUM(HZ14:HZ17)</f>
        <v>0.50637516412249017</v>
      </c>
      <c r="IB18" s="164">
        <f>SUM(IB14:IB17)</f>
        <v>0.50637516412249017</v>
      </c>
      <c r="IC18" s="179"/>
      <c r="ID18" s="164">
        <f>SUM(ID14:ID17)</f>
        <v>0.39316362753732936</v>
      </c>
      <c r="IF18" s="164">
        <f>SUM(IF14:IF17)</f>
        <v>0.39316362753732936</v>
      </c>
      <c r="IH18" s="165">
        <f>SUM(IH14:IH17)</f>
        <v>0.39316362753732936</v>
      </c>
      <c r="IJ18" s="164">
        <f>SUM(IJ14:IJ17)</f>
        <v>0.38806698652255944</v>
      </c>
      <c r="IL18" s="164">
        <f>SUM(IL14:IL17)</f>
        <v>0.38806698652255944</v>
      </c>
      <c r="IN18" s="164">
        <f>SUM(IN14:IN17)</f>
        <v>0.38806698652255944</v>
      </c>
      <c r="IO18" s="179"/>
      <c r="IP18" s="164">
        <f>SUM(IP14:IP17)</f>
        <v>0.42267064778420615</v>
      </c>
      <c r="IR18" s="164">
        <f>SUM(IR14:IR17)</f>
        <v>0.42267064778420615</v>
      </c>
      <c r="IT18" s="164">
        <f>SUM(IT14:IT17)</f>
        <v>0.42267064778420615</v>
      </c>
      <c r="IU18" s="179"/>
      <c r="IV18" s="164">
        <f>SUM(IV14:IV17)</f>
        <v>-2.3200000000000054E-2</v>
      </c>
      <c r="IX18" s="164">
        <f>SUM(IX14:IX17)</f>
        <v>-2.3200000000000054E-2</v>
      </c>
      <c r="IZ18" s="164">
        <f>SUM(IZ14:IZ17)</f>
        <v>-2.3200000000000054E-2</v>
      </c>
      <c r="JA18" s="179"/>
      <c r="JB18" s="164">
        <f>SUM(JB14:JB17)</f>
        <v>-0.41080000000000005</v>
      </c>
      <c r="JD18" s="164">
        <f>SUM(JD14:JD17)</f>
        <v>-0.41080000000000005</v>
      </c>
      <c r="JF18" s="165">
        <f>SUM(JF14:JF17)</f>
        <v>-0.41080000000000005</v>
      </c>
      <c r="JG18" s="179"/>
      <c r="JH18" s="164">
        <f>SUM(JH14:JH17)</f>
        <v>-0.36170000000000002</v>
      </c>
      <c r="JJ18" s="164">
        <f>SUM(JJ14:JJ17)</f>
        <v>-0.36170000000000002</v>
      </c>
      <c r="JL18" s="165">
        <f>SUM(JL14:JL17)</f>
        <v>-0.36170000000000002</v>
      </c>
      <c r="JN18" s="164">
        <f>SUM(JN14:JN17)</f>
        <v>0.50530000000000008</v>
      </c>
      <c r="JP18" s="164">
        <f>SUM(JP14:JP17)</f>
        <v>0.50530000000000008</v>
      </c>
      <c r="JR18" s="165">
        <f>SUM(JR14:JR17)</f>
        <v>0.50530000000000008</v>
      </c>
      <c r="JT18" s="164">
        <f>SUM(JT14:JT17)</f>
        <v>1.33</v>
      </c>
      <c r="JU18" s="10"/>
      <c r="JV18" s="164">
        <f>SUM(JV14:JV17)</f>
        <v>1.33</v>
      </c>
      <c r="JX18" s="164">
        <f>SUM(JX14:JX17)</f>
        <v>1.33</v>
      </c>
      <c r="JY18" s="179"/>
      <c r="JZ18" s="164">
        <f>SUM(JZ14:JZ17)</f>
        <v>1.0292000000000001</v>
      </c>
      <c r="KB18" s="164">
        <f>SUM(KB14:KB17)</f>
        <v>1.0292000000000001</v>
      </c>
      <c r="KD18" s="165">
        <f>SUM(KD14:KD17)</f>
        <v>1.0292000000000001</v>
      </c>
      <c r="KF18" s="164">
        <f>SUM(KF14:KF17)</f>
        <v>0.90569999999999995</v>
      </c>
      <c r="KH18" s="164">
        <f>SUM(KH14:KH17)</f>
        <v>0.90569999999999995</v>
      </c>
      <c r="KJ18" s="165">
        <f>SUM(KJ14:KJ17)</f>
        <v>0.90569999999999995</v>
      </c>
      <c r="KL18" s="164">
        <f>SUM(KL14:KL17)</f>
        <v>0.57430000000000003</v>
      </c>
      <c r="KM18" s="10"/>
      <c r="KN18" s="164">
        <f>SUM(KN14:KN17)</f>
        <v>0.57430000000000003</v>
      </c>
      <c r="KP18" s="164">
        <f>SUM(KP14:KP17)</f>
        <v>0.57430000000000003</v>
      </c>
      <c r="KQ18" s="179"/>
      <c r="KR18" s="164">
        <f>SUM(KR14:KR16)</f>
        <v>0.11099999999999999</v>
      </c>
      <c r="KV18" s="81"/>
      <c r="LB18" s="81"/>
      <c r="LH18" s="81"/>
      <c r="LN18" s="81"/>
      <c r="LT18" s="81"/>
      <c r="LZ18" s="81"/>
      <c r="MF18" s="81"/>
      <c r="ML18" s="81"/>
      <c r="MS18" s="179"/>
    </row>
    <row r="19" spans="1:357" x14ac:dyDescent="0.35">
      <c r="H19" s="81"/>
      <c r="N19" s="81"/>
      <c r="T19" s="81"/>
      <c r="Z19" s="81"/>
      <c r="AF19" s="81"/>
      <c r="AL19" s="103"/>
      <c r="AR19" s="81"/>
      <c r="AX19" s="81"/>
      <c r="BD19" s="81"/>
      <c r="BJ19" s="81"/>
      <c r="BP19" s="81"/>
      <c r="BV19" s="81"/>
      <c r="BY19" s="10"/>
      <c r="BZ19" s="10"/>
      <c r="CB19" s="81"/>
      <c r="CH19" s="81"/>
      <c r="CN19" s="81"/>
      <c r="CT19" s="81"/>
      <c r="CZ19" s="81"/>
      <c r="DF19" s="81"/>
      <c r="DL19" s="81"/>
      <c r="DR19" s="81"/>
      <c r="DX19" s="81"/>
      <c r="ED19" s="81"/>
      <c r="EJ19" s="81"/>
      <c r="EP19" s="81"/>
      <c r="EV19" s="81"/>
      <c r="FB19" s="81"/>
      <c r="FH19" s="81"/>
      <c r="FN19" s="81"/>
      <c r="FT19" s="81"/>
      <c r="FZ19" s="81"/>
      <c r="GF19" s="81"/>
      <c r="GL19" s="81"/>
      <c r="GR19" s="81"/>
      <c r="GX19" s="81"/>
      <c r="HD19" s="81"/>
      <c r="HJ19" s="81"/>
      <c r="HP19" s="81"/>
      <c r="HV19" s="81"/>
      <c r="IB19" s="81"/>
      <c r="IH19" s="81"/>
      <c r="IN19" s="81"/>
      <c r="IT19" s="81"/>
      <c r="IZ19" s="81"/>
      <c r="JF19" s="81"/>
      <c r="JG19" s="179"/>
      <c r="JL19" s="81"/>
      <c r="JR19" s="81"/>
      <c r="JX19" s="81"/>
      <c r="KD19" s="81"/>
      <c r="KJ19" s="81"/>
      <c r="KP19" s="81"/>
      <c r="KV19" s="81"/>
      <c r="LB19" s="81"/>
      <c r="LH19" s="81"/>
      <c r="LN19" s="81"/>
      <c r="LT19" s="81"/>
      <c r="LZ19" s="81"/>
      <c r="MF19" s="81"/>
      <c r="ML19" s="81"/>
      <c r="MS19" s="179"/>
    </row>
    <row r="20" spans="1:357" hidden="1" x14ac:dyDescent="0.35">
      <c r="F20" s="10"/>
      <c r="G20" s="10"/>
      <c r="H20" s="102">
        <v>0.2311</v>
      </c>
      <c r="I20" s="162"/>
      <c r="J20" s="154">
        <f>H20</f>
        <v>0.2311</v>
      </c>
      <c r="K20" s="162"/>
      <c r="L20" s="154">
        <f>J20</f>
        <v>0.2311</v>
      </c>
      <c r="M20" s="162"/>
      <c r="N20" s="150">
        <f>L20</f>
        <v>0.2311</v>
      </c>
      <c r="O20" s="162"/>
      <c r="P20" s="154">
        <f>N20</f>
        <v>0.2311</v>
      </c>
      <c r="Q20" s="162"/>
      <c r="R20" s="154">
        <f>P20</f>
        <v>0.2311</v>
      </c>
      <c r="S20" s="162"/>
      <c r="T20" s="150">
        <f>R20</f>
        <v>0.2311</v>
      </c>
      <c r="U20" s="162"/>
      <c r="V20" s="154">
        <f>T20</f>
        <v>0.2311</v>
      </c>
      <c r="W20" s="162"/>
      <c r="X20" s="154">
        <f>V20</f>
        <v>0.2311</v>
      </c>
      <c r="Y20" s="162"/>
      <c r="Z20" s="150">
        <f>X20</f>
        <v>0.2311</v>
      </c>
      <c r="AA20" s="162"/>
      <c r="AB20" s="154">
        <f>Z20</f>
        <v>0.2311</v>
      </c>
      <c r="AC20" s="162"/>
      <c r="AD20" s="154">
        <f>AB20</f>
        <v>0.2311</v>
      </c>
      <c r="AE20" s="144"/>
      <c r="AF20" s="150">
        <f>AD20</f>
        <v>0.2311</v>
      </c>
      <c r="AG20" s="144"/>
      <c r="AH20" s="144"/>
      <c r="AI20" s="144"/>
      <c r="AJ20" s="144"/>
      <c r="AK20" s="40"/>
      <c r="AL20" s="118"/>
      <c r="AM20" s="40"/>
      <c r="AN20" s="151">
        <f>AL22</f>
        <v>-6.7400000000000002E-2</v>
      </c>
      <c r="AO20" s="40"/>
      <c r="AP20" s="43">
        <f>AN20</f>
        <v>-6.7400000000000002E-2</v>
      </c>
      <c r="AQ20" s="40"/>
      <c r="AR20" s="150">
        <f>AP20</f>
        <v>-6.7400000000000002E-2</v>
      </c>
      <c r="AS20" s="40"/>
      <c r="AT20" s="43">
        <f>AR20</f>
        <v>-6.7400000000000002E-2</v>
      </c>
      <c r="AU20" s="40"/>
      <c r="AV20" s="43">
        <f>AT20</f>
        <v>-6.7400000000000002E-2</v>
      </c>
      <c r="AW20" s="40"/>
      <c r="AX20" s="150">
        <f>AV20</f>
        <v>-6.7400000000000002E-2</v>
      </c>
      <c r="AY20" s="40"/>
      <c r="AZ20" s="43">
        <f>AX20</f>
        <v>-6.7400000000000002E-2</v>
      </c>
      <c r="BA20" s="40"/>
      <c r="BB20" s="43">
        <f>AZ20</f>
        <v>-6.7400000000000002E-2</v>
      </c>
      <c r="BC20" s="40"/>
      <c r="BD20" s="150">
        <f>BB20</f>
        <v>-6.7400000000000002E-2</v>
      </c>
      <c r="BE20" s="40"/>
      <c r="BF20" s="43">
        <f>BD20</f>
        <v>-6.7400000000000002E-2</v>
      </c>
      <c r="BG20" s="40"/>
      <c r="BH20" s="43">
        <f>BF20</f>
        <v>-6.7400000000000002E-2</v>
      </c>
      <c r="BI20" s="40"/>
      <c r="BJ20" s="150">
        <f>BH20</f>
        <v>-6.7400000000000002E-2</v>
      </c>
      <c r="BL20" s="43">
        <f>BJ20</f>
        <v>-6.7400000000000002E-2</v>
      </c>
      <c r="BM20" s="40"/>
      <c r="BN20" s="43">
        <f>BL20</f>
        <v>-6.7400000000000002E-2</v>
      </c>
      <c r="BO20" s="40"/>
      <c r="BP20" s="150">
        <f>BN20</f>
        <v>-6.7400000000000002E-2</v>
      </c>
      <c r="BV20" s="81"/>
      <c r="CB20" s="81"/>
      <c r="CH20" s="81"/>
      <c r="CN20" s="81"/>
      <c r="CT20" s="81"/>
      <c r="CZ20" s="81"/>
      <c r="DF20" s="81"/>
      <c r="DL20" s="81"/>
      <c r="DR20" s="81"/>
      <c r="DX20" s="81"/>
      <c r="ED20" s="81"/>
      <c r="EJ20" s="81"/>
      <c r="EP20" s="81"/>
      <c r="EV20" s="81"/>
      <c r="FB20" s="81"/>
      <c r="FH20" s="81"/>
      <c r="FN20" s="81"/>
      <c r="FT20" s="81"/>
      <c r="FZ20" s="81"/>
      <c r="GF20" s="81"/>
      <c r="GL20" s="81"/>
      <c r="GR20" s="81"/>
      <c r="GX20" s="81"/>
      <c r="HD20" s="81"/>
      <c r="HJ20" s="81"/>
      <c r="HP20" s="81"/>
      <c r="HV20" s="81"/>
      <c r="IB20" s="81"/>
      <c r="IH20" s="81"/>
      <c r="IN20" s="81"/>
      <c r="IT20" s="81"/>
      <c r="IZ20" s="81"/>
      <c r="JF20" s="81"/>
      <c r="JG20" s="179"/>
      <c r="JL20" s="81"/>
      <c r="JR20" s="81"/>
      <c r="JX20" s="81"/>
      <c r="KD20" s="81"/>
      <c r="KJ20" s="81"/>
      <c r="KP20" s="81"/>
      <c r="KV20" s="81"/>
      <c r="LB20" s="81"/>
      <c r="LH20" s="81"/>
      <c r="LN20" s="81"/>
      <c r="LT20" s="81"/>
      <c r="LZ20" s="81"/>
      <c r="MF20" s="81"/>
      <c r="ML20" s="81"/>
    </row>
    <row r="21" spans="1:357" hidden="1" x14ac:dyDescent="0.35">
      <c r="F21" s="163">
        <v>4469.5200000000004</v>
      </c>
      <c r="G21" s="10"/>
      <c r="H21" s="82">
        <f>F21-(H$5*H20)</f>
        <v>4139.5092000000004</v>
      </c>
      <c r="I21" s="10"/>
      <c r="J21" s="155">
        <f>H21-(J$5*J20)</f>
        <v>3814.1204000000002</v>
      </c>
      <c r="K21" s="10"/>
      <c r="L21" s="155">
        <f>J21-(L$5*L20)</f>
        <v>3666.9097000000002</v>
      </c>
      <c r="M21" s="10"/>
      <c r="N21" s="82">
        <f>L21-(N$5*N20)</f>
        <v>3485.2651000000001</v>
      </c>
      <c r="O21" s="10"/>
      <c r="P21" s="155">
        <f>N21-(P$5*P20)</f>
        <v>3327.4238</v>
      </c>
      <c r="Q21" s="10"/>
      <c r="R21" s="155">
        <f>P21-(R$5*R20)</f>
        <v>3130.7577000000001</v>
      </c>
      <c r="S21" s="10"/>
      <c r="T21" s="82">
        <f>R21-(T$5*T20)</f>
        <v>2869.8458000000001</v>
      </c>
      <c r="U21" s="10"/>
      <c r="V21" s="155">
        <f>T21-(V$5*V20)</f>
        <v>2012.0026</v>
      </c>
      <c r="W21" s="10"/>
      <c r="X21" s="155">
        <f>V21-(X$5*X20)</f>
        <v>1216.7874999999999</v>
      </c>
      <c r="Y21" s="10"/>
      <c r="Z21" s="82">
        <f>X21-(Z$5*Z20)</f>
        <v>-82.225599999999986</v>
      </c>
      <c r="AA21" s="10"/>
      <c r="AB21" s="155">
        <f>Z21-(AB$5*AB20)</f>
        <v>-1109.4650999999999</v>
      </c>
      <c r="AC21" s="10"/>
      <c r="AD21" s="155">
        <f>AB21-(AD$5*AD20)</f>
        <v>-1903.5246999999999</v>
      </c>
      <c r="AE21" s="143"/>
      <c r="AF21" s="82">
        <f>AD21-(AF$5*AF20)</f>
        <v>-2267.5072</v>
      </c>
      <c r="AG21" s="143"/>
      <c r="AH21" s="143">
        <f>AF21</f>
        <v>-2267.5072</v>
      </c>
      <c r="AI21" s="143"/>
      <c r="AJ21" s="143">
        <f>AH21</f>
        <v>-2267.5072</v>
      </c>
      <c r="AL21" s="173">
        <f>AJ21+425.51</f>
        <v>-1841.9972</v>
      </c>
      <c r="AN21" s="33">
        <f>AL21-(AN$5*AN20)</f>
        <v>-1796.9066</v>
      </c>
      <c r="AP21" s="33">
        <f>AN21-(AP$5*AP20)</f>
        <v>-1746.424</v>
      </c>
      <c r="AR21" s="82">
        <f>AP21-(AR$5*AR20)</f>
        <v>-1656.3776</v>
      </c>
      <c r="AT21" s="33">
        <f>AR21-(AT$5*AT20)</f>
        <v>-1540.0452</v>
      </c>
      <c r="AV21" s="33">
        <f>AT21-(AV$5*AV20)</f>
        <v>-1165.0316</v>
      </c>
      <c r="AX21" s="82">
        <f>AV21-(AX$5*AX20)</f>
        <v>-772.7636</v>
      </c>
      <c r="AZ21" s="33">
        <f>AX21-(AZ$5*AZ20)</f>
        <v>-340.93180000000001</v>
      </c>
      <c r="BB21" s="33">
        <f>AZ21-(BB$5*BB20)</f>
        <v>-63.51339999999999</v>
      </c>
      <c r="BD21" s="82">
        <f>BB21-(BD$5*BD20)</f>
        <v>42.237200000000016</v>
      </c>
      <c r="BF21" s="33">
        <f>BD21-(BF$5*BF20)</f>
        <v>109.56980000000001</v>
      </c>
      <c r="BH21" s="33">
        <f>BF21-(BH$5*BH20)</f>
        <v>182.4966</v>
      </c>
      <c r="BJ21" s="82">
        <f>BH21-(BJ$5*BJ20)</f>
        <v>234.46199999999999</v>
      </c>
      <c r="BL21" s="33">
        <f>BJ21-(BL$5*BL20)</f>
        <v>277.86759999999998</v>
      </c>
      <c r="BN21" s="33">
        <f>BL21-(BN$5*BN20)</f>
        <v>351.80539999999996</v>
      </c>
      <c r="BP21" s="168">
        <f>BN21-(BP$5*BP20)</f>
        <v>445.08699999999999</v>
      </c>
      <c r="BV21" s="81"/>
      <c r="CB21" s="81"/>
      <c r="CH21" s="81"/>
      <c r="CN21" s="81"/>
      <c r="CT21" s="81"/>
      <c r="CZ21" s="81"/>
      <c r="DF21" s="81"/>
      <c r="DL21" s="81"/>
      <c r="DR21" s="81"/>
      <c r="DX21" s="81"/>
      <c r="ED21" s="81"/>
      <c r="EJ21" s="81"/>
      <c r="EP21" s="81"/>
      <c r="EV21" s="81"/>
      <c r="FB21" s="81"/>
      <c r="FH21" s="81"/>
      <c r="FN21" s="81"/>
      <c r="FT21" s="81"/>
      <c r="FZ21" s="81"/>
      <c r="GF21" s="81"/>
      <c r="GL21" s="81"/>
      <c r="GR21" s="81"/>
      <c r="GX21" s="81"/>
      <c r="HD21" s="81"/>
      <c r="HJ21" s="81"/>
      <c r="HP21" s="81"/>
      <c r="HV21" s="81"/>
      <c r="IB21" s="81"/>
      <c r="IH21" s="81"/>
      <c r="IN21" s="81"/>
      <c r="IT21" s="81"/>
      <c r="IZ21" s="81"/>
      <c r="JF21" s="81"/>
      <c r="JG21" s="179"/>
      <c r="JL21" s="81"/>
      <c r="JR21" s="81"/>
      <c r="JX21" s="81"/>
      <c r="KD21" s="81"/>
      <c r="KJ21" s="81"/>
      <c r="KP21" s="81"/>
      <c r="KV21" s="81"/>
      <c r="LB21" s="81"/>
      <c r="LH21" s="81"/>
      <c r="LN21" s="81"/>
      <c r="LT21" s="81"/>
      <c r="LZ21" s="81"/>
      <c r="MF21" s="81"/>
      <c r="ML21" s="81"/>
    </row>
    <row r="22" spans="1:357" hidden="1" x14ac:dyDescent="0.35">
      <c r="F22" s="10"/>
      <c r="G22" s="10"/>
      <c r="H22" s="81"/>
      <c r="I22" s="10"/>
      <c r="J22" s="10"/>
      <c r="K22" s="10"/>
      <c r="L22" s="10"/>
      <c r="M22" s="10"/>
      <c r="N22" s="81"/>
      <c r="O22" s="10"/>
      <c r="P22" s="10"/>
      <c r="Q22" s="10"/>
      <c r="R22" s="10"/>
      <c r="S22" s="10"/>
      <c r="T22" s="81"/>
      <c r="U22" s="10"/>
      <c r="V22" s="10"/>
      <c r="W22" s="10"/>
      <c r="X22" s="10"/>
      <c r="Y22" s="10"/>
      <c r="Z22" s="81"/>
      <c r="AA22" s="10"/>
      <c r="AB22" s="10"/>
      <c r="AC22" s="10"/>
      <c r="AD22" s="148"/>
      <c r="AE22" s="10"/>
      <c r="AF22" s="81"/>
      <c r="AG22" s="10"/>
      <c r="AH22" s="10"/>
      <c r="AI22" s="10"/>
      <c r="AJ22" s="148"/>
      <c r="AK22" s="10"/>
      <c r="AL22" s="160">
        <v>-6.7400000000000002E-2</v>
      </c>
      <c r="AM22" s="10"/>
      <c r="AN22" s="10"/>
      <c r="AO22" s="10"/>
      <c r="AP22" s="10"/>
      <c r="AQ22" s="10"/>
      <c r="AR22" s="81"/>
      <c r="AS22" s="10"/>
      <c r="AT22" s="10"/>
      <c r="AU22" s="10"/>
      <c r="AV22" s="10"/>
      <c r="AW22" s="10"/>
      <c r="AX22" s="81"/>
      <c r="AY22" s="10"/>
      <c r="AZ22" s="10"/>
      <c r="BA22" s="10"/>
      <c r="BB22" s="10"/>
      <c r="BC22" s="10"/>
      <c r="BD22" s="81"/>
      <c r="BE22" s="10"/>
      <c r="BF22" s="10"/>
      <c r="BG22" s="10"/>
      <c r="BH22" s="10"/>
      <c r="BI22" s="10"/>
      <c r="BJ22" s="81"/>
      <c r="BP22" s="81"/>
      <c r="BV22" s="81"/>
      <c r="CB22" s="81"/>
      <c r="CH22" s="81"/>
      <c r="CN22" s="81"/>
      <c r="CT22" s="81"/>
      <c r="CZ22" s="81"/>
      <c r="DF22" s="81"/>
      <c r="DL22" s="81"/>
      <c r="DR22" s="81"/>
      <c r="DX22" s="81"/>
      <c r="ED22" s="81"/>
      <c r="EJ22" s="81"/>
      <c r="EP22" s="81"/>
      <c r="EV22" s="81"/>
      <c r="FB22" s="81"/>
      <c r="FH22" s="81"/>
      <c r="FN22" s="81"/>
      <c r="FT22" s="81"/>
      <c r="FZ22" s="81"/>
      <c r="GF22" s="81"/>
      <c r="GL22" s="81"/>
      <c r="GR22" s="81"/>
      <c r="GX22" s="81"/>
      <c r="HD22" s="81"/>
      <c r="HJ22" s="81"/>
      <c r="HP22" s="81"/>
      <c r="HV22" s="81"/>
      <c r="IB22" s="81"/>
      <c r="IH22" s="81"/>
      <c r="IN22" s="81"/>
      <c r="IT22" s="81"/>
      <c r="IZ22" s="81"/>
      <c r="JF22" s="81"/>
      <c r="JG22" s="179"/>
      <c r="JL22" s="81"/>
      <c r="JR22" s="81"/>
      <c r="JX22" s="81"/>
      <c r="KD22" s="81"/>
      <c r="KJ22" s="81"/>
      <c r="KP22" s="81"/>
      <c r="KV22" s="81"/>
      <c r="LB22" s="81"/>
      <c r="LH22" s="81"/>
      <c r="LN22" s="81"/>
      <c r="LT22" s="81"/>
      <c r="LZ22" s="81"/>
      <c r="MF22" s="81"/>
      <c r="ML22" s="81"/>
    </row>
    <row r="23" spans="1:357" hidden="1" x14ac:dyDescent="0.35">
      <c r="H23" s="81"/>
      <c r="N23" s="81"/>
      <c r="T23" s="81"/>
      <c r="Z23" s="81"/>
      <c r="AF23" s="81"/>
      <c r="AL23" s="103"/>
      <c r="AR23" s="81"/>
      <c r="AX23" s="81"/>
      <c r="BD23" s="81"/>
      <c r="BJ23" s="81"/>
      <c r="BP23" s="81"/>
      <c r="BV23" s="81"/>
      <c r="CB23" s="81"/>
      <c r="CH23" s="81"/>
      <c r="CN23" s="81"/>
      <c r="CT23" s="81"/>
      <c r="CZ23" s="81"/>
      <c r="DF23" s="81"/>
      <c r="DL23" s="81"/>
      <c r="DR23" s="81"/>
      <c r="DX23" s="81"/>
      <c r="ED23" s="81"/>
      <c r="EJ23" s="81"/>
      <c r="EP23" s="81"/>
      <c r="EV23" s="81"/>
      <c r="FB23" s="81"/>
      <c r="FH23" s="81"/>
      <c r="FN23" s="81"/>
      <c r="FT23" s="81"/>
      <c r="FZ23" s="81"/>
      <c r="GF23" s="81"/>
      <c r="GL23" s="81"/>
      <c r="GR23" s="81"/>
      <c r="GX23" s="81"/>
      <c r="HD23" s="81"/>
      <c r="HJ23" s="81"/>
      <c r="HP23" s="81"/>
      <c r="HV23" s="81"/>
      <c r="IB23" s="81"/>
      <c r="IH23" s="81"/>
      <c r="IN23" s="81"/>
      <c r="IT23" s="81"/>
      <c r="IZ23" s="81"/>
      <c r="JF23" s="81"/>
      <c r="JG23" s="179"/>
      <c r="JL23" s="81"/>
      <c r="JR23" s="81"/>
      <c r="JX23" s="81"/>
      <c r="KD23" s="81"/>
      <c r="KJ23" s="81"/>
      <c r="KP23" s="81"/>
      <c r="KV23" s="81"/>
      <c r="LB23" s="81"/>
      <c r="LH23" s="81"/>
      <c r="LN23" s="81"/>
      <c r="LT23" s="81"/>
      <c r="LZ23" s="81"/>
      <c r="MF23" s="81"/>
      <c r="ML23" s="81"/>
    </row>
    <row r="24" spans="1:357" hidden="1" x14ac:dyDescent="0.35">
      <c r="H24" s="81"/>
      <c r="N24" s="81"/>
      <c r="P24" s="39">
        <v>1.3403</v>
      </c>
      <c r="Q24" s="40"/>
      <c r="R24" s="43">
        <f>P24</f>
        <v>1.3403</v>
      </c>
      <c r="S24" s="40"/>
      <c r="T24" s="150">
        <f>R24</f>
        <v>1.3403</v>
      </c>
      <c r="U24" s="40"/>
      <c r="V24" s="43">
        <f>T24</f>
        <v>1.3403</v>
      </c>
      <c r="W24" s="40"/>
      <c r="X24" s="43">
        <f>V24</f>
        <v>1.3403</v>
      </c>
      <c r="Y24" s="40"/>
      <c r="Z24" s="150">
        <f>X24</f>
        <v>1.3403</v>
      </c>
      <c r="AA24" s="40"/>
      <c r="AB24" s="43">
        <f>Z24</f>
        <v>1.3403</v>
      </c>
      <c r="AC24" s="40"/>
      <c r="AD24" s="43">
        <f>AB24</f>
        <v>1.3403</v>
      </c>
      <c r="AE24" s="40"/>
      <c r="AF24" s="150">
        <f>AD24</f>
        <v>1.3403</v>
      </c>
      <c r="AG24" s="40"/>
      <c r="AH24" s="43">
        <f>AF24</f>
        <v>1.3403</v>
      </c>
      <c r="AI24" s="40"/>
      <c r="AJ24" s="43">
        <f>AH24</f>
        <v>1.3403</v>
      </c>
      <c r="AK24" s="40"/>
      <c r="AL24" s="150">
        <f>AJ24</f>
        <v>1.3403</v>
      </c>
      <c r="AM24" s="156"/>
      <c r="AN24" s="144"/>
      <c r="AO24" s="144"/>
      <c r="AP24" s="144"/>
      <c r="AQ24" s="144"/>
      <c r="AR24" s="118"/>
      <c r="AS24" s="40"/>
      <c r="AT24" s="144"/>
      <c r="AU24" s="144"/>
      <c r="AV24" s="144"/>
      <c r="AW24" s="144"/>
      <c r="AX24" s="118"/>
      <c r="AY24" s="40"/>
      <c r="AZ24" s="43">
        <f>AX26</f>
        <v>-0.37740000000000001</v>
      </c>
      <c r="BA24" s="40"/>
      <c r="BB24" s="43">
        <f>AZ24</f>
        <v>-0.37740000000000001</v>
      </c>
      <c r="BC24" s="40"/>
      <c r="BD24" s="150">
        <f>BB24</f>
        <v>-0.37740000000000001</v>
      </c>
      <c r="BE24" s="40"/>
      <c r="BF24" s="43">
        <f>BD24</f>
        <v>-0.37740000000000001</v>
      </c>
      <c r="BG24" s="40"/>
      <c r="BH24" s="43">
        <f>BF24</f>
        <v>-0.37740000000000001</v>
      </c>
      <c r="BI24" s="40"/>
      <c r="BJ24" s="150">
        <f>BH24</f>
        <v>-0.37740000000000001</v>
      </c>
      <c r="BK24" s="40"/>
      <c r="BL24" s="43">
        <f>BJ24</f>
        <v>-0.37740000000000001</v>
      </c>
      <c r="BM24" s="40"/>
      <c r="BN24" s="43">
        <f>BL24</f>
        <v>-0.37740000000000001</v>
      </c>
      <c r="BO24" s="40"/>
      <c r="BP24" s="150">
        <f>BN24</f>
        <v>-0.37740000000000001</v>
      </c>
      <c r="BQ24" s="40"/>
      <c r="BR24" s="43">
        <f>BP24</f>
        <v>-0.37740000000000001</v>
      </c>
      <c r="BS24" s="40"/>
      <c r="BT24" s="43">
        <f>BR24</f>
        <v>-0.37740000000000001</v>
      </c>
      <c r="BU24" s="40"/>
      <c r="BV24" s="150">
        <f>BT24</f>
        <v>-0.37740000000000001</v>
      </c>
      <c r="BX24" s="150">
        <f>BV24</f>
        <v>-0.37740000000000001</v>
      </c>
      <c r="CB24" s="81"/>
      <c r="CH24" s="81"/>
      <c r="CN24" s="81"/>
      <c r="CT24" s="81"/>
      <c r="CZ24" s="81"/>
      <c r="DF24" s="81"/>
      <c r="DL24" s="81"/>
      <c r="DR24" s="81"/>
      <c r="DX24" s="81"/>
      <c r="ED24" s="81"/>
      <c r="EJ24" s="81"/>
      <c r="EP24" s="81"/>
      <c r="EV24" s="81"/>
      <c r="FB24" s="81"/>
      <c r="FH24" s="81"/>
      <c r="FN24" s="81"/>
      <c r="FT24" s="81"/>
      <c r="FZ24" s="81"/>
      <c r="GF24" s="81"/>
      <c r="GL24" s="81"/>
      <c r="GR24" s="81"/>
      <c r="GX24" s="81"/>
      <c r="HD24" s="81"/>
      <c r="HJ24" s="81"/>
      <c r="HP24" s="81"/>
      <c r="HV24" s="81"/>
      <c r="IB24" s="81"/>
      <c r="IH24" s="81"/>
      <c r="IN24" s="81"/>
      <c r="IT24" s="81"/>
      <c r="IZ24" s="81"/>
      <c r="JF24" s="81"/>
      <c r="JG24" s="179"/>
      <c r="JL24" s="81"/>
      <c r="JR24" s="81"/>
      <c r="JX24" s="81"/>
      <c r="KD24" s="81"/>
      <c r="KJ24" s="81"/>
      <c r="KP24" s="81"/>
      <c r="KV24" s="81"/>
      <c r="LB24" s="81"/>
      <c r="LH24" s="81"/>
      <c r="LN24" s="81"/>
      <c r="LT24" s="81"/>
      <c r="LZ24" s="81"/>
      <c r="MF24" s="81"/>
      <c r="ML24" s="81"/>
    </row>
    <row r="25" spans="1:357" hidden="1" x14ac:dyDescent="0.35">
      <c r="H25" s="81"/>
      <c r="N25" s="86">
        <v>26995.3</v>
      </c>
      <c r="P25" s="33">
        <f>N25-(P$5*P24)</f>
        <v>26079.875099999997</v>
      </c>
      <c r="R25" s="33">
        <f>P25-(R$5*R24)</f>
        <v>24939.279799999997</v>
      </c>
      <c r="T25" s="82">
        <f>R25-(T$5*T24)</f>
        <v>23426.081099999996</v>
      </c>
      <c r="V25" s="33">
        <f>T25-(V$5*V24)</f>
        <v>18450.887499999997</v>
      </c>
      <c r="X25" s="33">
        <f>V25-(X$5*X24)</f>
        <v>13838.915199999996</v>
      </c>
      <c r="Z25" s="82">
        <f>X25-(Z$5*Z24)</f>
        <v>6305.0888999999952</v>
      </c>
      <c r="AB25" s="33">
        <f>Z25-(AB$5*AB24)</f>
        <v>347.45539999999528</v>
      </c>
      <c r="AD25" s="33">
        <f>AB25-(AD$5*AD24)</f>
        <v>-4257.815400000005</v>
      </c>
      <c r="AF25" s="82">
        <f>AD25-(AF$5*AF24)</f>
        <v>-6368.7879000000048</v>
      </c>
      <c r="AH25" s="33">
        <f>AF25-(AH$5*AH24)</f>
        <v>-7644.7535000000044</v>
      </c>
      <c r="AJ25" s="33">
        <f>AH25-(AJ$5*AJ24)</f>
        <v>-8556.1575000000048</v>
      </c>
      <c r="AL25" s="82">
        <f>AJ25-(AL$5*AL24)</f>
        <v>-9529.2153000000053</v>
      </c>
      <c r="AM25" s="157"/>
      <c r="AN25" s="143">
        <f>AL25</f>
        <v>-9529.2153000000053</v>
      </c>
      <c r="AO25" s="143"/>
      <c r="AP25" s="143">
        <f>AN25</f>
        <v>-9529.2153000000053</v>
      </c>
      <c r="AQ25" s="143"/>
      <c r="AR25" s="85">
        <f>AP25</f>
        <v>-9529.2153000000053</v>
      </c>
      <c r="AT25" s="143">
        <f>AR25</f>
        <v>-9529.2153000000053</v>
      </c>
      <c r="AU25" s="143"/>
      <c r="AV25" s="143">
        <f>AT25</f>
        <v>-9529.2153000000053</v>
      </c>
      <c r="AW25" s="143"/>
      <c r="AX25" s="173">
        <f>AV25+-40.78</f>
        <v>-9569.995300000006</v>
      </c>
      <c r="AZ25" s="33">
        <f>AX25-(AZ$5*AZ24)</f>
        <v>-7151.993500000006</v>
      </c>
      <c r="BB25" s="33">
        <f>AZ25-(BB$5*BB24)</f>
        <v>-5598.6151000000064</v>
      </c>
      <c r="BD25" s="82">
        <f>BB25-(BD$5*BD24)</f>
        <v>-5006.4745000000066</v>
      </c>
      <c r="BF25" s="33">
        <f>BD25-(BF$5*BF24)</f>
        <v>-4629.4519000000064</v>
      </c>
      <c r="BH25" s="33">
        <f>BF25-(BH$5*BH24)</f>
        <v>-4221.1051000000061</v>
      </c>
      <c r="BJ25" s="82">
        <f>BH25-(BJ$5*BJ24)</f>
        <v>-3930.1297000000059</v>
      </c>
      <c r="BL25" s="33">
        <f>BJ25-(BL$5*BL24)</f>
        <v>-3687.0841000000059</v>
      </c>
      <c r="BN25" s="33">
        <f>BL25-(BN$5*BN24)</f>
        <v>-3273.0763000000061</v>
      </c>
      <c r="BP25" s="82">
        <f>BN25-(BP$5*BP24)</f>
        <v>-2750.7547000000059</v>
      </c>
      <c r="BR25" s="33">
        <f>BP25-(BR$5*BR24)</f>
        <v>-2099.3623000000057</v>
      </c>
      <c r="BT25" s="33">
        <f>BR25-(BT$5*BT24)</f>
        <v>0.4912999999942258</v>
      </c>
      <c r="BV25" s="82">
        <f>BT25-(BV$5*BV24)</f>
        <v>2196.9592999999945</v>
      </c>
      <c r="BX25" s="82">
        <f>BV25-(BX$5*BX24)</f>
        <v>4614.961099999995</v>
      </c>
      <c r="BZ25" s="24">
        <f>BX25</f>
        <v>4614.961099999995</v>
      </c>
      <c r="CB25" s="168">
        <f>BZ25-(CB$5*CB24)</f>
        <v>4614.961099999995</v>
      </c>
      <c r="CH25" s="81"/>
      <c r="CN25" s="81"/>
      <c r="CT25" s="81"/>
      <c r="CZ25" s="81"/>
      <c r="DF25" s="81"/>
      <c r="DL25" s="81"/>
      <c r="DR25" s="81"/>
      <c r="DX25" s="81"/>
      <c r="ED25" s="81"/>
      <c r="EJ25" s="81"/>
      <c r="EP25" s="81"/>
      <c r="EV25" s="81"/>
      <c r="FB25" s="81"/>
      <c r="FH25" s="81"/>
      <c r="FN25" s="81"/>
      <c r="FT25" s="81"/>
      <c r="FZ25" s="81"/>
      <c r="GF25" s="81"/>
      <c r="GL25" s="81"/>
      <c r="GR25" s="81"/>
      <c r="GX25" s="81"/>
      <c r="HD25" s="81"/>
      <c r="HJ25" s="81"/>
      <c r="HP25" s="81"/>
      <c r="HV25" s="81"/>
      <c r="IB25" s="81"/>
      <c r="IH25" s="81"/>
      <c r="IN25" s="81"/>
      <c r="IT25" s="81"/>
      <c r="IZ25" s="81"/>
      <c r="JF25" s="81"/>
      <c r="JG25" s="179"/>
      <c r="JL25" s="81"/>
      <c r="JR25" s="81"/>
      <c r="JX25" s="81"/>
      <c r="KD25" s="81"/>
      <c r="KJ25" s="81"/>
      <c r="KP25" s="81"/>
      <c r="KV25" s="81"/>
      <c r="LB25" s="81"/>
      <c r="LH25" s="81"/>
      <c r="LN25" s="81"/>
      <c r="LT25" s="81"/>
      <c r="LZ25" s="81"/>
      <c r="MF25" s="81"/>
      <c r="ML25" s="81"/>
    </row>
    <row r="26" spans="1:357" hidden="1" x14ac:dyDescent="0.35">
      <c r="A26" s="10"/>
      <c r="B26" s="10"/>
      <c r="C26" s="10"/>
      <c r="D26" s="10"/>
      <c r="E26" s="10"/>
      <c r="F26" s="10"/>
      <c r="G26" s="10"/>
      <c r="H26" s="81"/>
      <c r="I26" s="10"/>
      <c r="J26" s="10"/>
      <c r="K26" s="10"/>
      <c r="L26" s="10"/>
      <c r="M26" s="10"/>
      <c r="N26" s="81"/>
      <c r="O26" s="10"/>
      <c r="P26" s="10"/>
      <c r="Q26" s="10"/>
      <c r="R26" s="10"/>
      <c r="S26" s="10"/>
      <c r="T26" s="81"/>
      <c r="U26" s="10"/>
      <c r="V26" s="10"/>
      <c r="W26" s="10"/>
      <c r="X26" s="10"/>
      <c r="Y26" s="10"/>
      <c r="Z26" s="81"/>
      <c r="AA26" s="10"/>
      <c r="AB26" s="10"/>
      <c r="AC26" s="10"/>
      <c r="AD26" s="10"/>
      <c r="AE26" s="10"/>
      <c r="AF26" s="81"/>
      <c r="AG26" s="10"/>
      <c r="AH26" s="10"/>
      <c r="AI26" s="10"/>
      <c r="AJ26" s="10"/>
      <c r="AK26" s="10"/>
      <c r="AL26" s="158"/>
      <c r="AM26" s="10"/>
      <c r="AN26" s="10"/>
      <c r="AO26" s="10"/>
      <c r="AP26" s="10"/>
      <c r="AQ26" s="10"/>
      <c r="AR26" s="160">
        <v>0</v>
      </c>
      <c r="AS26" s="10"/>
      <c r="AT26" s="10"/>
      <c r="AU26" s="10"/>
      <c r="AV26" s="10"/>
      <c r="AW26" s="10"/>
      <c r="AX26" s="160">
        <v>-0.37740000000000001</v>
      </c>
      <c r="AY26" s="10"/>
      <c r="AZ26" s="10"/>
      <c r="BA26" s="10"/>
      <c r="BB26" s="10"/>
      <c r="BC26" s="10"/>
      <c r="BD26" s="81"/>
      <c r="BE26" s="10"/>
      <c r="BF26" s="10"/>
      <c r="BG26" s="10"/>
      <c r="BH26" s="10"/>
      <c r="BI26" s="10"/>
      <c r="BJ26" s="81"/>
      <c r="BK26" s="10"/>
      <c r="BL26" s="10"/>
      <c r="BM26" s="10"/>
      <c r="BN26" s="10"/>
      <c r="BO26" s="10"/>
      <c r="BP26" s="81"/>
      <c r="BQ26" s="10"/>
      <c r="BR26" s="10"/>
      <c r="BS26" s="10"/>
      <c r="BT26" s="10"/>
      <c r="BU26" s="10"/>
      <c r="BV26" s="81"/>
      <c r="BW26" s="10"/>
      <c r="BX26" s="10"/>
      <c r="CB26" s="81"/>
      <c r="CH26" s="81"/>
      <c r="CN26" s="81"/>
      <c r="CT26" s="81"/>
      <c r="CZ26" s="81"/>
      <c r="DF26" s="81"/>
      <c r="DL26" s="81"/>
      <c r="DR26" s="81"/>
      <c r="DX26" s="81"/>
      <c r="ED26" s="81"/>
      <c r="EJ26" s="81"/>
      <c r="EP26" s="81"/>
      <c r="EV26" s="81"/>
      <c r="FB26" s="81"/>
      <c r="FH26" s="81"/>
      <c r="FN26" s="81"/>
      <c r="FT26" s="81"/>
      <c r="FZ26" s="81"/>
      <c r="GF26" s="81"/>
      <c r="GL26" s="81"/>
      <c r="GR26" s="81"/>
      <c r="GX26" s="81"/>
      <c r="HD26" s="81"/>
      <c r="HJ26" s="81"/>
      <c r="HP26" s="81"/>
      <c r="HV26" s="81"/>
      <c r="IB26" s="81"/>
      <c r="IH26" s="81"/>
      <c r="IN26" s="81"/>
      <c r="IT26" s="81"/>
      <c r="IZ26" s="81"/>
      <c r="JF26" s="81"/>
      <c r="JG26" s="179"/>
      <c r="JL26" s="81"/>
      <c r="JR26" s="81"/>
      <c r="JX26" s="81"/>
      <c r="KD26" s="81"/>
      <c r="KJ26" s="81"/>
      <c r="KP26" s="81"/>
      <c r="KV26" s="81"/>
      <c r="LB26" s="81"/>
      <c r="LH26" s="81"/>
      <c r="LN26" s="81"/>
      <c r="LT26" s="81"/>
      <c r="LZ26" s="81"/>
      <c r="MF26" s="81"/>
      <c r="ML26" s="81"/>
    </row>
    <row r="27" spans="1:357" hidden="1" x14ac:dyDescent="0.35">
      <c r="A27" s="10"/>
      <c r="B27" s="10"/>
      <c r="C27" s="10"/>
      <c r="D27" s="10"/>
      <c r="E27" s="10"/>
      <c r="F27" s="10"/>
      <c r="G27" s="10"/>
      <c r="H27" s="81"/>
      <c r="I27" s="10"/>
      <c r="J27" s="10"/>
      <c r="K27" s="10"/>
      <c r="L27" s="10"/>
      <c r="M27" s="10"/>
      <c r="N27" s="81"/>
      <c r="O27" s="10"/>
      <c r="P27" s="10"/>
      <c r="Q27" s="10"/>
      <c r="R27" s="10"/>
      <c r="S27" s="10"/>
      <c r="T27" s="81"/>
      <c r="U27" s="10"/>
      <c r="V27" s="10"/>
      <c r="W27" s="10"/>
      <c r="X27" s="10"/>
      <c r="Y27" s="10"/>
      <c r="Z27" s="81"/>
      <c r="AA27" s="10"/>
      <c r="AB27" s="10"/>
      <c r="AC27" s="10"/>
      <c r="AD27" s="10"/>
      <c r="AE27" s="10"/>
      <c r="AF27" s="81"/>
      <c r="AG27" s="10"/>
      <c r="AH27" s="10"/>
      <c r="AI27" s="10"/>
      <c r="AJ27" s="10"/>
      <c r="AK27" s="10"/>
      <c r="AL27" s="81"/>
      <c r="AM27" s="10"/>
      <c r="AN27" s="10"/>
      <c r="AO27" s="10"/>
      <c r="AP27" s="10"/>
      <c r="AQ27" s="10"/>
      <c r="AR27" s="103"/>
      <c r="AS27" s="10"/>
      <c r="AT27" s="10"/>
      <c r="AU27" s="10"/>
      <c r="AV27" s="10"/>
      <c r="AW27" s="10"/>
      <c r="AX27" s="81"/>
      <c r="AY27" s="10"/>
      <c r="AZ27" s="10"/>
      <c r="BA27" s="10"/>
      <c r="BB27" s="10"/>
      <c r="BC27" s="10"/>
      <c r="BD27" s="81"/>
      <c r="BE27" s="10"/>
      <c r="BF27" s="10"/>
      <c r="BG27" s="10"/>
      <c r="BH27" s="10"/>
      <c r="BI27" s="10"/>
      <c r="BJ27" s="81"/>
      <c r="BK27" s="10"/>
      <c r="BL27" s="10"/>
      <c r="BM27" s="10"/>
      <c r="BN27" s="10"/>
      <c r="BO27" s="10"/>
      <c r="BP27" s="81"/>
      <c r="BQ27" s="10"/>
      <c r="BR27" s="10"/>
      <c r="BS27" s="10"/>
      <c r="BT27" s="10"/>
      <c r="BU27" s="10"/>
      <c r="BV27" s="81"/>
      <c r="BW27" s="10"/>
      <c r="BX27" s="10"/>
      <c r="CB27" s="81"/>
      <c r="CH27" s="81"/>
      <c r="CN27" s="81"/>
      <c r="CT27" s="81"/>
      <c r="CZ27" s="81"/>
      <c r="DF27" s="81"/>
      <c r="DL27" s="81"/>
      <c r="DR27" s="81"/>
      <c r="DX27" s="81"/>
      <c r="ED27" s="81"/>
      <c r="EJ27" s="81"/>
      <c r="EP27" s="81"/>
      <c r="EV27" s="81"/>
      <c r="FB27" s="81"/>
      <c r="FH27" s="81"/>
      <c r="FN27" s="81"/>
      <c r="FT27" s="81"/>
      <c r="FZ27" s="81"/>
      <c r="GF27" s="81"/>
      <c r="GL27" s="81"/>
      <c r="GR27" s="81"/>
      <c r="GX27" s="81"/>
      <c r="HD27" s="81"/>
      <c r="HJ27" s="81"/>
      <c r="HP27" s="81"/>
      <c r="HV27" s="81"/>
      <c r="IB27" s="81"/>
      <c r="IH27" s="81"/>
      <c r="IN27" s="81"/>
      <c r="IT27" s="81"/>
      <c r="IZ27" s="81"/>
      <c r="JF27" s="81"/>
      <c r="JG27" s="179"/>
      <c r="JL27" s="81"/>
      <c r="JR27" s="81"/>
      <c r="JX27" s="81"/>
      <c r="KD27" s="81"/>
      <c r="KJ27" s="81"/>
      <c r="KP27" s="81"/>
      <c r="KV27" s="81"/>
      <c r="LB27" s="81"/>
      <c r="LH27" s="81"/>
      <c r="LN27" s="81"/>
      <c r="LT27" s="81"/>
      <c r="LZ27" s="81"/>
      <c r="MF27" s="81"/>
      <c r="ML27" s="81"/>
    </row>
    <row r="28" spans="1:357" hidden="1" x14ac:dyDescent="0.35">
      <c r="H28" s="81"/>
      <c r="N28" s="81"/>
      <c r="T28" s="81"/>
      <c r="V28" s="39">
        <v>1.7136</v>
      </c>
      <c r="W28" s="40"/>
      <c r="X28" s="43">
        <f>V28</f>
        <v>1.7136</v>
      </c>
      <c r="Y28" s="40"/>
      <c r="Z28" s="150">
        <f>X28</f>
        <v>1.7136</v>
      </c>
      <c r="AA28" s="40"/>
      <c r="AB28" s="43">
        <f>Z28</f>
        <v>1.7136</v>
      </c>
      <c r="AC28" s="40"/>
      <c r="AD28" s="43">
        <f>AB28</f>
        <v>1.7136</v>
      </c>
      <c r="AE28" s="40"/>
      <c r="AF28" s="150">
        <f>AD28</f>
        <v>1.7136</v>
      </c>
      <c r="AG28" s="40"/>
      <c r="AH28" s="43">
        <f>AF28</f>
        <v>1.7136</v>
      </c>
      <c r="AI28" s="40"/>
      <c r="AJ28" s="43">
        <f>AH28</f>
        <v>1.7136</v>
      </c>
      <c r="AK28" s="40"/>
      <c r="AL28" s="150">
        <f>AJ28</f>
        <v>1.7136</v>
      </c>
      <c r="AM28" s="40"/>
      <c r="AN28" s="43">
        <f>AL28</f>
        <v>1.7136</v>
      </c>
      <c r="AO28" s="40"/>
      <c r="AP28" s="43">
        <f>AN28</f>
        <v>1.7136</v>
      </c>
      <c r="AQ28" s="40"/>
      <c r="AR28" s="150">
        <f>AP28</f>
        <v>1.7136</v>
      </c>
      <c r="AS28" s="40"/>
      <c r="AT28" s="43">
        <f>AR28</f>
        <v>1.7136</v>
      </c>
      <c r="AU28" s="40"/>
      <c r="AV28" s="43">
        <f>AT28</f>
        <v>1.7136</v>
      </c>
      <c r="AW28" s="40"/>
      <c r="AX28" s="150">
        <f>AV28</f>
        <v>1.7136</v>
      </c>
      <c r="AY28" s="156"/>
      <c r="AZ28" s="144"/>
      <c r="BA28" s="144"/>
      <c r="BB28" s="144"/>
      <c r="BC28" s="144"/>
      <c r="BD28" s="118"/>
      <c r="BE28" s="40"/>
      <c r="BF28" s="151">
        <f>BD30</f>
        <v>-0.33360000000000001</v>
      </c>
      <c r="BG28" s="40"/>
      <c r="BH28" s="43">
        <f>BF28</f>
        <v>-0.33360000000000001</v>
      </c>
      <c r="BI28" s="40"/>
      <c r="BJ28" s="150">
        <f>BH28</f>
        <v>-0.33360000000000001</v>
      </c>
      <c r="BK28" s="40"/>
      <c r="BL28" s="43">
        <f>BJ28</f>
        <v>-0.33360000000000001</v>
      </c>
      <c r="BM28" s="40"/>
      <c r="BN28" s="43">
        <f>BL28</f>
        <v>-0.33360000000000001</v>
      </c>
      <c r="BO28" s="40"/>
      <c r="BP28" s="150">
        <f>BN28</f>
        <v>-0.33360000000000001</v>
      </c>
      <c r="BQ28" s="40"/>
      <c r="BR28" s="43">
        <f>BP28</f>
        <v>-0.33360000000000001</v>
      </c>
      <c r="BS28" s="40"/>
      <c r="BT28" s="43">
        <f>BR28</f>
        <v>-0.33360000000000001</v>
      </c>
      <c r="BU28" s="40"/>
      <c r="BV28" s="150">
        <f>BT28</f>
        <v>-0.33360000000000001</v>
      </c>
      <c r="BW28" s="40"/>
      <c r="BX28" s="43">
        <f>BV28</f>
        <v>-0.33360000000000001</v>
      </c>
      <c r="BY28" s="40"/>
      <c r="BZ28" s="43">
        <f>BX28</f>
        <v>-0.33360000000000001</v>
      </c>
      <c r="CA28" s="40"/>
      <c r="CB28" s="150">
        <f>BZ28</f>
        <v>-0.33360000000000001</v>
      </c>
      <c r="CC28" s="40"/>
      <c r="CD28" s="43">
        <f>CB28</f>
        <v>-0.33360000000000001</v>
      </c>
      <c r="CE28" s="40"/>
      <c r="CF28" s="43">
        <f>CD28</f>
        <v>-0.33360000000000001</v>
      </c>
      <c r="CG28" s="40"/>
      <c r="CH28" s="150">
        <f>CF28</f>
        <v>-0.33360000000000001</v>
      </c>
      <c r="CN28" s="81"/>
      <c r="CT28" s="81"/>
      <c r="CZ28" s="81"/>
      <c r="DF28" s="81"/>
      <c r="DL28" s="81"/>
      <c r="DR28" s="81"/>
      <c r="DX28" s="81"/>
      <c r="ED28" s="81"/>
      <c r="EJ28" s="81"/>
      <c r="EP28" s="81"/>
      <c r="EV28" s="81"/>
      <c r="FB28" s="81"/>
      <c r="FH28" s="81"/>
      <c r="FN28" s="81"/>
      <c r="FT28" s="81"/>
      <c r="FZ28" s="81"/>
      <c r="GF28" s="81"/>
      <c r="GL28" s="81"/>
      <c r="GR28" s="81"/>
      <c r="GX28" s="81"/>
      <c r="HD28" s="81"/>
      <c r="HJ28" s="81"/>
      <c r="HP28" s="81"/>
      <c r="HV28" s="81"/>
      <c r="IB28" s="81"/>
      <c r="IH28" s="81"/>
      <c r="IN28" s="81"/>
      <c r="IT28" s="81"/>
      <c r="IZ28" s="81"/>
      <c r="JF28" s="81"/>
      <c r="JG28" s="179"/>
      <c r="JL28" s="81"/>
      <c r="JR28" s="81"/>
      <c r="JX28" s="81"/>
      <c r="KD28" s="81"/>
      <c r="KJ28" s="81"/>
      <c r="KP28" s="81"/>
      <c r="KV28" s="81"/>
      <c r="LB28" s="81"/>
      <c r="LH28" s="81"/>
      <c r="LN28" s="81"/>
      <c r="LT28" s="81"/>
      <c r="LZ28" s="81"/>
      <c r="MF28" s="81"/>
      <c r="ML28" s="81"/>
    </row>
    <row r="29" spans="1:357" hidden="1" x14ac:dyDescent="0.35">
      <c r="H29" s="81"/>
      <c r="N29" s="81"/>
      <c r="T29" s="86">
        <v>44701.96</v>
      </c>
      <c r="V29" s="33">
        <f>T29-(V$5*V28)</f>
        <v>38341.076799999995</v>
      </c>
      <c r="X29" s="33">
        <f>V29-(X$5*X28)</f>
        <v>32444.579199999996</v>
      </c>
      <c r="Z29" s="82">
        <f>X29-(Z$5*Z28)</f>
        <v>22812.433599999997</v>
      </c>
      <c r="AB29" s="33">
        <f>Z29-(AB$5*AB28)</f>
        <v>15195.481599999996</v>
      </c>
      <c r="AD29" s="33">
        <f>AB29-(AD$5*AD28)</f>
        <v>9307.551999999996</v>
      </c>
      <c r="AF29" s="82">
        <f>AD29-(AF$5*AF28)</f>
        <v>6608.631999999996</v>
      </c>
      <c r="AH29" s="33">
        <f>AF29-(AH$5*AH28)</f>
        <v>4977.2847999999958</v>
      </c>
      <c r="AJ29" s="33">
        <f>AH29-(AJ$5*AJ28)</f>
        <v>3812.0367999999958</v>
      </c>
      <c r="AL29" s="82">
        <f>AJ29-(AL$5*AL28)</f>
        <v>2567.9631999999956</v>
      </c>
      <c r="AN29" s="33">
        <f>AL29-(AN$5*AN28)</f>
        <v>1421.5647999999956</v>
      </c>
      <c r="AP29" s="33">
        <f>AN29-(AP$5*AP28)</f>
        <v>138.07839999999555</v>
      </c>
      <c r="AR29" s="82">
        <f>AP29-(AR$5*AR28)</f>
        <v>-2151.2912000000042</v>
      </c>
      <c r="AT29" s="33">
        <f>AR29-(AT$5*AT28)</f>
        <v>-5108.9648000000043</v>
      </c>
      <c r="AV29" s="33">
        <f>AT29-(AV$5*AV28)</f>
        <v>-14643.435200000004</v>
      </c>
      <c r="AX29" s="82">
        <f>AV29-(AX$5*AX28)</f>
        <v>-24616.587200000002</v>
      </c>
      <c r="AY29" s="157"/>
      <c r="AZ29" s="143">
        <f>AX29</f>
        <v>-24616.587200000002</v>
      </c>
      <c r="BA29" s="143"/>
      <c r="BB29" s="143">
        <f>AZ29</f>
        <v>-24616.587200000002</v>
      </c>
      <c r="BC29" s="143"/>
      <c r="BD29" s="173">
        <f>BB29+19102.59</f>
        <v>-5513.9972000000016</v>
      </c>
      <c r="BF29" s="33">
        <f>BD29-(BF$5*BF28)</f>
        <v>-5180.7308000000012</v>
      </c>
      <c r="BH29" s="33">
        <f>BF29-(BH$5*BH28)</f>
        <v>-4819.7756000000008</v>
      </c>
      <c r="BJ29" s="82">
        <f>BH29-(BJ$5*BJ28)</f>
        <v>-4562.5700000000006</v>
      </c>
      <c r="BL29" s="33">
        <f>BJ29-(BL$5*BL28)</f>
        <v>-4347.731600000001</v>
      </c>
      <c r="BN29" s="33">
        <f>BL29-(BN$5*BN28)</f>
        <v>-3981.7724000000007</v>
      </c>
      <c r="BP29" s="82">
        <f>BN29-(BP$5*BP28)</f>
        <v>-3520.0700000000006</v>
      </c>
      <c r="BR29" s="33">
        <f>BP29-(BR$5*BR28)</f>
        <v>-2944.2764000000006</v>
      </c>
      <c r="BT29" s="33">
        <f>BR29-(BT$5*BT28)</f>
        <v>-1088.1260000000007</v>
      </c>
      <c r="BV29" s="82">
        <f>BT29-(BV$5*BV28)</f>
        <v>853.42599999999948</v>
      </c>
      <c r="BX29" s="33">
        <f>BV29-(BX$5*BX28)</f>
        <v>2990.8011999999994</v>
      </c>
      <c r="BZ29" s="33">
        <f>BX29-(BZ$5*BZ28)</f>
        <v>3900.4950399999993</v>
      </c>
      <c r="CB29" s="82">
        <f>BZ29-(CB$5*CB28)</f>
        <v>4458.6411999999991</v>
      </c>
      <c r="CD29" s="33">
        <f>CB29-(CD$5*CD28)</f>
        <v>4892.5547199999992</v>
      </c>
      <c r="CF29" s="33">
        <f>CD29-(CF$5*CF28)</f>
        <v>5269.1223999999993</v>
      </c>
      <c r="CH29" s="168">
        <f>CF29-(CH$5*CH28)</f>
        <v>5515.7862399999995</v>
      </c>
      <c r="CN29" s="81"/>
      <c r="CT29" s="81"/>
      <c r="CZ29" s="81"/>
      <c r="DF29" s="81"/>
      <c r="DL29" s="81"/>
      <c r="DR29" s="81"/>
      <c r="DX29" s="81"/>
      <c r="ED29" s="81"/>
      <c r="EJ29" s="81"/>
      <c r="EP29" s="81"/>
      <c r="EV29" s="81"/>
      <c r="FB29" s="81"/>
      <c r="FH29" s="81"/>
      <c r="FN29" s="81"/>
      <c r="FT29" s="81"/>
      <c r="FZ29" s="81"/>
      <c r="GF29" s="81"/>
      <c r="GL29" s="81"/>
      <c r="GR29" s="81"/>
      <c r="GX29" s="81"/>
      <c r="HD29" s="81"/>
      <c r="HJ29" s="81"/>
      <c r="HP29" s="81"/>
      <c r="HV29" s="81"/>
      <c r="IB29" s="81"/>
      <c r="IH29" s="81"/>
      <c r="IN29" s="81"/>
      <c r="IT29" s="81"/>
      <c r="IZ29" s="81"/>
      <c r="JF29" s="81"/>
      <c r="JG29" s="179"/>
      <c r="JL29" s="81"/>
      <c r="JR29" s="81"/>
      <c r="JX29" s="81"/>
      <c r="KD29" s="81"/>
      <c r="KJ29" s="81"/>
      <c r="KP29" s="81"/>
      <c r="KV29" s="81"/>
      <c r="LB29" s="81"/>
      <c r="LH29" s="81"/>
      <c r="LN29" s="81"/>
      <c r="LT29" s="81"/>
      <c r="LZ29" s="81"/>
      <c r="MF29" s="81"/>
      <c r="ML29" s="81"/>
    </row>
    <row r="30" spans="1:357" hidden="1" x14ac:dyDescent="0.35">
      <c r="H30" s="81"/>
      <c r="N30" s="81"/>
      <c r="T30" s="81"/>
      <c r="Z30" s="81"/>
      <c r="AF30" s="81"/>
      <c r="AL30" s="81"/>
      <c r="AR30" s="81"/>
      <c r="AX30" s="81"/>
      <c r="AY30" s="10"/>
      <c r="AZ30" s="10"/>
      <c r="BA30" s="10"/>
      <c r="BB30" s="10"/>
      <c r="BC30" s="10"/>
      <c r="BD30" s="160">
        <v>-0.33360000000000001</v>
      </c>
      <c r="BE30" s="10"/>
      <c r="BF30" s="10"/>
      <c r="BG30" s="10"/>
      <c r="BH30" s="10"/>
      <c r="BI30" s="10"/>
      <c r="BJ30" s="81"/>
      <c r="BK30" s="10"/>
      <c r="BL30" s="10"/>
      <c r="BM30" s="10"/>
      <c r="BN30" s="10"/>
      <c r="BO30" s="10"/>
      <c r="BP30" s="81"/>
      <c r="BQ30" s="10"/>
      <c r="BR30" s="10"/>
      <c r="BS30" s="10"/>
      <c r="BT30" s="10"/>
      <c r="BU30" s="10"/>
      <c r="BV30" s="81"/>
      <c r="BW30" s="10"/>
      <c r="BX30" s="10"/>
      <c r="BY30" s="10"/>
      <c r="BZ30" s="10"/>
      <c r="CA30" s="10"/>
      <c r="CB30" s="81"/>
      <c r="CC30" s="10"/>
      <c r="CD30" s="10"/>
      <c r="CE30" s="10"/>
      <c r="CF30" s="10"/>
      <c r="CG30" s="10"/>
      <c r="CH30" s="171"/>
      <c r="CN30" s="81"/>
      <c r="CT30" s="81"/>
      <c r="CZ30" s="81"/>
      <c r="DF30" s="81"/>
      <c r="DL30" s="81"/>
      <c r="DR30" s="81"/>
      <c r="DX30" s="81"/>
      <c r="ED30" s="81"/>
      <c r="EJ30" s="81"/>
      <c r="EP30" s="81"/>
      <c r="EV30" s="81"/>
      <c r="FB30" s="81"/>
      <c r="FH30" s="81"/>
      <c r="FN30" s="81"/>
      <c r="FT30" s="81"/>
      <c r="FZ30" s="81"/>
      <c r="GF30" s="81"/>
      <c r="GL30" s="81"/>
      <c r="GR30" s="81"/>
      <c r="GX30" s="81"/>
      <c r="HD30" s="81"/>
      <c r="HJ30" s="81"/>
      <c r="HP30" s="81"/>
      <c r="HV30" s="81"/>
      <c r="IB30" s="81"/>
      <c r="IH30" s="81"/>
      <c r="IN30" s="81"/>
      <c r="IT30" s="81"/>
      <c r="IZ30" s="81"/>
      <c r="JF30" s="81"/>
      <c r="JG30" s="179"/>
      <c r="JL30" s="81"/>
      <c r="JR30" s="81"/>
      <c r="JX30" s="81"/>
      <c r="KD30" s="81"/>
      <c r="KJ30" s="81"/>
      <c r="KP30" s="81"/>
      <c r="KV30" s="81"/>
      <c r="LB30" s="81"/>
      <c r="LH30" s="81"/>
      <c r="LN30" s="81"/>
      <c r="LT30" s="81"/>
      <c r="LZ30" s="81"/>
      <c r="MF30" s="81"/>
      <c r="ML30" s="81"/>
    </row>
    <row r="31" spans="1:357" hidden="1" x14ac:dyDescent="0.35">
      <c r="H31" s="81"/>
      <c r="N31" s="81"/>
      <c r="T31" s="81"/>
      <c r="Z31" s="81"/>
      <c r="AF31" s="81"/>
      <c r="AL31" s="81"/>
      <c r="AR31" s="81"/>
      <c r="AX31" s="103"/>
      <c r="BD31" s="81"/>
      <c r="BJ31" s="81"/>
      <c r="BP31" s="81"/>
      <c r="BV31" s="81"/>
      <c r="CB31" s="81"/>
      <c r="CH31" s="81"/>
      <c r="CN31" s="81"/>
      <c r="CT31" s="81"/>
      <c r="CZ31" s="81"/>
      <c r="DF31" s="81"/>
      <c r="DL31" s="81"/>
      <c r="DR31" s="81"/>
      <c r="DX31" s="81"/>
      <c r="ED31" s="81"/>
      <c r="EJ31" s="81"/>
      <c r="EP31" s="81"/>
      <c r="EV31" s="81"/>
      <c r="FB31" s="81"/>
      <c r="FH31" s="81"/>
      <c r="FN31" s="81"/>
      <c r="FT31" s="81"/>
      <c r="FZ31" s="81"/>
      <c r="GF31" s="81"/>
      <c r="GL31" s="81"/>
      <c r="GR31" s="81"/>
      <c r="GX31" s="81"/>
      <c r="HD31" s="81"/>
      <c r="HJ31" s="81"/>
      <c r="HP31" s="81"/>
      <c r="HV31" s="81"/>
      <c r="IB31" s="81"/>
      <c r="IH31" s="81"/>
      <c r="IN31" s="81"/>
      <c r="IT31" s="81"/>
      <c r="IZ31" s="81"/>
      <c r="JF31" s="81"/>
      <c r="JG31" s="179"/>
      <c r="JL31" s="81"/>
      <c r="JR31" s="81"/>
      <c r="JX31" s="81"/>
      <c r="KD31" s="81"/>
      <c r="KJ31" s="81"/>
      <c r="KP31" s="81"/>
      <c r="KV31" s="81"/>
      <c r="LB31" s="81"/>
      <c r="LH31" s="81"/>
      <c r="LN31" s="81"/>
      <c r="LT31" s="81"/>
      <c r="LZ31" s="81"/>
      <c r="MF31" s="81"/>
      <c r="ML31" s="81"/>
    </row>
    <row r="32" spans="1:357" hidden="1" x14ac:dyDescent="0.35">
      <c r="H32" s="81"/>
      <c r="N32" s="81"/>
      <c r="T32" s="81"/>
      <c r="Z32" s="81"/>
      <c r="AB32" s="39">
        <v>-0.31680000000000003</v>
      </c>
      <c r="AC32" s="40"/>
      <c r="AD32" s="43">
        <f>AB32</f>
        <v>-0.31680000000000003</v>
      </c>
      <c r="AE32" s="40"/>
      <c r="AF32" s="150">
        <f>AD32</f>
        <v>-0.31680000000000003</v>
      </c>
      <c r="AG32" s="40"/>
      <c r="AH32" s="43">
        <f>AF32</f>
        <v>-0.31680000000000003</v>
      </c>
      <c r="AI32" s="40"/>
      <c r="AJ32" s="43">
        <f>AH32</f>
        <v>-0.31680000000000003</v>
      </c>
      <c r="AK32" s="40"/>
      <c r="AL32" s="150">
        <f>AJ32</f>
        <v>-0.31680000000000003</v>
      </c>
      <c r="AM32" s="40"/>
      <c r="AN32" s="43">
        <f>AL32</f>
        <v>-0.31680000000000003</v>
      </c>
      <c r="AO32" s="40"/>
      <c r="AP32" s="43">
        <f>AN32</f>
        <v>-0.31680000000000003</v>
      </c>
      <c r="AQ32" s="40"/>
      <c r="AR32" s="150">
        <f>AP32</f>
        <v>-0.31680000000000003</v>
      </c>
      <c r="AS32" s="40"/>
      <c r="AT32" s="43">
        <f>AR32</f>
        <v>-0.31680000000000003</v>
      </c>
      <c r="AU32" s="40"/>
      <c r="AV32" s="43">
        <f>AT32</f>
        <v>-0.31680000000000003</v>
      </c>
      <c r="AW32" s="40"/>
      <c r="AX32" s="150">
        <f>AV32</f>
        <v>-0.31680000000000003</v>
      </c>
      <c r="AY32" s="40"/>
      <c r="AZ32" s="43">
        <f>AX32</f>
        <v>-0.31680000000000003</v>
      </c>
      <c r="BA32" s="40"/>
      <c r="BB32" s="43">
        <f>AZ32</f>
        <v>-0.31680000000000003</v>
      </c>
      <c r="BC32" s="40"/>
      <c r="BD32" s="150">
        <f>BB32</f>
        <v>-0.31680000000000003</v>
      </c>
      <c r="BE32" s="156"/>
      <c r="BF32" s="144"/>
      <c r="BG32" s="144"/>
      <c r="BH32" s="144"/>
      <c r="BI32" s="144"/>
      <c r="BJ32" s="118"/>
      <c r="BK32" s="40"/>
      <c r="BL32" s="151">
        <f>BJ34</f>
        <v>-0.86129999999999995</v>
      </c>
      <c r="BM32" s="40"/>
      <c r="BN32" s="43">
        <f>BL32</f>
        <v>-0.86129999999999995</v>
      </c>
      <c r="BO32" s="40"/>
      <c r="BP32" s="150">
        <f>BN32</f>
        <v>-0.86129999999999995</v>
      </c>
      <c r="BQ32" s="40"/>
      <c r="BR32" s="43">
        <f>BP32</f>
        <v>-0.86129999999999995</v>
      </c>
      <c r="BS32" s="40"/>
      <c r="BT32" s="43">
        <f>BR32</f>
        <v>-0.86129999999999995</v>
      </c>
      <c r="BU32" s="40"/>
      <c r="BV32" s="150">
        <f>BT32</f>
        <v>-0.86129999999999995</v>
      </c>
      <c r="BW32" s="40"/>
      <c r="BX32" s="43">
        <f>BV32</f>
        <v>-0.86129999999999995</v>
      </c>
      <c r="BY32" s="40"/>
      <c r="BZ32" s="43">
        <f>BX32</f>
        <v>-0.86129999999999995</v>
      </c>
      <c r="CA32" s="40"/>
      <c r="CB32" s="150">
        <f>BZ32</f>
        <v>-0.86129999999999995</v>
      </c>
      <c r="CC32" s="40"/>
      <c r="CD32" s="43">
        <f>CB32</f>
        <v>-0.86129999999999995</v>
      </c>
      <c r="CE32" s="40"/>
      <c r="CF32" s="43">
        <f>CD32</f>
        <v>-0.86129999999999995</v>
      </c>
      <c r="CG32" s="40"/>
      <c r="CH32" s="150">
        <f>CF32</f>
        <v>-0.86129999999999995</v>
      </c>
      <c r="CI32" s="40"/>
      <c r="CJ32" s="76"/>
      <c r="CK32" s="51"/>
      <c r="CL32" s="76"/>
      <c r="CM32" s="51"/>
      <c r="CN32" s="118"/>
      <c r="CP32" s="76"/>
      <c r="CQ32" s="51"/>
      <c r="CR32" s="76"/>
      <c r="CS32" s="51"/>
      <c r="CT32" s="118"/>
      <c r="CZ32" s="81"/>
      <c r="DF32" s="81"/>
      <c r="DL32" s="81"/>
      <c r="DR32" s="81"/>
      <c r="DX32" s="81"/>
      <c r="ED32" s="81"/>
      <c r="EJ32" s="81"/>
      <c r="EP32" s="81"/>
      <c r="EV32" s="81"/>
      <c r="FB32" s="81"/>
      <c r="FH32" s="81"/>
      <c r="FN32" s="81"/>
      <c r="FT32" s="81"/>
      <c r="FZ32" s="81"/>
      <c r="GF32" s="81"/>
      <c r="GL32" s="81"/>
      <c r="GR32" s="81"/>
      <c r="GX32" s="81"/>
      <c r="HD32" s="81"/>
      <c r="HJ32" s="81"/>
      <c r="HP32" s="81"/>
      <c r="HV32" s="81"/>
      <c r="IB32" s="81"/>
      <c r="IH32" s="81"/>
      <c r="IN32" s="81"/>
      <c r="IT32" s="81"/>
      <c r="IZ32" s="81"/>
      <c r="JF32" s="81"/>
      <c r="JG32" s="179"/>
      <c r="JL32" s="81"/>
      <c r="JR32" s="81"/>
      <c r="JX32" s="81"/>
      <c r="KD32" s="81"/>
      <c r="KJ32" s="81"/>
      <c r="KP32" s="81"/>
      <c r="KV32" s="81"/>
      <c r="LB32" s="81"/>
      <c r="LH32" s="81"/>
      <c r="LN32" s="81"/>
      <c r="LT32" s="81"/>
      <c r="LZ32" s="81"/>
      <c r="MF32" s="81"/>
      <c r="ML32" s="81"/>
    </row>
    <row r="33" spans="3:361" hidden="1" x14ac:dyDescent="0.35">
      <c r="H33" s="81"/>
      <c r="N33" s="81"/>
      <c r="T33" s="81"/>
      <c r="Z33" s="86">
        <v>-8511.7999999999993</v>
      </c>
      <c r="AB33" s="33">
        <f>Z33-(AB$5*AB32)</f>
        <v>-7103.6239999999989</v>
      </c>
      <c r="AD33" s="33">
        <f>AB33-(AD$5*AD32)</f>
        <v>-6015.0991999999987</v>
      </c>
      <c r="AF33" s="82">
        <f>AD33-(AF$5*AF32)</f>
        <v>-5516.1391999999987</v>
      </c>
      <c r="AH33" s="33">
        <f>AF33-(AH$5*AH32)</f>
        <v>-5214.5455999999986</v>
      </c>
      <c r="AJ33" s="33">
        <f>AH33-(AJ$5*AJ32)</f>
        <v>-4999.1215999999986</v>
      </c>
      <c r="AL33" s="82">
        <f>AJ33-(AL$5*AL32)</f>
        <v>-4769.1247999999987</v>
      </c>
      <c r="AN33" s="33">
        <f>AL33-(AN$5*AN32)</f>
        <v>-4557.1855999999989</v>
      </c>
      <c r="AP33" s="33">
        <f>AN33-(AP$5*AP32)</f>
        <v>-4319.902399999999</v>
      </c>
      <c r="AR33" s="82">
        <f>AP33-(AR$5*AR32)</f>
        <v>-3896.6575999999991</v>
      </c>
      <c r="AT33" s="33">
        <f>AR33-(AT$5*AT32)</f>
        <v>-3349.860799999999</v>
      </c>
      <c r="AV33" s="33">
        <f>AT33-(AV$5*AV32)</f>
        <v>-1587.1855999999989</v>
      </c>
      <c r="AX33" s="82">
        <f>AV33-(AX$5*AX32)</f>
        <v>256.59040000000118</v>
      </c>
      <c r="AZ33" s="33">
        <f>AX33-(AZ$5*AZ32)</f>
        <v>2286.3280000000013</v>
      </c>
      <c r="BB33" s="33">
        <f>AZ33-(BB$5*BB32)</f>
        <v>3590.2768000000015</v>
      </c>
      <c r="BD33" s="82">
        <f>BB33-(BD$5*BD32)</f>
        <v>4087.3360000000016</v>
      </c>
      <c r="BE33" s="157"/>
      <c r="BF33" s="143">
        <f>BD33</f>
        <v>4087.3360000000016</v>
      </c>
      <c r="BG33" s="143"/>
      <c r="BH33" s="143">
        <f>BF33</f>
        <v>4087.3360000000016</v>
      </c>
      <c r="BI33" s="143"/>
      <c r="BJ33" s="173">
        <f>BH33+-29617.34</f>
        <v>-25530.003999999997</v>
      </c>
      <c r="BL33" s="33">
        <f>BJ33-(BL$5*BL32)</f>
        <v>-24975.326799999999</v>
      </c>
      <c r="BN33" s="33">
        <f>BL33-(BN$5*BN32)</f>
        <v>-24030.4807</v>
      </c>
      <c r="BP33" s="82">
        <f>BN33-(BP$5*BP32)</f>
        <v>-22838.441500000001</v>
      </c>
      <c r="BR33" s="33">
        <f>BP33-(BR$5*BR32)</f>
        <v>-21351.8377</v>
      </c>
      <c r="BT33" s="33">
        <f>BR33-(BT$5*BT32)</f>
        <v>-16559.5645</v>
      </c>
      <c r="BV33" s="82">
        <f>BT33-(BV$5*BV32)</f>
        <v>-11546.798500000001</v>
      </c>
      <c r="BX33" s="33">
        <f>BV33-(BX$5*BX32)</f>
        <v>-6028.4494000000013</v>
      </c>
      <c r="BZ33" s="33">
        <f>BX33-(BZ$5*BZ32)</f>
        <v>-3679.7704300000014</v>
      </c>
      <c r="CB33" s="82">
        <f>BZ33-(CB$5*CB32)</f>
        <v>-2238.7294000000015</v>
      </c>
      <c r="CD33" s="33">
        <f>CB33-(CD$5*CD32)</f>
        <v>-1118.4364900000016</v>
      </c>
      <c r="CF33" s="33">
        <f>CD33-(CF$5*CF32)</f>
        <v>-146.20105000000171</v>
      </c>
      <c r="CH33" s="168">
        <f>CF33-(CH$5*CH32)</f>
        <v>490.64416999999821</v>
      </c>
      <c r="CJ33" s="53"/>
      <c r="CK33" s="51"/>
      <c r="CL33" s="53"/>
      <c r="CM33" s="51"/>
      <c r="CN33" s="85"/>
      <c r="CP33" s="53"/>
      <c r="CQ33" s="51"/>
      <c r="CR33" s="53"/>
      <c r="CS33" s="51"/>
      <c r="CT33" s="85"/>
      <c r="CZ33" s="81"/>
      <c r="DF33" s="81"/>
      <c r="DL33" s="81"/>
      <c r="DR33" s="81"/>
      <c r="DX33" s="81"/>
      <c r="ED33" s="81"/>
      <c r="EJ33" s="81"/>
      <c r="EP33" s="81"/>
      <c r="EV33" s="81"/>
      <c r="FB33" s="81"/>
      <c r="FH33" s="81"/>
      <c r="FN33" s="81"/>
      <c r="FT33" s="81"/>
      <c r="FZ33" s="81"/>
      <c r="GF33" s="81"/>
      <c r="GL33" s="81"/>
      <c r="GR33" s="81"/>
      <c r="GX33" s="81"/>
      <c r="HD33" s="81"/>
      <c r="HJ33" s="81"/>
      <c r="HP33" s="81"/>
      <c r="HV33" s="81"/>
      <c r="IB33" s="81"/>
      <c r="IH33" s="81"/>
      <c r="IN33" s="81"/>
      <c r="IT33" s="81"/>
      <c r="IZ33" s="81"/>
      <c r="JF33" s="81"/>
      <c r="JG33" s="179"/>
      <c r="JL33" s="81"/>
      <c r="JR33" s="81"/>
      <c r="JX33" s="81"/>
      <c r="KD33" s="81"/>
      <c r="KJ33" s="81"/>
      <c r="KP33" s="81"/>
      <c r="KV33" s="81"/>
      <c r="LB33" s="81"/>
      <c r="LH33" s="81"/>
      <c r="LN33" s="81"/>
      <c r="LT33" s="81"/>
      <c r="LZ33" s="81"/>
      <c r="MF33" s="81"/>
      <c r="ML33" s="81"/>
    </row>
    <row r="34" spans="3:361" hidden="1" x14ac:dyDescent="0.35">
      <c r="C34" s="25"/>
      <c r="H34" s="83"/>
      <c r="I34" s="51"/>
      <c r="J34" s="51"/>
      <c r="K34" s="51"/>
      <c r="L34" s="51"/>
      <c r="M34" s="51"/>
      <c r="N34" s="83"/>
      <c r="O34" s="51"/>
      <c r="P34" s="51"/>
      <c r="Q34" s="51"/>
      <c r="R34" s="51"/>
      <c r="S34" s="51"/>
      <c r="T34" s="83"/>
      <c r="U34" s="51"/>
      <c r="V34" s="51"/>
      <c r="W34" s="51"/>
      <c r="X34" s="51"/>
      <c r="Y34" s="51"/>
      <c r="Z34" s="81"/>
      <c r="AF34" s="81"/>
      <c r="AL34" s="81"/>
      <c r="AR34" s="81"/>
      <c r="AX34" s="81"/>
      <c r="BD34" s="81"/>
      <c r="BE34" s="10"/>
      <c r="BF34" s="10"/>
      <c r="BG34" s="10"/>
      <c r="BH34" s="10"/>
      <c r="BI34" s="10"/>
      <c r="BJ34" s="160">
        <v>-0.86129999999999995</v>
      </c>
      <c r="BK34" s="10"/>
      <c r="BL34" s="10"/>
      <c r="BM34" s="10"/>
      <c r="BN34" s="10"/>
      <c r="BO34" s="10"/>
      <c r="BP34" s="81"/>
      <c r="BQ34" s="10"/>
      <c r="BR34" s="10"/>
      <c r="BS34" s="10"/>
      <c r="BT34" s="10"/>
      <c r="BU34" s="10"/>
      <c r="BV34" s="81"/>
      <c r="BW34" s="10"/>
      <c r="BX34" s="10"/>
      <c r="BY34" s="10"/>
      <c r="BZ34" s="10"/>
      <c r="CA34" s="10"/>
      <c r="CB34" s="81"/>
      <c r="CC34" s="10"/>
      <c r="CD34" s="10"/>
      <c r="CE34" s="10"/>
      <c r="CF34" s="10"/>
      <c r="CG34" s="10"/>
      <c r="CH34" s="81"/>
      <c r="CI34" s="10"/>
      <c r="CJ34" s="10"/>
      <c r="CK34" s="10"/>
      <c r="CL34" s="10"/>
      <c r="CM34" s="10"/>
      <c r="CN34" s="81"/>
      <c r="CT34" s="81"/>
      <c r="CZ34" s="81"/>
      <c r="DF34" s="81"/>
      <c r="DL34" s="81"/>
      <c r="DR34" s="81"/>
      <c r="DX34" s="81"/>
      <c r="ED34" s="81"/>
      <c r="EJ34" s="81"/>
      <c r="EP34" s="81"/>
      <c r="EV34" s="81"/>
      <c r="FB34" s="81"/>
      <c r="FH34" s="81"/>
      <c r="FN34" s="81"/>
      <c r="FT34" s="81"/>
      <c r="FZ34" s="81"/>
      <c r="GF34" s="81"/>
      <c r="GL34" s="81"/>
      <c r="GR34" s="81"/>
      <c r="GX34" s="81"/>
      <c r="HD34" s="81"/>
      <c r="HJ34" s="81"/>
      <c r="HP34" s="81"/>
      <c r="HV34" s="81"/>
      <c r="IB34" s="81"/>
      <c r="IH34" s="81"/>
      <c r="IN34" s="81"/>
      <c r="IT34" s="81"/>
      <c r="IZ34" s="81"/>
      <c r="JF34" s="81"/>
      <c r="JG34" s="179"/>
      <c r="JL34" s="81"/>
      <c r="JR34" s="81"/>
      <c r="JX34" s="81"/>
      <c r="KD34" s="81"/>
      <c r="KJ34" s="81"/>
      <c r="KP34" s="81"/>
      <c r="KV34" s="81"/>
      <c r="LB34" s="81"/>
      <c r="LH34" s="81"/>
      <c r="LN34" s="81"/>
      <c r="LT34" s="81"/>
      <c r="LZ34" s="81"/>
      <c r="MF34" s="81"/>
      <c r="ML34" s="81"/>
    </row>
    <row r="35" spans="3:361" hidden="1" x14ac:dyDescent="0.35">
      <c r="H35" s="83"/>
      <c r="I35" s="51"/>
      <c r="J35" s="51"/>
      <c r="K35" s="51"/>
      <c r="L35" s="51"/>
      <c r="M35" s="51"/>
      <c r="N35" s="83"/>
      <c r="O35" s="51"/>
      <c r="P35" s="51"/>
      <c r="Q35" s="51"/>
      <c r="R35" s="51"/>
      <c r="S35" s="51"/>
      <c r="T35" s="83"/>
      <c r="U35" s="51"/>
      <c r="V35" s="51"/>
      <c r="W35" s="51"/>
      <c r="X35" s="51"/>
      <c r="Y35" s="51"/>
      <c r="Z35" s="83"/>
      <c r="AA35" s="51"/>
      <c r="AB35" s="51"/>
      <c r="AC35" s="51"/>
      <c r="AD35" s="51"/>
      <c r="AE35" s="51"/>
      <c r="AF35" s="81"/>
      <c r="AL35" s="81"/>
      <c r="AR35" s="81"/>
      <c r="AX35" s="81"/>
      <c r="BD35" s="103"/>
      <c r="BJ35" s="81"/>
      <c r="BP35" s="81"/>
      <c r="BV35" s="81"/>
      <c r="CB35" s="81"/>
      <c r="CH35" s="81"/>
      <c r="CN35" s="81"/>
      <c r="CT35" s="81"/>
      <c r="CZ35" s="81"/>
      <c r="DF35" s="81"/>
      <c r="DL35" s="81"/>
      <c r="DR35" s="81"/>
      <c r="DX35" s="81"/>
      <c r="ED35" s="81"/>
      <c r="EJ35" s="81"/>
      <c r="EP35" s="81"/>
      <c r="EV35" s="81"/>
      <c r="FB35" s="81"/>
      <c r="FH35" s="81"/>
      <c r="FN35" s="81"/>
      <c r="FT35" s="81"/>
      <c r="FZ35" s="81"/>
      <c r="GF35" s="81"/>
      <c r="GL35" s="81"/>
      <c r="GR35" s="81"/>
      <c r="GX35" s="81"/>
      <c r="HD35" s="81"/>
      <c r="HJ35" s="81"/>
      <c r="HP35" s="81"/>
      <c r="HV35" s="81"/>
      <c r="IB35" s="81"/>
      <c r="IH35" s="81"/>
      <c r="IN35" s="81"/>
      <c r="IT35" s="81"/>
      <c r="IZ35" s="81"/>
      <c r="JF35" s="81"/>
      <c r="JG35" s="179"/>
      <c r="JL35" s="81"/>
      <c r="JR35" s="81"/>
      <c r="JX35" s="81"/>
      <c r="KD35" s="81"/>
      <c r="KJ35" s="81"/>
      <c r="KP35" s="81"/>
      <c r="KV35" s="81"/>
      <c r="LB35" s="81"/>
      <c r="LH35" s="81"/>
      <c r="LN35" s="81"/>
      <c r="LT35" s="81"/>
      <c r="LZ35" s="81"/>
      <c r="MF35" s="81"/>
      <c r="ML35" s="81"/>
    </row>
    <row r="36" spans="3:361" hidden="1" x14ac:dyDescent="0.35">
      <c r="H36" s="83"/>
      <c r="I36" s="51"/>
      <c r="J36" s="53"/>
      <c r="K36" s="51"/>
      <c r="L36" s="53"/>
      <c r="M36" s="51"/>
      <c r="N36" s="85"/>
      <c r="O36" s="51"/>
      <c r="P36" s="53"/>
      <c r="Q36" s="51"/>
      <c r="R36" s="53"/>
      <c r="S36" s="51"/>
      <c r="T36" s="85"/>
      <c r="U36" s="51"/>
      <c r="V36" s="53"/>
      <c r="W36" s="51"/>
      <c r="X36" s="53"/>
      <c r="Y36" s="51"/>
      <c r="Z36" s="85"/>
      <c r="AA36" s="51"/>
      <c r="AB36" s="53"/>
      <c r="AC36" s="51"/>
      <c r="AD36" s="53"/>
      <c r="AE36" s="53"/>
      <c r="AF36" s="81"/>
      <c r="AH36" s="39">
        <v>-0.44700000000000001</v>
      </c>
      <c r="AI36" s="40"/>
      <c r="AJ36" s="43">
        <f>AH36</f>
        <v>-0.44700000000000001</v>
      </c>
      <c r="AK36" s="40"/>
      <c r="AL36" s="150">
        <f>AJ36</f>
        <v>-0.44700000000000001</v>
      </c>
      <c r="AM36" s="40"/>
      <c r="AN36" s="43">
        <f>AL36</f>
        <v>-0.44700000000000001</v>
      </c>
      <c r="AO36" s="40"/>
      <c r="AP36" s="43">
        <f>AN36</f>
        <v>-0.44700000000000001</v>
      </c>
      <c r="AQ36" s="40"/>
      <c r="AR36" s="150">
        <f>AP36</f>
        <v>-0.44700000000000001</v>
      </c>
      <c r="AS36" s="40"/>
      <c r="AT36" s="43">
        <f>AR36</f>
        <v>-0.44700000000000001</v>
      </c>
      <c r="AU36" s="40"/>
      <c r="AV36" s="43">
        <f>AT36</f>
        <v>-0.44700000000000001</v>
      </c>
      <c r="AW36" s="40"/>
      <c r="AX36" s="150">
        <f>AV36</f>
        <v>-0.44700000000000001</v>
      </c>
      <c r="AY36" s="40"/>
      <c r="AZ36" s="43">
        <f>AX36</f>
        <v>-0.44700000000000001</v>
      </c>
      <c r="BA36" s="40"/>
      <c r="BB36" s="43">
        <f>AZ36</f>
        <v>-0.44700000000000001</v>
      </c>
      <c r="BC36" s="40"/>
      <c r="BD36" s="150">
        <f>BB36</f>
        <v>-0.44700000000000001</v>
      </c>
      <c r="BE36" s="40"/>
      <c r="BF36" s="43">
        <f>BD36</f>
        <v>-0.44700000000000001</v>
      </c>
      <c r="BG36" s="40"/>
      <c r="BH36" s="43">
        <f>BF36</f>
        <v>-0.44700000000000001</v>
      </c>
      <c r="BI36" s="40"/>
      <c r="BJ36" s="150">
        <f>BH36</f>
        <v>-0.44700000000000001</v>
      </c>
      <c r="BK36" s="156"/>
      <c r="BL36" s="144"/>
      <c r="BM36" s="144"/>
      <c r="BN36" s="144"/>
      <c r="BO36" s="144"/>
      <c r="BP36" s="118"/>
      <c r="BQ36" s="40"/>
      <c r="BR36" s="151">
        <f>BP38</f>
        <v>-0.23680000000000001</v>
      </c>
      <c r="BS36" s="40"/>
      <c r="BT36" s="43">
        <f>BR36</f>
        <v>-0.23680000000000001</v>
      </c>
      <c r="BU36" s="40"/>
      <c r="BV36" s="150">
        <f>BT36</f>
        <v>-0.23680000000000001</v>
      </c>
      <c r="BW36" s="40"/>
      <c r="BX36" s="43">
        <f>BV36</f>
        <v>-0.23680000000000001</v>
      </c>
      <c r="BY36" s="40"/>
      <c r="BZ36" s="43">
        <f>BX36</f>
        <v>-0.23680000000000001</v>
      </c>
      <c r="CA36" s="40"/>
      <c r="CB36" s="150">
        <f>BZ36</f>
        <v>-0.23680000000000001</v>
      </c>
      <c r="CC36" s="40"/>
      <c r="CD36" s="43">
        <f>CB36</f>
        <v>-0.23680000000000001</v>
      </c>
      <c r="CE36" s="40"/>
      <c r="CF36" s="43">
        <f>CD36</f>
        <v>-0.23680000000000001</v>
      </c>
      <c r="CG36" s="40"/>
      <c r="CH36" s="150">
        <f>CF36</f>
        <v>-0.23680000000000001</v>
      </c>
      <c r="CI36" s="40"/>
      <c r="CJ36" s="43">
        <f>CH36</f>
        <v>-0.23680000000000001</v>
      </c>
      <c r="CK36" s="40"/>
      <c r="CL36" s="43">
        <f>CJ36</f>
        <v>-0.23680000000000001</v>
      </c>
      <c r="CM36" s="40"/>
      <c r="CN36" s="150">
        <f>CL36</f>
        <v>-0.23680000000000001</v>
      </c>
      <c r="CP36" s="43">
        <f>CN36</f>
        <v>-0.23680000000000001</v>
      </c>
      <c r="CQ36" s="40"/>
      <c r="CR36" s="43">
        <f>CP36</f>
        <v>-0.23680000000000001</v>
      </c>
      <c r="CS36" s="40"/>
      <c r="CT36" s="150">
        <f>CR36</f>
        <v>-0.23680000000000001</v>
      </c>
      <c r="CZ36" s="81"/>
      <c r="DF36" s="81"/>
      <c r="DL36" s="81"/>
      <c r="DR36" s="81"/>
      <c r="DX36" s="81"/>
      <c r="ED36" s="81"/>
      <c r="EJ36" s="81"/>
      <c r="EP36" s="81"/>
      <c r="EV36" s="81"/>
      <c r="FB36" s="81"/>
      <c r="FH36" s="81"/>
      <c r="FN36" s="81"/>
      <c r="FT36" s="81"/>
      <c r="FZ36" s="81"/>
      <c r="GF36" s="81"/>
      <c r="GL36" s="81"/>
      <c r="GR36" s="81"/>
      <c r="GX36" s="81"/>
      <c r="HD36" s="81"/>
      <c r="HJ36" s="81"/>
      <c r="HP36" s="81"/>
      <c r="HV36" s="81"/>
      <c r="IB36" s="81"/>
      <c r="IH36" s="81"/>
      <c r="IN36" s="81"/>
      <c r="IT36" s="81"/>
      <c r="IZ36" s="81"/>
      <c r="JF36" s="81"/>
      <c r="JG36" s="179"/>
      <c r="JL36" s="81"/>
      <c r="JR36" s="81"/>
      <c r="JX36" s="81"/>
      <c r="KD36" s="81"/>
      <c r="KJ36" s="81"/>
      <c r="KP36" s="81"/>
      <c r="KV36" s="81"/>
      <c r="LB36" s="81"/>
      <c r="LH36" s="81"/>
      <c r="LN36" s="81"/>
      <c r="LT36" s="81"/>
      <c r="LZ36" s="81"/>
      <c r="MF36" s="81"/>
      <c r="ML36" s="81"/>
    </row>
    <row r="37" spans="3:361" hidden="1" x14ac:dyDescent="0.35">
      <c r="H37" s="83"/>
      <c r="I37" s="51"/>
      <c r="J37" s="53"/>
      <c r="K37" s="51"/>
      <c r="L37" s="53"/>
      <c r="M37" s="51"/>
      <c r="N37" s="85"/>
      <c r="O37" s="51"/>
      <c r="P37" s="53"/>
      <c r="Q37" s="51"/>
      <c r="R37" s="53"/>
      <c r="S37" s="51"/>
      <c r="T37" s="85"/>
      <c r="U37" s="51"/>
      <c r="V37" s="53"/>
      <c r="W37" s="51"/>
      <c r="X37" s="53"/>
      <c r="Y37" s="51"/>
      <c r="Z37" s="85"/>
      <c r="AA37" s="51"/>
      <c r="AB37" s="53"/>
      <c r="AC37" s="51"/>
      <c r="AD37" s="53"/>
      <c r="AE37" s="53"/>
      <c r="AF37" s="86">
        <v>-12472.66</v>
      </c>
      <c r="AH37" s="33">
        <f>AF37-(AH$5*AH36)</f>
        <v>-12047.116</v>
      </c>
      <c r="AJ37" s="33">
        <f>AH37-(AJ$5*AJ36)</f>
        <v>-11743.156000000001</v>
      </c>
      <c r="AL37" s="82">
        <f>AJ37-(AL$5*AL36)</f>
        <v>-11418.634</v>
      </c>
      <c r="AN37" s="33">
        <f>AL37-(AN$5*AN36)</f>
        <v>-11119.591</v>
      </c>
      <c r="AP37" s="33">
        <f>AN37-(AP$5*AP36)</f>
        <v>-10784.788</v>
      </c>
      <c r="AR37" s="82">
        <f>AP37-(AR$5*AR36)</f>
        <v>-10187.596000000001</v>
      </c>
      <c r="AT37" s="33">
        <f>AR37-(AT$5*AT36)</f>
        <v>-9416.0740000000005</v>
      </c>
      <c r="AV37" s="33">
        <f>AT37-(AV$5*AV36)</f>
        <v>-6928.9660000000003</v>
      </c>
      <c r="AX37" s="82">
        <f>AV37-(AX$5*AX36)</f>
        <v>-4327.4260000000004</v>
      </c>
      <c r="AZ37" s="33">
        <f>AX37-(AZ$5*AZ36)</f>
        <v>-1463.4970000000003</v>
      </c>
      <c r="BB37" s="33">
        <f>AZ37-(BB$5*BB36)</f>
        <v>376.35499999999979</v>
      </c>
      <c r="BD37" s="82">
        <f>BB37-(BD$5*BD36)</f>
        <v>1077.6979999999999</v>
      </c>
      <c r="BF37" s="33">
        <f>BD37-(BF$5*BF36)</f>
        <v>1524.2509999999997</v>
      </c>
      <c r="BH37" s="33">
        <f>BF37-(BH$5*BH36)</f>
        <v>2007.9049999999997</v>
      </c>
      <c r="BJ37" s="82">
        <f>BH37-(BJ$5*BJ36)</f>
        <v>2352.5419999999999</v>
      </c>
      <c r="BK37" s="157"/>
      <c r="BL37" s="143">
        <f>BJ37</f>
        <v>2352.5419999999999</v>
      </c>
      <c r="BM37" s="143"/>
      <c r="BN37" s="143">
        <f>BL37</f>
        <v>2352.5419999999999</v>
      </c>
      <c r="BO37" s="143"/>
      <c r="BP37" s="85">
        <f>BN37</f>
        <v>2352.5419999999999</v>
      </c>
      <c r="BR37" s="33">
        <f>BP37-(BR$5*BR36)</f>
        <v>2761.2588000000001</v>
      </c>
      <c r="BT37" s="33">
        <f>BR37-(BT$5*BT36)</f>
        <v>4078.8140000000003</v>
      </c>
      <c r="BV37" s="82">
        <f>BT37-(BV$5*BV36)</f>
        <v>5456.9900000000007</v>
      </c>
      <c r="BX37" s="33">
        <f>BV37-(BX$5*BX36)</f>
        <v>6974.1676000000007</v>
      </c>
      <c r="BZ37" s="33">
        <f>BX37-(BZ$5*BZ36)</f>
        <v>7619.8975200000004</v>
      </c>
      <c r="CB37" s="82">
        <f>BZ37-(CB$5*CB36)</f>
        <v>8016.0876000000007</v>
      </c>
      <c r="CD37" s="33">
        <f>CB37-(CD$5*CD36)</f>
        <v>8324.0933600000008</v>
      </c>
      <c r="CF37" s="33">
        <f>CD37-(CF$5*CF36)</f>
        <v>8591.3932000000004</v>
      </c>
      <c r="CH37" s="82">
        <f>CF37-(CH$5*CH36)</f>
        <v>8766.4831200000008</v>
      </c>
      <c r="CJ37" s="33">
        <f>CH37-(CJ$5*CJ36)</f>
        <v>8974.1804000000011</v>
      </c>
      <c r="CL37" s="33">
        <f>CJ37-(CL$5*CL36)</f>
        <v>9165.988400000002</v>
      </c>
      <c r="CN37" s="82">
        <f>CL37-(CN$5*CN36)</f>
        <v>9462.7698400000027</v>
      </c>
      <c r="CP37" s="33">
        <f>CN37-(CP$5*CP36)</f>
        <v>10078.970800000003</v>
      </c>
      <c r="CR37" s="33">
        <f>CP37-(CR$5*CR36)</f>
        <v>10868.769840000003</v>
      </c>
      <c r="CT37" s="168">
        <f>CR37-(CT$5*CT36)</f>
        <v>12084.572080000002</v>
      </c>
      <c r="CZ37" s="81"/>
      <c r="DF37" s="81"/>
      <c r="DL37" s="81"/>
      <c r="DR37" s="81"/>
      <c r="DX37" s="81"/>
      <c r="ED37" s="81"/>
      <c r="EJ37" s="81"/>
      <c r="EP37" s="81"/>
      <c r="EV37" s="81"/>
      <c r="FB37" s="81"/>
      <c r="FH37" s="81"/>
      <c r="FN37" s="81"/>
      <c r="FT37" s="81"/>
      <c r="FZ37" s="81"/>
      <c r="GF37" s="81"/>
      <c r="GL37" s="81"/>
      <c r="GR37" s="81"/>
      <c r="GX37" s="81"/>
      <c r="HD37" s="81"/>
      <c r="HJ37" s="81"/>
      <c r="HP37" s="81"/>
      <c r="HV37" s="81"/>
      <c r="IB37" s="81"/>
      <c r="IH37" s="81"/>
      <c r="IN37" s="81"/>
      <c r="IT37" s="81"/>
      <c r="IZ37" s="81"/>
      <c r="JF37" s="81"/>
      <c r="JG37" s="179"/>
      <c r="JL37" s="81"/>
      <c r="JR37" s="81"/>
      <c r="JX37" s="81"/>
      <c r="KD37" s="81"/>
      <c r="KJ37" s="81"/>
      <c r="KP37" s="81"/>
      <c r="KV37" s="81"/>
      <c r="LB37" s="81"/>
      <c r="LH37" s="81"/>
      <c r="LN37" s="81"/>
      <c r="LT37" s="81"/>
      <c r="LZ37" s="81"/>
      <c r="MF37" s="81"/>
      <c r="ML37" s="81"/>
    </row>
    <row r="38" spans="3:361" hidden="1" x14ac:dyDescent="0.35">
      <c r="C38" s="25"/>
      <c r="H38" s="83"/>
      <c r="I38" s="51"/>
      <c r="J38" s="51"/>
      <c r="K38" s="51"/>
      <c r="L38" s="51"/>
      <c r="M38" s="51"/>
      <c r="N38" s="83"/>
      <c r="O38" s="51"/>
      <c r="P38" s="51"/>
      <c r="Q38" s="51"/>
      <c r="R38" s="51"/>
      <c r="S38" s="51"/>
      <c r="T38" s="83"/>
      <c r="U38" s="51"/>
      <c r="V38" s="51"/>
      <c r="W38" s="51"/>
      <c r="X38" s="51"/>
      <c r="Y38" s="51"/>
      <c r="Z38" s="83"/>
      <c r="AA38" s="51"/>
      <c r="AB38" s="51"/>
      <c r="AC38" s="51"/>
      <c r="AD38" s="51"/>
      <c r="AE38" s="51"/>
      <c r="AF38" s="81"/>
      <c r="AL38" s="81"/>
      <c r="AR38" s="81"/>
      <c r="AX38" s="81"/>
      <c r="BD38" s="81"/>
      <c r="BJ38" s="81"/>
      <c r="BK38" s="10"/>
      <c r="BL38" s="10"/>
      <c r="BM38" s="10"/>
      <c r="BN38" s="10"/>
      <c r="BO38" s="10"/>
      <c r="BP38" s="160">
        <v>-0.23680000000000001</v>
      </c>
      <c r="BQ38" s="10"/>
      <c r="BR38" s="10"/>
      <c r="BS38" s="10"/>
      <c r="BT38" s="10"/>
      <c r="BU38" s="10"/>
      <c r="BV38" s="81"/>
      <c r="BW38" s="10"/>
      <c r="BX38" s="10"/>
      <c r="BY38" s="10"/>
      <c r="BZ38" s="10"/>
      <c r="CA38" s="10"/>
      <c r="CB38" s="81"/>
      <c r="CC38" s="10"/>
      <c r="CD38" s="10"/>
      <c r="CE38" s="10"/>
      <c r="CF38" s="10"/>
      <c r="CG38" s="10"/>
      <c r="CH38" s="81"/>
      <c r="CI38" s="10"/>
      <c r="CJ38" s="10"/>
      <c r="CK38" s="10"/>
      <c r="CL38" s="10"/>
      <c r="CM38" s="10"/>
      <c r="CN38" s="81"/>
      <c r="CT38" s="81"/>
      <c r="CZ38" s="81"/>
      <c r="DF38" s="81"/>
      <c r="DL38" s="81"/>
      <c r="DR38" s="81"/>
      <c r="DX38" s="81"/>
      <c r="ED38" s="81"/>
      <c r="EJ38" s="81"/>
      <c r="EP38" s="81"/>
      <c r="EV38" s="81"/>
      <c r="FB38" s="81"/>
      <c r="FH38" s="81"/>
      <c r="FN38" s="81"/>
      <c r="FT38" s="81"/>
      <c r="FZ38" s="81"/>
      <c r="GF38" s="81"/>
      <c r="GL38" s="81"/>
      <c r="GR38" s="81"/>
      <c r="GX38" s="81"/>
      <c r="HD38" s="81"/>
      <c r="HJ38" s="81"/>
      <c r="HP38" s="81"/>
      <c r="HV38" s="81"/>
      <c r="IB38" s="81"/>
      <c r="IH38" s="81"/>
      <c r="IN38" s="81"/>
      <c r="IT38" s="81"/>
      <c r="IZ38" s="81"/>
      <c r="JF38" s="81"/>
      <c r="JG38" s="179"/>
      <c r="JL38" s="81"/>
      <c r="JR38" s="81"/>
      <c r="JX38" s="81"/>
      <c r="KD38" s="81"/>
      <c r="KJ38" s="81"/>
      <c r="KP38" s="81"/>
      <c r="KV38" s="81"/>
      <c r="LB38" s="81"/>
      <c r="LH38" s="81"/>
      <c r="LN38" s="81"/>
      <c r="LT38" s="81"/>
      <c r="LZ38" s="81"/>
      <c r="MF38" s="81"/>
      <c r="ML38" s="81"/>
    </row>
    <row r="39" spans="3:361" hidden="1" x14ac:dyDescent="0.35">
      <c r="H39" s="83"/>
      <c r="I39" s="51"/>
      <c r="J39" s="51"/>
      <c r="K39" s="51"/>
      <c r="L39" s="51"/>
      <c r="M39" s="51"/>
      <c r="N39" s="83"/>
      <c r="O39" s="51"/>
      <c r="P39" s="51"/>
      <c r="Q39" s="51"/>
      <c r="R39" s="51"/>
      <c r="S39" s="51"/>
      <c r="T39" s="83"/>
      <c r="U39" s="51"/>
      <c r="V39" s="51"/>
      <c r="W39" s="51"/>
      <c r="X39" s="51"/>
      <c r="Y39" s="51"/>
      <c r="Z39" s="83"/>
      <c r="AA39" s="51"/>
      <c r="AB39" s="51"/>
      <c r="AC39" s="51"/>
      <c r="AD39" s="51"/>
      <c r="AE39" s="51"/>
      <c r="AF39" s="81"/>
      <c r="AL39" s="81"/>
      <c r="AR39" s="81"/>
      <c r="AX39" s="81"/>
      <c r="BD39" s="81"/>
      <c r="BJ39" s="103"/>
      <c r="BP39" s="81"/>
      <c r="BV39" s="81"/>
      <c r="CB39" s="81"/>
      <c r="CH39" s="81"/>
      <c r="CN39" s="81"/>
      <c r="CT39" s="81"/>
      <c r="CZ39" s="81"/>
      <c r="DF39" s="81"/>
      <c r="DL39" s="81"/>
      <c r="DR39" s="81"/>
      <c r="DX39" s="81"/>
      <c r="ED39" s="81"/>
      <c r="EJ39" s="81"/>
      <c r="EP39" s="81"/>
      <c r="EV39" s="81"/>
      <c r="FB39" s="81"/>
      <c r="FH39" s="81"/>
      <c r="FN39" s="81"/>
      <c r="FT39" s="81"/>
      <c r="FZ39" s="81"/>
      <c r="GF39" s="81"/>
      <c r="GL39" s="81"/>
      <c r="GR39" s="81"/>
      <c r="GX39" s="81"/>
      <c r="HD39" s="81"/>
      <c r="HJ39" s="81"/>
      <c r="HP39" s="81"/>
      <c r="HV39" s="81"/>
      <c r="IB39" s="81"/>
      <c r="IH39" s="81"/>
      <c r="IN39" s="81"/>
      <c r="IT39" s="81"/>
      <c r="IZ39" s="81"/>
      <c r="JF39" s="81"/>
      <c r="JG39" s="179"/>
      <c r="JL39" s="81"/>
      <c r="JR39" s="81"/>
      <c r="JX39" s="81"/>
      <c r="KD39" s="81"/>
      <c r="KJ39" s="81"/>
      <c r="KP39" s="81"/>
      <c r="KV39" s="81"/>
      <c r="LB39" s="81"/>
      <c r="LH39" s="81"/>
      <c r="LN39" s="81"/>
      <c r="LT39" s="81"/>
      <c r="LZ39" s="81"/>
      <c r="MF39" s="81"/>
      <c r="ML39" s="81"/>
    </row>
    <row r="40" spans="3:361" hidden="1" x14ac:dyDescent="0.35">
      <c r="H40" s="83"/>
      <c r="I40" s="51"/>
      <c r="J40" s="51"/>
      <c r="K40" s="51"/>
      <c r="L40" s="51"/>
      <c r="M40" s="51"/>
      <c r="N40" s="83"/>
      <c r="O40" s="51"/>
      <c r="P40" s="53"/>
      <c r="Q40" s="51"/>
      <c r="R40" s="53"/>
      <c r="S40" s="51"/>
      <c r="T40" s="85"/>
      <c r="U40" s="51"/>
      <c r="V40" s="53"/>
      <c r="W40" s="51"/>
      <c r="X40" s="53"/>
      <c r="Y40" s="51"/>
      <c r="Z40" s="85"/>
      <c r="AA40" s="51"/>
      <c r="AB40" s="53"/>
      <c r="AC40" s="51"/>
      <c r="AD40" s="53"/>
      <c r="AE40" s="53"/>
      <c r="AF40" s="81"/>
      <c r="AL40" s="81"/>
      <c r="AN40" s="39">
        <v>-0.59819999999999995</v>
      </c>
      <c r="AP40" s="43">
        <f>AN40</f>
        <v>-0.59819999999999995</v>
      </c>
      <c r="AQ40" s="40"/>
      <c r="AR40" s="150">
        <f>AP40</f>
        <v>-0.59819999999999995</v>
      </c>
      <c r="AS40" s="40"/>
      <c r="AT40" s="43">
        <f>AR40</f>
        <v>-0.59819999999999995</v>
      </c>
      <c r="AU40" s="40"/>
      <c r="AV40" s="43">
        <f>AT40</f>
        <v>-0.59819999999999995</v>
      </c>
      <c r="AW40" s="40"/>
      <c r="AX40" s="150">
        <f>AV40</f>
        <v>-0.59819999999999995</v>
      </c>
      <c r="AY40" s="40"/>
      <c r="AZ40" s="43">
        <f>AX40</f>
        <v>-0.59819999999999995</v>
      </c>
      <c r="BA40" s="40"/>
      <c r="BB40" s="43">
        <f>AZ40</f>
        <v>-0.59819999999999995</v>
      </c>
      <c r="BC40" s="40"/>
      <c r="BD40" s="150">
        <f>BB40</f>
        <v>-0.59819999999999995</v>
      </c>
      <c r="BE40" s="40"/>
      <c r="BF40" s="43">
        <f>BD40</f>
        <v>-0.59819999999999995</v>
      </c>
      <c r="BG40" s="40"/>
      <c r="BH40" s="43">
        <f>BF40</f>
        <v>-0.59819999999999995</v>
      </c>
      <c r="BI40" s="40"/>
      <c r="BJ40" s="150">
        <f>BH40</f>
        <v>-0.59819999999999995</v>
      </c>
      <c r="BK40" s="40"/>
      <c r="BL40" s="43">
        <f>BJ40</f>
        <v>-0.59819999999999995</v>
      </c>
      <c r="BM40" s="40"/>
      <c r="BN40" s="43">
        <f>BL40</f>
        <v>-0.59819999999999995</v>
      </c>
      <c r="BO40" s="40"/>
      <c r="BP40" s="150">
        <f>BN40</f>
        <v>-0.59819999999999995</v>
      </c>
      <c r="BQ40" s="156"/>
      <c r="BR40" s="144"/>
      <c r="BS40" s="144"/>
      <c r="BT40" s="144"/>
      <c r="BU40" s="144"/>
      <c r="BV40" s="118"/>
      <c r="BW40" s="40"/>
      <c r="BX40" s="144"/>
      <c r="BY40" s="162"/>
      <c r="BZ40" s="43">
        <f>BX42</f>
        <v>6.2799999999999995E-2</v>
      </c>
      <c r="CA40" s="40"/>
      <c r="CB40" s="150">
        <f>BZ40</f>
        <v>6.2799999999999995E-2</v>
      </c>
      <c r="CC40" s="40"/>
      <c r="CD40" s="43">
        <f>CB40</f>
        <v>6.2799999999999995E-2</v>
      </c>
      <c r="CE40" s="40"/>
      <c r="CF40" s="43">
        <f>CD40</f>
        <v>6.2799999999999995E-2</v>
      </c>
      <c r="CG40" s="40"/>
      <c r="CH40" s="150">
        <f>CF40</f>
        <v>6.2799999999999995E-2</v>
      </c>
      <c r="CI40" s="40"/>
      <c r="CJ40" s="43">
        <f>CH40</f>
        <v>6.2799999999999995E-2</v>
      </c>
      <c r="CK40" s="40"/>
      <c r="CL40" s="43">
        <f>CJ40</f>
        <v>6.2799999999999995E-2</v>
      </c>
      <c r="CM40" s="40"/>
      <c r="CN40" s="150">
        <f>CL40</f>
        <v>6.2799999999999995E-2</v>
      </c>
      <c r="CP40" s="43">
        <f>CN40</f>
        <v>6.2799999999999995E-2</v>
      </c>
      <c r="CQ40" s="40"/>
      <c r="CR40" s="43">
        <f>CP40</f>
        <v>6.2799999999999995E-2</v>
      </c>
      <c r="CS40" s="40"/>
      <c r="CT40" s="150">
        <f>CR40</f>
        <v>6.2799999999999995E-2</v>
      </c>
      <c r="CZ40" s="81"/>
      <c r="DF40" s="81"/>
      <c r="DL40" s="81"/>
      <c r="DR40" s="81"/>
      <c r="DX40" s="81"/>
      <c r="ED40" s="81"/>
      <c r="EJ40" s="81"/>
      <c r="EP40" s="81"/>
      <c r="EV40" s="81"/>
      <c r="FB40" s="81"/>
      <c r="FH40" s="81"/>
      <c r="FN40" s="81"/>
      <c r="FT40" s="81"/>
      <c r="FZ40" s="81"/>
      <c r="GF40" s="81"/>
      <c r="GL40" s="81"/>
      <c r="GR40" s="81"/>
      <c r="GX40" s="81"/>
      <c r="HD40" s="81"/>
      <c r="HJ40" s="81"/>
      <c r="HP40" s="81"/>
      <c r="HV40" s="81"/>
      <c r="IB40" s="81"/>
      <c r="IH40" s="81"/>
      <c r="IN40" s="81"/>
      <c r="IT40" s="81"/>
      <c r="IZ40" s="81"/>
      <c r="JF40" s="81"/>
      <c r="JG40" s="179"/>
      <c r="JL40" s="81"/>
      <c r="JR40" s="81"/>
      <c r="JX40" s="81"/>
      <c r="KD40" s="81"/>
      <c r="KJ40" s="81"/>
      <c r="KP40" s="81"/>
      <c r="KV40" s="81"/>
      <c r="LB40" s="81"/>
      <c r="LH40" s="81"/>
      <c r="LN40" s="81"/>
      <c r="LT40" s="81"/>
      <c r="LZ40" s="81"/>
      <c r="MF40" s="81"/>
      <c r="ML40" s="81"/>
    </row>
    <row r="41" spans="3:361" hidden="1" x14ac:dyDescent="0.35">
      <c r="H41" s="83"/>
      <c r="I41" s="51"/>
      <c r="J41" s="51"/>
      <c r="K41" s="51"/>
      <c r="L41" s="51"/>
      <c r="M41" s="51"/>
      <c r="N41" s="83"/>
      <c r="O41" s="51"/>
      <c r="P41" s="53"/>
      <c r="Q41" s="51"/>
      <c r="R41" s="53"/>
      <c r="S41" s="51"/>
      <c r="T41" s="85"/>
      <c r="U41" s="51"/>
      <c r="V41" s="53"/>
      <c r="W41" s="51"/>
      <c r="X41" s="53"/>
      <c r="Y41" s="51"/>
      <c r="Z41" s="85"/>
      <c r="AA41" s="51"/>
      <c r="AB41" s="53"/>
      <c r="AC41" s="51"/>
      <c r="AD41" s="53"/>
      <c r="AE41" s="53"/>
      <c r="AF41" s="81"/>
      <c r="AL41" s="86">
        <v>-16336.71</v>
      </c>
      <c r="AN41" s="33">
        <f>AL41-(AN$5*AN40)</f>
        <v>-15936.5142</v>
      </c>
      <c r="AP41" s="33">
        <f>AN41-(AP$5*AP40)</f>
        <v>-15488.4624</v>
      </c>
      <c r="AR41" s="82">
        <f>AP41-(AR$5*AR40)</f>
        <v>-14689.2672</v>
      </c>
      <c r="AT41" s="33">
        <f>AR41-(AT$5*AT40)</f>
        <v>-13656.774000000001</v>
      </c>
      <c r="AV41" s="33">
        <f>AT41-(AV$5*AV40)</f>
        <v>-10328.389200000001</v>
      </c>
      <c r="AX41" s="82">
        <f>AV41-(AX$5*AX40)</f>
        <v>-6846.865200000002</v>
      </c>
      <c r="AZ41" s="33">
        <f>AX41-(AZ$5*AZ40)</f>
        <v>-3014.1978000000022</v>
      </c>
      <c r="BB41" s="33">
        <f>AZ41-(BB$5*BB40)</f>
        <v>-552.00660000000244</v>
      </c>
      <c r="BD41" s="82">
        <f>BB41-(BD$5*BD40)</f>
        <v>386.56919999999752</v>
      </c>
      <c r="BF41" s="33">
        <f>BD41-(BF$5*BF40)</f>
        <v>984.17099999999743</v>
      </c>
      <c r="BH41" s="33">
        <f>BF41-(BH$5*BH40)</f>
        <v>1631.4233999999974</v>
      </c>
      <c r="BJ41" s="82">
        <f>BH41-(BJ$5*BJ40)</f>
        <v>2092.6355999999973</v>
      </c>
      <c r="BL41" s="33">
        <f>BJ41-(BL$5*BL40)</f>
        <v>2477.8763999999974</v>
      </c>
      <c r="BN41" s="33">
        <f>BL41-(BN$5*BN40)</f>
        <v>3134.1017999999972</v>
      </c>
      <c r="BP41" s="82">
        <f>BN41-(BP$5*BP40)</f>
        <v>3962.0105999999969</v>
      </c>
      <c r="BQ41" s="157"/>
      <c r="BR41" s="143">
        <f>BP41</f>
        <v>3962.0105999999969</v>
      </c>
      <c r="BS41" s="143"/>
      <c r="BT41" s="143">
        <f>BR41</f>
        <v>3962.0105999999969</v>
      </c>
      <c r="BU41" s="143"/>
      <c r="BV41" s="85">
        <f>BT41</f>
        <v>3962.0105999999969</v>
      </c>
      <c r="BX41" s="170">
        <f>BV41+BP21</f>
        <v>4407.0975999999973</v>
      </c>
      <c r="BY41" s="10"/>
      <c r="BZ41" s="33">
        <f>BX41-(BZ$5*BZ40)</f>
        <v>4235.8482799999974</v>
      </c>
      <c r="CB41" s="82">
        <f>BZ41-(CB$5*CB40)</f>
        <v>4130.7775999999976</v>
      </c>
      <c r="CD41" s="33">
        <f>CB41-(CD$5*CD40)</f>
        <v>4049.0936399999978</v>
      </c>
      <c r="CF41" s="33">
        <f>CD41-(CF$5*CF40)</f>
        <v>3978.2049999999977</v>
      </c>
      <c r="CH41" s="82">
        <f>CF41-(CH$5*CH40)</f>
        <v>3931.7706799999978</v>
      </c>
      <c r="CJ41" s="33">
        <f>CH41-(CJ$5*CJ40)</f>
        <v>3876.6887999999976</v>
      </c>
      <c r="CL41" s="33">
        <f>CJ41-(CL$5*CL40)</f>
        <v>3825.8207999999977</v>
      </c>
      <c r="CN41" s="82">
        <f>CL41-(CN$5*CN40)</f>
        <v>3747.1135599999975</v>
      </c>
      <c r="CP41" s="33">
        <f>CN41-(CP$5*CP40)</f>
        <v>3583.6953999999973</v>
      </c>
      <c r="CR41" s="33">
        <f>CP41-(CR$5*CR40)</f>
        <v>3374.2385599999975</v>
      </c>
      <c r="CT41" s="168">
        <f>CR41-(CT$5*CT40)</f>
        <v>3051.8045199999974</v>
      </c>
      <c r="CZ41" s="81"/>
      <c r="DF41" s="81"/>
      <c r="DL41" s="81"/>
      <c r="DR41" s="81"/>
      <c r="DX41" s="81"/>
      <c r="ED41" s="81"/>
      <c r="EJ41" s="81"/>
      <c r="EP41" s="81"/>
      <c r="EV41" s="81"/>
      <c r="FB41" s="81"/>
      <c r="FH41" s="81"/>
      <c r="FN41" s="81"/>
      <c r="FT41" s="81"/>
      <c r="FZ41" s="81"/>
      <c r="GF41" s="81"/>
      <c r="GL41" s="81"/>
      <c r="GR41" s="81"/>
      <c r="GX41" s="81"/>
      <c r="HD41" s="81"/>
      <c r="HJ41" s="81"/>
      <c r="HP41" s="81"/>
      <c r="HV41" s="81"/>
      <c r="IB41" s="81"/>
      <c r="IH41" s="81"/>
      <c r="IN41" s="81"/>
      <c r="IT41" s="81"/>
      <c r="IZ41" s="81"/>
      <c r="JF41" s="81"/>
      <c r="JG41" s="179"/>
      <c r="JL41" s="81"/>
      <c r="JR41" s="81"/>
      <c r="JX41" s="81"/>
      <c r="KD41" s="81"/>
      <c r="KJ41" s="81"/>
      <c r="KP41" s="81"/>
      <c r="KV41" s="81"/>
      <c r="LB41" s="81"/>
      <c r="LH41" s="81"/>
      <c r="LN41" s="81"/>
      <c r="LT41" s="81"/>
      <c r="LZ41" s="81"/>
      <c r="MF41" s="81"/>
      <c r="ML41" s="81"/>
    </row>
    <row r="42" spans="3:361" hidden="1" x14ac:dyDescent="0.35">
      <c r="C42" s="25"/>
      <c r="H42" s="83"/>
      <c r="I42" s="51"/>
      <c r="J42" s="51"/>
      <c r="K42" s="51"/>
      <c r="L42" s="51"/>
      <c r="M42" s="51"/>
      <c r="N42" s="83"/>
      <c r="O42" s="51"/>
      <c r="P42" s="51"/>
      <c r="Q42" s="51"/>
      <c r="R42" s="51"/>
      <c r="S42" s="51"/>
      <c r="T42" s="83"/>
      <c r="U42" s="51"/>
      <c r="V42" s="51"/>
      <c r="W42" s="51"/>
      <c r="X42" s="51"/>
      <c r="Y42" s="51"/>
      <c r="Z42" s="83"/>
      <c r="AA42" s="51"/>
      <c r="AB42" s="51"/>
      <c r="AC42" s="51"/>
      <c r="AD42" s="51"/>
      <c r="AE42" s="51"/>
      <c r="AF42" s="81"/>
      <c r="AL42" s="81"/>
      <c r="AR42" s="81"/>
      <c r="AX42" s="81"/>
      <c r="BD42" s="81"/>
      <c r="BJ42" s="81"/>
      <c r="BP42" s="81"/>
      <c r="BQ42" s="10"/>
      <c r="BR42" s="10"/>
      <c r="BS42" s="10"/>
      <c r="BT42" s="10"/>
      <c r="BU42" s="10"/>
      <c r="BV42" s="158"/>
      <c r="BW42" s="10"/>
      <c r="BX42" s="159">
        <v>6.2799999999999995E-2</v>
      </c>
      <c r="BY42" s="10"/>
      <c r="BZ42" s="10"/>
      <c r="CA42" s="10"/>
      <c r="CB42" s="81"/>
      <c r="CC42" s="10"/>
      <c r="CD42" s="10"/>
      <c r="CE42" s="10"/>
      <c r="CF42" s="10"/>
      <c r="CG42" s="10"/>
      <c r="CH42" s="81"/>
      <c r="CI42" s="10"/>
      <c r="CJ42" s="10"/>
      <c r="CK42" s="10"/>
      <c r="CL42" s="10"/>
      <c r="CM42" s="10"/>
      <c r="CN42" s="81"/>
      <c r="CT42" s="103"/>
      <c r="CZ42" s="81"/>
      <c r="DF42" s="81"/>
      <c r="DL42" s="81"/>
      <c r="DR42" s="81"/>
      <c r="DX42" s="81"/>
      <c r="ED42" s="81"/>
      <c r="EJ42" s="81"/>
      <c r="EP42" s="81"/>
      <c r="EV42" s="81"/>
      <c r="FB42" s="81"/>
      <c r="FH42" s="81"/>
      <c r="FN42" s="81"/>
      <c r="FT42" s="81"/>
      <c r="FZ42" s="81"/>
      <c r="GF42" s="81"/>
      <c r="GL42" s="81"/>
      <c r="GR42" s="81"/>
      <c r="GX42" s="81"/>
      <c r="HD42" s="81"/>
      <c r="HJ42" s="81"/>
      <c r="HP42" s="81"/>
      <c r="HV42" s="81"/>
      <c r="IB42" s="81"/>
      <c r="IH42" s="81"/>
      <c r="IN42" s="81"/>
      <c r="IT42" s="81"/>
      <c r="IZ42" s="81"/>
      <c r="JF42" s="81"/>
      <c r="JG42" s="179"/>
      <c r="JL42" s="81"/>
      <c r="JR42" s="81"/>
      <c r="JX42" s="81"/>
      <c r="KD42" s="81"/>
      <c r="KJ42" s="81"/>
      <c r="KP42" s="81"/>
      <c r="KV42" s="81"/>
      <c r="LB42" s="81"/>
      <c r="LH42" s="81"/>
      <c r="LN42" s="81"/>
      <c r="LT42" s="81"/>
      <c r="LZ42" s="81"/>
      <c r="MF42" s="81"/>
      <c r="ML42" s="81"/>
    </row>
    <row r="43" spans="3:361" s="51" customFormat="1" hidden="1" x14ac:dyDescent="0.35">
      <c r="H43" s="83"/>
      <c r="N43" s="83"/>
      <c r="T43" s="83"/>
      <c r="Z43" s="83"/>
      <c r="AF43" s="83"/>
      <c r="AL43" s="83"/>
      <c r="AR43" s="83"/>
      <c r="AX43" s="83"/>
      <c r="BD43" s="83"/>
      <c r="BJ43" s="83"/>
      <c r="BP43" s="85"/>
      <c r="BV43" s="83"/>
      <c r="CB43" s="83"/>
      <c r="CH43" s="83"/>
      <c r="CN43" s="83"/>
      <c r="CT43" s="83"/>
      <c r="CZ43" s="83"/>
      <c r="DF43" s="83"/>
      <c r="DL43" s="83"/>
      <c r="DR43" s="83"/>
      <c r="DX43" s="83"/>
      <c r="ED43" s="83"/>
      <c r="EJ43" s="83"/>
      <c r="EP43" s="83"/>
      <c r="EV43" s="83"/>
      <c r="FB43" s="83"/>
      <c r="FH43" s="83"/>
      <c r="FN43" s="83"/>
      <c r="FT43" s="83"/>
      <c r="FZ43" s="83"/>
      <c r="GF43" s="83"/>
      <c r="GL43" s="83"/>
      <c r="GR43" s="83"/>
      <c r="GX43" s="83"/>
      <c r="HD43" s="83"/>
      <c r="HJ43" s="83"/>
      <c r="HP43" s="83"/>
      <c r="HV43" s="83"/>
      <c r="IB43" s="83"/>
      <c r="IH43" s="83"/>
      <c r="IN43" s="83"/>
      <c r="IT43" s="83"/>
      <c r="IZ43" s="83"/>
      <c r="JF43" s="83"/>
      <c r="JG43" s="183"/>
      <c r="JL43" s="83"/>
      <c r="JR43" s="83"/>
      <c r="JX43" s="83"/>
      <c r="KD43" s="83"/>
      <c r="KJ43" s="83"/>
      <c r="KP43" s="83"/>
      <c r="KV43" s="83"/>
      <c r="LB43" s="83"/>
      <c r="LH43" s="83"/>
      <c r="LN43" s="83"/>
      <c r="LT43" s="83"/>
      <c r="LZ43" s="83"/>
      <c r="MF43" s="83"/>
      <c r="ML43" s="83"/>
    </row>
    <row r="44" spans="3:361" s="51" customFormat="1" hidden="1" x14ac:dyDescent="0.35">
      <c r="H44" s="83"/>
      <c r="N44" s="83"/>
      <c r="P44" s="53"/>
      <c r="R44" s="53"/>
      <c r="T44" s="83"/>
      <c r="V44" s="53"/>
      <c r="X44" s="53"/>
      <c r="Z44" s="85"/>
      <c r="AB44" s="53"/>
      <c r="AD44" s="53"/>
      <c r="AE44" s="53"/>
      <c r="AF44" s="83"/>
      <c r="AL44" s="83"/>
      <c r="AN44" s="53"/>
      <c r="AP44" s="53"/>
      <c r="AR44" s="83"/>
      <c r="AT44" s="76"/>
      <c r="AV44" s="53"/>
      <c r="AX44" s="85"/>
      <c r="AZ44" s="53"/>
      <c r="BB44" s="53"/>
      <c r="BD44" s="85"/>
      <c r="BF44" s="53"/>
      <c r="BH44" s="53"/>
      <c r="BJ44" s="85"/>
      <c r="BL44" s="53"/>
      <c r="BN44" s="53"/>
      <c r="BP44" s="118"/>
      <c r="BQ44" s="156"/>
      <c r="BR44" s="53"/>
      <c r="BT44" s="53"/>
      <c r="BV44" s="118"/>
      <c r="BW44" s="156"/>
      <c r="BX44" s="144"/>
      <c r="BY44" s="144"/>
      <c r="BZ44" s="144"/>
      <c r="CA44" s="144"/>
      <c r="CB44" s="118"/>
      <c r="CC44" s="76"/>
      <c r="CD44" s="144"/>
      <c r="CE44" s="144"/>
      <c r="CF44" s="144"/>
      <c r="CG44" s="144"/>
      <c r="CH44" s="118"/>
      <c r="CI44" s="76"/>
      <c r="CJ44" s="144"/>
      <c r="CK44" s="76"/>
      <c r="CL44" s="76"/>
      <c r="CM44" s="76"/>
      <c r="CN44" s="118"/>
      <c r="CO44" s="76"/>
      <c r="CP44" s="76"/>
      <c r="CQ44" s="76"/>
      <c r="CR44" s="76"/>
      <c r="CS44" s="76"/>
      <c r="CT44" s="118"/>
      <c r="CU44" s="76"/>
      <c r="CV44" s="76"/>
      <c r="CW44" s="76"/>
      <c r="CX44" s="76"/>
      <c r="CY44" s="76"/>
      <c r="CZ44" s="118"/>
      <c r="DF44" s="83"/>
      <c r="DL44" s="83"/>
      <c r="DR44" s="83"/>
      <c r="DX44" s="83"/>
      <c r="ED44" s="83"/>
      <c r="EJ44" s="83"/>
      <c r="EP44" s="83"/>
      <c r="EV44" s="83"/>
      <c r="FB44" s="83"/>
      <c r="FH44" s="83"/>
      <c r="FN44" s="83"/>
      <c r="FT44" s="83"/>
      <c r="FZ44" s="83"/>
      <c r="GF44" s="83"/>
      <c r="GL44" s="83"/>
      <c r="GR44" s="83"/>
      <c r="GX44" s="83"/>
      <c r="HD44" s="83"/>
      <c r="HJ44" s="83"/>
      <c r="HP44" s="83"/>
      <c r="HV44" s="83"/>
      <c r="IB44" s="83"/>
      <c r="IH44" s="83"/>
      <c r="IN44" s="83"/>
      <c r="IT44" s="83"/>
      <c r="IZ44" s="83"/>
      <c r="JF44" s="83"/>
      <c r="JG44" s="183"/>
      <c r="JL44" s="83"/>
      <c r="JR44" s="83"/>
      <c r="JX44" s="83"/>
      <c r="KD44" s="83"/>
      <c r="KJ44" s="83"/>
      <c r="KP44" s="83"/>
      <c r="KV44" s="83"/>
      <c r="LB44" s="83"/>
      <c r="LH44" s="83"/>
      <c r="LN44" s="83"/>
      <c r="LT44" s="83"/>
      <c r="LZ44" s="83"/>
      <c r="MF44" s="83"/>
      <c r="ML44" s="83"/>
    </row>
    <row r="45" spans="3:361" s="51" customFormat="1" hidden="1" x14ac:dyDescent="0.35">
      <c r="H45" s="83"/>
      <c r="N45" s="83"/>
      <c r="P45" s="53"/>
      <c r="R45" s="53"/>
      <c r="T45" s="83"/>
      <c r="V45" s="53"/>
      <c r="X45" s="53"/>
      <c r="Z45" s="85"/>
      <c r="AB45" s="53"/>
      <c r="AD45" s="53"/>
      <c r="AE45" s="53"/>
      <c r="AF45" s="83"/>
      <c r="AL45" s="83"/>
      <c r="AN45" s="53"/>
      <c r="AP45" s="53"/>
      <c r="AR45" s="85"/>
      <c r="AT45" s="53"/>
      <c r="AV45" s="53"/>
      <c r="AX45" s="85"/>
      <c r="AZ45" s="53"/>
      <c r="BB45" s="53"/>
      <c r="BD45" s="85"/>
      <c r="BF45" s="53"/>
      <c r="BH45" s="53"/>
      <c r="BJ45" s="85"/>
      <c r="BL45" s="53"/>
      <c r="BN45" s="53"/>
      <c r="BP45" s="85"/>
      <c r="BQ45" s="157"/>
      <c r="BR45" s="53"/>
      <c r="BT45" s="53"/>
      <c r="BV45" s="85"/>
      <c r="BW45" s="157"/>
      <c r="BX45" s="143"/>
      <c r="BY45" s="143"/>
      <c r="BZ45" s="143"/>
      <c r="CA45" s="143"/>
      <c r="CB45" s="85"/>
      <c r="CD45" s="143"/>
      <c r="CE45" s="143"/>
      <c r="CF45" s="143"/>
      <c r="CG45" s="143"/>
      <c r="CH45" s="85"/>
      <c r="CJ45" s="53"/>
      <c r="CL45" s="53"/>
      <c r="CN45" s="85"/>
      <c r="CP45" s="53"/>
      <c r="CR45" s="53"/>
      <c r="CT45" s="85"/>
      <c r="CV45" s="53"/>
      <c r="CX45" s="53"/>
      <c r="CZ45" s="85"/>
      <c r="DF45" s="83"/>
      <c r="DL45" s="83"/>
      <c r="DR45" s="83"/>
      <c r="DX45" s="83"/>
      <c r="ED45" s="83"/>
      <c r="EJ45" s="83"/>
      <c r="EP45" s="83"/>
      <c r="EV45" s="83"/>
      <c r="FB45" s="83"/>
      <c r="FH45" s="83"/>
      <c r="FN45" s="83"/>
      <c r="FT45" s="83"/>
      <c r="FZ45" s="83"/>
      <c r="GF45" s="83"/>
      <c r="GL45" s="83"/>
      <c r="GR45" s="83"/>
      <c r="GX45" s="83"/>
      <c r="HD45" s="83"/>
      <c r="HJ45" s="83"/>
      <c r="HP45" s="83"/>
      <c r="HV45" s="83"/>
      <c r="IB45" s="83"/>
      <c r="IH45" s="83"/>
      <c r="IN45" s="83"/>
      <c r="IT45" s="83"/>
      <c r="IZ45" s="83"/>
      <c r="JF45" s="83"/>
      <c r="JG45" s="183"/>
      <c r="JL45" s="83"/>
      <c r="JR45" s="83"/>
      <c r="JX45" s="83"/>
      <c r="KD45" s="83"/>
      <c r="KJ45" s="83"/>
      <c r="KP45" s="83"/>
      <c r="KV45" s="83"/>
      <c r="LB45" s="83"/>
      <c r="LH45" s="83"/>
      <c r="LN45" s="83"/>
      <c r="LT45" s="83"/>
      <c r="LZ45" s="83"/>
      <c r="MF45" s="83"/>
      <c r="ML45" s="83"/>
    </row>
    <row r="46" spans="3:361" s="51" customFormat="1" hidden="1" x14ac:dyDescent="0.35">
      <c r="H46" s="83"/>
      <c r="N46" s="83"/>
      <c r="T46" s="83"/>
      <c r="Z46" s="83"/>
      <c r="AF46" s="83"/>
      <c r="AL46" s="83"/>
      <c r="AR46" s="83"/>
      <c r="AX46" s="83"/>
      <c r="BD46" s="83"/>
      <c r="BJ46" s="83"/>
      <c r="BP46" s="158"/>
      <c r="BQ46" s="110"/>
      <c r="BV46" s="158"/>
      <c r="BW46" s="110"/>
      <c r="BX46" s="110"/>
      <c r="BY46" s="110"/>
      <c r="BZ46" s="110"/>
      <c r="CA46" s="110"/>
      <c r="CB46" s="158"/>
      <c r="CC46" s="110"/>
      <c r="CD46" s="110"/>
      <c r="CE46" s="110"/>
      <c r="CF46" s="110"/>
      <c r="CG46" s="110"/>
      <c r="CH46" s="158"/>
      <c r="CI46" s="110"/>
      <c r="CJ46" s="110"/>
      <c r="CK46" s="110"/>
      <c r="CL46" s="110"/>
      <c r="CM46" s="110"/>
      <c r="CN46" s="83"/>
      <c r="CO46" s="110"/>
      <c r="CP46" s="110"/>
      <c r="CQ46" s="110"/>
      <c r="CR46" s="110"/>
      <c r="CS46" s="110"/>
      <c r="CT46" s="83"/>
      <c r="CZ46" s="83"/>
      <c r="DF46" s="83"/>
      <c r="DL46" s="83"/>
      <c r="DR46" s="83"/>
      <c r="DX46" s="83"/>
      <c r="ED46" s="83"/>
      <c r="EJ46" s="83"/>
      <c r="EP46" s="83"/>
      <c r="EV46" s="83"/>
      <c r="FB46" s="83"/>
      <c r="FH46" s="83"/>
      <c r="FN46" s="83"/>
      <c r="FT46" s="83"/>
      <c r="FZ46" s="83"/>
      <c r="GF46" s="83"/>
      <c r="GL46" s="83"/>
      <c r="GR46" s="83"/>
      <c r="GX46" s="83"/>
      <c r="HD46" s="83"/>
      <c r="HJ46" s="83"/>
      <c r="HP46" s="83"/>
      <c r="HV46" s="83"/>
      <c r="IB46" s="83"/>
      <c r="IH46" s="83"/>
      <c r="IN46" s="83"/>
      <c r="IT46" s="83"/>
      <c r="IZ46" s="83"/>
      <c r="JF46" s="83"/>
      <c r="JG46" s="183"/>
      <c r="JL46" s="83"/>
      <c r="JR46" s="83"/>
      <c r="JX46" s="83"/>
      <c r="KD46" s="83"/>
      <c r="KJ46" s="83"/>
      <c r="KP46" s="83"/>
      <c r="KV46" s="83"/>
      <c r="LB46" s="83"/>
      <c r="LH46" s="83"/>
      <c r="LN46" s="83"/>
      <c r="LT46" s="83"/>
      <c r="LZ46" s="83"/>
      <c r="MF46" s="83"/>
      <c r="ML46" s="83"/>
    </row>
    <row r="47" spans="3:361" hidden="1" x14ac:dyDescent="0.3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0"/>
      <c r="AG47" s="10"/>
      <c r="AH47" s="10"/>
      <c r="AI47" s="10"/>
      <c r="AJ47" s="10"/>
      <c r="AK47" s="10"/>
      <c r="AL47" s="110"/>
      <c r="AM47" s="110"/>
      <c r="AN47" s="110"/>
      <c r="AO47" s="110"/>
      <c r="AP47" s="110"/>
      <c r="AQ47" s="10"/>
      <c r="AR47" s="10"/>
      <c r="AX47" s="81"/>
      <c r="BD47" s="81"/>
      <c r="BJ47" s="81"/>
      <c r="BP47" s="81"/>
      <c r="BV47" s="103"/>
      <c r="CB47" s="81"/>
      <c r="CH47" s="81"/>
      <c r="CN47" s="81"/>
      <c r="CT47" s="81"/>
      <c r="CZ47" s="81"/>
      <c r="DF47" s="81"/>
      <c r="DL47" s="81"/>
      <c r="DR47" s="81"/>
      <c r="DX47" s="81"/>
      <c r="ED47" s="83"/>
      <c r="EJ47" s="83"/>
      <c r="EK47" s="51"/>
      <c r="EM47" s="51"/>
      <c r="EO47" s="51"/>
      <c r="EP47" s="81"/>
      <c r="EQ47" s="51"/>
      <c r="ES47" s="51"/>
      <c r="EU47" s="51"/>
      <c r="EV47" s="81"/>
      <c r="EW47" s="51"/>
      <c r="EY47" s="51"/>
      <c r="FA47" s="51"/>
      <c r="FB47" s="81"/>
      <c r="FC47" s="51"/>
      <c r="FE47" s="51"/>
      <c r="FG47" s="51"/>
      <c r="FH47" s="81"/>
      <c r="FI47" s="51"/>
      <c r="FK47" s="51"/>
      <c r="FM47" s="51"/>
      <c r="FN47" s="81"/>
      <c r="FO47" s="51"/>
      <c r="FQ47" s="51"/>
      <c r="FS47" s="51"/>
      <c r="FT47" s="81"/>
      <c r="FU47" s="51"/>
      <c r="FW47" s="51"/>
      <c r="FY47" s="51"/>
      <c r="FZ47" s="81"/>
      <c r="GA47" s="51"/>
      <c r="GC47" s="51"/>
      <c r="GE47" s="51"/>
      <c r="GF47" s="81"/>
      <c r="GG47" s="51"/>
      <c r="GI47" s="51"/>
      <c r="GK47" s="51"/>
      <c r="GL47" s="81"/>
      <c r="GM47" s="51"/>
      <c r="GO47" s="51"/>
      <c r="GQ47" s="51"/>
      <c r="GR47" s="81"/>
      <c r="GS47" s="51"/>
      <c r="GU47" s="51"/>
      <c r="GW47" s="51"/>
      <c r="GX47" s="81"/>
      <c r="GY47" s="51"/>
      <c r="HA47" s="51"/>
      <c r="HC47" s="51"/>
      <c r="HD47" s="81"/>
      <c r="HE47" s="51"/>
      <c r="HG47" s="51"/>
      <c r="HI47" s="51"/>
      <c r="HJ47" s="81"/>
      <c r="HK47" s="51"/>
      <c r="HM47" s="51"/>
      <c r="HO47" s="51"/>
      <c r="HP47" s="81"/>
      <c r="HQ47" s="51"/>
      <c r="HS47" s="51"/>
      <c r="HU47" s="51"/>
      <c r="HV47" s="81"/>
      <c r="HW47" s="51"/>
      <c r="HY47" s="51"/>
      <c r="IA47" s="51"/>
      <c r="IB47" s="81"/>
      <c r="IC47" s="51"/>
      <c r="IE47" s="51"/>
      <c r="IG47" s="51"/>
      <c r="IH47" s="81"/>
      <c r="II47" s="51"/>
      <c r="IK47" s="51"/>
      <c r="IM47" s="51"/>
      <c r="IN47" s="81"/>
      <c r="IO47" s="51"/>
      <c r="IQ47" s="51"/>
      <c r="IS47" s="51"/>
      <c r="IT47" s="81"/>
      <c r="IU47" s="51"/>
      <c r="IW47" s="51"/>
      <c r="IY47" s="51"/>
      <c r="IZ47" s="81"/>
      <c r="JA47" s="51"/>
      <c r="JC47" s="51"/>
      <c r="JE47" s="51"/>
      <c r="JF47" s="81"/>
      <c r="JG47" s="183"/>
      <c r="JI47" s="51"/>
      <c r="JK47" s="51"/>
      <c r="JL47" s="81"/>
      <c r="JM47" s="51"/>
      <c r="JO47" s="51"/>
      <c r="JQ47" s="51"/>
      <c r="JR47" s="81"/>
      <c r="JS47" s="51"/>
      <c r="JU47" s="51"/>
      <c r="JW47" s="51"/>
      <c r="JX47" s="81"/>
      <c r="JY47" s="51"/>
      <c r="KA47" s="51"/>
      <c r="KC47" s="51"/>
      <c r="KD47" s="81"/>
      <c r="KE47" s="51"/>
      <c r="KG47" s="51"/>
      <c r="KI47" s="51"/>
      <c r="KJ47" s="81"/>
      <c r="KK47" s="51"/>
      <c r="KM47" s="51"/>
      <c r="KO47" s="51"/>
      <c r="KP47" s="81"/>
      <c r="KQ47" s="51"/>
      <c r="KS47" s="51"/>
      <c r="KU47" s="51"/>
      <c r="KV47" s="81"/>
      <c r="KW47" s="51"/>
      <c r="KY47" s="51"/>
      <c r="LA47" s="51"/>
      <c r="LB47" s="81"/>
      <c r="LC47" s="51"/>
      <c r="LE47" s="51"/>
      <c r="LG47" s="51"/>
      <c r="LH47" s="81"/>
      <c r="LI47" s="51"/>
      <c r="LK47" s="51"/>
      <c r="LM47" s="51"/>
      <c r="LN47" s="81"/>
      <c r="LO47" s="51"/>
      <c r="LQ47" s="51"/>
      <c r="LS47" s="51"/>
      <c r="LT47" s="81"/>
      <c r="LU47" s="51"/>
      <c r="LW47" s="51"/>
      <c r="LY47" s="51"/>
      <c r="LZ47" s="81"/>
      <c r="MA47" s="51"/>
      <c r="MC47" s="51"/>
      <c r="ME47" s="51"/>
      <c r="MF47" s="81"/>
      <c r="MG47" s="51"/>
      <c r="MI47" s="51"/>
      <c r="MK47" s="51"/>
      <c r="ML47" s="81"/>
      <c r="MM47" s="51"/>
      <c r="MO47" s="51"/>
      <c r="MQ47" s="51"/>
      <c r="MS47" s="51"/>
      <c r="MU47" s="51"/>
      <c r="MW47" s="51"/>
    </row>
    <row r="48" spans="3:361" hidden="1" x14ac:dyDescent="0.35">
      <c r="H48" s="110"/>
      <c r="I48" s="110"/>
      <c r="J48" s="110"/>
      <c r="K48" s="110"/>
      <c r="L48" s="110"/>
      <c r="M48" s="110"/>
      <c r="N48" s="110"/>
      <c r="O48" s="110"/>
      <c r="P48" s="110"/>
      <c r="Q48" s="110"/>
      <c r="R48" s="110"/>
      <c r="S48" s="110"/>
      <c r="T48" s="110"/>
      <c r="U48" s="110"/>
      <c r="V48" s="110"/>
      <c r="W48" s="110"/>
      <c r="X48" s="110"/>
      <c r="Y48" s="110"/>
      <c r="Z48" s="110"/>
      <c r="AA48" s="110"/>
      <c r="AB48" s="143"/>
      <c r="AC48" s="110"/>
      <c r="AD48" s="143"/>
      <c r="AE48" s="143"/>
      <c r="AF48" s="10"/>
      <c r="AG48" s="10"/>
      <c r="AH48" s="10"/>
      <c r="AI48" s="10"/>
      <c r="AJ48" s="10"/>
      <c r="AK48" s="10"/>
      <c r="AL48" s="10"/>
      <c r="AM48" s="10"/>
      <c r="AN48" s="10"/>
      <c r="AO48" s="10"/>
      <c r="AP48" s="10"/>
      <c r="AQ48" s="10"/>
      <c r="AR48" s="10"/>
      <c r="AX48" s="81"/>
      <c r="AZ48" s="39">
        <v>1.8274999999999999</v>
      </c>
      <c r="BB48" s="43">
        <f>AZ48</f>
        <v>1.8274999999999999</v>
      </c>
      <c r="BC48" s="40"/>
      <c r="BD48" s="150">
        <f>BB48</f>
        <v>1.8274999999999999</v>
      </c>
      <c r="BE48" s="40"/>
      <c r="BF48" s="43">
        <f>BD48</f>
        <v>1.8274999999999999</v>
      </c>
      <c r="BG48" s="40"/>
      <c r="BH48" s="43">
        <f>BF48</f>
        <v>1.8274999999999999</v>
      </c>
      <c r="BI48" s="40"/>
      <c r="BJ48" s="150">
        <f>BH48</f>
        <v>1.8274999999999999</v>
      </c>
      <c r="BK48" s="40"/>
      <c r="BL48" s="43">
        <f>BJ48</f>
        <v>1.8274999999999999</v>
      </c>
      <c r="BM48" s="40"/>
      <c r="BN48" s="43">
        <f>BL48</f>
        <v>1.8274999999999999</v>
      </c>
      <c r="BO48" s="40"/>
      <c r="BP48" s="150">
        <f>BN48</f>
        <v>1.8274999999999999</v>
      </c>
      <c r="BQ48" s="40"/>
      <c r="BR48" s="43">
        <f>BP48</f>
        <v>1.8274999999999999</v>
      </c>
      <c r="BS48" s="40"/>
      <c r="BT48" s="43">
        <f>BR48</f>
        <v>1.8274999999999999</v>
      </c>
      <c r="BU48" s="40"/>
      <c r="BV48" s="150">
        <f>BT48</f>
        <v>1.8274999999999999</v>
      </c>
      <c r="BW48" s="40"/>
      <c r="BX48" s="43">
        <f>BV48</f>
        <v>1.8274999999999999</v>
      </c>
      <c r="BY48" s="40"/>
      <c r="BZ48" s="144"/>
      <c r="CA48" s="144"/>
      <c r="CB48" s="118"/>
      <c r="CC48" s="40"/>
      <c r="CD48" s="144"/>
      <c r="CE48" s="144"/>
      <c r="CF48" s="144"/>
      <c r="CG48" s="144"/>
      <c r="CH48" s="118"/>
      <c r="CI48" s="40"/>
      <c r="CJ48" s="151">
        <f>CH50</f>
        <v>-0.74760000000000004</v>
      </c>
      <c r="CK48" s="40"/>
      <c r="CL48" s="43">
        <f>CJ48</f>
        <v>-0.74760000000000004</v>
      </c>
      <c r="CM48" s="40"/>
      <c r="CN48" s="150">
        <f>CL48</f>
        <v>-0.74760000000000004</v>
      </c>
      <c r="CO48" s="40"/>
      <c r="CP48" s="43">
        <f>CN48</f>
        <v>-0.74760000000000004</v>
      </c>
      <c r="CQ48" s="40"/>
      <c r="CR48" s="43">
        <f>CP48</f>
        <v>-0.74760000000000004</v>
      </c>
      <c r="CS48" s="40"/>
      <c r="CT48" s="150">
        <f>CR48</f>
        <v>-0.74760000000000004</v>
      </c>
      <c r="CV48" s="43">
        <f>CT48</f>
        <v>-0.74760000000000004</v>
      </c>
      <c r="CW48" s="40"/>
      <c r="CX48" s="43">
        <f>CV48</f>
        <v>-0.74760000000000004</v>
      </c>
      <c r="CY48" s="40"/>
      <c r="CZ48" s="150">
        <f>CX48</f>
        <v>-0.74760000000000004</v>
      </c>
      <c r="DB48" s="43">
        <f>CZ48</f>
        <v>-0.74760000000000004</v>
      </c>
      <c r="DC48" s="40"/>
      <c r="DD48" s="43">
        <f>DB48</f>
        <v>-0.74760000000000004</v>
      </c>
      <c r="DE48" s="40"/>
      <c r="DF48" s="150">
        <f>DD48</f>
        <v>-0.74760000000000004</v>
      </c>
      <c r="DL48" s="81"/>
      <c r="DR48" s="81"/>
      <c r="DX48" s="81"/>
      <c r="ED48" s="81"/>
      <c r="EJ48" s="81"/>
      <c r="EP48" s="81"/>
      <c r="EV48" s="81"/>
      <c r="FB48" s="81"/>
      <c r="FH48" s="81"/>
      <c r="FN48" s="81"/>
      <c r="FT48" s="81"/>
      <c r="FZ48" s="81"/>
      <c r="GF48" s="81"/>
      <c r="GL48" s="81"/>
      <c r="GR48" s="81"/>
      <c r="GX48" s="81"/>
      <c r="HD48" s="81"/>
      <c r="HJ48" s="81"/>
      <c r="HP48" s="81"/>
      <c r="HV48" s="81"/>
      <c r="IB48" s="81"/>
      <c r="IH48" s="81"/>
      <c r="IN48" s="81"/>
      <c r="IT48" s="81"/>
      <c r="IZ48" s="81"/>
      <c r="JF48" s="81"/>
      <c r="JG48" s="179"/>
      <c r="JL48" s="81"/>
      <c r="JR48" s="81"/>
      <c r="JX48" s="81"/>
      <c r="KD48" s="81"/>
      <c r="KJ48" s="81"/>
      <c r="KP48" s="81"/>
      <c r="KV48" s="81"/>
      <c r="LB48" s="81"/>
      <c r="LH48" s="81"/>
      <c r="LN48" s="81"/>
      <c r="LT48" s="81"/>
      <c r="LZ48" s="81"/>
      <c r="MF48" s="81"/>
      <c r="ML48" s="81"/>
    </row>
    <row r="49" spans="1:350" hidden="1" x14ac:dyDescent="0.35">
      <c r="H49" s="110"/>
      <c r="I49" s="110"/>
      <c r="J49" s="110"/>
      <c r="K49" s="110"/>
      <c r="L49" s="110"/>
      <c r="M49" s="110"/>
      <c r="N49" s="110"/>
      <c r="O49" s="110"/>
      <c r="P49" s="110"/>
      <c r="Q49" s="110"/>
      <c r="R49" s="110"/>
      <c r="S49" s="110"/>
      <c r="T49" s="110"/>
      <c r="U49" s="110"/>
      <c r="V49" s="110"/>
      <c r="W49" s="110"/>
      <c r="X49" s="110"/>
      <c r="Y49" s="110"/>
      <c r="Z49" s="110"/>
      <c r="AA49" s="110"/>
      <c r="AB49" s="143"/>
      <c r="AC49" s="110"/>
      <c r="AD49" s="143"/>
      <c r="AE49" s="143"/>
      <c r="AF49" s="10"/>
      <c r="AG49" s="10"/>
      <c r="AH49" s="10"/>
      <c r="AI49" s="10"/>
      <c r="AJ49" s="10"/>
      <c r="AK49" s="10"/>
      <c r="AL49" s="10"/>
      <c r="AM49" s="10"/>
      <c r="AN49" s="10"/>
      <c r="AO49" s="10"/>
      <c r="AP49" s="10"/>
      <c r="AQ49" s="10"/>
      <c r="AR49" s="10"/>
      <c r="AX49" s="86">
        <v>46337</v>
      </c>
      <c r="AZ49" s="33">
        <f>AX49-(AZ$5*AZ48)</f>
        <v>34628.207500000004</v>
      </c>
      <c r="BB49" s="33">
        <f>AZ49-(BB$5*BB48)</f>
        <v>27106.217500000006</v>
      </c>
      <c r="BD49" s="82">
        <f>BB49-(BD$5*BD48)</f>
        <v>24238.870000000006</v>
      </c>
      <c r="BF49" s="33">
        <f>BD49-(BF$5*BF48)</f>
        <v>22413.197500000006</v>
      </c>
      <c r="BH49" s="33">
        <f>BF49-(BH$5*BH48)</f>
        <v>20435.842500000006</v>
      </c>
      <c r="BJ49" s="82">
        <f>BH49-(BJ$5*BJ48)</f>
        <v>19026.840000000007</v>
      </c>
      <c r="BL49" s="33">
        <f>BJ49-(BL$5*BL48)</f>
        <v>17849.930000000008</v>
      </c>
      <c r="BN49" s="33">
        <f>BL49-(BN$5*BN48)</f>
        <v>15845.162500000008</v>
      </c>
      <c r="BP49" s="82">
        <f>BN49-(BP$5*BP48)</f>
        <v>13315.902500000007</v>
      </c>
      <c r="BR49" s="33">
        <f>BP49-(BR$5*BR48)</f>
        <v>10161.637500000008</v>
      </c>
      <c r="BT49" s="33">
        <f>BR49-(BT$5*BT48)</f>
        <v>-6.5724999999911233</v>
      </c>
      <c r="BV49" s="82">
        <f>BT49-(BV$5*BV48)</f>
        <v>-10642.62249999999</v>
      </c>
      <c r="BX49" s="33">
        <f>BV49-(BX$5*BX48)</f>
        <v>-22351.41499999999</v>
      </c>
      <c r="BZ49" s="143">
        <f>BX49</f>
        <v>-22351.41499999999</v>
      </c>
      <c r="CA49" s="143"/>
      <c r="CB49" s="85">
        <f>BZ49</f>
        <v>-22351.41499999999</v>
      </c>
      <c r="CD49" s="143">
        <f>CB49</f>
        <v>-22351.41499999999</v>
      </c>
      <c r="CE49" s="143"/>
      <c r="CF49" s="143">
        <f>CD49</f>
        <v>-22351.41499999999</v>
      </c>
      <c r="CG49" s="143"/>
      <c r="CH49" s="169">
        <f>CF49+CB25</f>
        <v>-17736.453899999993</v>
      </c>
      <c r="CJ49" s="33">
        <f>CH49-(CJ$5*CJ48)</f>
        <v>-17080.733939999995</v>
      </c>
      <c r="CL49" s="33">
        <f>CJ49-(CL$5*CL48)</f>
        <v>-16475.177939999994</v>
      </c>
      <c r="CN49" s="82">
        <f>CL49-(CN$5*CN48)</f>
        <v>-15538.210859999994</v>
      </c>
      <c r="CP49" s="33">
        <f>CN49-(CP$5*CP48)</f>
        <v>-13592.806139999993</v>
      </c>
      <c r="CR49" s="33">
        <f>CP49-(CR$5*CR48)</f>
        <v>-11099.335859999992</v>
      </c>
      <c r="CT49" s="82">
        <f>CR49-(CT$5*CT48)</f>
        <v>-7260.9331799999918</v>
      </c>
      <c r="CV49" s="33">
        <f>CT49-(CV$5*CV48)</f>
        <v>-4524.1190999999917</v>
      </c>
      <c r="CX49" s="33">
        <f>CV49-(CX$5*CX48)</f>
        <v>-3082.2229799999914</v>
      </c>
      <c r="CZ49" s="82">
        <f>CX49-(CZ$5*CZ48)</f>
        <v>-2202.5968199999916</v>
      </c>
      <c r="DB49" s="33">
        <f>CZ49-(DB$5*DB48)</f>
        <v>-1265.8540199999916</v>
      </c>
      <c r="DD49" s="33">
        <f>DB49-(DD$5*DD48)</f>
        <v>-607.89125999999158</v>
      </c>
      <c r="DF49" s="168">
        <f>DD49-(DF$5*DF48)</f>
        <v>173.79930000000843</v>
      </c>
      <c r="DL49" s="81"/>
      <c r="DR49" s="81"/>
      <c r="DX49" s="81"/>
      <c r="ED49" s="81"/>
      <c r="EJ49" s="81"/>
      <c r="EP49" s="81"/>
      <c r="EV49" s="81"/>
      <c r="FB49" s="81"/>
      <c r="FH49" s="81"/>
      <c r="FN49" s="81"/>
      <c r="FT49" s="81"/>
      <c r="FZ49" s="81"/>
      <c r="GF49" s="81"/>
      <c r="GL49" s="81"/>
      <c r="GR49" s="81"/>
      <c r="GX49" s="81"/>
      <c r="HD49" s="81"/>
      <c r="HJ49" s="81"/>
      <c r="HP49" s="81"/>
      <c r="HV49" s="81"/>
      <c r="IB49" s="81"/>
      <c r="IH49" s="81"/>
      <c r="IN49" s="81"/>
      <c r="IT49" s="81"/>
      <c r="IZ49" s="81"/>
      <c r="JF49" s="81"/>
      <c r="JG49" s="179"/>
      <c r="JL49" s="81"/>
      <c r="JR49" s="81"/>
      <c r="JX49" s="81"/>
      <c r="KD49" s="81"/>
      <c r="KJ49" s="81"/>
      <c r="KP49" s="81"/>
      <c r="KV49" s="81"/>
      <c r="LB49" s="81"/>
      <c r="LH49" s="81"/>
      <c r="LN49" s="81"/>
      <c r="LT49" s="81"/>
      <c r="LZ49" s="81"/>
      <c r="MF49" s="81"/>
      <c r="ML49" s="81"/>
    </row>
    <row r="50" spans="1:350" hidden="1" x14ac:dyDescent="0.3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0"/>
      <c r="AG50" s="10"/>
      <c r="AH50" s="10"/>
      <c r="AI50" s="10"/>
      <c r="AJ50" s="10"/>
      <c r="AK50" s="10"/>
      <c r="AL50" s="10"/>
      <c r="AM50" s="10"/>
      <c r="AN50" s="10"/>
      <c r="AO50" s="10"/>
      <c r="AP50" s="10"/>
      <c r="AQ50" s="10"/>
      <c r="AR50" s="10"/>
      <c r="AX50" s="81"/>
      <c r="BD50" s="81"/>
      <c r="BJ50" s="81"/>
      <c r="BP50" s="81"/>
      <c r="BV50" s="81"/>
      <c r="BX50" s="31"/>
      <c r="BZ50" s="10"/>
      <c r="CA50" s="10"/>
      <c r="CB50" s="158"/>
      <c r="CC50" s="10"/>
      <c r="CD50" s="10"/>
      <c r="CE50" s="10"/>
      <c r="CF50" s="10"/>
      <c r="CG50" s="10"/>
      <c r="CH50" s="160">
        <v>-0.74760000000000004</v>
      </c>
      <c r="CN50" s="81"/>
      <c r="CT50" s="81"/>
      <c r="CZ50" s="81"/>
      <c r="DF50" s="81"/>
      <c r="DL50" s="81"/>
      <c r="DR50" s="81"/>
      <c r="DX50" s="81"/>
      <c r="ED50" s="81"/>
      <c r="EJ50" s="81"/>
      <c r="EP50" s="81"/>
      <c r="EV50" s="81"/>
      <c r="FB50" s="81"/>
      <c r="FH50" s="81"/>
      <c r="FN50" s="81"/>
      <c r="FT50" s="81"/>
      <c r="FZ50" s="81"/>
      <c r="GF50" s="81"/>
      <c r="GL50" s="81"/>
      <c r="GR50" s="81"/>
      <c r="GX50" s="81"/>
      <c r="HD50" s="81"/>
      <c r="HJ50" s="81"/>
      <c r="HP50" s="81"/>
      <c r="HV50" s="81"/>
      <c r="IB50" s="81"/>
      <c r="IH50" s="81"/>
      <c r="IN50" s="81"/>
      <c r="IT50" s="81"/>
      <c r="IZ50" s="81"/>
      <c r="JF50" s="81"/>
      <c r="JG50" s="179"/>
      <c r="JL50" s="81"/>
      <c r="JR50" s="81"/>
      <c r="JX50" s="81"/>
      <c r="KD50" s="81"/>
      <c r="KJ50" s="81"/>
      <c r="KP50" s="81"/>
      <c r="KV50" s="81"/>
      <c r="LB50" s="81"/>
      <c r="LH50" s="81"/>
      <c r="LN50" s="81"/>
      <c r="LT50" s="81"/>
      <c r="LZ50" s="81"/>
      <c r="MF50" s="81"/>
      <c r="ML50" s="81"/>
    </row>
    <row r="51" spans="1:350" hidden="1" x14ac:dyDescent="0.35">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X51" s="81"/>
      <c r="BD51" s="81"/>
      <c r="BJ51" s="81"/>
      <c r="BP51" s="81"/>
      <c r="BV51" s="81"/>
      <c r="CB51" s="103"/>
      <c r="CH51" s="81"/>
      <c r="CN51" s="81"/>
      <c r="CT51" s="81"/>
      <c r="CZ51" s="81"/>
      <c r="DF51" s="81"/>
      <c r="DL51" s="81"/>
      <c r="DR51" s="81"/>
      <c r="DX51" s="81"/>
      <c r="ED51" s="81"/>
      <c r="EJ51" s="81"/>
      <c r="EP51" s="81"/>
      <c r="EV51" s="81"/>
      <c r="FB51" s="81"/>
      <c r="FH51" s="81"/>
      <c r="FN51" s="81"/>
      <c r="FT51" s="81"/>
      <c r="FZ51" s="81"/>
      <c r="GF51" s="81"/>
      <c r="GL51" s="81"/>
      <c r="GR51" s="81"/>
      <c r="GX51" s="81"/>
      <c r="HD51" s="81"/>
      <c r="HJ51" s="81"/>
      <c r="HP51" s="81"/>
      <c r="HV51" s="81"/>
      <c r="IB51" s="81"/>
      <c r="IH51" s="81"/>
      <c r="IN51" s="81"/>
      <c r="IT51" s="81"/>
      <c r="IZ51" s="81"/>
      <c r="JF51" s="81"/>
      <c r="JG51" s="179"/>
      <c r="JL51" s="81"/>
      <c r="JR51" s="81"/>
      <c r="JX51" s="81"/>
      <c r="KD51" s="81"/>
      <c r="KJ51" s="81"/>
      <c r="KP51" s="81"/>
      <c r="KV51" s="81"/>
      <c r="LB51" s="81"/>
      <c r="LH51" s="81"/>
      <c r="LN51" s="81"/>
      <c r="LT51" s="81"/>
      <c r="LZ51" s="81"/>
      <c r="MF51" s="81"/>
      <c r="ML51" s="81"/>
    </row>
    <row r="52" spans="1:350" hidden="1" x14ac:dyDescent="0.35">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X52" s="81"/>
      <c r="BD52" s="81"/>
      <c r="BF52" s="39">
        <v>2.2829000000000002</v>
      </c>
      <c r="BH52" s="43">
        <f>BF52</f>
        <v>2.2829000000000002</v>
      </c>
      <c r="BI52" s="40"/>
      <c r="BJ52" s="150">
        <f>BH52</f>
        <v>2.2829000000000002</v>
      </c>
      <c r="BK52" s="40"/>
      <c r="BL52" s="43">
        <f>BJ52</f>
        <v>2.2829000000000002</v>
      </c>
      <c r="BM52" s="40"/>
      <c r="BN52" s="43">
        <f>BL52</f>
        <v>2.2829000000000002</v>
      </c>
      <c r="BO52" s="40"/>
      <c r="BP52" s="150">
        <f>BN52</f>
        <v>2.2829000000000002</v>
      </c>
      <c r="BQ52" s="40"/>
      <c r="BR52" s="43">
        <f>BP52</f>
        <v>2.2829000000000002</v>
      </c>
      <c r="BS52" s="40"/>
      <c r="BT52" s="43">
        <f>BR52</f>
        <v>2.2829000000000002</v>
      </c>
      <c r="BU52" s="40"/>
      <c r="BV52" s="150">
        <f>BT52</f>
        <v>2.2829000000000002</v>
      </c>
      <c r="BW52" s="40"/>
      <c r="BX52" s="43">
        <f>BV52</f>
        <v>2.2829000000000002</v>
      </c>
      <c r="BY52" s="40"/>
      <c r="BZ52" s="43">
        <f>BX52</f>
        <v>2.2829000000000002</v>
      </c>
      <c r="CA52" s="40"/>
      <c r="CB52" s="150">
        <f>BZ52</f>
        <v>2.2829000000000002</v>
      </c>
      <c r="CC52" s="40"/>
      <c r="CD52" s="43">
        <f>CB52</f>
        <v>2.2829000000000002</v>
      </c>
      <c r="CE52" s="40"/>
      <c r="CF52" s="43">
        <f>CD52</f>
        <v>2.2829000000000002</v>
      </c>
      <c r="CG52" s="40"/>
      <c r="CH52" s="150">
        <f>CF52</f>
        <v>2.2829000000000002</v>
      </c>
      <c r="CJ52" s="144"/>
      <c r="CK52" s="144"/>
      <c r="CL52" s="144"/>
      <c r="CM52" s="144"/>
      <c r="CN52" s="118"/>
      <c r="CP52" s="144"/>
      <c r="CQ52" s="144"/>
      <c r="CR52" s="144"/>
      <c r="CS52" s="144"/>
      <c r="CT52" s="118"/>
      <c r="CV52" s="144"/>
      <c r="CW52" s="144"/>
      <c r="CX52" s="144"/>
      <c r="CY52" s="144"/>
      <c r="CZ52" s="118"/>
      <c r="DF52" s="81"/>
      <c r="DL52" s="81"/>
      <c r="DR52" s="81"/>
      <c r="DX52" s="81"/>
      <c r="ED52" s="81"/>
      <c r="EJ52" s="81"/>
      <c r="EP52" s="81"/>
      <c r="EV52" s="81"/>
      <c r="FB52" s="81"/>
      <c r="FH52" s="81"/>
      <c r="FN52" s="81"/>
      <c r="FT52" s="81"/>
      <c r="FZ52" s="81"/>
      <c r="GF52" s="81"/>
      <c r="GL52" s="81"/>
      <c r="GR52" s="81"/>
      <c r="GX52" s="81"/>
      <c r="HD52" s="81"/>
      <c r="HJ52" s="81"/>
      <c r="HP52" s="81"/>
      <c r="HV52" s="81"/>
      <c r="IB52" s="81"/>
      <c r="IH52" s="81"/>
      <c r="IN52" s="81"/>
      <c r="IT52" s="81"/>
      <c r="IZ52" s="81"/>
      <c r="JF52" s="81"/>
      <c r="JG52" s="179"/>
      <c r="JL52" s="81"/>
      <c r="JR52" s="81"/>
      <c r="JX52" s="81"/>
      <c r="KD52" s="81"/>
      <c r="KJ52" s="81"/>
      <c r="KP52" s="81"/>
      <c r="KV52" s="81"/>
      <c r="LB52" s="81"/>
      <c r="LH52" s="81"/>
      <c r="LN52" s="81"/>
      <c r="LT52" s="81"/>
      <c r="LZ52" s="81"/>
      <c r="MF52" s="81"/>
      <c r="ML52" s="81"/>
    </row>
    <row r="53" spans="1:350" ht="13.15" hidden="1" x14ac:dyDescent="0.4">
      <c r="C53" s="26"/>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X53" s="81"/>
      <c r="BD53" s="86">
        <v>37736.33</v>
      </c>
      <c r="BF53" s="33">
        <f>BD53-(BF$5*BF52)</f>
        <v>35455.712899999999</v>
      </c>
      <c r="BH53" s="33">
        <f>BF53-(BH$5*BH52)</f>
        <v>32985.615099999995</v>
      </c>
      <c r="BJ53" s="82">
        <f>BH53-(BJ$5*BJ52)</f>
        <v>31225.499199999995</v>
      </c>
      <c r="BL53" s="33">
        <f>BJ53-(BL$5*BL52)</f>
        <v>29755.311599999994</v>
      </c>
      <c r="BN53" s="33">
        <f>BL53-(BN$5*BN52)</f>
        <v>27250.970299999994</v>
      </c>
      <c r="BP53" s="82">
        <f>BN53-(BP$5*BP52)</f>
        <v>24091.436699999995</v>
      </c>
      <c r="BR53" s="33">
        <f>BP53-(BR$5*BR52)</f>
        <v>20151.151299999994</v>
      </c>
      <c r="BT53" s="33">
        <f>BR53-(BT$5*BT52)</f>
        <v>7449.0956999999926</v>
      </c>
      <c r="BV53" s="82">
        <f>BT53-(BV$5*BV52)</f>
        <v>-5837.3823000000084</v>
      </c>
      <c r="BX53" s="33">
        <f>BV53-(BX$5*BX52)</f>
        <v>-20463.922600000009</v>
      </c>
      <c r="BZ53" s="33">
        <f>BX53-(BZ$5*BZ52)</f>
        <v>-26689.16261000001</v>
      </c>
      <c r="CB53" s="82">
        <f>BZ53-(CB$5*CB52)</f>
        <v>-30508.682600000011</v>
      </c>
      <c r="CD53" s="33">
        <f>CB53-(CD$5*CD52)</f>
        <v>-33478.050630000012</v>
      </c>
      <c r="CF53" s="33">
        <f>CD53-(CF$5*CF52)</f>
        <v>-36054.988150000012</v>
      </c>
      <c r="CH53" s="82">
        <f>CF53-(CH$5*CH52)</f>
        <v>-37742.964410000015</v>
      </c>
      <c r="CJ53" s="143">
        <f>CH53</f>
        <v>-37742.964410000015</v>
      </c>
      <c r="CK53" s="143"/>
      <c r="CL53" s="143">
        <f>CJ53</f>
        <v>-37742.964410000015</v>
      </c>
      <c r="CM53" s="143"/>
      <c r="CN53" s="169">
        <f>CL53+CH29+CH33</f>
        <v>-31736.534000000014</v>
      </c>
      <c r="CP53" s="143">
        <f>CN53</f>
        <v>-31736.534000000014</v>
      </c>
      <c r="CQ53" s="143"/>
      <c r="CR53" s="143">
        <f>CP53</f>
        <v>-31736.534000000014</v>
      </c>
      <c r="CS53" s="143"/>
      <c r="CT53" s="85">
        <f>CR53</f>
        <v>-31736.534000000014</v>
      </c>
      <c r="CV53" s="143">
        <f>CT53</f>
        <v>-31736.534000000014</v>
      </c>
      <c r="CW53" s="143"/>
      <c r="CX53" s="143">
        <f>CV53</f>
        <v>-31736.534000000014</v>
      </c>
      <c r="CY53" s="143"/>
      <c r="CZ53" s="85">
        <f>CX53</f>
        <v>-31736.534000000014</v>
      </c>
      <c r="DB53" s="143">
        <f>CZ53</f>
        <v>-31736.534000000014</v>
      </c>
      <c r="DC53" s="143"/>
      <c r="DD53" s="143">
        <f>DB53</f>
        <v>-31736.534000000014</v>
      </c>
      <c r="DE53" s="143"/>
      <c r="DF53" s="168">
        <f>DD53-(DF$5*DF52)</f>
        <v>-31736.534000000014</v>
      </c>
      <c r="DL53" s="81"/>
      <c r="DR53" s="81"/>
      <c r="DX53" s="81"/>
      <c r="ED53" s="81"/>
      <c r="EJ53" s="81"/>
      <c r="EP53" s="81"/>
      <c r="EV53" s="81"/>
      <c r="FB53" s="81"/>
      <c r="FH53" s="81"/>
      <c r="FN53" s="81"/>
      <c r="FT53" s="81"/>
      <c r="FZ53" s="81"/>
      <c r="GF53" s="81"/>
      <c r="GL53" s="81"/>
      <c r="GR53" s="81"/>
      <c r="GX53" s="81"/>
      <c r="HD53" s="81"/>
      <c r="HJ53" s="81"/>
      <c r="HP53" s="81"/>
      <c r="HV53" s="81"/>
      <c r="IB53" s="81"/>
      <c r="IH53" s="81"/>
      <c r="IN53" s="81"/>
      <c r="IT53" s="81"/>
      <c r="IZ53" s="81"/>
      <c r="JF53" s="81"/>
      <c r="JG53" s="179"/>
      <c r="JL53" s="81"/>
      <c r="JR53" s="81"/>
      <c r="JX53" s="81"/>
      <c r="KD53" s="81"/>
      <c r="KJ53" s="81"/>
      <c r="KP53" s="81"/>
      <c r="KV53" s="81"/>
      <c r="LB53" s="81"/>
      <c r="LH53" s="81"/>
      <c r="LN53" s="81"/>
      <c r="LT53" s="81"/>
      <c r="LZ53" s="81"/>
      <c r="MF53" s="81"/>
      <c r="ML53" s="81"/>
    </row>
    <row r="54" spans="1:350" hidden="1" x14ac:dyDescent="0.35">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X54" s="81"/>
      <c r="BD54" s="81"/>
      <c r="BJ54" s="81"/>
      <c r="BP54" s="81"/>
      <c r="BV54" s="81"/>
      <c r="CB54" s="118"/>
      <c r="CH54" s="171"/>
      <c r="CN54" s="81"/>
      <c r="CT54" s="81"/>
      <c r="CZ54" s="81"/>
      <c r="DF54" s="81"/>
      <c r="DL54" s="81"/>
      <c r="DR54" s="81"/>
      <c r="DX54" s="81"/>
      <c r="ED54" s="81"/>
      <c r="EJ54" s="81"/>
      <c r="EP54" s="81"/>
      <c r="EV54" s="81"/>
      <c r="FB54" s="81"/>
      <c r="FH54" s="81"/>
      <c r="FN54" s="81"/>
      <c r="FT54" s="81"/>
      <c r="FZ54" s="81"/>
      <c r="GF54" s="81"/>
      <c r="GL54" s="81"/>
      <c r="GR54" s="81"/>
      <c r="GX54" s="81"/>
      <c r="HD54" s="81"/>
      <c r="HJ54" s="81"/>
      <c r="HP54" s="81"/>
      <c r="HV54" s="81"/>
      <c r="IB54" s="81"/>
      <c r="IH54" s="81"/>
      <c r="IN54" s="81"/>
      <c r="IT54" s="81"/>
      <c r="IZ54" s="81"/>
      <c r="JF54" s="81"/>
      <c r="JG54" s="179"/>
      <c r="JL54" s="81"/>
      <c r="JR54" s="81"/>
      <c r="JX54" s="81"/>
      <c r="KD54" s="81"/>
      <c r="KJ54" s="81"/>
      <c r="KP54" s="81"/>
      <c r="KV54" s="81"/>
      <c r="LB54" s="81"/>
      <c r="LH54" s="81"/>
      <c r="LN54" s="81"/>
      <c r="LT54" s="81"/>
      <c r="LZ54" s="81"/>
      <c r="MF54" s="81"/>
      <c r="ML54" s="81"/>
    </row>
    <row r="55" spans="1:350" hidden="1" x14ac:dyDescent="0.35">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X55" s="81"/>
      <c r="BD55" s="81"/>
      <c r="BJ55" s="81"/>
      <c r="BP55" s="81"/>
      <c r="BV55" s="81"/>
      <c r="CB55" s="81"/>
      <c r="CH55" s="103"/>
      <c r="CN55" s="81"/>
      <c r="CT55" s="81"/>
      <c r="CZ55" s="81"/>
      <c r="DF55" s="81"/>
      <c r="DL55" s="81"/>
      <c r="DR55" s="81"/>
      <c r="DX55" s="81"/>
      <c r="ED55" s="81"/>
      <c r="EJ55" s="81"/>
      <c r="EP55" s="81"/>
      <c r="EV55" s="81"/>
      <c r="FB55" s="81"/>
      <c r="FH55" s="81"/>
      <c r="FN55" s="81"/>
      <c r="FT55" s="81"/>
      <c r="FZ55" s="81"/>
      <c r="GF55" s="81"/>
      <c r="GL55" s="81"/>
      <c r="GR55" s="81"/>
      <c r="GX55" s="81"/>
      <c r="HD55" s="81"/>
      <c r="HJ55" s="81"/>
      <c r="HP55" s="81"/>
      <c r="HV55" s="81"/>
      <c r="IB55" s="81"/>
      <c r="IH55" s="81"/>
      <c r="IN55" s="81"/>
      <c r="IT55" s="81"/>
      <c r="IZ55" s="81"/>
      <c r="JF55" s="81"/>
      <c r="JG55" s="179"/>
      <c r="JL55" s="81"/>
      <c r="JR55" s="81"/>
      <c r="JX55" s="81"/>
      <c r="KD55" s="81"/>
      <c r="KJ55" s="81"/>
      <c r="KP55" s="81"/>
      <c r="KV55" s="81"/>
      <c r="LB55" s="81"/>
      <c r="LH55" s="81"/>
      <c r="LN55" s="81"/>
      <c r="LT55" s="81"/>
      <c r="LZ55" s="81"/>
      <c r="MF55" s="81"/>
      <c r="ML55" s="81"/>
    </row>
    <row r="56" spans="1:350" ht="13.15" hidden="1" x14ac:dyDescent="0.4">
      <c r="C56" s="26"/>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X56" s="81"/>
      <c r="BD56" s="81"/>
      <c r="BJ56" s="81"/>
      <c r="BL56" s="39">
        <v>-0.61629999999999996</v>
      </c>
      <c r="BN56" s="43">
        <f>BL56</f>
        <v>-0.61629999999999996</v>
      </c>
      <c r="BO56" s="40"/>
      <c r="BP56" s="150">
        <f>BN56</f>
        <v>-0.61629999999999996</v>
      </c>
      <c r="BQ56" s="40"/>
      <c r="BR56" s="43">
        <f>BP56</f>
        <v>-0.61629999999999996</v>
      </c>
      <c r="BS56" s="40"/>
      <c r="BT56" s="43">
        <f>BR56</f>
        <v>-0.61629999999999996</v>
      </c>
      <c r="BU56" s="40"/>
      <c r="BV56" s="150">
        <f>BT56</f>
        <v>-0.61629999999999996</v>
      </c>
      <c r="BW56" s="40"/>
      <c r="BX56" s="43">
        <f>BV56</f>
        <v>-0.61629999999999996</v>
      </c>
      <c r="BY56" s="40"/>
      <c r="BZ56" s="43">
        <f>BX56</f>
        <v>-0.61629999999999996</v>
      </c>
      <c r="CA56" s="40"/>
      <c r="CB56" s="150">
        <f>BZ56</f>
        <v>-0.61629999999999996</v>
      </c>
      <c r="CC56" s="40"/>
      <c r="CD56" s="43">
        <f>CB56</f>
        <v>-0.61629999999999996</v>
      </c>
      <c r="CE56" s="40"/>
      <c r="CF56" s="43">
        <f>CD56</f>
        <v>-0.61629999999999996</v>
      </c>
      <c r="CG56" s="40"/>
      <c r="CH56" s="150">
        <f>CF56</f>
        <v>-0.61629999999999996</v>
      </c>
      <c r="CI56" s="40"/>
      <c r="CJ56" s="144"/>
      <c r="CK56" s="144"/>
      <c r="CL56" s="144"/>
      <c r="CM56" s="144"/>
      <c r="CN56" s="118"/>
      <c r="CO56" s="40"/>
      <c r="CP56" s="144"/>
      <c r="CQ56" s="144"/>
      <c r="CR56" s="144"/>
      <c r="CS56" s="144"/>
      <c r="CT56" s="118"/>
      <c r="CU56" s="40"/>
      <c r="CV56" s="144"/>
      <c r="CW56" s="144"/>
      <c r="CX56" s="144"/>
      <c r="CY56" s="144"/>
      <c r="CZ56" s="118"/>
      <c r="DA56" s="40"/>
      <c r="DB56" s="144"/>
      <c r="DC56" s="144"/>
      <c r="DD56" s="144"/>
      <c r="DE56" s="144"/>
      <c r="DF56" s="118"/>
      <c r="DL56" s="81"/>
      <c r="DR56" s="81"/>
      <c r="DX56" s="81"/>
      <c r="ED56" s="81"/>
      <c r="EJ56" s="81"/>
      <c r="EP56" s="81"/>
      <c r="EV56" s="81"/>
      <c r="FB56" s="81"/>
      <c r="FH56" s="81"/>
      <c r="FN56" s="81"/>
      <c r="FT56" s="81"/>
      <c r="FZ56" s="81"/>
      <c r="GF56" s="81"/>
      <c r="GL56" s="81"/>
      <c r="GR56" s="81"/>
      <c r="GX56" s="81"/>
      <c r="HD56" s="81"/>
      <c r="HJ56" s="81"/>
      <c r="HP56" s="81"/>
      <c r="HV56" s="81"/>
      <c r="IB56" s="81"/>
      <c r="IH56" s="81"/>
      <c r="IN56" s="81"/>
      <c r="IT56" s="81"/>
      <c r="IZ56" s="81"/>
      <c r="JF56" s="81"/>
      <c r="JG56" s="179"/>
      <c r="JL56" s="81"/>
      <c r="JR56" s="81"/>
      <c r="JX56" s="81"/>
      <c r="KD56" s="81"/>
      <c r="KJ56" s="81"/>
      <c r="KP56" s="81"/>
      <c r="KV56" s="81"/>
      <c r="LB56" s="81"/>
      <c r="LH56" s="81"/>
      <c r="LN56" s="81"/>
      <c r="LT56" s="81"/>
      <c r="LZ56" s="81"/>
      <c r="MF56" s="81"/>
      <c r="ML56" s="81"/>
    </row>
    <row r="57" spans="1:350" hidden="1" x14ac:dyDescent="0.35">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X57" s="81"/>
      <c r="BD57" s="81"/>
      <c r="BJ57" s="86">
        <v>-18266.689999999999</v>
      </c>
      <c r="BL57" s="33">
        <f>BJ57-(BL$5*BL56)</f>
        <v>-17869.792799999999</v>
      </c>
      <c r="BN57" s="33">
        <f>BL57-(BN$5*BN56)</f>
        <v>-17193.7117</v>
      </c>
      <c r="BP57" s="82">
        <f>BN57-(BP$5*BP56)</f>
        <v>-16340.752500000001</v>
      </c>
      <c r="BR57" s="33">
        <f>BP57-(BR$5*BR56)</f>
        <v>-15277.018700000001</v>
      </c>
      <c r="BT57" s="33">
        <f>BR57-(BT$5*BT56)</f>
        <v>-11847.925500000001</v>
      </c>
      <c r="BV57" s="82">
        <f>BT57-(BV$5*BV56)</f>
        <v>-8261.0595000000012</v>
      </c>
      <c r="BX57" s="33">
        <f>BV57-(BX$5*BX56)</f>
        <v>-4312.4254000000019</v>
      </c>
      <c r="BZ57" s="33">
        <f>BX57-(BZ$5*BZ56)</f>
        <v>-2631.8369300000022</v>
      </c>
      <c r="CB57" s="82">
        <f>BZ57-(CB$5*CB56)</f>
        <v>-1600.7054000000023</v>
      </c>
      <c r="CD57" s="33">
        <f>CB57-(CD$5*CD56)</f>
        <v>-799.08399000000236</v>
      </c>
      <c r="CF57" s="33">
        <f>CD57-(CF$5*CF56)</f>
        <v>-103.40455000000247</v>
      </c>
      <c r="CH57" s="82">
        <f>CF57-(CH$5*CH56)</f>
        <v>352.28766999999749</v>
      </c>
      <c r="CJ57" s="143">
        <f>CH57</f>
        <v>352.28766999999749</v>
      </c>
      <c r="CK57" s="143"/>
      <c r="CL57" s="143">
        <f>CJ57</f>
        <v>352.28766999999749</v>
      </c>
      <c r="CM57" s="143"/>
      <c r="CN57" s="85">
        <f>CL57</f>
        <v>352.28766999999749</v>
      </c>
      <c r="CP57" s="143">
        <f>CN57</f>
        <v>352.28766999999749</v>
      </c>
      <c r="CQ57" s="143"/>
      <c r="CR57" s="143">
        <f>CP57</f>
        <v>352.28766999999749</v>
      </c>
      <c r="CS57" s="143"/>
      <c r="CT57" s="85">
        <f>CR57</f>
        <v>352.28766999999749</v>
      </c>
      <c r="CV57" s="143">
        <f>CT57</f>
        <v>352.28766999999749</v>
      </c>
      <c r="CW57" s="143"/>
      <c r="CX57" s="143">
        <f>CV57</f>
        <v>352.28766999999749</v>
      </c>
      <c r="CY57" s="143"/>
      <c r="CZ57" s="85">
        <f>CX57</f>
        <v>352.28766999999749</v>
      </c>
      <c r="DB57" s="143">
        <f>CZ57</f>
        <v>352.28766999999749</v>
      </c>
      <c r="DC57" s="143"/>
      <c r="DD57" s="143">
        <f>DB57</f>
        <v>352.28766999999749</v>
      </c>
      <c r="DE57" s="143"/>
      <c r="DF57" s="85">
        <f>DD57</f>
        <v>352.28766999999749</v>
      </c>
      <c r="DH57" s="143">
        <f>DF57</f>
        <v>352.28766999999749</v>
      </c>
      <c r="DI57" s="143"/>
      <c r="DJ57" s="143">
        <f>DH57</f>
        <v>352.28766999999749</v>
      </c>
      <c r="DK57" s="143"/>
      <c r="DL57" s="168">
        <f>DJ57-(DL$5*DL56)</f>
        <v>352.28766999999749</v>
      </c>
      <c r="DR57" s="81"/>
      <c r="DX57" s="81"/>
      <c r="ED57" s="81"/>
      <c r="EJ57" s="81"/>
      <c r="EP57" s="81"/>
      <c r="EV57" s="81"/>
      <c r="FB57" s="81"/>
      <c r="FH57" s="81"/>
      <c r="FN57" s="81"/>
      <c r="FT57" s="81"/>
      <c r="FZ57" s="81"/>
      <c r="GF57" s="81"/>
      <c r="GL57" s="81"/>
      <c r="GR57" s="81"/>
      <c r="GX57" s="81"/>
      <c r="HD57" s="81"/>
      <c r="HJ57" s="81"/>
      <c r="HP57" s="81"/>
      <c r="HV57" s="81"/>
      <c r="IB57" s="81"/>
      <c r="IH57" s="81"/>
      <c r="IN57" s="81"/>
      <c r="IT57" s="81"/>
      <c r="IZ57" s="81"/>
      <c r="JF57" s="81"/>
      <c r="JG57" s="179"/>
      <c r="JL57" s="81"/>
      <c r="JR57" s="81"/>
      <c r="JX57" s="81"/>
      <c r="KD57" s="81"/>
      <c r="KJ57" s="81"/>
      <c r="KP57" s="81"/>
      <c r="KV57" s="81"/>
      <c r="LB57" s="81"/>
      <c r="LH57" s="81"/>
      <c r="LN57" s="81"/>
      <c r="LT57" s="81"/>
      <c r="LZ57" s="81"/>
      <c r="MF57" s="81"/>
      <c r="ML57" s="81"/>
    </row>
    <row r="58" spans="1:350" hidden="1" x14ac:dyDescent="0.35">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X58" s="81"/>
      <c r="BD58" s="81"/>
      <c r="BJ58" s="81"/>
      <c r="BP58" s="81"/>
      <c r="BV58" s="81"/>
      <c r="CB58" s="81"/>
      <c r="CH58" s="172"/>
      <c r="CN58" s="81"/>
      <c r="CT58" s="81"/>
      <c r="CZ58" s="81"/>
      <c r="DF58" s="81"/>
      <c r="DL58" s="81"/>
      <c r="DR58" s="81"/>
      <c r="DX58" s="81"/>
      <c r="ED58" s="81"/>
      <c r="EJ58" s="81"/>
      <c r="EP58" s="81"/>
      <c r="EV58" s="81"/>
      <c r="FB58" s="81"/>
      <c r="FH58" s="81"/>
      <c r="FN58" s="81"/>
      <c r="FT58" s="81"/>
      <c r="FZ58" s="81"/>
      <c r="GF58" s="81"/>
      <c r="GL58" s="81"/>
      <c r="GR58" s="81"/>
      <c r="GX58" s="81"/>
      <c r="HD58" s="81"/>
      <c r="HJ58" s="81"/>
      <c r="HP58" s="81"/>
      <c r="HV58" s="81"/>
      <c r="IB58" s="81"/>
      <c r="IH58" s="81"/>
      <c r="IN58" s="81"/>
      <c r="IT58" s="81"/>
      <c r="IZ58" s="81"/>
      <c r="JF58" s="81"/>
      <c r="JG58" s="179"/>
      <c r="JL58" s="81"/>
      <c r="JR58" s="81"/>
      <c r="JX58" s="81"/>
      <c r="KD58" s="81"/>
      <c r="KJ58" s="81"/>
      <c r="KP58" s="81"/>
      <c r="KV58" s="81"/>
      <c r="LB58" s="81"/>
      <c r="LH58" s="81"/>
      <c r="LN58" s="81"/>
      <c r="LT58" s="81"/>
      <c r="LZ58" s="81"/>
      <c r="MF58" s="81"/>
      <c r="ML58" s="81"/>
    </row>
    <row r="59" spans="1:350" hidden="1" x14ac:dyDescent="0.35">
      <c r="C59" s="25"/>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X59" s="81"/>
      <c r="BD59" s="81"/>
      <c r="BJ59" s="81"/>
      <c r="BP59" s="81"/>
      <c r="BV59" s="81"/>
      <c r="CB59" s="81"/>
      <c r="CH59" s="81"/>
      <c r="CN59" s="81"/>
      <c r="CT59" s="81"/>
      <c r="CZ59" s="81"/>
      <c r="DF59" s="81"/>
      <c r="DL59" s="81"/>
      <c r="DR59" s="81"/>
      <c r="DX59" s="81"/>
      <c r="ED59" s="81"/>
      <c r="EJ59" s="81"/>
      <c r="EP59" s="81"/>
      <c r="EV59" s="81"/>
      <c r="FB59" s="81"/>
      <c r="FH59" s="81"/>
      <c r="FN59" s="81"/>
      <c r="FT59" s="81"/>
      <c r="FZ59" s="81"/>
      <c r="GF59" s="81"/>
      <c r="GL59" s="81"/>
      <c r="GR59" s="81"/>
      <c r="GX59" s="81"/>
      <c r="HD59" s="81"/>
      <c r="HJ59" s="81"/>
      <c r="HP59" s="81"/>
      <c r="HV59" s="81"/>
      <c r="IB59" s="81"/>
      <c r="IH59" s="81"/>
      <c r="IN59" s="81"/>
      <c r="IT59" s="81"/>
      <c r="IZ59" s="81"/>
      <c r="JF59" s="81"/>
      <c r="JG59" s="179"/>
      <c r="JL59" s="81"/>
      <c r="JR59" s="81"/>
      <c r="JX59" s="81"/>
      <c r="KD59" s="81"/>
      <c r="KJ59" s="81"/>
      <c r="KP59" s="81"/>
      <c r="KV59" s="81"/>
      <c r="LB59" s="81"/>
      <c r="LH59" s="81"/>
      <c r="LN59" s="81"/>
      <c r="LT59" s="81"/>
      <c r="LZ59" s="81"/>
      <c r="MF59" s="81"/>
      <c r="ML59" s="81"/>
    </row>
    <row r="60" spans="1:350" hidden="1" x14ac:dyDescent="0.35">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X60" s="81"/>
      <c r="BD60" s="81"/>
      <c r="BJ60" s="83"/>
      <c r="BK60" s="51"/>
      <c r="BL60" s="53"/>
      <c r="BM60" s="51"/>
      <c r="BN60" s="53"/>
      <c r="BP60" s="81"/>
      <c r="BR60" s="39">
        <v>0.27339999999999998</v>
      </c>
      <c r="BT60" s="43">
        <f>BR60</f>
        <v>0.27339999999999998</v>
      </c>
      <c r="BU60" s="40"/>
      <c r="BV60" s="150">
        <f>BT60</f>
        <v>0.27339999999999998</v>
      </c>
      <c r="BW60" s="40"/>
      <c r="BX60" s="43">
        <f>BV60</f>
        <v>0.27339999999999998</v>
      </c>
      <c r="BY60" s="40"/>
      <c r="BZ60" s="43">
        <f>BX60</f>
        <v>0.27339999999999998</v>
      </c>
      <c r="CA60" s="40"/>
      <c r="CB60" s="150">
        <f>BZ60</f>
        <v>0.27339999999999998</v>
      </c>
      <c r="CC60" s="40"/>
      <c r="CD60" s="43">
        <f>CB60</f>
        <v>0.27339999999999998</v>
      </c>
      <c r="CE60" s="40"/>
      <c r="CF60" s="43">
        <f>CD60</f>
        <v>0.27339999999999998</v>
      </c>
      <c r="CG60" s="40"/>
      <c r="CH60" s="150">
        <f>CF60</f>
        <v>0.27339999999999998</v>
      </c>
      <c r="CI60" s="40"/>
      <c r="CJ60" s="43">
        <f>CH60</f>
        <v>0.27339999999999998</v>
      </c>
      <c r="CK60" s="40"/>
      <c r="CL60" s="43">
        <f>CJ60</f>
        <v>0.27339999999999998</v>
      </c>
      <c r="CM60" s="40"/>
      <c r="CN60" s="150">
        <f>CL60</f>
        <v>0.27339999999999998</v>
      </c>
      <c r="CO60" s="40"/>
      <c r="CP60" s="150">
        <f>CN60</f>
        <v>0.27339999999999998</v>
      </c>
      <c r="CQ60" s="40"/>
      <c r="CR60" s="43">
        <f>CP60</f>
        <v>0.27339999999999998</v>
      </c>
      <c r="CS60" s="40"/>
      <c r="CT60" s="150">
        <f>CR60</f>
        <v>0.27339999999999998</v>
      </c>
      <c r="CV60" s="144"/>
      <c r="CW60" s="144"/>
      <c r="CX60" s="144"/>
      <c r="CY60" s="144"/>
      <c r="CZ60" s="118"/>
      <c r="DA60" s="40"/>
      <c r="DB60" s="144"/>
      <c r="DC60" s="144"/>
      <c r="DD60" s="144"/>
      <c r="DE60" s="144"/>
      <c r="DF60" s="118"/>
      <c r="DG60" s="40"/>
      <c r="DH60" s="144"/>
      <c r="DI60" s="144"/>
      <c r="DJ60" s="144"/>
      <c r="DK60" s="144"/>
      <c r="DL60" s="118"/>
      <c r="DN60" s="144"/>
      <c r="DO60" s="144"/>
      <c r="DP60" s="144"/>
      <c r="DQ60" s="144"/>
      <c r="DR60" s="118"/>
      <c r="DX60" s="81"/>
      <c r="ED60" s="81"/>
      <c r="EJ60" s="81"/>
      <c r="EP60" s="81"/>
      <c r="EV60" s="81"/>
      <c r="FB60" s="81"/>
      <c r="FH60" s="81"/>
      <c r="FN60" s="81"/>
      <c r="FT60" s="81"/>
      <c r="FZ60" s="81"/>
      <c r="GF60" s="81"/>
      <c r="GL60" s="81"/>
      <c r="GR60" s="81"/>
      <c r="GX60" s="81"/>
      <c r="HD60" s="81"/>
      <c r="HJ60" s="81"/>
      <c r="HP60" s="81"/>
      <c r="HV60" s="81"/>
      <c r="IB60" s="81"/>
      <c r="IH60" s="81"/>
      <c r="IN60" s="81"/>
      <c r="IT60" s="81"/>
      <c r="IZ60" s="81"/>
      <c r="JF60" s="81"/>
      <c r="JG60" s="179"/>
      <c r="JL60" s="81"/>
      <c r="JR60" s="81"/>
      <c r="JX60" s="81"/>
      <c r="KD60" s="81"/>
      <c r="KJ60" s="81"/>
      <c r="KP60" s="81"/>
      <c r="KV60" s="81"/>
      <c r="LB60" s="81"/>
      <c r="LH60" s="81"/>
      <c r="LN60" s="81"/>
      <c r="LT60" s="81"/>
      <c r="LZ60" s="81"/>
      <c r="MF60" s="81"/>
      <c r="ML60" s="81"/>
    </row>
    <row r="61" spans="1:350" hidden="1" x14ac:dyDescent="0.35">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X61" s="81"/>
      <c r="BD61" s="81"/>
      <c r="BJ61" s="83"/>
      <c r="BK61" s="51"/>
      <c r="BL61" s="53"/>
      <c r="BM61" s="51"/>
      <c r="BN61" s="53"/>
      <c r="BP61" s="86">
        <v>8422</v>
      </c>
      <c r="BR61" s="33">
        <f>BP61-(BR$5*BR60)</f>
        <v>7950.1116000000002</v>
      </c>
      <c r="BT61" s="33">
        <f>BR61-(BT$5*BT60)</f>
        <v>6428.9140000000007</v>
      </c>
      <c r="BV61" s="82">
        <f>BT61-(BV$5*BV60)</f>
        <v>4837.7260000000006</v>
      </c>
      <c r="BX61" s="33">
        <f>BV61-(BX$5*BX60)</f>
        <v>3086.052200000001</v>
      </c>
      <c r="BZ61" s="33">
        <f>BX61-(BZ$5*BZ60)</f>
        <v>2340.5177400000011</v>
      </c>
      <c r="CB61" s="82">
        <f>BZ61-(CB$5*CB60)</f>
        <v>1883.0922000000012</v>
      </c>
      <c r="CD61" s="33">
        <f>CB61-(CD$5*CD60)</f>
        <v>1527.4808200000011</v>
      </c>
      <c r="CF61" s="33">
        <f>CD61-(CF$5*CF60)</f>
        <v>1218.8669000000011</v>
      </c>
      <c r="CH61" s="82">
        <f>CF61-(CH$5*CH60)</f>
        <v>1016.7149400000012</v>
      </c>
      <c r="CJ61" s="33">
        <f>CH61-(CJ$5*CJ60)</f>
        <v>776.91580000000124</v>
      </c>
      <c r="CL61" s="33">
        <f>CJ61-(CL$5*CL60)</f>
        <v>555.46180000000129</v>
      </c>
      <c r="CN61" s="82">
        <f>CL61-(CN$5*CN60)</f>
        <v>212.80958000000135</v>
      </c>
      <c r="CP61" s="33">
        <f>CN61-(CP$5*CP60)</f>
        <v>-498.6318999999985</v>
      </c>
      <c r="CR61" s="33">
        <f>CP61-(CR$5*CR60)</f>
        <v>-1410.5029199999985</v>
      </c>
      <c r="CT61" s="82">
        <f>CR61-(CT$5*CT60)</f>
        <v>-2814.2205399999984</v>
      </c>
      <c r="CV61" s="143">
        <f>CT61</f>
        <v>-2814.2205399999984</v>
      </c>
      <c r="CW61" s="143"/>
      <c r="CX61" s="143">
        <f>CV61</f>
        <v>-2814.2205399999984</v>
      </c>
      <c r="CY61" s="143"/>
      <c r="CZ61" s="85">
        <f>CX61</f>
        <v>-2814.2205399999984</v>
      </c>
      <c r="DB61" s="143">
        <f>CZ61</f>
        <v>-2814.2205399999984</v>
      </c>
      <c r="DC61" s="143"/>
      <c r="DD61" s="143">
        <f>DB61</f>
        <v>-2814.2205399999984</v>
      </c>
      <c r="DE61" s="143"/>
      <c r="DF61" s="85">
        <f>DD61</f>
        <v>-2814.2205399999984</v>
      </c>
      <c r="DH61" s="143">
        <f>DF61</f>
        <v>-2814.2205399999984</v>
      </c>
      <c r="DI61" s="143"/>
      <c r="DJ61" s="143">
        <f>DH61</f>
        <v>-2814.2205399999984</v>
      </c>
      <c r="DK61" s="143"/>
      <c r="DL61" s="85">
        <f>DJ61</f>
        <v>-2814.2205399999984</v>
      </c>
      <c r="DN61" s="143">
        <f>DL61</f>
        <v>-2814.2205399999984</v>
      </c>
      <c r="DO61" s="143"/>
      <c r="DP61" s="143">
        <f>DN61</f>
        <v>-2814.2205399999984</v>
      </c>
      <c r="DQ61" s="143"/>
      <c r="DR61" s="168">
        <f>DP61-(DR$5*DR60)</f>
        <v>-2814.2205399999984</v>
      </c>
      <c r="DX61" s="81"/>
      <c r="ED61" s="81"/>
      <c r="EJ61" s="81"/>
      <c r="EP61" s="81"/>
      <c r="EV61" s="81"/>
      <c r="FB61" s="81"/>
      <c r="FH61" s="81"/>
      <c r="FN61" s="81"/>
      <c r="FT61" s="81"/>
      <c r="FZ61" s="81"/>
      <c r="GF61" s="81"/>
      <c r="GL61" s="81"/>
      <c r="GR61" s="81"/>
      <c r="GX61" s="81"/>
      <c r="HD61" s="81"/>
      <c r="HJ61" s="81"/>
      <c r="HP61" s="81"/>
      <c r="HV61" s="81"/>
      <c r="IB61" s="81"/>
      <c r="IH61" s="81"/>
      <c r="IN61" s="81"/>
      <c r="IT61" s="81"/>
      <c r="IZ61" s="81"/>
      <c r="JF61" s="81"/>
      <c r="JG61" s="179"/>
      <c r="JL61" s="81"/>
      <c r="JR61" s="81"/>
      <c r="JX61" s="81"/>
      <c r="KD61" s="81"/>
      <c r="KJ61" s="81"/>
      <c r="KP61" s="81"/>
      <c r="KV61" s="81"/>
      <c r="LB61" s="81"/>
      <c r="LH61" s="81"/>
      <c r="LN61" s="81"/>
      <c r="LT61" s="81"/>
      <c r="LZ61" s="81"/>
      <c r="MF61" s="81"/>
      <c r="ML61" s="81"/>
    </row>
    <row r="62" spans="1:350" hidden="1" x14ac:dyDescent="0.35">
      <c r="C62" s="4"/>
      <c r="D62" s="126" t="s">
        <v>96</v>
      </c>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X62" s="81"/>
      <c r="BD62" s="81"/>
      <c r="BJ62" s="81"/>
      <c r="BP62" s="81"/>
      <c r="BV62" s="81"/>
      <c r="CB62" s="81"/>
      <c r="CH62" s="81"/>
      <c r="CN62" s="81"/>
      <c r="CT62" s="171"/>
      <c r="CZ62" s="81"/>
      <c r="DF62" s="81"/>
      <c r="DL62" s="81"/>
      <c r="DR62" s="81"/>
      <c r="DX62" s="81"/>
      <c r="ED62" s="81"/>
      <c r="EJ62" s="81"/>
      <c r="EP62" s="81"/>
      <c r="EV62" s="81"/>
      <c r="FB62" s="81"/>
      <c r="FH62" s="81"/>
      <c r="FN62" s="81"/>
      <c r="FT62" s="81"/>
      <c r="FZ62" s="81"/>
      <c r="GF62" s="81"/>
      <c r="GL62" s="81"/>
      <c r="GR62" s="81"/>
      <c r="GX62" s="81"/>
      <c r="HD62" s="81"/>
      <c r="HJ62" s="81"/>
      <c r="HP62" s="81"/>
      <c r="HV62" s="81"/>
      <c r="IB62" s="81"/>
      <c r="IH62" s="81"/>
      <c r="IN62" s="81"/>
      <c r="IT62" s="81"/>
      <c r="IZ62" s="81"/>
      <c r="JF62" s="81"/>
      <c r="JG62" s="179"/>
      <c r="JL62" s="81"/>
      <c r="JR62" s="81"/>
      <c r="JX62" s="81"/>
      <c r="KD62" s="81"/>
      <c r="KJ62" s="81"/>
      <c r="KP62" s="81"/>
      <c r="KV62" s="81"/>
      <c r="LB62" s="81"/>
      <c r="LH62" s="81"/>
      <c r="LN62" s="81"/>
      <c r="LT62" s="81"/>
      <c r="LZ62" s="81"/>
      <c r="MF62" s="81"/>
      <c r="ML62" s="81"/>
    </row>
    <row r="63" spans="1:350" hidden="1" x14ac:dyDescent="0.35">
      <c r="A63" s="8"/>
      <c r="B63" s="8"/>
      <c r="D63" s="139" t="s">
        <v>97</v>
      </c>
      <c r="E63" s="8"/>
      <c r="F63" s="8"/>
      <c r="G63" s="8"/>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8"/>
      <c r="AT63" s="8"/>
      <c r="AU63" s="8"/>
      <c r="AV63" s="8"/>
      <c r="AW63" s="8"/>
      <c r="AX63" s="138"/>
      <c r="AY63" s="8"/>
      <c r="AZ63" s="8"/>
      <c r="BA63" s="8"/>
      <c r="BB63" s="8"/>
      <c r="BC63" s="8"/>
      <c r="BD63" s="138"/>
      <c r="BE63" s="8"/>
      <c r="BF63" s="8"/>
      <c r="BG63" s="8"/>
      <c r="BH63" s="8"/>
      <c r="BI63" s="8"/>
      <c r="BJ63" s="138"/>
      <c r="BK63" s="8"/>
      <c r="BL63" s="8"/>
      <c r="BM63" s="8"/>
      <c r="BN63" s="8"/>
      <c r="BO63" s="8"/>
      <c r="BP63" s="138"/>
      <c r="BQ63" s="8"/>
      <c r="BR63" s="8"/>
      <c r="BS63" s="8"/>
      <c r="BT63" s="8"/>
      <c r="BU63" s="8"/>
      <c r="BV63" s="138"/>
      <c r="BW63" s="8"/>
      <c r="BX63" s="8"/>
      <c r="BY63" s="8"/>
      <c r="BZ63" s="8"/>
      <c r="CA63" s="8"/>
      <c r="CB63" s="138"/>
      <c r="CC63" s="8"/>
      <c r="CD63" s="8"/>
      <c r="CE63" s="8"/>
      <c r="CF63" s="8"/>
      <c r="CG63" s="8"/>
      <c r="CH63" s="138"/>
      <c r="CI63" s="8"/>
      <c r="CJ63" s="8"/>
      <c r="CK63" s="8"/>
      <c r="CL63" s="8"/>
      <c r="CM63" s="8"/>
      <c r="CN63" s="138"/>
      <c r="CO63" s="8"/>
      <c r="CP63" s="8"/>
      <c r="CQ63" s="8"/>
      <c r="CR63" s="8"/>
      <c r="CS63" s="8"/>
      <c r="CT63" s="138"/>
      <c r="CU63" s="8"/>
      <c r="CV63" s="8"/>
      <c r="CW63" s="8"/>
      <c r="CX63" s="8"/>
      <c r="CY63" s="8"/>
      <c r="CZ63" s="138"/>
      <c r="DA63" s="8"/>
      <c r="DB63" s="8"/>
      <c r="DC63" s="8"/>
      <c r="DD63" s="8"/>
      <c r="DE63" s="8"/>
      <c r="DF63" s="138"/>
      <c r="DG63" s="8"/>
      <c r="DH63" s="8"/>
      <c r="DI63" s="8"/>
      <c r="DJ63" s="8"/>
      <c r="DK63" s="8"/>
      <c r="DL63" s="138"/>
      <c r="DM63" s="8"/>
      <c r="DN63" s="8"/>
      <c r="DO63" s="8"/>
      <c r="DP63" s="8"/>
      <c r="DQ63" s="8"/>
      <c r="DR63" s="138"/>
      <c r="DX63" s="81"/>
      <c r="ED63" s="81"/>
      <c r="EJ63" s="81"/>
      <c r="EP63" s="81"/>
      <c r="EV63" s="81"/>
      <c r="FB63" s="81"/>
      <c r="FH63" s="81"/>
      <c r="FN63" s="81"/>
      <c r="FT63" s="81"/>
      <c r="FZ63" s="81"/>
      <c r="GF63" s="81"/>
      <c r="GL63" s="81"/>
      <c r="GR63" s="81"/>
      <c r="GX63" s="81"/>
      <c r="HD63" s="81"/>
      <c r="HJ63" s="81"/>
      <c r="HP63" s="81"/>
      <c r="HV63" s="81"/>
      <c r="IB63" s="81"/>
      <c r="IH63" s="81"/>
      <c r="IN63" s="81"/>
      <c r="IT63" s="81"/>
      <c r="IZ63" s="81"/>
      <c r="JF63" s="81"/>
      <c r="JG63" s="179"/>
      <c r="JL63" s="81"/>
      <c r="JR63" s="81"/>
      <c r="JX63" s="81"/>
      <c r="KD63" s="81"/>
      <c r="KJ63" s="81"/>
      <c r="KP63" s="81"/>
      <c r="KV63" s="81"/>
      <c r="LB63" s="81"/>
      <c r="LH63" s="81"/>
      <c r="LN63" s="81"/>
      <c r="LT63" s="81"/>
      <c r="LZ63" s="81"/>
      <c r="MF63" s="81"/>
      <c r="ML63" s="81"/>
    </row>
    <row r="64" spans="1:350" hidden="1" x14ac:dyDescent="0.35">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X64" s="81"/>
      <c r="BD64" s="81"/>
      <c r="BJ64" s="81"/>
      <c r="BP64" s="81"/>
      <c r="BV64" s="81"/>
      <c r="BX64" s="10"/>
      <c r="BY64" s="40"/>
      <c r="BZ64" s="39">
        <v>-8.5000000000000006E-2</v>
      </c>
      <c r="CA64" s="40"/>
      <c r="CB64" s="150">
        <f>BZ64</f>
        <v>-8.5000000000000006E-2</v>
      </c>
      <c r="CC64" s="40"/>
      <c r="CD64" s="43">
        <f>CB64</f>
        <v>-8.5000000000000006E-2</v>
      </c>
      <c r="CE64" s="40"/>
      <c r="CF64" s="43">
        <f>CD64</f>
        <v>-8.5000000000000006E-2</v>
      </c>
      <c r="CG64" s="40"/>
      <c r="CH64" s="150">
        <f>CF64</f>
        <v>-8.5000000000000006E-2</v>
      </c>
      <c r="CI64" s="40"/>
      <c r="CJ64" s="43">
        <f>CH64</f>
        <v>-8.5000000000000006E-2</v>
      </c>
      <c r="CK64" s="40"/>
      <c r="CL64" s="43">
        <f>CJ64</f>
        <v>-8.5000000000000006E-2</v>
      </c>
      <c r="CM64" s="40"/>
      <c r="CN64" s="150">
        <f>CL64</f>
        <v>-8.5000000000000006E-2</v>
      </c>
      <c r="CO64" s="40"/>
      <c r="CP64" s="43">
        <f>CN64</f>
        <v>-8.5000000000000006E-2</v>
      </c>
      <c r="CQ64" s="40"/>
      <c r="CR64" s="43">
        <f>CP64</f>
        <v>-8.5000000000000006E-2</v>
      </c>
      <c r="CS64" s="40"/>
      <c r="CT64" s="150">
        <f>CR64</f>
        <v>-8.5000000000000006E-2</v>
      </c>
      <c r="CV64" s="144"/>
      <c r="CW64" s="144"/>
      <c r="CX64" s="144"/>
      <c r="CY64" s="144"/>
      <c r="CZ64" s="118"/>
      <c r="DA64" s="40"/>
      <c r="DB64" s="151">
        <v>0.52129999999999999</v>
      </c>
      <c r="DC64" s="40"/>
      <c r="DD64" s="43">
        <f>DB64</f>
        <v>0.52129999999999999</v>
      </c>
      <c r="DE64" s="40"/>
      <c r="DF64" s="150">
        <f>DD64</f>
        <v>0.52129999999999999</v>
      </c>
      <c r="DG64" s="40"/>
      <c r="DH64" s="43">
        <f>DF64</f>
        <v>0.52129999999999999</v>
      </c>
      <c r="DI64" s="40"/>
      <c r="DJ64" s="43">
        <f>DH64</f>
        <v>0.52129999999999999</v>
      </c>
      <c r="DK64" s="40"/>
      <c r="DL64" s="150">
        <f>DJ64</f>
        <v>0.52129999999999999</v>
      </c>
      <c r="DM64" s="40"/>
      <c r="DN64" s="43">
        <f>DL64</f>
        <v>0.52129999999999999</v>
      </c>
      <c r="DO64" s="40"/>
      <c r="DP64" s="43">
        <f>DN64</f>
        <v>0.52129999999999999</v>
      </c>
      <c r="DQ64" s="40"/>
      <c r="DR64" s="150">
        <f>DP64</f>
        <v>0.52129999999999999</v>
      </c>
      <c r="DS64" s="40"/>
      <c r="DT64" s="43">
        <f>DR64</f>
        <v>0.52129999999999999</v>
      </c>
      <c r="DU64" s="40"/>
      <c r="DV64" s="43">
        <f>DT64</f>
        <v>0.52129999999999999</v>
      </c>
      <c r="DW64" s="40"/>
      <c r="DX64" s="150">
        <f>DV64</f>
        <v>0.52129999999999999</v>
      </c>
      <c r="ED64" s="81"/>
      <c r="EJ64" s="81"/>
      <c r="EP64" s="81"/>
      <c r="EV64" s="81"/>
      <c r="FB64" s="81"/>
      <c r="FH64" s="81"/>
      <c r="FN64" s="81"/>
      <c r="FT64" s="81"/>
      <c r="FZ64" s="81"/>
      <c r="GF64" s="81"/>
      <c r="GL64" s="81"/>
      <c r="GR64" s="81"/>
      <c r="GX64" s="81"/>
      <c r="HD64" s="81"/>
      <c r="HJ64" s="81"/>
      <c r="HP64" s="81"/>
      <c r="HV64" s="81"/>
      <c r="IB64" s="81"/>
      <c r="IH64" s="81"/>
      <c r="IN64" s="81"/>
      <c r="IT64" s="81"/>
      <c r="IZ64" s="81"/>
      <c r="JF64" s="81"/>
      <c r="JG64" s="179"/>
      <c r="JL64" s="81"/>
      <c r="JR64" s="81"/>
      <c r="JX64" s="81"/>
      <c r="KD64" s="81"/>
      <c r="KJ64" s="81"/>
      <c r="KP64" s="81"/>
      <c r="KV64" s="81"/>
      <c r="LB64" s="81"/>
      <c r="LH64" s="81"/>
      <c r="LN64" s="81"/>
      <c r="LT64" s="81"/>
      <c r="LZ64" s="81"/>
      <c r="MF64" s="81"/>
      <c r="ML64" s="81"/>
    </row>
    <row r="65" spans="1:361" hidden="1" x14ac:dyDescent="0.35">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X65" s="81"/>
      <c r="BD65" s="81"/>
      <c r="BJ65" s="81"/>
      <c r="BP65" s="81"/>
      <c r="BV65" s="85"/>
      <c r="BX65" s="163">
        <v>-2833.66</v>
      </c>
      <c r="BZ65" s="33">
        <f>BX65-(BZ$5*BZ64)</f>
        <v>-2601.8734999999997</v>
      </c>
      <c r="CB65" s="82">
        <f>BZ65-(CB$5*CB64)</f>
        <v>-2459.66</v>
      </c>
      <c r="CD65" s="33">
        <f>CB65-(CD$5*CD64)</f>
        <v>-2349.1005</v>
      </c>
      <c r="CF65" s="33">
        <f>CD65-(CF$5*CF64)</f>
        <v>-2253.1525000000001</v>
      </c>
      <c r="CH65" s="82">
        <f>CF65-(CH$5*CH64)</f>
        <v>-2190.3035</v>
      </c>
      <c r="CJ65" s="33">
        <f>CH65-(CJ$5*CJ64)</f>
        <v>-2115.75</v>
      </c>
      <c r="CL65" s="33">
        <f>CJ65-(CL$5*CL64)</f>
        <v>-2046.9</v>
      </c>
      <c r="CN65" s="82">
        <f>CL65-(CN$5*CN64)</f>
        <v>-1940.3695</v>
      </c>
      <c r="CP65" s="33">
        <f>CN65-(CP$5*CP64)</f>
        <v>-1719.1824999999999</v>
      </c>
      <c r="CR65" s="33">
        <f>CP65-(CR$5*CR64)</f>
        <v>-1435.6819999999998</v>
      </c>
      <c r="CT65" s="82">
        <f>CR65-(CT$5*CT64)</f>
        <v>-999.26649999999972</v>
      </c>
      <c r="CV65" s="143">
        <f>CT65</f>
        <v>-999.26649999999972</v>
      </c>
      <c r="CW65" s="143"/>
      <c r="CX65" s="143">
        <f>CV65</f>
        <v>-999.26649999999972</v>
      </c>
      <c r="CY65" s="143"/>
      <c r="CZ65" s="169">
        <f>CX65+CT37+CT41</f>
        <v>14137.1101</v>
      </c>
      <c r="DB65" s="33">
        <f>CZ65-(DB$5*DB64)</f>
        <v>13483.921200000001</v>
      </c>
      <c r="DD65" s="33">
        <f>DB65-(DD$5*DD64)</f>
        <v>13025.12507</v>
      </c>
      <c r="DF65" s="82">
        <f>DD65-(DF$5*DF64)</f>
        <v>12480.05379</v>
      </c>
      <c r="DH65" s="33">
        <f>DF65-(DH$5*DH64)</f>
        <v>11840.2623</v>
      </c>
      <c r="DJ65" s="33">
        <f>DH65-(DJ$5*DJ64)</f>
        <v>11293.574990000001</v>
      </c>
      <c r="DL65" s="82">
        <f>DJ65-(DL$5*DL64)</f>
        <v>10348.56235</v>
      </c>
      <c r="DN65" s="33">
        <f>DL65-(DN$5*DN64)</f>
        <v>8433.9838400000008</v>
      </c>
      <c r="DP65" s="33">
        <f>DN65-(DP$5*DP64)</f>
        <v>6946.4542900000006</v>
      </c>
      <c r="DR65" s="82">
        <f>DP65-(DR$5*DR64)</f>
        <v>3780.8600400000005</v>
      </c>
      <c r="DT65" s="33">
        <f>DR65-(DT$5*DT64)</f>
        <v>1537.0284500000002</v>
      </c>
      <c r="DV65" s="33">
        <f>DT65-(DV$5*DV64)</f>
        <v>-1267.6176799999998</v>
      </c>
      <c r="DX65" s="168">
        <f>DV65-(DX$5*DX64)</f>
        <v>-2586.9758499999998</v>
      </c>
      <c r="ED65" s="81"/>
      <c r="EJ65" s="81"/>
      <c r="EP65" s="81"/>
      <c r="EV65" s="81"/>
      <c r="FB65" s="81"/>
      <c r="FH65" s="81"/>
      <c r="FN65" s="81"/>
      <c r="FT65" s="81"/>
      <c r="FZ65" s="81"/>
      <c r="GF65" s="81"/>
      <c r="GL65" s="81"/>
      <c r="GR65" s="81"/>
      <c r="GX65" s="81"/>
      <c r="HD65" s="81"/>
      <c r="HJ65" s="81"/>
      <c r="HP65" s="81"/>
      <c r="HV65" s="81"/>
      <c r="IB65" s="81"/>
      <c r="IH65" s="81"/>
      <c r="IN65" s="81"/>
      <c r="IT65" s="81"/>
      <c r="IZ65" s="81"/>
      <c r="JF65" s="81"/>
      <c r="JG65" s="179"/>
      <c r="JL65" s="81"/>
      <c r="JR65" s="81"/>
      <c r="JX65" s="81"/>
      <c r="KD65" s="81"/>
      <c r="KJ65" s="81"/>
      <c r="KP65" s="81"/>
      <c r="KV65" s="81"/>
      <c r="LB65" s="81"/>
      <c r="LH65" s="81"/>
      <c r="LN65" s="81"/>
      <c r="LT65" s="81"/>
      <c r="LZ65" s="81"/>
      <c r="MF65" s="81"/>
      <c r="ML65" s="81"/>
    </row>
    <row r="66" spans="1:361" hidden="1" x14ac:dyDescent="0.35">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X66" s="81"/>
      <c r="BD66" s="81"/>
      <c r="BJ66" s="81"/>
      <c r="BP66" s="81"/>
      <c r="BV66" s="81"/>
      <c r="CB66" s="81"/>
      <c r="CH66" s="81"/>
      <c r="CN66" s="81"/>
      <c r="CT66" s="81"/>
      <c r="CZ66" s="101">
        <v>0.52129999999999999</v>
      </c>
      <c r="DF66" s="81"/>
      <c r="DL66" s="81"/>
      <c r="DR66" s="81"/>
      <c r="DT66" s="10"/>
      <c r="DV66" s="10"/>
      <c r="DX66" s="81"/>
      <c r="ED66" s="81"/>
      <c r="EJ66" s="81"/>
      <c r="EP66" s="81"/>
      <c r="EV66" s="81"/>
      <c r="FB66" s="81"/>
      <c r="FH66" s="81"/>
      <c r="FN66" s="81"/>
      <c r="FT66" s="81"/>
      <c r="FZ66" s="81"/>
      <c r="GF66" s="81"/>
      <c r="GL66" s="81"/>
      <c r="GR66" s="81"/>
      <c r="GX66" s="81"/>
      <c r="HD66" s="81"/>
      <c r="HJ66" s="81"/>
      <c r="HP66" s="81"/>
      <c r="HV66" s="81"/>
      <c r="IB66" s="81"/>
      <c r="IH66" s="81"/>
      <c r="IN66" s="81"/>
      <c r="IT66" s="81"/>
      <c r="IZ66" s="81"/>
      <c r="JF66" s="81"/>
      <c r="JG66" s="179"/>
      <c r="JL66" s="81"/>
      <c r="JR66" s="81"/>
      <c r="JX66" s="81"/>
      <c r="KD66" s="81"/>
      <c r="KJ66" s="81"/>
      <c r="KP66" s="81"/>
      <c r="KV66" s="81"/>
      <c r="LB66" s="81"/>
      <c r="LH66" s="81"/>
      <c r="LN66" s="81"/>
      <c r="LT66" s="81"/>
      <c r="LZ66" s="81"/>
      <c r="MF66" s="81"/>
      <c r="ML66" s="81"/>
    </row>
    <row r="67" spans="1:361" hidden="1" x14ac:dyDescent="0.35">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X67" s="81"/>
      <c r="BD67" s="81"/>
      <c r="BJ67" s="81"/>
      <c r="BP67" s="81"/>
      <c r="BV67" s="81"/>
      <c r="CB67" s="81"/>
      <c r="CH67" s="81"/>
      <c r="CN67" s="81"/>
      <c r="CT67" s="81"/>
      <c r="CZ67" s="81"/>
      <c r="DF67" s="81"/>
      <c r="DL67" s="81"/>
      <c r="DR67" s="81"/>
      <c r="DX67" s="81"/>
      <c r="ED67" s="81"/>
      <c r="EJ67" s="81"/>
      <c r="EP67" s="81"/>
      <c r="EV67" s="81"/>
      <c r="FB67" s="81"/>
      <c r="FH67" s="81"/>
      <c r="FN67" s="81"/>
      <c r="FT67" s="81"/>
      <c r="FZ67" s="81"/>
      <c r="GF67" s="81"/>
      <c r="GL67" s="81"/>
      <c r="GR67" s="81"/>
      <c r="GX67" s="81"/>
      <c r="HD67" s="81"/>
      <c r="HJ67" s="81"/>
      <c r="HP67" s="81"/>
      <c r="HV67" s="81"/>
      <c r="IB67" s="81"/>
      <c r="IH67" s="81"/>
      <c r="IN67" s="81"/>
      <c r="IT67" s="81"/>
      <c r="IZ67" s="81"/>
      <c r="JF67" s="81"/>
      <c r="JG67" s="179"/>
      <c r="JL67" s="81"/>
      <c r="JR67" s="81"/>
      <c r="JX67" s="81"/>
      <c r="KD67" s="81"/>
      <c r="KJ67" s="81"/>
      <c r="KP67" s="81"/>
      <c r="KV67" s="81"/>
      <c r="LB67" s="81"/>
      <c r="LH67" s="81"/>
      <c r="LN67" s="81"/>
      <c r="LT67" s="81"/>
      <c r="LZ67" s="81"/>
      <c r="MF67" s="81"/>
      <c r="ML67" s="81"/>
    </row>
    <row r="68" spans="1:361" hidden="1" x14ac:dyDescent="0.35">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X68" s="81"/>
      <c r="BD68" s="81"/>
      <c r="BJ68" s="81"/>
      <c r="BP68" s="81"/>
      <c r="BV68" s="81"/>
      <c r="CB68" s="81"/>
      <c r="CD68" s="39">
        <v>0</v>
      </c>
      <c r="CF68" s="43">
        <f>CD68</f>
        <v>0</v>
      </c>
      <c r="CG68" s="40"/>
      <c r="CH68" s="150">
        <f>CF68</f>
        <v>0</v>
      </c>
      <c r="CI68" s="40"/>
      <c r="CJ68" s="43">
        <f>CH68</f>
        <v>0</v>
      </c>
      <c r="CK68" s="40"/>
      <c r="CL68" s="43">
        <f>CJ68</f>
        <v>0</v>
      </c>
      <c r="CM68" s="40"/>
      <c r="CN68" s="150">
        <f>CL68</f>
        <v>0</v>
      </c>
      <c r="CO68" s="40"/>
      <c r="CP68" s="43">
        <f>CN68</f>
        <v>0</v>
      </c>
      <c r="CQ68" s="40"/>
      <c r="CR68" s="43">
        <f>CP68</f>
        <v>0</v>
      </c>
      <c r="CS68" s="40"/>
      <c r="CT68" s="150">
        <f>CR68</f>
        <v>0</v>
      </c>
      <c r="CU68" s="40"/>
      <c r="CV68" s="43">
        <f>CT68</f>
        <v>0</v>
      </c>
      <c r="CW68" s="40"/>
      <c r="CX68" s="43">
        <f>CV68</f>
        <v>0</v>
      </c>
      <c r="CY68" s="40"/>
      <c r="CZ68" s="150">
        <f>CX68</f>
        <v>0</v>
      </c>
      <c r="DA68" s="156"/>
      <c r="DB68" s="144"/>
      <c r="DC68" s="144"/>
      <c r="DD68" s="144"/>
      <c r="DE68" s="144"/>
      <c r="DF68" s="118"/>
      <c r="DG68" s="40"/>
      <c r="DH68" s="151">
        <f>DF70</f>
        <v>0</v>
      </c>
      <c r="DI68" s="40"/>
      <c r="DJ68" s="43">
        <f>DH68</f>
        <v>0</v>
      </c>
      <c r="DK68" s="40"/>
      <c r="DL68" s="150">
        <f>DJ68</f>
        <v>0</v>
      </c>
      <c r="DM68" s="40"/>
      <c r="DN68" s="43">
        <f>DL68</f>
        <v>0</v>
      </c>
      <c r="DO68" s="40"/>
      <c r="DP68" s="43">
        <f>DN68</f>
        <v>0</v>
      </c>
      <c r="DQ68" s="40"/>
      <c r="DR68" s="150">
        <f>DP68</f>
        <v>0</v>
      </c>
      <c r="DS68" s="40"/>
      <c r="DT68" s="43">
        <f>DR68</f>
        <v>0</v>
      </c>
      <c r="DU68" s="40"/>
      <c r="DV68" s="43">
        <f>DT68</f>
        <v>0</v>
      </c>
      <c r="DW68" s="40"/>
      <c r="DX68" s="150">
        <f>DV68</f>
        <v>0</v>
      </c>
      <c r="DY68" s="40"/>
      <c r="DZ68" s="43">
        <f>DX68</f>
        <v>0</v>
      </c>
      <c r="EA68" s="40"/>
      <c r="EB68" s="43">
        <f>DZ68</f>
        <v>0</v>
      </c>
      <c r="EC68" s="40"/>
      <c r="ED68" s="150">
        <f>EB68</f>
        <v>0</v>
      </c>
      <c r="EE68" s="40"/>
      <c r="EJ68" s="81"/>
      <c r="EP68" s="81"/>
      <c r="EV68" s="81"/>
      <c r="FB68" s="81"/>
      <c r="FH68" s="81"/>
      <c r="FN68" s="81"/>
      <c r="FT68" s="81"/>
      <c r="FZ68" s="81"/>
      <c r="GF68" s="81"/>
      <c r="GL68" s="81"/>
      <c r="GR68" s="81"/>
      <c r="GX68" s="81"/>
      <c r="HD68" s="81"/>
      <c r="HJ68" s="81"/>
      <c r="HP68" s="81"/>
      <c r="HV68" s="81"/>
      <c r="IB68" s="81"/>
      <c r="IH68" s="81"/>
      <c r="IN68" s="81"/>
      <c r="IT68" s="81"/>
      <c r="IZ68" s="81"/>
      <c r="JF68" s="81"/>
      <c r="JG68" s="179"/>
      <c r="JL68" s="81"/>
      <c r="JR68" s="81"/>
      <c r="JX68" s="81"/>
      <c r="KD68" s="81"/>
      <c r="KJ68" s="81"/>
      <c r="KP68" s="81"/>
      <c r="KV68" s="81"/>
      <c r="LB68" s="81"/>
      <c r="LH68" s="81"/>
      <c r="LN68" s="81"/>
      <c r="LT68" s="81"/>
      <c r="LZ68" s="81"/>
      <c r="MF68" s="81"/>
      <c r="ML68" s="81"/>
    </row>
    <row r="69" spans="1:361" hidden="1" x14ac:dyDescent="0.35">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X69" s="81"/>
      <c r="BD69" s="81"/>
      <c r="BJ69" s="81"/>
      <c r="BP69" s="81"/>
      <c r="BV69" s="81"/>
      <c r="CB69" s="86">
        <v>0</v>
      </c>
      <c r="CD69" s="33">
        <f>CB69-(CD$5*CD68)</f>
        <v>0</v>
      </c>
      <c r="CF69" s="33">
        <f>CD69-(CF$5*CF68)</f>
        <v>0</v>
      </c>
      <c r="CH69" s="82">
        <f>CF69-(CH$5*CH68)</f>
        <v>0</v>
      </c>
      <c r="CJ69" s="33">
        <f>CH69-(CJ$5*CJ68)</f>
        <v>0</v>
      </c>
      <c r="CL69" s="33">
        <f>CJ69-(CL$5*CL68)</f>
        <v>0</v>
      </c>
      <c r="CN69" s="82">
        <f>CL69-(CN$5*CN68)</f>
        <v>0</v>
      </c>
      <c r="CP69" s="33">
        <f>CN69-(CP$5*CP68)</f>
        <v>0</v>
      </c>
      <c r="CR69" s="33">
        <f>CP69-(CR$5*CR68)</f>
        <v>0</v>
      </c>
      <c r="CT69" s="82">
        <f>CR69-(CT$5*CT68)</f>
        <v>0</v>
      </c>
      <c r="CV69" s="33">
        <f>CT69-(CV$5*CV68)</f>
        <v>0</v>
      </c>
      <c r="CX69" s="33">
        <f>CV69-(CX$5*CX68)</f>
        <v>0</v>
      </c>
      <c r="CZ69" s="82">
        <f>CX69-(CZ$5*CZ68)</f>
        <v>0</v>
      </c>
      <c r="DA69" s="157"/>
      <c r="DB69" s="143">
        <f>CZ69</f>
        <v>0</v>
      </c>
      <c r="DC69" s="143"/>
      <c r="DD69" s="143">
        <f>DB69</f>
        <v>0</v>
      </c>
      <c r="DE69" s="143"/>
      <c r="DF69" s="169">
        <f>DD69</f>
        <v>0</v>
      </c>
      <c r="DH69" s="33">
        <f>DF69-(DH$5*DH68)</f>
        <v>0</v>
      </c>
      <c r="DJ69" s="33">
        <f>DH69-(DJ$5*DJ68)</f>
        <v>0</v>
      </c>
      <c r="DL69" s="82">
        <f>DJ69-(DL$5*DL68)</f>
        <v>0</v>
      </c>
      <c r="DN69" s="33">
        <f>DL69-(DN$5*DN68)</f>
        <v>0</v>
      </c>
      <c r="DP69" s="33">
        <f>DN69-(DP$5*DP68)</f>
        <v>0</v>
      </c>
      <c r="DR69" s="82">
        <f>DP69-(DR$5*DR68)</f>
        <v>0</v>
      </c>
      <c r="DT69" s="33">
        <f>DR69-(DT$5*DT68)</f>
        <v>0</v>
      </c>
      <c r="DV69" s="33">
        <f>DT69-(DV$5*DV68)</f>
        <v>0</v>
      </c>
      <c r="DX69" s="82">
        <f>DV69-(DX$5*DX68)</f>
        <v>0</v>
      </c>
      <c r="DZ69" s="33">
        <f>DX69-(DZ$5*DZ68)</f>
        <v>0</v>
      </c>
      <c r="EB69" s="33">
        <f>DZ69-(EB$5*EB68)</f>
        <v>0</v>
      </c>
      <c r="ED69" s="168">
        <f>EB69-(ED$5*ED68)</f>
        <v>0</v>
      </c>
      <c r="EJ69" s="81"/>
      <c r="EP69" s="81"/>
      <c r="EV69" s="81"/>
      <c r="FB69" s="81"/>
      <c r="FH69" s="81"/>
      <c r="FN69" s="81"/>
      <c r="FT69" s="81"/>
      <c r="FZ69" s="81"/>
      <c r="GF69" s="81"/>
      <c r="GL69" s="81"/>
      <c r="GR69" s="81"/>
      <c r="GX69" s="81"/>
      <c r="HD69" s="81"/>
      <c r="HJ69" s="81"/>
      <c r="HP69" s="81"/>
      <c r="HV69" s="81"/>
      <c r="IB69" s="81"/>
      <c r="IH69" s="81"/>
      <c r="IN69" s="81"/>
      <c r="IT69" s="81"/>
      <c r="IZ69" s="81"/>
      <c r="JF69" s="81"/>
      <c r="JG69" s="179"/>
      <c r="JL69" s="81"/>
      <c r="JR69" s="81"/>
      <c r="JX69" s="81"/>
      <c r="KD69" s="81"/>
      <c r="KJ69" s="81"/>
      <c r="KP69" s="81"/>
      <c r="KV69" s="81"/>
      <c r="LB69" s="81"/>
      <c r="LH69" s="81"/>
      <c r="LN69" s="81"/>
      <c r="LT69" s="81"/>
      <c r="LZ69" s="81"/>
      <c r="MF69" s="81"/>
      <c r="ML69" s="81"/>
    </row>
    <row r="70" spans="1:361" hidden="1" x14ac:dyDescent="0.35">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X70" s="81"/>
      <c r="BD70" s="81"/>
      <c r="BJ70" s="81"/>
      <c r="BP70" s="81"/>
      <c r="BV70" s="81"/>
      <c r="CB70" s="81"/>
      <c r="CH70" s="81"/>
      <c r="CN70" s="81"/>
      <c r="CT70" s="81"/>
      <c r="CZ70" s="158"/>
      <c r="DF70" s="101">
        <f>(DF69/SUM(CJ$5:DF$5))</f>
        <v>0</v>
      </c>
      <c r="DL70" s="81"/>
      <c r="DR70" s="81"/>
      <c r="DX70" s="81"/>
      <c r="DZ70" s="10"/>
      <c r="EB70" s="10"/>
      <c r="ED70" s="81"/>
      <c r="EJ70" s="81"/>
      <c r="EP70" s="81"/>
      <c r="EV70" s="81"/>
      <c r="FB70" s="81"/>
      <c r="FH70" s="81"/>
      <c r="FN70" s="81"/>
      <c r="FT70" s="81"/>
      <c r="FZ70" s="81"/>
      <c r="GF70" s="81"/>
      <c r="GL70" s="81"/>
      <c r="GR70" s="81"/>
      <c r="GX70" s="81"/>
      <c r="HD70" s="81"/>
      <c r="HJ70" s="81"/>
      <c r="HP70" s="81"/>
      <c r="HV70" s="81"/>
      <c r="IB70" s="81"/>
      <c r="IH70" s="81"/>
      <c r="IN70" s="81"/>
      <c r="IT70" s="81"/>
      <c r="IZ70" s="81"/>
      <c r="JF70" s="81"/>
      <c r="JG70" s="179"/>
      <c r="JL70" s="81"/>
      <c r="JR70" s="81"/>
      <c r="JX70" s="81"/>
      <c r="KD70" s="81"/>
      <c r="KJ70" s="81"/>
      <c r="KP70" s="81"/>
      <c r="KV70" s="81"/>
      <c r="LB70" s="81"/>
      <c r="LH70" s="81"/>
      <c r="LN70" s="81"/>
      <c r="LT70" s="81"/>
      <c r="LZ70" s="81"/>
      <c r="MF70" s="81"/>
      <c r="ML70" s="81"/>
    </row>
    <row r="71" spans="1:361" hidden="1" x14ac:dyDescent="0.35">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H71" s="81"/>
      <c r="CN71" s="81"/>
      <c r="CT71" s="81"/>
      <c r="CZ71" s="81"/>
      <c r="DF71" s="81"/>
      <c r="DL71" s="81"/>
      <c r="DR71" s="81"/>
      <c r="DX71" s="81"/>
      <c r="ED71" s="81"/>
      <c r="EJ71" s="81"/>
      <c r="EP71" s="81"/>
      <c r="EV71" s="81"/>
      <c r="FB71" s="81"/>
      <c r="FH71" s="81"/>
      <c r="FN71" s="81"/>
      <c r="FT71" s="81"/>
      <c r="FZ71" s="81"/>
      <c r="GF71" s="81"/>
      <c r="GL71" s="81"/>
      <c r="GR71" s="81"/>
      <c r="GX71" s="81"/>
      <c r="HD71" s="81"/>
      <c r="HJ71" s="81"/>
      <c r="HP71" s="81"/>
      <c r="HV71" s="81"/>
      <c r="IB71" s="81"/>
      <c r="IH71" s="81"/>
      <c r="IN71" s="81"/>
      <c r="IT71" s="81"/>
      <c r="IZ71" s="81"/>
      <c r="JF71" s="81"/>
      <c r="JG71" s="179"/>
      <c r="JL71" s="81"/>
      <c r="JR71" s="81"/>
      <c r="JX71" s="81"/>
      <c r="KD71" s="81"/>
      <c r="KJ71" s="81"/>
      <c r="KP71" s="81"/>
      <c r="KV71" s="81"/>
      <c r="LB71" s="81"/>
      <c r="LH71" s="81"/>
      <c r="LN71" s="81"/>
      <c r="LT71" s="81"/>
      <c r="LZ71" s="81"/>
      <c r="MF71" s="81"/>
      <c r="ML71" s="81"/>
    </row>
    <row r="72" spans="1:361" hidden="1" x14ac:dyDescent="0.35">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H72" s="81"/>
      <c r="CJ72" s="66">
        <v>-8.3699999999999997E-2</v>
      </c>
      <c r="CK72" s="95"/>
      <c r="CL72" s="43">
        <f>CJ72</f>
        <v>-8.3699999999999997E-2</v>
      </c>
      <c r="CM72" s="40"/>
      <c r="CN72" s="150">
        <f>CL72</f>
        <v>-8.3699999999999997E-2</v>
      </c>
      <c r="CO72" s="40"/>
      <c r="CP72" s="43">
        <f>CN72</f>
        <v>-8.3699999999999997E-2</v>
      </c>
      <c r="CQ72" s="40"/>
      <c r="CR72" s="43">
        <f>CP72</f>
        <v>-8.3699999999999997E-2</v>
      </c>
      <c r="CS72" s="40"/>
      <c r="CT72" s="150">
        <f>CR72</f>
        <v>-8.3699999999999997E-2</v>
      </c>
      <c r="CU72" s="40"/>
      <c r="CV72" s="43">
        <f>CT72</f>
        <v>-8.3699999999999997E-2</v>
      </c>
      <c r="CW72" s="40"/>
      <c r="CX72" s="43">
        <f>CV72</f>
        <v>-8.3699999999999997E-2</v>
      </c>
      <c r="CY72" s="40"/>
      <c r="CZ72" s="150">
        <f>CX72</f>
        <v>-8.3699999999999997E-2</v>
      </c>
      <c r="DA72" s="40"/>
      <c r="DB72" s="43">
        <f>CZ72</f>
        <v>-8.3699999999999997E-2</v>
      </c>
      <c r="DC72" s="40"/>
      <c r="DD72" s="43">
        <f>DB72</f>
        <v>-8.3699999999999997E-2</v>
      </c>
      <c r="DE72" s="40"/>
      <c r="DF72" s="150">
        <f>DD72</f>
        <v>-8.3699999999999997E-2</v>
      </c>
      <c r="DG72" s="156"/>
      <c r="DH72" s="144"/>
      <c r="DI72" s="144"/>
      <c r="DJ72" s="144"/>
      <c r="DK72" s="144"/>
      <c r="DL72" s="118"/>
      <c r="DM72" s="40"/>
      <c r="DN72" s="151">
        <f>DL74</f>
        <v>-1.3562278633064113</v>
      </c>
      <c r="DO72" s="40"/>
      <c r="DP72" s="43">
        <f>DN72</f>
        <v>-1.3562278633064113</v>
      </c>
      <c r="DQ72" s="40"/>
      <c r="DR72" s="150">
        <f>DP72</f>
        <v>-1.3562278633064113</v>
      </c>
      <c r="DS72" s="40"/>
      <c r="DT72" s="43">
        <f>DR72</f>
        <v>-1.3562278633064113</v>
      </c>
      <c r="DU72" s="40"/>
      <c r="DV72" s="43">
        <f>DT72</f>
        <v>-1.3562278633064113</v>
      </c>
      <c r="DW72" s="40"/>
      <c r="DX72" s="150">
        <f>DV72</f>
        <v>-1.3562278633064113</v>
      </c>
      <c r="DY72" s="40"/>
      <c r="DZ72" s="43">
        <f>DX72</f>
        <v>-1.3562278633064113</v>
      </c>
      <c r="EA72" s="40"/>
      <c r="EB72" s="43">
        <f>DZ72</f>
        <v>-1.3562278633064113</v>
      </c>
      <c r="EC72" s="40"/>
      <c r="ED72" s="150">
        <f>EB72</f>
        <v>-1.3562278633064113</v>
      </c>
      <c r="EE72" s="40"/>
      <c r="EF72" s="43">
        <f>ED72</f>
        <v>-1.3562278633064113</v>
      </c>
      <c r="EG72" s="40"/>
      <c r="EH72" s="43">
        <f>EF72</f>
        <v>-1.3562278633064113</v>
      </c>
      <c r="EI72" s="40"/>
      <c r="EJ72" s="150">
        <f>EH72</f>
        <v>-1.3562278633064113</v>
      </c>
      <c r="EK72" s="40"/>
      <c r="EL72" s="53"/>
      <c r="EM72" s="51"/>
      <c r="EN72" s="53"/>
      <c r="EO72" s="51"/>
      <c r="EP72" s="85"/>
      <c r="EV72" s="81"/>
      <c r="FB72" s="81"/>
      <c r="FH72" s="81"/>
      <c r="FN72" s="81"/>
      <c r="FT72" s="81"/>
      <c r="FZ72" s="81"/>
      <c r="GF72" s="81"/>
      <c r="GL72" s="81"/>
      <c r="GR72" s="81"/>
      <c r="GX72" s="81"/>
      <c r="HD72" s="81"/>
      <c r="HJ72" s="81"/>
      <c r="HP72" s="81"/>
      <c r="HV72" s="81"/>
      <c r="IB72" s="81"/>
      <c r="IH72" s="81"/>
      <c r="IN72" s="81"/>
      <c r="IT72" s="81"/>
      <c r="IZ72" s="81"/>
      <c r="JF72" s="81"/>
      <c r="JG72" s="179"/>
      <c r="JL72" s="81"/>
      <c r="JR72" s="81"/>
      <c r="JX72" s="81"/>
      <c r="KD72" s="81"/>
      <c r="KJ72" s="81"/>
      <c r="KP72" s="81"/>
      <c r="KV72" s="81"/>
      <c r="LB72" s="81"/>
      <c r="LH72" s="81"/>
      <c r="LN72" s="81"/>
      <c r="LT72" s="81"/>
      <c r="LZ72" s="81"/>
      <c r="MF72" s="81"/>
      <c r="ML72" s="81"/>
    </row>
    <row r="73" spans="1:361" hidden="1" x14ac:dyDescent="0.35">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H73" s="93">
        <f>'Actual Adjustment (SIV)'!P19</f>
        <v>-2504.5066252815377</v>
      </c>
      <c r="CJ73" s="33">
        <f>CH73-(CJ$5*CJ72)</f>
        <v>-2431.0933552815377</v>
      </c>
      <c r="CL73" s="33">
        <f>CJ73-(CL$5*CL72)</f>
        <v>-2363.2963552815377</v>
      </c>
      <c r="CN73" s="82">
        <f>CL73-(CN$5*CN72)</f>
        <v>-2258.3951452815377</v>
      </c>
      <c r="CP73" s="33">
        <f>CN73-(CP$5*CP72)</f>
        <v>-2040.5910052815377</v>
      </c>
      <c r="CR73" s="33">
        <f>CP73-(CR$5*CR72)</f>
        <v>-1761.4263952815377</v>
      </c>
      <c r="CT73" s="82">
        <f>CR73-(CT$5*CT72)</f>
        <v>-1331.6854852815377</v>
      </c>
      <c r="CV73" s="33">
        <f>CT73-(CV$5*CV72)</f>
        <v>-1025.2765252815377</v>
      </c>
      <c r="CX73" s="33">
        <f>CV73-(CX$5*CX72)</f>
        <v>-863.84433528153772</v>
      </c>
      <c r="CZ73" s="82">
        <f>CX73-(CZ$5*CZ72)</f>
        <v>-765.36291528153777</v>
      </c>
      <c r="DB73" s="33">
        <f>CZ73-(DB$5*DB72)</f>
        <v>-660.48681528153782</v>
      </c>
      <c r="DD73" s="33">
        <f>DB73-(DD$5*DD72)</f>
        <v>-586.82244528153785</v>
      </c>
      <c r="DF73" s="82">
        <f>DD73-(DF$5*DF72)</f>
        <v>-499.30572528153789</v>
      </c>
      <c r="DG73" s="157"/>
      <c r="DH73" s="143">
        <f>DF73</f>
        <v>-499.30572528153789</v>
      </c>
      <c r="DI73" s="143"/>
      <c r="DJ73" s="143">
        <f>DH73</f>
        <v>-499.30572528153789</v>
      </c>
      <c r="DK73" s="143"/>
      <c r="DL73" s="169">
        <f>DJ73+DF53+DF49</f>
        <v>-32062.040425281542</v>
      </c>
      <c r="DN73" s="33">
        <f>DL73-(DN$5*DN72)</f>
        <v>-27081.022351716085</v>
      </c>
      <c r="DP73" s="33">
        <f>DN73-(DP$5*DP72)</f>
        <v>-23211.02614377124</v>
      </c>
      <c r="DR73" s="82">
        <f>DP73-(DR$5*DR72)</f>
        <v>-14975.332443843057</v>
      </c>
      <c r="DT73" s="33">
        <f>DR73-(DT$5*DT72)</f>
        <v>-9137.720851813272</v>
      </c>
      <c r="DV73" s="33">
        <f>DT73-(DV$5*DV72)</f>
        <v>-1841.0793244384477</v>
      </c>
      <c r="DX73" s="82">
        <f>DV73-(DX$5*DX72)</f>
        <v>1591.3977748037487</v>
      </c>
      <c r="DZ73" s="33">
        <f>DX73-(DZ$5*DZ72)</f>
        <v>3765.431039683926</v>
      </c>
      <c r="EB73" s="33">
        <f>DZ73-(EB$5*EB72)</f>
        <v>5001.2258687287285</v>
      </c>
      <c r="ED73" s="82">
        <f>EB73-(ED$5*ED72)</f>
        <v>6099.4991924342603</v>
      </c>
      <c r="EF73" s="33">
        <f>ED73-(EF$5*EF72)</f>
        <v>7519.7410108887343</v>
      </c>
      <c r="EH73" s="33">
        <f>EF73-(EH$5*EH72)</f>
        <v>8944.7296268647806</v>
      </c>
      <c r="EJ73" s="168">
        <f>EH73-(EJ$5*EJ72)</f>
        <v>11139.648800839877</v>
      </c>
      <c r="EL73" s="53"/>
      <c r="EM73" s="51"/>
      <c r="EN73" s="53"/>
      <c r="EO73" s="51"/>
      <c r="EP73" s="85"/>
      <c r="EV73" s="81"/>
      <c r="FB73" s="81"/>
      <c r="FH73" s="81"/>
      <c r="FN73" s="81"/>
      <c r="FT73" s="81"/>
      <c r="FZ73" s="81"/>
      <c r="GF73" s="81"/>
      <c r="GL73" s="81"/>
      <c r="GR73" s="81"/>
      <c r="GX73" s="81"/>
      <c r="HD73" s="81"/>
      <c r="HJ73" s="81"/>
      <c r="HP73" s="81"/>
      <c r="HV73" s="81"/>
      <c r="IB73" s="81"/>
      <c r="IH73" s="81"/>
      <c r="IN73" s="81"/>
      <c r="IT73" s="81"/>
      <c r="IZ73" s="81"/>
      <c r="JF73" s="81"/>
      <c r="JG73" s="179"/>
      <c r="JL73" s="81"/>
      <c r="JR73" s="81"/>
      <c r="JX73" s="81"/>
      <c r="KD73" s="81"/>
      <c r="KJ73" s="81"/>
      <c r="KP73" s="81"/>
      <c r="KV73" s="81"/>
      <c r="LB73" s="81"/>
      <c r="LH73" s="81"/>
      <c r="LN73" s="81"/>
      <c r="LT73" s="81"/>
      <c r="LZ73" s="81"/>
      <c r="MF73" s="81"/>
      <c r="ML73" s="81"/>
    </row>
    <row r="74" spans="1:361" hidden="1" x14ac:dyDescent="0.35">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H74" s="81"/>
      <c r="CN74" s="81"/>
      <c r="CT74" s="81"/>
      <c r="CZ74" s="81"/>
      <c r="DF74" s="158"/>
      <c r="DL74" s="101">
        <f>(DL73/(SUM(CP$5:DF$5)+655+777+1192))</f>
        <v>-1.3562278633064113</v>
      </c>
      <c r="DR74" s="81"/>
      <c r="DX74" s="81"/>
      <c r="ED74" s="81"/>
      <c r="EF74" s="10"/>
      <c r="EH74" s="10"/>
      <c r="EJ74" s="81"/>
      <c r="EP74" s="81"/>
      <c r="EV74" s="81"/>
      <c r="FB74" s="81"/>
      <c r="FH74" s="81"/>
      <c r="FN74" s="81"/>
      <c r="FT74" s="81"/>
      <c r="FZ74" s="81"/>
      <c r="GF74" s="81"/>
      <c r="GL74" s="81"/>
      <c r="GR74" s="81"/>
      <c r="GX74" s="81"/>
      <c r="HD74" s="81"/>
      <c r="HJ74" s="81"/>
      <c r="HP74" s="81"/>
      <c r="HV74" s="81"/>
      <c r="IB74" s="81"/>
      <c r="IH74" s="81"/>
      <c r="IN74" s="81"/>
      <c r="IT74" s="81"/>
      <c r="IZ74" s="81"/>
      <c r="JF74" s="81"/>
      <c r="JG74" s="179"/>
      <c r="JL74" s="81"/>
      <c r="JR74" s="81"/>
      <c r="JX74" s="81"/>
      <c r="KD74" s="81"/>
      <c r="KJ74" s="81"/>
      <c r="KP74" s="81"/>
      <c r="KV74" s="81"/>
      <c r="LB74" s="81"/>
      <c r="LH74" s="81"/>
      <c r="LN74" s="81"/>
      <c r="LT74" s="81"/>
      <c r="LZ74" s="81"/>
      <c r="MF74" s="81"/>
      <c r="ML74" s="81"/>
    </row>
    <row r="75" spans="1:361" s="10" customFormat="1" hidden="1" x14ac:dyDescent="0.35">
      <c r="A75"/>
      <c r="B75"/>
      <c r="AS75"/>
      <c r="AT75"/>
      <c r="AU75"/>
      <c r="CC75"/>
      <c r="CD75"/>
      <c r="CN75" s="81"/>
      <c r="CO75"/>
      <c r="CP75"/>
      <c r="CQ75"/>
      <c r="CR75"/>
      <c r="CS75"/>
      <c r="CT75" s="81"/>
      <c r="CU75"/>
      <c r="CV75"/>
      <c r="CW75"/>
      <c r="CX75"/>
      <c r="CY75"/>
      <c r="CZ75" s="81"/>
      <c r="DA75"/>
      <c r="DB75"/>
      <c r="DC75"/>
      <c r="DD75"/>
      <c r="DE75"/>
      <c r="DF75" s="81"/>
      <c r="DG75"/>
      <c r="DH75"/>
      <c r="DI75"/>
      <c r="DJ75"/>
      <c r="DK75"/>
      <c r="DL75" s="81"/>
      <c r="DM75"/>
      <c r="DN75"/>
      <c r="DO75"/>
      <c r="DP75"/>
      <c r="DQ75"/>
      <c r="DR75" s="81"/>
      <c r="DS75"/>
      <c r="DT75"/>
      <c r="DU75"/>
      <c r="DV75"/>
      <c r="DW75"/>
      <c r="DX75" s="81"/>
      <c r="DY75"/>
      <c r="DZ75"/>
      <c r="EA75"/>
      <c r="EB75"/>
      <c r="EC75"/>
      <c r="ED75" s="81"/>
      <c r="EE75"/>
      <c r="EF75"/>
      <c r="EG75"/>
      <c r="EH75"/>
      <c r="EI75"/>
      <c r="EJ75" s="81"/>
      <c r="EK75"/>
      <c r="EM75"/>
      <c r="EO75"/>
      <c r="EP75" s="81"/>
      <c r="EQ75"/>
      <c r="ES75"/>
      <c r="EU75"/>
      <c r="EV75" s="81"/>
      <c r="EW75"/>
      <c r="EY75"/>
      <c r="FA75"/>
      <c r="FB75" s="81"/>
      <c r="FC75"/>
      <c r="FE75" s="175"/>
      <c r="FG75" s="175"/>
      <c r="FH75" s="81"/>
      <c r="FI75" s="175"/>
      <c r="FK75" s="175"/>
      <c r="FM75" s="175"/>
      <c r="FN75" s="81"/>
      <c r="FO75" s="175"/>
      <c r="FQ75" s="175"/>
      <c r="FS75" s="175"/>
      <c r="FT75" s="81"/>
      <c r="FU75" s="175"/>
      <c r="FW75" s="175"/>
      <c r="FY75" s="175"/>
      <c r="FZ75" s="81"/>
      <c r="GA75" s="175"/>
      <c r="GC75" s="175"/>
      <c r="GE75" s="175"/>
      <c r="GF75" s="81"/>
      <c r="GG75" s="175"/>
      <c r="GI75" s="175"/>
      <c r="GK75" s="175"/>
      <c r="GL75" s="81"/>
      <c r="GM75" s="175"/>
      <c r="GO75" s="175"/>
      <c r="GQ75" s="175"/>
      <c r="GR75" s="81"/>
      <c r="GS75" s="175"/>
      <c r="GU75" s="175"/>
      <c r="GW75" s="175"/>
      <c r="GX75" s="81"/>
      <c r="GY75" s="175"/>
      <c r="HA75" s="175"/>
      <c r="HC75" s="175"/>
      <c r="HD75" s="81"/>
      <c r="HE75" s="175"/>
      <c r="HG75" s="175"/>
      <c r="HI75" s="175"/>
      <c r="HJ75" s="81"/>
      <c r="HK75" s="175"/>
      <c r="HM75" s="175"/>
      <c r="HO75" s="175"/>
      <c r="HP75" s="81"/>
      <c r="HQ75" s="175"/>
      <c r="HS75" s="175"/>
      <c r="HU75" s="175"/>
      <c r="HV75" s="81"/>
      <c r="HW75" s="175"/>
      <c r="HY75" s="175"/>
      <c r="IA75" s="175"/>
      <c r="IB75" s="81"/>
      <c r="IC75" s="175"/>
      <c r="IE75" s="175"/>
      <c r="IG75" s="175"/>
      <c r="IH75" s="81"/>
      <c r="II75" s="175"/>
      <c r="IK75" s="175"/>
      <c r="IM75" s="175"/>
      <c r="IN75" s="81"/>
      <c r="IO75" s="175"/>
      <c r="IQ75" s="175"/>
      <c r="IS75" s="175"/>
      <c r="IT75" s="81"/>
      <c r="IU75" s="175"/>
      <c r="IW75" s="175"/>
      <c r="IY75" s="175"/>
      <c r="IZ75" s="81"/>
      <c r="JA75" s="175"/>
      <c r="JC75" s="175"/>
      <c r="JE75" s="175"/>
      <c r="JF75" s="81"/>
      <c r="JG75" s="179"/>
      <c r="JI75" s="175"/>
      <c r="JK75" s="175"/>
      <c r="JL75" s="81"/>
      <c r="JM75" s="175"/>
      <c r="JO75" s="175"/>
      <c r="JQ75" s="175"/>
      <c r="JR75" s="81"/>
      <c r="JS75" s="175"/>
      <c r="JU75" s="175"/>
      <c r="JW75" s="175"/>
      <c r="JX75" s="81"/>
      <c r="JY75" s="175"/>
      <c r="KA75" s="175"/>
      <c r="KC75" s="175"/>
      <c r="KD75" s="81"/>
      <c r="KE75" s="175"/>
      <c r="KG75" s="175"/>
      <c r="KI75" s="175"/>
      <c r="KJ75" s="81"/>
      <c r="KK75" s="175"/>
      <c r="KM75" s="175"/>
      <c r="KO75" s="175"/>
      <c r="KP75" s="81"/>
      <c r="KQ75" s="175"/>
      <c r="KS75" s="175"/>
      <c r="KU75" s="175"/>
      <c r="KV75" s="81"/>
      <c r="KW75" s="175"/>
      <c r="KY75" s="175"/>
      <c r="LA75" s="175"/>
      <c r="LB75" s="81"/>
      <c r="LC75" s="175"/>
      <c r="LE75" s="175"/>
      <c r="LG75" s="175"/>
      <c r="LH75" s="81"/>
      <c r="LI75" s="175"/>
      <c r="LK75" s="175"/>
      <c r="LM75" s="175"/>
      <c r="LN75" s="81"/>
      <c r="LO75" s="175"/>
      <c r="LQ75" s="175"/>
      <c r="LS75" s="175"/>
      <c r="LT75" s="81"/>
      <c r="LU75" s="175"/>
      <c r="LW75" s="175"/>
      <c r="LY75" s="175"/>
      <c r="LZ75" s="81"/>
      <c r="MA75" s="175"/>
      <c r="MC75" s="175"/>
      <c r="ME75" s="175"/>
      <c r="MF75" s="81"/>
      <c r="MG75" s="175"/>
      <c r="MI75" s="175"/>
      <c r="MK75" s="175"/>
      <c r="ML75" s="81"/>
      <c r="MM75" s="175"/>
      <c r="MO75" s="175"/>
      <c r="MQ75" s="175"/>
      <c r="MS75" s="175"/>
      <c r="MU75" s="175"/>
      <c r="MW75" s="175"/>
    </row>
    <row r="76" spans="1:361" s="10" customFormat="1" hidden="1" x14ac:dyDescent="0.35">
      <c r="A76"/>
      <c r="B76"/>
      <c r="AS76"/>
      <c r="AT76"/>
      <c r="AU76"/>
      <c r="CC76"/>
      <c r="CD76"/>
      <c r="CN76" s="81"/>
      <c r="CO76"/>
      <c r="CP76" s="39">
        <v>0</v>
      </c>
      <c r="CQ76"/>
      <c r="CR76" s="33">
        <f>CP76</f>
        <v>0</v>
      </c>
      <c r="CS76"/>
      <c r="CT76" s="82">
        <f>CR76</f>
        <v>0</v>
      </c>
      <c r="CU76"/>
      <c r="CV76" s="33">
        <f>CT76</f>
        <v>0</v>
      </c>
      <c r="CW76"/>
      <c r="CX76" s="33">
        <f>CV76</f>
        <v>0</v>
      </c>
      <c r="CY76"/>
      <c r="CZ76" s="82">
        <f>CX76</f>
        <v>0</v>
      </c>
      <c r="DA76"/>
      <c r="DB76" s="33">
        <f>CZ76</f>
        <v>0</v>
      </c>
      <c r="DC76"/>
      <c r="DD76" s="33">
        <f>DB76</f>
        <v>0</v>
      </c>
      <c r="DE76"/>
      <c r="DF76" s="82">
        <f>DD76</f>
        <v>0</v>
      </c>
      <c r="DG76"/>
      <c r="DH76" s="33">
        <f>DF76</f>
        <v>0</v>
      </c>
      <c r="DI76"/>
      <c r="DJ76" s="33">
        <f>DH76</f>
        <v>0</v>
      </c>
      <c r="DK76"/>
      <c r="DL76" s="150">
        <f>DJ76</f>
        <v>0</v>
      </c>
      <c r="DM76" s="156"/>
      <c r="DN76" s="144"/>
      <c r="DO76" s="144"/>
      <c r="DP76" s="144"/>
      <c r="DQ76" s="144"/>
      <c r="DR76" s="118"/>
      <c r="DS76" s="40"/>
      <c r="DT76" s="151">
        <f>DR78</f>
        <v>-9.2808718543824921E-8</v>
      </c>
      <c r="DU76" s="40"/>
      <c r="DV76" s="43">
        <f>DT76</f>
        <v>-9.2808718543824921E-8</v>
      </c>
      <c r="DW76" s="40"/>
      <c r="DX76" s="150">
        <f>DV76</f>
        <v>-9.2808718543824921E-8</v>
      </c>
      <c r="DY76" s="40"/>
      <c r="DZ76" s="43">
        <f>DX76</f>
        <v>-9.2808718543824921E-8</v>
      </c>
      <c r="EA76" s="40"/>
      <c r="EB76" s="43">
        <f>DZ76</f>
        <v>-9.2808718543824921E-8</v>
      </c>
      <c r="EC76" s="40"/>
      <c r="ED76" s="150">
        <f>EB76</f>
        <v>-9.2808718543824921E-8</v>
      </c>
      <c r="EE76" s="40"/>
      <c r="EF76" s="43">
        <f>ED76</f>
        <v>-9.2808718543824921E-8</v>
      </c>
      <c r="EG76" s="40"/>
      <c r="EH76" s="43">
        <f>EF76</f>
        <v>-9.2808718543824921E-8</v>
      </c>
      <c r="EI76" s="40"/>
      <c r="EJ76" s="150">
        <f>EH76</f>
        <v>-9.2808718543824921E-8</v>
      </c>
      <c r="EK76" s="40"/>
      <c r="EL76" s="43">
        <f>EJ76</f>
        <v>-9.2808718543824921E-8</v>
      </c>
      <c r="EM76" s="40"/>
      <c r="EN76" s="43">
        <f>EL76</f>
        <v>-9.2808718543824921E-8</v>
      </c>
      <c r="EO76" s="40"/>
      <c r="EP76" s="150">
        <f>EN76</f>
        <v>-9.2808718543824921E-8</v>
      </c>
      <c r="EQ76" s="40"/>
      <c r="ES76"/>
      <c r="EU76"/>
      <c r="EV76" s="81"/>
      <c r="EW76"/>
      <c r="EY76"/>
      <c r="FA76"/>
      <c r="FB76" s="81"/>
      <c r="FC76"/>
      <c r="FE76" s="175"/>
      <c r="FG76" s="175"/>
      <c r="FH76" s="81"/>
      <c r="FI76" s="175"/>
      <c r="FK76" s="175"/>
      <c r="FM76" s="175"/>
      <c r="FN76" s="81"/>
      <c r="FO76" s="175"/>
      <c r="FQ76" s="175"/>
      <c r="FS76" s="175"/>
      <c r="FT76" s="81"/>
      <c r="FU76" s="175"/>
      <c r="FW76" s="175"/>
      <c r="FY76" s="175"/>
      <c r="FZ76" s="81"/>
      <c r="GA76" s="175"/>
      <c r="GC76" s="175"/>
      <c r="GE76" s="175"/>
      <c r="GF76" s="81"/>
      <c r="GG76" s="175"/>
      <c r="GI76" s="175"/>
      <c r="GK76" s="175"/>
      <c r="GL76" s="81"/>
      <c r="GM76" s="175"/>
      <c r="GO76" s="175"/>
      <c r="GQ76" s="175"/>
      <c r="GR76" s="81"/>
      <c r="GS76" s="175"/>
      <c r="GU76" s="175"/>
      <c r="GW76" s="175"/>
      <c r="GX76" s="81"/>
      <c r="GY76" s="175"/>
      <c r="HA76" s="175"/>
      <c r="HC76" s="175"/>
      <c r="HD76" s="81"/>
      <c r="HE76" s="175"/>
      <c r="HG76" s="175"/>
      <c r="HI76" s="175"/>
      <c r="HJ76" s="81"/>
      <c r="HK76" s="175"/>
      <c r="HM76" s="175"/>
      <c r="HO76" s="175"/>
      <c r="HP76" s="81"/>
      <c r="HQ76" s="175"/>
      <c r="HS76" s="175"/>
      <c r="HU76" s="175"/>
      <c r="HV76" s="81"/>
      <c r="HW76" s="175"/>
      <c r="HY76" s="175"/>
      <c r="IA76" s="175"/>
      <c r="IB76" s="81"/>
      <c r="IC76" s="175"/>
      <c r="IE76" s="175"/>
      <c r="IG76" s="175"/>
      <c r="IH76" s="81"/>
      <c r="II76" s="175"/>
      <c r="IK76" s="175"/>
      <c r="IM76" s="175"/>
      <c r="IN76" s="81"/>
      <c r="IO76" s="175"/>
      <c r="IQ76" s="175"/>
      <c r="IS76" s="175"/>
      <c r="IT76" s="81"/>
      <c r="IU76" s="175"/>
      <c r="IW76" s="175"/>
      <c r="IY76" s="175"/>
      <c r="IZ76" s="81"/>
      <c r="JA76" s="175"/>
      <c r="JC76" s="175"/>
      <c r="JE76" s="175"/>
      <c r="JF76" s="81"/>
      <c r="JG76" s="179"/>
      <c r="JI76" s="175"/>
      <c r="JK76" s="175"/>
      <c r="JL76" s="81"/>
      <c r="JM76" s="175"/>
      <c r="JO76" s="175"/>
      <c r="JQ76" s="175"/>
      <c r="JR76" s="81"/>
      <c r="JS76" s="175"/>
      <c r="JU76" s="175"/>
      <c r="JW76" s="175"/>
      <c r="JX76" s="81"/>
      <c r="JY76" s="175"/>
      <c r="KA76" s="175"/>
      <c r="KC76" s="175"/>
      <c r="KD76" s="81"/>
      <c r="KE76" s="175"/>
      <c r="KG76" s="175"/>
      <c r="KI76" s="175"/>
      <c r="KJ76" s="81"/>
      <c r="KK76" s="175"/>
      <c r="KM76" s="175"/>
      <c r="KO76" s="175"/>
      <c r="KP76" s="81"/>
      <c r="KQ76" s="175"/>
      <c r="KS76" s="175"/>
      <c r="KU76" s="175"/>
      <c r="KV76" s="81"/>
      <c r="KW76" s="175"/>
      <c r="KY76" s="175"/>
      <c r="LA76" s="175"/>
      <c r="LB76" s="81"/>
      <c r="LC76" s="175"/>
      <c r="LE76" s="175"/>
      <c r="LG76" s="175"/>
      <c r="LH76" s="81"/>
      <c r="LI76" s="175"/>
      <c r="LK76" s="175"/>
      <c r="LM76" s="175"/>
      <c r="LN76" s="81"/>
      <c r="LO76" s="175"/>
      <c r="LQ76" s="175"/>
      <c r="LS76" s="175"/>
      <c r="LT76" s="81"/>
      <c r="LU76" s="175"/>
      <c r="LW76" s="175"/>
      <c r="LY76" s="175"/>
      <c r="LZ76" s="81"/>
      <c r="MA76" s="175"/>
      <c r="MC76" s="175"/>
      <c r="ME76" s="175"/>
      <c r="MF76" s="81"/>
      <c r="MG76" s="175"/>
      <c r="MI76" s="175"/>
      <c r="MK76" s="175"/>
      <c r="ML76" s="81"/>
      <c r="MM76" s="175"/>
      <c r="MO76" s="175"/>
      <c r="MQ76" s="175"/>
      <c r="MS76" s="175"/>
      <c r="MU76" s="175"/>
      <c r="MW76" s="175"/>
    </row>
    <row r="77" spans="1:361" s="10" customFormat="1" hidden="1" x14ac:dyDescent="0.35">
      <c r="A77"/>
      <c r="B77"/>
      <c r="AS77"/>
      <c r="AT77"/>
      <c r="AU77"/>
      <c r="CC77"/>
      <c r="CD77"/>
      <c r="CN77" s="86">
        <v>0</v>
      </c>
      <c r="CO77"/>
      <c r="CP77" s="33">
        <f>CN77-(CP$5*CP76)</f>
        <v>0</v>
      </c>
      <c r="CQ77"/>
      <c r="CR77" s="33">
        <f>CP77-(CR$5*CR76)</f>
        <v>0</v>
      </c>
      <c r="CS77"/>
      <c r="CT77" s="82">
        <f>CR77-(CT$5*CT76)</f>
        <v>0</v>
      </c>
      <c r="CU77"/>
      <c r="CV77" s="33">
        <f>CT77-(CV$5*CV76)</f>
        <v>0</v>
      </c>
      <c r="CW77"/>
      <c r="CX77" s="33">
        <f>CV77-(CX$5*CX76)</f>
        <v>0</v>
      </c>
      <c r="CY77"/>
      <c r="CZ77" s="82">
        <f>CX77-(CZ$5*CZ76)</f>
        <v>0</v>
      </c>
      <c r="DA77"/>
      <c r="DB77" s="33">
        <f>CZ77-(DB$5*DB76)</f>
        <v>0</v>
      </c>
      <c r="DC77"/>
      <c r="DD77" s="33">
        <f>DB77-(DD$5*DD76)</f>
        <v>0</v>
      </c>
      <c r="DE77"/>
      <c r="DF77" s="82">
        <f>DD77-(DF$5*DF76)</f>
        <v>0</v>
      </c>
      <c r="DG77"/>
      <c r="DH77" s="33">
        <f>DF77-(DH$5*DH76)</f>
        <v>0</v>
      </c>
      <c r="DI77"/>
      <c r="DJ77" s="33">
        <f>DH77-(DJ$5*DJ76)</f>
        <v>0</v>
      </c>
      <c r="DK77"/>
      <c r="DL77" s="82">
        <f>DJ77-(DL$5*DL76)</f>
        <v>0</v>
      </c>
      <c r="DM77" s="157"/>
      <c r="DN77" s="143">
        <f>DL77</f>
        <v>0</v>
      </c>
      <c r="DO77" s="143"/>
      <c r="DP77" s="143">
        <f>DN77</f>
        <v>0</v>
      </c>
      <c r="DQ77" s="143"/>
      <c r="DR77" s="169">
        <f>DP77+DL57-352.29</f>
        <v>-2.3300000025301415E-3</v>
      </c>
      <c r="DS77"/>
      <c r="DT77" s="33">
        <f>DR77-(DT$5*DT76)</f>
        <v>-1.9305234353019559E-3</v>
      </c>
      <c r="DU77"/>
      <c r="DV77" s="33">
        <f>DT77-(DV$5*DV76)</f>
        <v>-1.4312032486643233E-3</v>
      </c>
      <c r="DW77"/>
      <c r="DX77" s="82">
        <f>DV77-(DX$5*DX76)</f>
        <v>-1.1963136629017568E-3</v>
      </c>
      <c r="DY77"/>
      <c r="DZ77" s="33">
        <f>DX77-(DZ$5*DZ76)</f>
        <v>-1.0475412870760055E-3</v>
      </c>
      <c r="EA77"/>
      <c r="EB77" s="33">
        <f>DZ77-(EB$5*EB76)</f>
        <v>-9.6297398273887216E-4</v>
      </c>
      <c r="EC77"/>
      <c r="ED77" s="82">
        <f>EB77-(ED$5*ED76)</f>
        <v>-8.8781748246208271E-4</v>
      </c>
      <c r="EE77"/>
      <c r="EF77" s="33">
        <f>ED77-(EF$5*EF76)</f>
        <v>-7.9062819240298919E-4</v>
      </c>
      <c r="EG77"/>
      <c r="EH77" s="33">
        <f>EF77-(EH$5*EH76)</f>
        <v>-6.9311407182899229E-4</v>
      </c>
      <c r="EI77"/>
      <c r="EJ77" s="82">
        <f>EH77-(EJ$5*EJ76)</f>
        <v>-5.4291244173766597E-4</v>
      </c>
      <c r="EK77"/>
      <c r="EL77" s="33">
        <f>EJ77-(EL$5*EL76)</f>
        <v>-3.2629689265637862E-4</v>
      </c>
      <c r="EM77"/>
      <c r="EN77" s="33">
        <f>EL77-(EN$5*EN76)</f>
        <v>3.6213961975801534E-5</v>
      </c>
      <c r="EO77"/>
      <c r="EP77" s="168">
        <f>EN77-(EP$5*EP76)</f>
        <v>6.3622232736162965E-4</v>
      </c>
      <c r="EQ77"/>
      <c r="ES77"/>
      <c r="EU77"/>
      <c r="EV77" s="81"/>
      <c r="EW77"/>
      <c r="EY77"/>
      <c r="FA77"/>
      <c r="FB77" s="81"/>
      <c r="FC77"/>
      <c r="FE77" s="175"/>
      <c r="FG77" s="175"/>
      <c r="FH77" s="81"/>
      <c r="FI77" s="175"/>
      <c r="FK77" s="175"/>
      <c r="FM77" s="175"/>
      <c r="FN77" s="81"/>
      <c r="FO77" s="175"/>
      <c r="FQ77" s="175"/>
      <c r="FS77" s="175"/>
      <c r="FT77" s="81"/>
      <c r="FU77" s="175"/>
      <c r="FW77" s="175"/>
      <c r="FY77" s="175"/>
      <c r="FZ77" s="81"/>
      <c r="GA77" s="175"/>
      <c r="GC77" s="175"/>
      <c r="GE77" s="175"/>
      <c r="GF77" s="81"/>
      <c r="GG77" s="175"/>
      <c r="GI77" s="175"/>
      <c r="GK77" s="175"/>
      <c r="GL77" s="81"/>
      <c r="GM77" s="175"/>
      <c r="GO77" s="175"/>
      <c r="GQ77" s="175"/>
      <c r="GR77" s="81"/>
      <c r="GS77" s="175"/>
      <c r="GU77" s="175"/>
      <c r="GW77" s="175"/>
      <c r="GX77" s="81"/>
      <c r="GY77" s="175"/>
      <c r="HA77" s="175"/>
      <c r="HC77" s="175"/>
      <c r="HD77" s="81"/>
      <c r="HE77" s="175"/>
      <c r="HG77" s="175"/>
      <c r="HI77" s="175"/>
      <c r="HJ77" s="81"/>
      <c r="HK77" s="175"/>
      <c r="HM77" s="175"/>
      <c r="HO77" s="175"/>
      <c r="HP77" s="81"/>
      <c r="HQ77" s="175"/>
      <c r="HS77" s="175"/>
      <c r="HU77" s="175"/>
      <c r="HV77" s="81"/>
      <c r="HW77" s="175"/>
      <c r="HY77" s="175"/>
      <c r="IA77" s="175"/>
      <c r="IB77" s="81"/>
      <c r="IC77" s="175"/>
      <c r="IE77" s="175"/>
      <c r="IG77" s="175"/>
      <c r="IH77" s="81"/>
      <c r="II77" s="175"/>
      <c r="IK77" s="175"/>
      <c r="IM77" s="175"/>
      <c r="IN77" s="81"/>
      <c r="IO77" s="175"/>
      <c r="IQ77" s="175"/>
      <c r="IS77" s="175"/>
      <c r="IT77" s="81"/>
      <c r="IU77" s="175"/>
      <c r="IW77" s="175"/>
      <c r="IY77" s="175"/>
      <c r="IZ77" s="81"/>
      <c r="JA77" s="175"/>
      <c r="JC77" s="175"/>
      <c r="JE77" s="175"/>
      <c r="JF77" s="81"/>
      <c r="JG77" s="179"/>
      <c r="JI77" s="175"/>
      <c r="JK77" s="175"/>
      <c r="JL77" s="81"/>
      <c r="JM77" s="175"/>
      <c r="JO77" s="175"/>
      <c r="JQ77" s="175"/>
      <c r="JR77" s="81"/>
      <c r="JS77" s="175"/>
      <c r="JU77" s="175"/>
      <c r="JW77" s="175"/>
      <c r="JX77" s="81"/>
      <c r="JY77" s="175"/>
      <c r="KA77" s="175"/>
      <c r="KC77" s="175"/>
      <c r="KD77" s="81"/>
      <c r="KE77" s="175"/>
      <c r="KG77" s="175"/>
      <c r="KI77" s="175"/>
      <c r="KJ77" s="81"/>
      <c r="KK77" s="175"/>
      <c r="KM77" s="175"/>
      <c r="KO77" s="175"/>
      <c r="KP77" s="81"/>
      <c r="KQ77" s="175"/>
      <c r="KS77" s="175"/>
      <c r="KU77" s="175"/>
      <c r="KV77" s="81"/>
      <c r="KW77" s="175"/>
      <c r="KY77" s="175"/>
      <c r="LA77" s="175"/>
      <c r="LB77" s="81"/>
      <c r="LC77" s="175"/>
      <c r="LE77" s="175"/>
      <c r="LG77" s="175"/>
      <c r="LH77" s="81"/>
      <c r="LI77" s="175"/>
      <c r="LK77" s="175"/>
      <c r="LM77" s="175"/>
      <c r="LN77" s="81"/>
      <c r="LO77" s="175"/>
      <c r="LQ77" s="175"/>
      <c r="LS77" s="175"/>
      <c r="LT77" s="81"/>
      <c r="LU77" s="175"/>
      <c r="LW77" s="175"/>
      <c r="LY77" s="175"/>
      <c r="LZ77" s="81"/>
      <c r="MA77" s="175"/>
      <c r="MC77" s="175"/>
      <c r="ME77" s="175"/>
      <c r="MF77" s="81"/>
      <c r="MG77" s="175"/>
      <c r="MI77" s="175"/>
      <c r="MK77" s="175"/>
      <c r="ML77" s="81"/>
      <c r="MM77" s="175"/>
      <c r="MO77" s="175"/>
      <c r="MQ77" s="175"/>
      <c r="MS77" s="175"/>
      <c r="MU77" s="175"/>
      <c r="MW77" s="175"/>
    </row>
    <row r="78" spans="1:361" s="10" customFormat="1" hidden="1" x14ac:dyDescent="0.35">
      <c r="A78"/>
      <c r="B78"/>
      <c r="AS78"/>
      <c r="AT78"/>
      <c r="AU78"/>
      <c r="CC78"/>
      <c r="CD78"/>
      <c r="CN78" s="81"/>
      <c r="CO78"/>
      <c r="CP78"/>
      <c r="CQ78"/>
      <c r="CR78"/>
      <c r="CS78"/>
      <c r="CT78" s="81"/>
      <c r="CU78"/>
      <c r="CV78"/>
      <c r="CW78"/>
      <c r="CX78"/>
      <c r="CY78"/>
      <c r="CZ78" s="81"/>
      <c r="DA78"/>
      <c r="DB78"/>
      <c r="DC78"/>
      <c r="DD78"/>
      <c r="DE78"/>
      <c r="DF78" s="81"/>
      <c r="DG78"/>
      <c r="DH78"/>
      <c r="DI78"/>
      <c r="DJ78"/>
      <c r="DK78"/>
      <c r="DL78" s="158"/>
      <c r="DM78"/>
      <c r="DN78"/>
      <c r="DO78"/>
      <c r="DP78"/>
      <c r="DQ78"/>
      <c r="DR78" s="101">
        <f>(DR77/SUM(CP$5:DL$5))</f>
        <v>-9.2808718543824921E-8</v>
      </c>
      <c r="DS78"/>
      <c r="DT78"/>
      <c r="DU78"/>
      <c r="DV78"/>
      <c r="DW78"/>
      <c r="DX78" s="81"/>
      <c r="DY78"/>
      <c r="DZ78"/>
      <c r="EA78"/>
      <c r="EB78"/>
      <c r="EC78"/>
      <c r="ED78" s="81"/>
      <c r="EE78"/>
      <c r="EF78"/>
      <c r="EG78"/>
      <c r="EH78"/>
      <c r="EI78"/>
      <c r="EJ78" s="81"/>
      <c r="EK78"/>
      <c r="EM78"/>
      <c r="EO78"/>
      <c r="EP78" s="81"/>
      <c r="EQ78"/>
      <c r="ES78"/>
      <c r="EU78"/>
      <c r="EV78" s="81"/>
      <c r="EW78"/>
      <c r="EY78"/>
      <c r="FA78"/>
      <c r="FB78" s="81"/>
      <c r="FC78"/>
      <c r="FE78" s="175"/>
      <c r="FG78" s="175"/>
      <c r="FH78" s="81"/>
      <c r="FI78" s="175"/>
      <c r="FK78" s="175"/>
      <c r="FM78" s="175"/>
      <c r="FN78" s="81"/>
      <c r="FO78" s="175"/>
      <c r="FQ78" s="175"/>
      <c r="FS78" s="175"/>
      <c r="FT78" s="81"/>
      <c r="FU78" s="175"/>
      <c r="FW78" s="175"/>
      <c r="FY78" s="175"/>
      <c r="FZ78" s="81"/>
      <c r="GA78" s="175"/>
      <c r="GC78" s="175"/>
      <c r="GE78" s="175"/>
      <c r="GF78" s="81"/>
      <c r="GG78" s="175"/>
      <c r="GI78" s="175"/>
      <c r="GK78" s="175"/>
      <c r="GL78" s="81"/>
      <c r="GM78" s="175"/>
      <c r="GO78" s="175"/>
      <c r="GQ78" s="175"/>
      <c r="GR78" s="81"/>
      <c r="GS78" s="175"/>
      <c r="GU78" s="175"/>
      <c r="GW78" s="175"/>
      <c r="GX78" s="81"/>
      <c r="GY78" s="175"/>
      <c r="HA78" s="175"/>
      <c r="HC78" s="175"/>
      <c r="HD78" s="81"/>
      <c r="HE78" s="175"/>
      <c r="HG78" s="175"/>
      <c r="HI78" s="175"/>
      <c r="HJ78" s="81"/>
      <c r="HK78" s="175"/>
      <c r="HM78" s="175"/>
      <c r="HO78" s="175"/>
      <c r="HP78" s="81"/>
      <c r="HQ78" s="175"/>
      <c r="HS78" s="175"/>
      <c r="HU78" s="175"/>
      <c r="HV78" s="81"/>
      <c r="HW78" s="175"/>
      <c r="HY78" s="175"/>
      <c r="IA78" s="175"/>
      <c r="IB78" s="81"/>
      <c r="IC78" s="175"/>
      <c r="IE78" s="175"/>
      <c r="IG78" s="175"/>
      <c r="IH78" s="81"/>
      <c r="II78" s="175"/>
      <c r="IK78" s="175"/>
      <c r="IM78" s="175"/>
      <c r="IN78" s="81"/>
      <c r="IO78" s="175"/>
      <c r="IQ78" s="175"/>
      <c r="IS78" s="175"/>
      <c r="IT78" s="81"/>
      <c r="IU78" s="175"/>
      <c r="IW78" s="175"/>
      <c r="IY78" s="175"/>
      <c r="IZ78" s="81"/>
      <c r="JA78" s="175"/>
      <c r="JC78" s="175"/>
      <c r="JE78" s="175"/>
      <c r="JF78" s="81"/>
      <c r="JG78" s="179"/>
      <c r="JI78" s="175"/>
      <c r="JK78" s="175"/>
      <c r="JL78" s="81"/>
      <c r="JM78" s="175"/>
      <c r="JO78" s="175"/>
      <c r="JQ78" s="175"/>
      <c r="JR78" s="81"/>
      <c r="JS78" s="175"/>
      <c r="JU78" s="175"/>
      <c r="JW78" s="175"/>
      <c r="JX78" s="81"/>
      <c r="JY78" s="175"/>
      <c r="KA78" s="175"/>
      <c r="KC78" s="175"/>
      <c r="KD78" s="81"/>
      <c r="KE78" s="175"/>
      <c r="KG78" s="175"/>
      <c r="KI78" s="175"/>
      <c r="KJ78" s="81"/>
      <c r="KK78" s="175"/>
      <c r="KM78" s="175"/>
      <c r="KO78" s="175"/>
      <c r="KP78" s="81"/>
      <c r="KQ78" s="175"/>
      <c r="KS78" s="175"/>
      <c r="KU78" s="175"/>
      <c r="KV78" s="81"/>
      <c r="KW78" s="175"/>
      <c r="KY78" s="175"/>
      <c r="LA78" s="175"/>
      <c r="LB78" s="81"/>
      <c r="LC78" s="175"/>
      <c r="LE78" s="175"/>
      <c r="LG78" s="175"/>
      <c r="LH78" s="81"/>
      <c r="LI78" s="175"/>
      <c r="LK78" s="175"/>
      <c r="LM78" s="175"/>
      <c r="LN78" s="81"/>
      <c r="LO78" s="175"/>
      <c r="LQ78" s="175"/>
      <c r="LS78" s="175"/>
      <c r="LT78" s="81"/>
      <c r="LU78" s="175"/>
      <c r="LW78" s="175"/>
      <c r="LY78" s="175"/>
      <c r="LZ78" s="81"/>
      <c r="MA78" s="175"/>
      <c r="MC78" s="175"/>
      <c r="ME78" s="175"/>
      <c r="MF78" s="81"/>
      <c r="MG78" s="175"/>
      <c r="MI78" s="175"/>
      <c r="MK78" s="175"/>
      <c r="ML78" s="81"/>
      <c r="MM78" s="175"/>
      <c r="MO78" s="175"/>
      <c r="MQ78" s="175"/>
      <c r="MS78" s="175"/>
      <c r="MU78" s="175"/>
      <c r="MW78" s="175"/>
    </row>
    <row r="79" spans="1:361" s="10" customFormat="1" hidden="1" x14ac:dyDescent="0.35">
      <c r="A79"/>
      <c r="B79"/>
      <c r="AS79"/>
      <c r="AT79"/>
      <c r="AU79"/>
      <c r="CC79"/>
      <c r="CD79"/>
      <c r="CT79" s="81"/>
      <c r="CU79"/>
      <c r="CV79"/>
      <c r="CW79"/>
      <c r="CX79"/>
      <c r="CY79"/>
      <c r="CZ79" s="81"/>
      <c r="DA79"/>
      <c r="DB79"/>
      <c r="DC79"/>
      <c r="DD79"/>
      <c r="DE79"/>
      <c r="DF79" s="81"/>
      <c r="DG79"/>
      <c r="DH79"/>
      <c r="DI79"/>
      <c r="DJ79"/>
      <c r="DK79"/>
      <c r="DL79" s="81"/>
      <c r="DM79"/>
      <c r="DN79"/>
      <c r="DO79"/>
      <c r="DP79"/>
      <c r="DQ79"/>
      <c r="DR79" s="81"/>
      <c r="DS79"/>
      <c r="DT79"/>
      <c r="DU79"/>
      <c r="DV79"/>
      <c r="DW79"/>
      <c r="DX79" s="81"/>
      <c r="DY79"/>
      <c r="DZ79"/>
      <c r="EA79"/>
      <c r="EB79"/>
      <c r="EC79"/>
      <c r="ED79" s="81"/>
      <c r="EE79"/>
      <c r="EF79"/>
      <c r="EG79"/>
      <c r="EH79"/>
      <c r="EI79"/>
      <c r="EJ79" s="81"/>
      <c r="EK79"/>
      <c r="EL79"/>
      <c r="EM79"/>
      <c r="EN79"/>
      <c r="EO79"/>
      <c r="EP79" s="81"/>
      <c r="EQ79"/>
      <c r="ES79"/>
      <c r="EU79"/>
      <c r="EV79" s="81"/>
      <c r="EW79"/>
      <c r="EY79"/>
      <c r="FA79"/>
      <c r="FB79" s="81"/>
      <c r="FC79"/>
      <c r="FE79" s="175"/>
      <c r="FG79" s="175"/>
      <c r="FH79" s="81"/>
      <c r="FI79" s="175"/>
      <c r="FK79" s="175"/>
      <c r="FM79" s="175"/>
      <c r="FN79" s="81"/>
      <c r="FO79" s="175"/>
      <c r="FQ79" s="175"/>
      <c r="FS79" s="175"/>
      <c r="FT79" s="81"/>
      <c r="FU79" s="175"/>
      <c r="FW79" s="175"/>
      <c r="FY79" s="175"/>
      <c r="FZ79" s="81"/>
      <c r="GA79" s="175"/>
      <c r="GC79" s="175"/>
      <c r="GE79" s="175"/>
      <c r="GF79" s="81"/>
      <c r="GG79" s="175"/>
      <c r="GI79" s="175"/>
      <c r="GK79" s="175"/>
      <c r="GL79" s="81"/>
      <c r="GM79" s="175"/>
      <c r="GO79" s="175"/>
      <c r="GQ79" s="175"/>
      <c r="GR79" s="81"/>
      <c r="GS79" s="175"/>
      <c r="GU79" s="175"/>
      <c r="GW79" s="175"/>
      <c r="GX79" s="81"/>
      <c r="GY79" s="175"/>
      <c r="HA79" s="175"/>
      <c r="HC79" s="175"/>
      <c r="HD79" s="81"/>
      <c r="HE79" s="175"/>
      <c r="HG79" s="175"/>
      <c r="HI79" s="175"/>
      <c r="HJ79" s="81"/>
      <c r="HK79" s="175"/>
      <c r="HM79" s="175"/>
      <c r="HO79" s="175"/>
      <c r="HP79" s="81"/>
      <c r="HQ79" s="175"/>
      <c r="HS79" s="175"/>
      <c r="HU79" s="175"/>
      <c r="HV79" s="81"/>
      <c r="HW79" s="175"/>
      <c r="HY79" s="175"/>
      <c r="IA79" s="175"/>
      <c r="IB79" s="81"/>
      <c r="IC79" s="175"/>
      <c r="IE79" s="175"/>
      <c r="IG79" s="175"/>
      <c r="IH79" s="81"/>
      <c r="II79" s="175"/>
      <c r="IK79" s="175"/>
      <c r="IM79" s="175"/>
      <c r="IN79" s="81"/>
      <c r="IO79" s="175"/>
      <c r="IQ79" s="175"/>
      <c r="IS79" s="175"/>
      <c r="IT79" s="81"/>
      <c r="IU79" s="175"/>
      <c r="IW79" s="175"/>
      <c r="IY79" s="175"/>
      <c r="IZ79" s="81"/>
      <c r="JA79" s="175"/>
      <c r="JC79" s="175"/>
      <c r="JE79" s="175"/>
      <c r="JF79" s="81"/>
      <c r="JG79" s="179"/>
      <c r="JI79" s="175"/>
      <c r="JK79" s="175"/>
      <c r="JL79" s="81"/>
      <c r="JM79" s="175"/>
      <c r="JO79" s="175"/>
      <c r="JQ79" s="175"/>
      <c r="JR79" s="81"/>
      <c r="JS79" s="175"/>
      <c r="JU79" s="175"/>
      <c r="JW79" s="175"/>
      <c r="JX79" s="81"/>
      <c r="JY79" s="175"/>
      <c r="KA79" s="175"/>
      <c r="KC79" s="175"/>
      <c r="KD79" s="81"/>
      <c r="KE79" s="175"/>
      <c r="KG79" s="175"/>
      <c r="KI79" s="175"/>
      <c r="KJ79" s="81"/>
      <c r="KK79" s="175"/>
      <c r="KM79" s="175"/>
      <c r="KO79" s="175"/>
      <c r="KP79" s="81"/>
      <c r="KQ79" s="175"/>
      <c r="KS79" s="175"/>
      <c r="KU79" s="175"/>
      <c r="KV79" s="81"/>
      <c r="KW79" s="175"/>
      <c r="KY79" s="175"/>
      <c r="LA79" s="175"/>
      <c r="LB79" s="81"/>
      <c r="LC79" s="175"/>
      <c r="LE79" s="175"/>
      <c r="LG79" s="175"/>
      <c r="LH79" s="81"/>
      <c r="LI79" s="175"/>
      <c r="LK79" s="175"/>
      <c r="LM79" s="175"/>
      <c r="LN79" s="81"/>
      <c r="LO79" s="175"/>
      <c r="LQ79" s="175"/>
      <c r="LS79" s="175"/>
      <c r="LT79" s="81"/>
      <c r="LU79" s="175"/>
      <c r="LW79" s="175"/>
      <c r="LY79" s="175"/>
      <c r="LZ79" s="81"/>
      <c r="MA79" s="175"/>
      <c r="MC79" s="175"/>
      <c r="ME79" s="175"/>
      <c r="MF79" s="81"/>
      <c r="MG79" s="175"/>
      <c r="MI79" s="175"/>
      <c r="MK79" s="175"/>
      <c r="ML79" s="81"/>
      <c r="MM79" s="175"/>
      <c r="MO79" s="175"/>
      <c r="MQ79" s="175"/>
      <c r="MS79" s="175"/>
      <c r="MU79" s="175"/>
      <c r="MW79" s="175"/>
    </row>
    <row r="80" spans="1:361" s="10" customFormat="1" hidden="1" x14ac:dyDescent="0.35">
      <c r="A80"/>
      <c r="B80"/>
      <c r="AS80"/>
      <c r="AT80"/>
      <c r="AU80"/>
      <c r="CC80"/>
      <c r="CD80"/>
      <c r="CT80" s="81"/>
      <c r="CU80"/>
      <c r="CV80" s="66">
        <f>'Actual Adjustment (SIV)'!AB21</f>
        <v>1.0269519577310613</v>
      </c>
      <c r="CW80" s="95"/>
      <c r="CX80" s="43">
        <f>CV80</f>
        <v>1.0269519577310613</v>
      </c>
      <c r="CY80" s="40"/>
      <c r="CZ80" s="150">
        <f>CX80</f>
        <v>1.0269519577310613</v>
      </c>
      <c r="DA80" s="40"/>
      <c r="DB80" s="43">
        <f>CZ80</f>
        <v>1.0269519577310613</v>
      </c>
      <c r="DC80" s="40"/>
      <c r="DD80" s="43">
        <f>DB80</f>
        <v>1.0269519577310613</v>
      </c>
      <c r="DE80" s="40"/>
      <c r="DF80" s="150">
        <f>DD80</f>
        <v>1.0269519577310613</v>
      </c>
      <c r="DG80" s="40"/>
      <c r="DH80" s="43">
        <f>DF80</f>
        <v>1.0269519577310613</v>
      </c>
      <c r="DI80" s="40"/>
      <c r="DJ80" s="43">
        <f>DH80</f>
        <v>1.0269519577310613</v>
      </c>
      <c r="DK80" s="40"/>
      <c r="DL80" s="150">
        <f>DJ80</f>
        <v>1.0269519577310613</v>
      </c>
      <c r="DM80" s="40"/>
      <c r="DN80" s="43">
        <f>DL80</f>
        <v>1.0269519577310613</v>
      </c>
      <c r="DO80" s="40"/>
      <c r="DP80" s="43">
        <f>DN80</f>
        <v>1.0269519577310613</v>
      </c>
      <c r="DQ80" s="40"/>
      <c r="DR80" s="150">
        <f>DP80</f>
        <v>1.0269519577310613</v>
      </c>
      <c r="DS80" s="156"/>
      <c r="DT80" s="144"/>
      <c r="DU80" s="144"/>
      <c r="DV80" s="144"/>
      <c r="DW80" s="144"/>
      <c r="DX80" s="118"/>
      <c r="DY80" s="40"/>
      <c r="DZ80" s="151">
        <f>DX82</f>
        <v>2.5192954380654324E-2</v>
      </c>
      <c r="EA80" s="40"/>
      <c r="EB80" s="43">
        <f>DZ80</f>
        <v>2.5192954380654324E-2</v>
      </c>
      <c r="EC80" s="40"/>
      <c r="ED80" s="150">
        <f>EB80</f>
        <v>2.5192954380654324E-2</v>
      </c>
      <c r="EE80" s="40"/>
      <c r="EF80" s="43">
        <f>ED80</f>
        <v>2.5192954380654324E-2</v>
      </c>
      <c r="EG80" s="40"/>
      <c r="EH80" s="43">
        <f>EF80</f>
        <v>2.5192954380654324E-2</v>
      </c>
      <c r="EI80" s="40"/>
      <c r="EJ80" s="150">
        <f>EH80</f>
        <v>2.5192954380654324E-2</v>
      </c>
      <c r="EK80" s="40"/>
      <c r="EL80" s="43">
        <f>EJ80</f>
        <v>2.5192954380654324E-2</v>
      </c>
      <c r="EM80" s="40"/>
      <c r="EN80" s="43">
        <f>EL80</f>
        <v>2.5192954380654324E-2</v>
      </c>
      <c r="EO80" s="40"/>
      <c r="EP80" s="150">
        <f>EN80</f>
        <v>2.5192954380654324E-2</v>
      </c>
      <c r="EQ80" s="40"/>
      <c r="ER80" s="43">
        <f>EP80</f>
        <v>2.5192954380654324E-2</v>
      </c>
      <c r="ES80" s="40"/>
      <c r="ET80" s="43">
        <f>ER80</f>
        <v>2.5192954380654324E-2</v>
      </c>
      <c r="EU80" s="40"/>
      <c r="EV80" s="150">
        <f>ET80</f>
        <v>2.5192954380654324E-2</v>
      </c>
      <c r="EW80" s="40"/>
      <c r="EY80"/>
      <c r="FA80"/>
      <c r="FB80" s="81"/>
      <c r="FC80"/>
      <c r="FE80" s="175"/>
      <c r="FG80" s="175"/>
      <c r="FH80" s="81"/>
      <c r="FI80" s="175"/>
      <c r="FK80" s="175"/>
      <c r="FM80" s="175"/>
      <c r="FN80" s="81"/>
      <c r="FO80" s="175"/>
      <c r="FQ80" s="175"/>
      <c r="FS80" s="175"/>
      <c r="FT80" s="81"/>
      <c r="FU80" s="175"/>
      <c r="FW80" s="175"/>
      <c r="FY80" s="175"/>
      <c r="FZ80" s="81"/>
      <c r="GA80" s="175"/>
      <c r="GC80" s="175"/>
      <c r="GE80" s="175"/>
      <c r="GF80" s="81"/>
      <c r="GG80" s="175"/>
      <c r="GI80" s="175"/>
      <c r="GK80" s="175"/>
      <c r="GL80" s="81"/>
      <c r="GM80" s="175"/>
      <c r="GO80" s="175"/>
      <c r="GQ80" s="175"/>
      <c r="GR80" s="81"/>
      <c r="GS80" s="175"/>
      <c r="GU80" s="175"/>
      <c r="GW80" s="175"/>
      <c r="GX80" s="81"/>
      <c r="GY80" s="175"/>
      <c r="HA80" s="175"/>
      <c r="HC80" s="175"/>
      <c r="HD80" s="81"/>
      <c r="HE80" s="175"/>
      <c r="HG80" s="175"/>
      <c r="HI80" s="175"/>
      <c r="HJ80" s="81"/>
      <c r="HK80" s="175"/>
      <c r="HM80" s="175"/>
      <c r="HO80" s="175"/>
      <c r="HP80" s="81"/>
      <c r="HQ80" s="175"/>
      <c r="HS80" s="175"/>
      <c r="HU80" s="175"/>
      <c r="HV80" s="81"/>
      <c r="HW80" s="175"/>
      <c r="HY80" s="175"/>
      <c r="IA80" s="175"/>
      <c r="IB80" s="81"/>
      <c r="IC80" s="175"/>
      <c r="IE80" s="175"/>
      <c r="IG80" s="175"/>
      <c r="IH80" s="81"/>
      <c r="II80" s="175"/>
      <c r="IK80" s="175"/>
      <c r="IM80" s="175"/>
      <c r="IN80" s="81"/>
      <c r="IO80" s="175"/>
      <c r="IQ80" s="175"/>
      <c r="IS80" s="175"/>
      <c r="IT80" s="81"/>
      <c r="IU80" s="175"/>
      <c r="IW80" s="175"/>
      <c r="IY80" s="175"/>
      <c r="IZ80" s="81"/>
      <c r="JA80" s="175"/>
      <c r="JC80" s="175"/>
      <c r="JE80" s="175"/>
      <c r="JF80" s="81"/>
      <c r="JG80" s="179"/>
      <c r="JI80" s="175"/>
      <c r="JK80" s="175"/>
      <c r="JL80" s="81"/>
      <c r="JM80" s="175"/>
      <c r="JO80" s="175"/>
      <c r="JQ80" s="175"/>
      <c r="JR80" s="81"/>
      <c r="JS80" s="175"/>
      <c r="JU80" s="175"/>
      <c r="JW80" s="175"/>
      <c r="JX80" s="81"/>
      <c r="JY80" s="175"/>
      <c r="KA80" s="175"/>
      <c r="KC80" s="175"/>
      <c r="KD80" s="81"/>
      <c r="KE80" s="175"/>
      <c r="KG80" s="175"/>
      <c r="KI80" s="175"/>
      <c r="KJ80" s="81"/>
      <c r="KK80" s="175"/>
      <c r="KM80" s="175"/>
      <c r="KO80" s="175"/>
      <c r="KP80" s="81"/>
      <c r="KQ80" s="175"/>
      <c r="KS80" s="175"/>
      <c r="KU80" s="175"/>
      <c r="KV80" s="81"/>
      <c r="KW80" s="175"/>
      <c r="KY80" s="175"/>
      <c r="LA80" s="175"/>
      <c r="LB80" s="81"/>
      <c r="LC80" s="175"/>
      <c r="LE80" s="175"/>
      <c r="LG80" s="175"/>
      <c r="LH80" s="81"/>
      <c r="LI80" s="175"/>
      <c r="LK80" s="175"/>
      <c r="LM80" s="175"/>
      <c r="LN80" s="81"/>
      <c r="LO80" s="175"/>
      <c r="LQ80" s="175"/>
      <c r="LS80" s="175"/>
      <c r="LT80" s="81"/>
      <c r="LU80" s="175"/>
      <c r="LW80" s="175"/>
      <c r="LY80" s="175"/>
      <c r="LZ80" s="81"/>
      <c r="MA80" s="175"/>
      <c r="MC80" s="175"/>
      <c r="ME80" s="175"/>
      <c r="MF80" s="81"/>
      <c r="MG80" s="175"/>
      <c r="MI80" s="175"/>
      <c r="MK80" s="175"/>
      <c r="ML80" s="81"/>
      <c r="MM80" s="175"/>
      <c r="MO80" s="175"/>
      <c r="MQ80" s="175"/>
      <c r="MS80" s="175"/>
      <c r="MU80" s="175"/>
      <c r="MW80" s="175"/>
    </row>
    <row r="81" spans="45:361" s="10" customFormat="1" hidden="1" x14ac:dyDescent="0.35">
      <c r="AS81"/>
      <c r="AT81"/>
      <c r="AU81"/>
      <c r="CC81"/>
      <c r="CD81"/>
      <c r="CT81" s="93">
        <f>'Actual Adjustment (SIV)'!AB19</f>
        <v>30835.259482832844</v>
      </c>
      <c r="CU81"/>
      <c r="CV81" s="33">
        <f>CT81-(CV$5*CV80)</f>
        <v>27075.793755970975</v>
      </c>
      <c r="CW81"/>
      <c r="CX81" s="33">
        <f>CV81-(CX$5*CX80)</f>
        <v>25095.111515095079</v>
      </c>
      <c r="CY81"/>
      <c r="CZ81" s="82">
        <f>CX81-(CZ$5*CZ80)</f>
        <v>23886.799841628712</v>
      </c>
      <c r="DA81"/>
      <c r="DB81" s="33">
        <f>CZ81-(DB$5*DB80)</f>
        <v>22600.029038591692</v>
      </c>
      <c r="DC81"/>
      <c r="DD81" s="33">
        <f>DB81-(DD$5*DD80)</f>
        <v>21696.208620592584</v>
      </c>
      <c r="DE81"/>
      <c r="DF81" s="82">
        <f>DD81-(DF$5*DF80)</f>
        <v>20622.427653588988</v>
      </c>
      <c r="DG81"/>
      <c r="DH81" s="33">
        <f>DF81-(DH$5*DH80)</f>
        <v>19362.049515865656</v>
      </c>
      <c r="DI81"/>
      <c r="DJ81" s="33">
        <f>DH81-(DJ$5*DJ80)</f>
        <v>18285.084997793092</v>
      </c>
      <c r="DK81"/>
      <c r="DL81" s="82">
        <f>DJ81-(DL$5*DL80)</f>
        <v>16423.426488818222</v>
      </c>
      <c r="DM81"/>
      <c r="DN81" s="33">
        <f>DL81-(DN$5*DN80)</f>
        <v>12651.740033659353</v>
      </c>
      <c r="DO81"/>
      <c r="DP81" s="33">
        <f>DN81-(DP$5*DP80)</f>
        <v>9721.3326222737687</v>
      </c>
      <c r="DQ81"/>
      <c r="DR81" s="82">
        <f>DP81-(DR$5*DR80)</f>
        <v>3485.1668589518986</v>
      </c>
      <c r="DS81" s="157"/>
      <c r="DT81" s="143">
        <f>DR81</f>
        <v>3485.1668589518986</v>
      </c>
      <c r="DU81" s="143"/>
      <c r="DV81" s="143">
        <f>DT81</f>
        <v>3485.1668589518986</v>
      </c>
      <c r="DW81" s="143"/>
      <c r="DX81" s="169">
        <f>DV81+DR61</f>
        <v>670.94631895190014</v>
      </c>
      <c r="DY81"/>
      <c r="DZ81" s="33">
        <f>DX81-(DZ$5*DZ80)</f>
        <v>630.56201307971128</v>
      </c>
      <c r="EA81"/>
      <c r="EB81" s="33">
        <f>DZ81-(EB$5*EB80)</f>
        <v>607.60619304805903</v>
      </c>
      <c r="EC81"/>
      <c r="ED81" s="82">
        <f>EB81-(ED$5*ED80)</f>
        <v>587.20493859060514</v>
      </c>
      <c r="EE81"/>
      <c r="EF81" s="33">
        <f>ED81-(EF$5*EF80)</f>
        <v>560.8228767631839</v>
      </c>
      <c r="EG81"/>
      <c r="EH81" s="33">
        <f>EF81-(EH$5*EH80)</f>
        <v>534.35263959543045</v>
      </c>
      <c r="EI81"/>
      <c r="EJ81" s="82">
        <f>EH81-(EJ$5*EJ80)</f>
        <v>493.58036222577948</v>
      </c>
      <c r="EK81"/>
      <c r="EL81" s="33">
        <f>EJ81-(EL$5*EL80)</f>
        <v>434.7800067013323</v>
      </c>
      <c r="EM81"/>
      <c r="EN81" s="33">
        <f>EL81-(EN$5*EN80)</f>
        <v>336.3763268904965</v>
      </c>
      <c r="EO81"/>
      <c r="EP81" s="82">
        <f>EN81-(EP$5*EP80)</f>
        <v>173.5038768195663</v>
      </c>
      <c r="EQ81"/>
      <c r="ER81" s="33">
        <f>EP81-(ER$5*ER80)</f>
        <v>29.652107306030103</v>
      </c>
      <c r="ES81"/>
      <c r="ET81" s="33">
        <f>ER81-(ET$5*ET80)</f>
        <v>-70.162377950122334</v>
      </c>
      <c r="EU81"/>
      <c r="EV81" s="168">
        <f>ET81-(EV$5*EV80)</f>
        <v>-124.98224668242614</v>
      </c>
      <c r="EW81"/>
      <c r="EY81"/>
      <c r="FA81"/>
      <c r="FB81" s="81"/>
      <c r="FC81"/>
      <c r="FE81" s="175"/>
      <c r="FG81" s="175"/>
      <c r="FH81" s="81"/>
      <c r="FI81" s="175"/>
      <c r="FK81" s="175"/>
      <c r="FM81" s="175"/>
      <c r="FN81" s="81"/>
      <c r="FO81" s="175"/>
      <c r="FQ81" s="175"/>
      <c r="FS81" s="175"/>
      <c r="FT81" s="81"/>
      <c r="FU81" s="175"/>
      <c r="FW81" s="175"/>
      <c r="FY81" s="175"/>
      <c r="FZ81" s="81"/>
      <c r="GA81" s="175"/>
      <c r="GC81" s="175"/>
      <c r="GE81" s="175"/>
      <c r="GF81" s="81"/>
      <c r="GG81" s="175"/>
      <c r="GI81" s="175"/>
      <c r="GK81" s="175"/>
      <c r="GL81" s="81"/>
      <c r="GM81" s="175"/>
      <c r="GO81" s="175"/>
      <c r="GQ81" s="175"/>
      <c r="GR81" s="81"/>
      <c r="GS81" s="175"/>
      <c r="GU81" s="175"/>
      <c r="GW81" s="175"/>
      <c r="GX81" s="81"/>
      <c r="GY81" s="175"/>
      <c r="HA81" s="175"/>
      <c r="HC81" s="175"/>
      <c r="HD81" s="81"/>
      <c r="HE81" s="175"/>
      <c r="HG81" s="175"/>
      <c r="HI81" s="175"/>
      <c r="HJ81" s="81"/>
      <c r="HK81" s="175"/>
      <c r="HM81" s="175"/>
      <c r="HO81" s="175"/>
      <c r="HP81" s="81"/>
      <c r="HQ81" s="175"/>
      <c r="HS81" s="175"/>
      <c r="HU81" s="175"/>
      <c r="HV81" s="81"/>
      <c r="HW81" s="175"/>
      <c r="HY81" s="175"/>
      <c r="IA81" s="175"/>
      <c r="IB81" s="81"/>
      <c r="IC81" s="175"/>
      <c r="IE81" s="175"/>
      <c r="IG81" s="175"/>
      <c r="IH81" s="81"/>
      <c r="II81" s="175"/>
      <c r="IK81" s="175"/>
      <c r="IM81" s="175"/>
      <c r="IN81" s="81"/>
      <c r="IO81" s="175"/>
      <c r="IQ81" s="175"/>
      <c r="IS81" s="175"/>
      <c r="IT81" s="81"/>
      <c r="IU81" s="175"/>
      <c r="IW81" s="175"/>
      <c r="IY81" s="175"/>
      <c r="IZ81" s="81"/>
      <c r="JA81" s="175"/>
      <c r="JC81" s="175"/>
      <c r="JE81" s="175"/>
      <c r="JF81" s="81"/>
      <c r="JG81" s="179"/>
      <c r="JI81" s="175"/>
      <c r="JK81" s="175"/>
      <c r="JL81" s="81"/>
      <c r="JM81" s="175"/>
      <c r="JO81" s="175"/>
      <c r="JQ81" s="175"/>
      <c r="JR81" s="81"/>
      <c r="JS81" s="175"/>
      <c r="JU81" s="175"/>
      <c r="JW81" s="175"/>
      <c r="JX81" s="81"/>
      <c r="JY81" s="175"/>
      <c r="KA81" s="175"/>
      <c r="KC81" s="175"/>
      <c r="KD81" s="81"/>
      <c r="KE81" s="175"/>
      <c r="KG81" s="175"/>
      <c r="KI81" s="175"/>
      <c r="KJ81" s="81"/>
      <c r="KK81" s="175"/>
      <c r="KM81" s="175"/>
      <c r="KO81" s="175"/>
      <c r="KP81" s="81"/>
      <c r="KQ81" s="175"/>
      <c r="KS81" s="175"/>
      <c r="KU81" s="175"/>
      <c r="KV81" s="81"/>
      <c r="KW81" s="175"/>
      <c r="KY81" s="175"/>
      <c r="LA81" s="175"/>
      <c r="LB81" s="81"/>
      <c r="LC81" s="175"/>
      <c r="LE81" s="175"/>
      <c r="LG81" s="175"/>
      <c r="LH81" s="81"/>
      <c r="LI81" s="175"/>
      <c r="LK81" s="175"/>
      <c r="LM81" s="175"/>
      <c r="LN81" s="81"/>
      <c r="LO81" s="175"/>
      <c r="LQ81" s="175"/>
      <c r="LS81" s="175"/>
      <c r="LT81" s="81"/>
      <c r="LU81" s="175"/>
      <c r="LW81" s="175"/>
      <c r="LY81" s="175"/>
      <c r="LZ81" s="81"/>
      <c r="MA81" s="175"/>
      <c r="MC81" s="175"/>
      <c r="ME81" s="175"/>
      <c r="MF81" s="81"/>
      <c r="MG81" s="175"/>
      <c r="MI81" s="175"/>
      <c r="MK81" s="175"/>
      <c r="ML81" s="81"/>
      <c r="MM81" s="175"/>
      <c r="MO81" s="175"/>
      <c r="MQ81" s="175"/>
      <c r="MS81" s="175"/>
      <c r="MU81" s="175"/>
      <c r="MW81" s="175"/>
    </row>
    <row r="82" spans="45:361" s="10" customFormat="1" hidden="1" x14ac:dyDescent="0.35">
      <c r="AS82"/>
      <c r="AT82"/>
      <c r="AU82"/>
      <c r="CC82"/>
      <c r="CD82"/>
      <c r="CT82" s="81"/>
      <c r="CU82"/>
      <c r="CV82"/>
      <c r="CW82"/>
      <c r="CX82"/>
      <c r="CY82"/>
      <c r="CZ82" s="81"/>
      <c r="DA82"/>
      <c r="DB82"/>
      <c r="DC82"/>
      <c r="DD82"/>
      <c r="DE82"/>
      <c r="DF82" s="81"/>
      <c r="DG82"/>
      <c r="DH82"/>
      <c r="DI82"/>
      <c r="DJ82"/>
      <c r="DK82"/>
      <c r="DL82" s="81"/>
      <c r="DM82"/>
      <c r="DN82"/>
      <c r="DO82"/>
      <c r="DP82"/>
      <c r="DQ82"/>
      <c r="DR82" s="158"/>
      <c r="DS82"/>
      <c r="DT82"/>
      <c r="DU82"/>
      <c r="DV82"/>
      <c r="DW82"/>
      <c r="DX82" s="101">
        <f>(DX81/SUM(CV$5:DR$5))</f>
        <v>2.5192954380654324E-2</v>
      </c>
      <c r="DY82"/>
      <c r="DZ82"/>
      <c r="EA82"/>
      <c r="EB82"/>
      <c r="EC82"/>
      <c r="ED82" s="81"/>
      <c r="EE82"/>
      <c r="EF82"/>
      <c r="EG82"/>
      <c r="EH82"/>
      <c r="EI82"/>
      <c r="EJ82" s="81"/>
      <c r="EK82"/>
      <c r="EL82"/>
      <c r="EM82"/>
      <c r="EN82"/>
      <c r="EO82"/>
      <c r="EP82" s="81"/>
      <c r="EQ82"/>
      <c r="ES82"/>
      <c r="EU82"/>
      <c r="EV82" s="81"/>
      <c r="EW82"/>
      <c r="EY82"/>
      <c r="FA82"/>
      <c r="FB82" s="81"/>
      <c r="FC82"/>
      <c r="FE82" s="175"/>
      <c r="FG82" s="175"/>
      <c r="FH82" s="81"/>
      <c r="FI82" s="175"/>
      <c r="FK82" s="175"/>
      <c r="FM82" s="175"/>
      <c r="FN82" s="81"/>
      <c r="FO82" s="175"/>
      <c r="FQ82" s="175"/>
      <c r="FS82" s="175"/>
      <c r="FT82" s="81"/>
      <c r="FU82" s="175"/>
      <c r="FW82" s="175"/>
      <c r="FY82" s="175"/>
      <c r="FZ82" s="81"/>
      <c r="GA82" s="175"/>
      <c r="GC82" s="175"/>
      <c r="GE82" s="175"/>
      <c r="GF82" s="81"/>
      <c r="GG82" s="175"/>
      <c r="GI82" s="175"/>
      <c r="GK82" s="175"/>
      <c r="GL82" s="81"/>
      <c r="GM82" s="175"/>
      <c r="GO82" s="175"/>
      <c r="GQ82" s="175"/>
      <c r="GR82" s="81"/>
      <c r="GS82" s="175"/>
      <c r="GU82" s="175"/>
      <c r="GW82" s="175"/>
      <c r="GX82" s="81"/>
      <c r="GY82" s="175"/>
      <c r="HA82" s="175"/>
      <c r="HC82" s="175"/>
      <c r="HD82" s="81"/>
      <c r="HE82" s="175"/>
      <c r="HG82" s="175"/>
      <c r="HI82" s="175"/>
      <c r="HJ82" s="81"/>
      <c r="HK82" s="175"/>
      <c r="HM82" s="175"/>
      <c r="HO82" s="175"/>
      <c r="HP82" s="81"/>
      <c r="HQ82" s="175"/>
      <c r="HS82" s="175"/>
      <c r="HU82" s="175"/>
      <c r="HV82" s="81"/>
      <c r="HW82" s="175"/>
      <c r="HY82" s="175"/>
      <c r="IA82" s="175"/>
      <c r="IB82" s="81"/>
      <c r="IC82" s="175"/>
      <c r="IE82" s="175"/>
      <c r="IG82" s="175"/>
      <c r="IH82" s="81"/>
      <c r="II82" s="175"/>
      <c r="IK82" s="175"/>
      <c r="IM82" s="175"/>
      <c r="IN82" s="81"/>
      <c r="IO82" s="175"/>
      <c r="IQ82" s="175"/>
      <c r="IS82" s="175"/>
      <c r="IT82" s="81"/>
      <c r="IU82" s="175"/>
      <c r="IW82" s="175"/>
      <c r="IY82" s="175"/>
      <c r="IZ82" s="81"/>
      <c r="JA82" s="175"/>
      <c r="JC82" s="175"/>
      <c r="JE82" s="175"/>
      <c r="JF82" s="81"/>
      <c r="JG82" s="179"/>
      <c r="JI82" s="175"/>
      <c r="JK82" s="175"/>
      <c r="JL82" s="81"/>
      <c r="JM82" s="175"/>
      <c r="JO82" s="175"/>
      <c r="JQ82" s="175"/>
      <c r="JR82" s="81"/>
      <c r="JS82" s="175"/>
      <c r="JU82" s="175"/>
      <c r="JW82" s="175"/>
      <c r="JX82" s="81"/>
      <c r="JY82" s="175"/>
      <c r="KA82" s="175"/>
      <c r="KC82" s="175"/>
      <c r="KD82" s="81"/>
      <c r="KE82" s="175"/>
      <c r="KG82" s="175"/>
      <c r="KI82" s="175"/>
      <c r="KJ82" s="81"/>
      <c r="KK82" s="175"/>
      <c r="KM82" s="175"/>
      <c r="KO82" s="175"/>
      <c r="KP82" s="81"/>
      <c r="KQ82" s="175"/>
      <c r="KS82" s="175"/>
      <c r="KU82" s="175"/>
      <c r="KV82" s="81"/>
      <c r="KW82" s="175"/>
      <c r="KY82" s="175"/>
      <c r="LA82" s="175"/>
      <c r="LB82" s="81"/>
      <c r="LC82" s="175"/>
      <c r="LE82" s="175"/>
      <c r="LG82" s="175"/>
      <c r="LH82" s="81"/>
      <c r="LI82" s="175"/>
      <c r="LK82" s="175"/>
      <c r="LM82" s="175"/>
      <c r="LN82" s="81"/>
      <c r="LO82" s="175"/>
      <c r="LQ82" s="175"/>
      <c r="LS82" s="175"/>
      <c r="LT82" s="81"/>
      <c r="LU82" s="175"/>
      <c r="LW82" s="175"/>
      <c r="LY82" s="175"/>
      <c r="LZ82" s="81"/>
      <c r="MA82" s="175"/>
      <c r="MC82" s="175"/>
      <c r="ME82" s="175"/>
      <c r="MF82" s="81"/>
      <c r="MG82" s="175"/>
      <c r="MI82" s="175"/>
      <c r="MK82" s="175"/>
      <c r="ML82" s="81"/>
      <c r="MM82" s="175"/>
      <c r="MO82" s="175"/>
      <c r="MQ82" s="175"/>
      <c r="MS82" s="175"/>
      <c r="MU82" s="175"/>
      <c r="MW82" s="175"/>
    </row>
    <row r="83" spans="45:361" s="10" customFormat="1" hidden="1" x14ac:dyDescent="0.35">
      <c r="AS83"/>
      <c r="AT83"/>
      <c r="AU83"/>
      <c r="CC83"/>
      <c r="CD83"/>
      <c r="CZ83" s="81"/>
      <c r="DA83"/>
      <c r="DB83"/>
      <c r="DC83"/>
      <c r="DD83"/>
      <c r="DE83"/>
      <c r="DF83" s="81"/>
      <c r="DG83"/>
      <c r="DH83"/>
      <c r="DI83"/>
      <c r="DJ83"/>
      <c r="DK83"/>
      <c r="DL83" s="81"/>
      <c r="DM83"/>
      <c r="DN83"/>
      <c r="DO83"/>
      <c r="DP83"/>
      <c r="DQ83"/>
      <c r="DR83" s="81"/>
      <c r="DS83"/>
      <c r="DT83"/>
      <c r="DU83"/>
      <c r="DV83"/>
      <c r="DW83"/>
      <c r="DX83" s="81"/>
      <c r="DY83"/>
      <c r="DZ83"/>
      <c r="EA83"/>
      <c r="EB83"/>
      <c r="EC83"/>
      <c r="ED83" s="81"/>
      <c r="EE83"/>
      <c r="EF83"/>
      <c r="EG83"/>
      <c r="EH83"/>
      <c r="EI83"/>
      <c r="EJ83" s="81"/>
      <c r="EK83"/>
      <c r="EL83"/>
      <c r="EM83"/>
      <c r="EN83"/>
      <c r="EO83"/>
      <c r="EP83" s="81"/>
      <c r="EQ83"/>
      <c r="ER83"/>
      <c r="ES83"/>
      <c r="ET83"/>
      <c r="EU83"/>
      <c r="EV83" s="81"/>
      <c r="EW83"/>
      <c r="EY83"/>
      <c r="FA83"/>
      <c r="FB83" s="81"/>
      <c r="FC83"/>
      <c r="FE83" s="175"/>
      <c r="FG83" s="175"/>
      <c r="FH83" s="81"/>
      <c r="FI83" s="175"/>
      <c r="FK83" s="175"/>
      <c r="FM83" s="175"/>
      <c r="FN83" s="81"/>
      <c r="FO83" s="175"/>
      <c r="FQ83" s="175"/>
      <c r="FS83" s="175"/>
      <c r="FT83" s="81"/>
      <c r="FU83" s="175"/>
      <c r="FW83" s="175"/>
      <c r="FY83" s="175"/>
      <c r="FZ83" s="81"/>
      <c r="GA83" s="175"/>
      <c r="GC83" s="175"/>
      <c r="GE83" s="175"/>
      <c r="GF83" s="81"/>
      <c r="GG83" s="175"/>
      <c r="GI83" s="175"/>
      <c r="GK83" s="175"/>
      <c r="GL83" s="81"/>
      <c r="GM83" s="175"/>
      <c r="GO83" s="175"/>
      <c r="GQ83" s="175"/>
      <c r="GR83" s="81"/>
      <c r="GS83" s="175"/>
      <c r="GU83" s="175"/>
      <c r="GW83" s="175"/>
      <c r="GX83" s="81"/>
      <c r="GY83" s="175"/>
      <c r="HA83" s="175"/>
      <c r="HC83" s="175"/>
      <c r="HD83" s="81"/>
      <c r="HE83" s="175"/>
      <c r="HG83" s="175"/>
      <c r="HI83" s="175"/>
      <c r="HJ83" s="81"/>
      <c r="HK83" s="175"/>
      <c r="HM83" s="175"/>
      <c r="HO83" s="175"/>
      <c r="HP83" s="81"/>
      <c r="HQ83" s="175"/>
      <c r="HS83" s="175"/>
      <c r="HU83" s="175"/>
      <c r="HV83" s="81"/>
      <c r="HW83" s="175"/>
      <c r="HY83" s="175"/>
      <c r="IA83" s="175"/>
      <c r="IB83" s="81"/>
      <c r="IC83" s="175"/>
      <c r="IE83" s="175"/>
      <c r="IG83" s="175"/>
      <c r="IH83" s="81"/>
      <c r="II83" s="175"/>
      <c r="IK83" s="175"/>
      <c r="IM83" s="175"/>
      <c r="IN83" s="81"/>
      <c r="IO83" s="175"/>
      <c r="IQ83" s="175"/>
      <c r="IS83" s="175"/>
      <c r="IT83" s="81"/>
      <c r="IU83" s="175"/>
      <c r="IW83" s="175"/>
      <c r="IY83" s="175"/>
      <c r="IZ83" s="81"/>
      <c r="JA83" s="175"/>
      <c r="JC83" s="175"/>
      <c r="JE83" s="175"/>
      <c r="JF83" s="81"/>
      <c r="JG83" s="179"/>
      <c r="JI83" s="175"/>
      <c r="JK83" s="175"/>
      <c r="JL83" s="81"/>
      <c r="JM83" s="175"/>
      <c r="JO83" s="175"/>
      <c r="JQ83" s="175"/>
      <c r="JR83" s="81"/>
      <c r="JS83" s="175"/>
      <c r="JU83" s="175"/>
      <c r="JW83" s="175"/>
      <c r="JX83" s="81"/>
      <c r="JY83" s="175"/>
      <c r="KA83" s="175"/>
      <c r="KC83" s="175"/>
      <c r="KD83" s="81"/>
      <c r="KE83" s="175"/>
      <c r="KG83" s="175"/>
      <c r="KI83" s="175"/>
      <c r="KJ83" s="81"/>
      <c r="KK83" s="175"/>
      <c r="KM83" s="175"/>
      <c r="KO83" s="175"/>
      <c r="KP83" s="81"/>
      <c r="KQ83" s="175"/>
      <c r="KS83" s="175"/>
      <c r="KU83" s="175"/>
      <c r="KV83" s="81"/>
      <c r="KW83" s="175"/>
      <c r="KY83" s="175"/>
      <c r="LA83" s="175"/>
      <c r="LB83" s="81"/>
      <c r="LC83" s="175"/>
      <c r="LE83" s="175"/>
      <c r="LG83" s="175"/>
      <c r="LH83" s="81"/>
      <c r="LI83" s="175"/>
      <c r="LK83" s="175"/>
      <c r="LM83" s="175"/>
      <c r="LN83" s="81"/>
      <c r="LO83" s="175"/>
      <c r="LQ83" s="175"/>
      <c r="LS83" s="175"/>
      <c r="LT83" s="81"/>
      <c r="LU83" s="175"/>
      <c r="LW83" s="175"/>
      <c r="LY83" s="175"/>
      <c r="LZ83" s="81"/>
      <c r="MA83" s="175"/>
      <c r="MC83" s="175"/>
      <c r="ME83" s="175"/>
      <c r="MF83" s="81"/>
      <c r="MG83" s="175"/>
      <c r="MI83" s="175"/>
      <c r="MK83" s="175"/>
      <c r="ML83" s="81"/>
      <c r="MM83" s="175"/>
      <c r="MO83" s="175"/>
      <c r="MQ83" s="175"/>
      <c r="MS83" s="175"/>
      <c r="MU83" s="175"/>
      <c r="MW83" s="175"/>
    </row>
    <row r="84" spans="45:361" s="10" customFormat="1" hidden="1" x14ac:dyDescent="0.35">
      <c r="CZ84" s="81"/>
      <c r="DA84"/>
      <c r="DB84" s="66">
        <f>'Actual Adjustment (SIV)'!AH21</f>
        <v>-1.198892805276897</v>
      </c>
      <c r="DC84" s="95"/>
      <c r="DD84" s="43">
        <f>DB84</f>
        <v>-1.198892805276897</v>
      </c>
      <c r="DE84" s="40"/>
      <c r="DF84" s="150">
        <f>DD84</f>
        <v>-1.198892805276897</v>
      </c>
      <c r="DG84" s="40"/>
      <c r="DH84" s="43">
        <f>DF84</f>
        <v>-1.198892805276897</v>
      </c>
      <c r="DI84" s="40"/>
      <c r="DJ84" s="43">
        <f>DH84</f>
        <v>-1.198892805276897</v>
      </c>
      <c r="DK84" s="40"/>
      <c r="DL84" s="150">
        <f>DJ84</f>
        <v>-1.198892805276897</v>
      </c>
      <c r="DM84" s="40"/>
      <c r="DN84" s="43">
        <f>DL84</f>
        <v>-1.198892805276897</v>
      </c>
      <c r="DO84" s="40"/>
      <c r="DP84" s="43">
        <f>DN84</f>
        <v>-1.198892805276897</v>
      </c>
      <c r="DQ84" s="40"/>
      <c r="DR84" s="150">
        <f>DP84</f>
        <v>-1.198892805276897</v>
      </c>
      <c r="DS84" s="40"/>
      <c r="DT84" s="43">
        <f>DR84</f>
        <v>-1.198892805276897</v>
      </c>
      <c r="DU84" s="40"/>
      <c r="DV84" s="43">
        <f>DT84</f>
        <v>-1.198892805276897</v>
      </c>
      <c r="DW84" s="40"/>
      <c r="DX84" s="150">
        <f>DV84</f>
        <v>-1.198892805276897</v>
      </c>
      <c r="DY84" s="156"/>
      <c r="DZ84" s="144"/>
      <c r="EA84" s="144"/>
      <c r="EB84" s="144"/>
      <c r="EC84" s="144"/>
      <c r="ED84" s="118"/>
      <c r="EE84" s="40"/>
      <c r="EF84" s="151">
        <f>ED86</f>
        <v>0.20813833197200574</v>
      </c>
      <c r="EG84" s="40"/>
      <c r="EH84" s="43">
        <f>EF84</f>
        <v>0.20813833197200574</v>
      </c>
      <c r="EI84" s="40"/>
      <c r="EJ84" s="150">
        <f>EH84</f>
        <v>0.20813833197200574</v>
      </c>
      <c r="EK84" s="40"/>
      <c r="EL84" s="43">
        <f>EJ84</f>
        <v>0.20813833197200574</v>
      </c>
      <c r="EM84" s="40"/>
      <c r="EN84" s="43">
        <f>EL84</f>
        <v>0.20813833197200574</v>
      </c>
      <c r="EO84" s="40"/>
      <c r="EP84" s="150">
        <f>EN84</f>
        <v>0.20813833197200574</v>
      </c>
      <c r="EQ84" s="40"/>
      <c r="ER84" s="43">
        <f>EP84</f>
        <v>0.20813833197200574</v>
      </c>
      <c r="ES84" s="40"/>
      <c r="ET84" s="43">
        <f>ER84</f>
        <v>0.20813833197200574</v>
      </c>
      <c r="EU84" s="40"/>
      <c r="EV84" s="150">
        <f>ET84</f>
        <v>0.20813833197200574</v>
      </c>
      <c r="EW84" s="40"/>
      <c r="EX84" s="43">
        <f>EV84</f>
        <v>0.20813833197200574</v>
      </c>
      <c r="EY84" s="40"/>
      <c r="EZ84" s="43">
        <f>EX84</f>
        <v>0.20813833197200574</v>
      </c>
      <c r="FA84" s="40"/>
      <c r="FB84" s="150">
        <f>EZ84</f>
        <v>0.20813833197200574</v>
      </c>
      <c r="FC84" s="40"/>
      <c r="FD84" s="76"/>
      <c r="FE84" s="76"/>
      <c r="FF84" s="76"/>
      <c r="FG84" s="76"/>
      <c r="FH84" s="118"/>
      <c r="FI84" s="76"/>
      <c r="FJ84" s="76"/>
      <c r="FK84" s="76"/>
      <c r="FL84" s="76"/>
      <c r="FM84" s="76"/>
      <c r="FN84" s="118"/>
      <c r="FO84" s="76"/>
      <c r="FP84" s="76"/>
      <c r="FQ84" s="76"/>
      <c r="FR84" s="76"/>
      <c r="FS84" s="76"/>
      <c r="FT84" s="118"/>
      <c r="FU84" s="76"/>
      <c r="FV84" s="76"/>
      <c r="FW84" s="76"/>
      <c r="FX84" s="76"/>
      <c r="FY84" s="76"/>
      <c r="FZ84" s="118"/>
      <c r="GA84" s="40"/>
      <c r="GB84" s="76"/>
      <c r="GC84" s="76"/>
      <c r="GD84" s="76"/>
      <c r="GE84" s="76"/>
      <c r="GF84" s="118"/>
      <c r="GG84" s="40"/>
      <c r="GH84" s="76"/>
      <c r="GI84" s="76"/>
      <c r="GJ84" s="76"/>
      <c r="GK84" s="76"/>
      <c r="GL84" s="118"/>
      <c r="GM84" s="40"/>
      <c r="GN84" s="76"/>
      <c r="GO84" s="76"/>
      <c r="GP84" s="76"/>
      <c r="GQ84" s="76"/>
      <c r="GR84" s="118"/>
      <c r="GS84" s="40"/>
      <c r="GT84" s="76"/>
      <c r="GU84" s="76"/>
      <c r="GV84" s="76"/>
      <c r="GW84" s="76"/>
      <c r="GX84" s="118"/>
      <c r="GY84" s="40"/>
      <c r="GZ84" s="76"/>
      <c r="HA84" s="76"/>
      <c r="HB84" s="76"/>
      <c r="HC84" s="76"/>
      <c r="HD84" s="118"/>
      <c r="HE84" s="40"/>
      <c r="HF84" s="76"/>
      <c r="HG84" s="76"/>
      <c r="HH84" s="76"/>
      <c r="HI84" s="76"/>
      <c r="HJ84" s="118"/>
      <c r="HK84" s="40"/>
      <c r="HL84" s="76"/>
      <c r="HM84" s="76"/>
      <c r="HN84" s="76"/>
      <c r="HO84" s="76"/>
      <c r="HP84" s="118"/>
      <c r="HQ84" s="40"/>
      <c r="HR84" s="76"/>
      <c r="HS84" s="76"/>
      <c r="HT84" s="76"/>
      <c r="HU84" s="76"/>
      <c r="HV84" s="118"/>
      <c r="HW84" s="40"/>
      <c r="HX84" s="76"/>
      <c r="HY84" s="76"/>
      <c r="HZ84" s="76"/>
      <c r="IA84" s="76"/>
      <c r="IB84" s="118"/>
      <c r="IC84" s="40"/>
      <c r="ID84" s="76"/>
      <c r="IE84" s="76"/>
      <c r="IF84" s="76"/>
      <c r="IG84" s="76"/>
      <c r="IH84" s="118"/>
      <c r="II84" s="40"/>
      <c r="IJ84" s="76"/>
      <c r="IK84" s="76"/>
      <c r="IL84" s="76"/>
      <c r="IM84" s="76"/>
      <c r="IN84" s="118"/>
      <c r="IO84" s="40"/>
      <c r="IP84" s="76"/>
      <c r="IQ84" s="76"/>
      <c r="IR84" s="76"/>
      <c r="IS84" s="76"/>
      <c r="IT84" s="118"/>
      <c r="IU84" s="40"/>
      <c r="IV84" s="76"/>
      <c r="IW84" s="76"/>
      <c r="IX84" s="76"/>
      <c r="IY84" s="76"/>
      <c r="IZ84" s="118"/>
      <c r="JA84" s="40"/>
      <c r="JB84" s="76"/>
      <c r="JC84" s="76"/>
      <c r="JD84" s="76"/>
      <c r="JE84" s="76"/>
      <c r="JF84" s="118"/>
      <c r="JG84" s="196"/>
      <c r="JH84" s="76"/>
      <c r="JI84" s="76"/>
      <c r="JJ84" s="76"/>
      <c r="JK84" s="76"/>
      <c r="JL84" s="118"/>
      <c r="JM84" s="40"/>
      <c r="JN84" s="76"/>
      <c r="JO84" s="76"/>
      <c r="JP84" s="76"/>
      <c r="JQ84" s="76"/>
      <c r="JR84" s="118"/>
      <c r="JS84" s="40"/>
      <c r="JT84" s="76"/>
      <c r="JU84" s="76"/>
      <c r="JV84" s="76"/>
      <c r="JW84" s="76"/>
      <c r="JX84" s="118"/>
      <c r="JY84" s="40"/>
      <c r="JZ84" s="76"/>
      <c r="KA84" s="76"/>
      <c r="KB84" s="76"/>
      <c r="KC84" s="76"/>
      <c r="KD84" s="118"/>
      <c r="KE84" s="40"/>
      <c r="KF84" s="76"/>
      <c r="KG84" s="76"/>
      <c r="KH84" s="76"/>
      <c r="KI84" s="76"/>
      <c r="KJ84" s="118"/>
      <c r="KK84" s="40"/>
      <c r="KL84" s="76"/>
      <c r="KM84" s="76"/>
      <c r="KN84" s="76"/>
      <c r="KO84" s="76"/>
      <c r="KP84" s="118"/>
      <c r="KQ84" s="40"/>
      <c r="KR84" s="76"/>
      <c r="KS84" s="76"/>
      <c r="KT84" s="76"/>
      <c r="KU84" s="76"/>
      <c r="KV84" s="118"/>
      <c r="KW84" s="40"/>
      <c r="KX84" s="76"/>
      <c r="KY84" s="76"/>
      <c r="KZ84" s="76"/>
      <c r="LA84" s="76"/>
      <c r="LB84" s="118"/>
      <c r="LC84" s="40"/>
      <c r="LD84" s="76"/>
      <c r="LE84" s="76"/>
      <c r="LF84" s="76"/>
      <c r="LG84" s="76"/>
      <c r="LH84" s="118"/>
      <c r="LI84" s="40"/>
      <c r="LJ84" s="76"/>
      <c r="LK84" s="76"/>
      <c r="LL84" s="76"/>
      <c r="LM84" s="76"/>
      <c r="LN84" s="118"/>
      <c r="LO84" s="40"/>
      <c r="LP84" s="76"/>
      <c r="LQ84" s="76"/>
      <c r="LR84" s="76"/>
      <c r="LS84" s="76"/>
      <c r="LT84" s="118"/>
      <c r="LU84" s="40"/>
      <c r="LV84" s="76"/>
      <c r="LW84" s="76"/>
      <c r="LX84" s="76"/>
      <c r="LY84" s="76"/>
      <c r="LZ84" s="118"/>
      <c r="MA84" s="40"/>
      <c r="MB84" s="76"/>
      <c r="MC84" s="76"/>
      <c r="MD84" s="76"/>
      <c r="ME84" s="76"/>
      <c r="MF84" s="118"/>
      <c r="MG84" s="40"/>
      <c r="MH84" s="76"/>
      <c r="MI84" s="76"/>
      <c r="MJ84" s="76"/>
      <c r="MK84" s="76"/>
      <c r="ML84" s="118"/>
      <c r="MM84" s="40"/>
      <c r="MN84" s="76"/>
      <c r="MO84" s="76"/>
      <c r="MP84" s="76"/>
      <c r="MQ84" s="76"/>
      <c r="MR84" s="76"/>
      <c r="MS84" s="40"/>
      <c r="MT84" s="76"/>
      <c r="MU84" s="76"/>
      <c r="MV84" s="76"/>
      <c r="MW84" s="76"/>
    </row>
    <row r="85" spans="45:361" s="10" customFormat="1" hidden="1" x14ac:dyDescent="0.35">
      <c r="CZ85" s="93">
        <f>'Actual Adjustment (SIV)'!AH19</f>
        <v>-33554.611834089796</v>
      </c>
      <c r="DA85"/>
      <c r="DB85" s="33">
        <f>CZ85-(DB$5*DB84)</f>
        <v>-32052.399149077843</v>
      </c>
      <c r="DC85"/>
      <c r="DD85" s="33">
        <f>DB85-(DD$5*DD84)</f>
        <v>-30997.253591153647</v>
      </c>
      <c r="DE85"/>
      <c r="DF85" s="82">
        <f>DD85-(DF$5*DF84)</f>
        <v>-29743.691273956123</v>
      </c>
      <c r="DG85"/>
      <c r="DH85" s="33">
        <f>DF85-(DH$5*DH84)</f>
        <v>-28272.290134039788</v>
      </c>
      <c r="DI85"/>
      <c r="DJ85" s="33">
        <f>DH85-(DJ$5*DJ84)</f>
        <v>-27015.011249145904</v>
      </c>
      <c r="DK85"/>
      <c r="DL85" s="82">
        <f>DJ85-(DL$5*DL84)</f>
        <v>-24841.658371739944</v>
      </c>
      <c r="DM85"/>
      <c r="DN85" s="33">
        <f>DL85-(DN$5*DN84)</f>
        <v>-20438.484765799483</v>
      </c>
      <c r="DO85"/>
      <c r="DP85" s="33">
        <f>DN85-(DP$5*DP84)</f>
        <v>-17017.444145941859</v>
      </c>
      <c r="DQ85"/>
      <c r="DR85" s="82">
        <f>DP85-(DR$5*DR84)</f>
        <v>-9737.1675858979033</v>
      </c>
      <c r="DS85"/>
      <c r="DT85" s="33">
        <f>DR85-(DT$5*DT84)</f>
        <v>-4576.773284144555</v>
      </c>
      <c r="DU85"/>
      <c r="DV85" s="33">
        <f>DT85-(DV$5*DV84)</f>
        <v>1873.3898975256789</v>
      </c>
      <c r="DW85"/>
      <c r="DX85" s="82">
        <f>DV85-(DX$5*DX84)</f>
        <v>4907.6676984009773</v>
      </c>
      <c r="DY85" s="157"/>
      <c r="DZ85" s="143">
        <f>DX85</f>
        <v>4907.6676984009773</v>
      </c>
      <c r="EA85" s="143"/>
      <c r="EB85" s="143">
        <f>DZ85</f>
        <v>4907.6676984009773</v>
      </c>
      <c r="EC85" s="143"/>
      <c r="ED85" s="169">
        <f>EB85+DX65+'RA (SIII)'!EB79</f>
        <v>6677.3898971599019</v>
      </c>
      <c r="EE85"/>
      <c r="EF85" s="33">
        <f>ED85-(EF$5*EF84)</f>
        <v>6459.4274359188175</v>
      </c>
      <c r="EG85"/>
      <c r="EH85" s="33">
        <f>EF85-(EH$5*EH84)</f>
        <v>6240.7364905158311</v>
      </c>
      <c r="EI85"/>
      <c r="EJ85" s="82">
        <f>EH85-(EJ$5*EJ84)</f>
        <v>5903.8854140523372</v>
      </c>
      <c r="EK85"/>
      <c r="EL85" s="33">
        <f>EJ85-(EL$5*EL84)</f>
        <v>5418.0905472296754</v>
      </c>
      <c r="EM85"/>
      <c r="EN85" s="33">
        <f>EL85-(EN$5*EN84)</f>
        <v>4605.1022225470206</v>
      </c>
      <c r="EO85"/>
      <c r="EP85" s="82">
        <f>EN85-(EP$5*EP84)</f>
        <v>3259.4879063480034</v>
      </c>
      <c r="EQ85"/>
      <c r="ER85" s="33">
        <f>EP85-(ER$5*ER84)</f>
        <v>2071.0180307878509</v>
      </c>
      <c r="ES85"/>
      <c r="ET85" s="33">
        <f>ER85-(ET$5*ET84)</f>
        <v>1246.373959514764</v>
      </c>
      <c r="EU85"/>
      <c r="EV85" s="82">
        <f>ET85-(EV$5*EV84)</f>
        <v>793.46494914367952</v>
      </c>
      <c r="EW85"/>
      <c r="EX85" s="33">
        <f>EV85-(EX$5*EX84)</f>
        <v>577.62549888870956</v>
      </c>
      <c r="EY85"/>
      <c r="EZ85" s="33">
        <f>EX85-(EZ$5*EZ84)</f>
        <v>369.69530524867582</v>
      </c>
      <c r="FA85"/>
      <c r="FB85" s="168">
        <f>EZ85-(FB$5*FB84)</f>
        <v>170.50692155146632</v>
      </c>
      <c r="FC85"/>
      <c r="FD85" s="53"/>
      <c r="FE85" s="51"/>
      <c r="FF85" s="53"/>
      <c r="FG85" s="51"/>
      <c r="FH85" s="85"/>
      <c r="FI85" s="51"/>
      <c r="FJ85" s="53"/>
      <c r="FK85" s="51"/>
      <c r="FL85" s="53"/>
      <c r="FM85" s="51"/>
      <c r="FN85" s="85"/>
      <c r="FO85" s="51"/>
      <c r="FP85" s="53"/>
      <c r="FQ85" s="51"/>
      <c r="FR85" s="53"/>
      <c r="FS85" s="51"/>
      <c r="FT85" s="85"/>
      <c r="FU85" s="51"/>
      <c r="FV85" s="53"/>
      <c r="FW85" s="51"/>
      <c r="FX85" s="53"/>
      <c r="FY85" s="51"/>
      <c r="FZ85" s="85"/>
      <c r="GA85" s="175"/>
      <c r="GB85" s="53"/>
      <c r="GC85" s="51"/>
      <c r="GD85" s="53"/>
      <c r="GE85" s="51"/>
      <c r="GF85" s="85"/>
      <c r="GG85" s="175"/>
      <c r="GH85" s="53"/>
      <c r="GI85" s="51"/>
      <c r="GJ85" s="53"/>
      <c r="GK85" s="51"/>
      <c r="GL85" s="85"/>
      <c r="GM85" s="175"/>
      <c r="GN85" s="53"/>
      <c r="GO85" s="51"/>
      <c r="GP85" s="53"/>
      <c r="GQ85" s="51"/>
      <c r="GR85" s="85"/>
      <c r="GS85" s="175"/>
      <c r="GT85" s="53"/>
      <c r="GU85" s="51"/>
      <c r="GV85" s="53"/>
      <c r="GW85" s="51"/>
      <c r="GX85" s="85"/>
      <c r="GY85" s="175"/>
      <c r="GZ85" s="53"/>
      <c r="HA85" s="51"/>
      <c r="HB85" s="53"/>
      <c r="HC85" s="51"/>
      <c r="HD85" s="85"/>
      <c r="HE85" s="175"/>
      <c r="HF85" s="53"/>
      <c r="HG85" s="51"/>
      <c r="HH85" s="53"/>
      <c r="HI85" s="51"/>
      <c r="HJ85" s="85"/>
      <c r="HK85" s="175"/>
      <c r="HL85" s="53"/>
      <c r="HM85" s="51"/>
      <c r="HN85" s="53"/>
      <c r="HO85" s="51"/>
      <c r="HP85" s="85"/>
      <c r="HQ85" s="175"/>
      <c r="HR85" s="53"/>
      <c r="HS85" s="51"/>
      <c r="HT85" s="53"/>
      <c r="HU85" s="51"/>
      <c r="HV85" s="85"/>
      <c r="HW85" s="175"/>
      <c r="HX85" s="53"/>
      <c r="HY85" s="51"/>
      <c r="HZ85" s="53"/>
      <c r="IA85" s="51"/>
      <c r="IB85" s="85"/>
      <c r="IC85" s="175"/>
      <c r="ID85" s="53"/>
      <c r="IE85" s="51"/>
      <c r="IF85" s="53"/>
      <c r="IG85" s="51"/>
      <c r="IH85" s="85"/>
      <c r="II85" s="175"/>
      <c r="IJ85" s="53"/>
      <c r="IK85" s="51"/>
      <c r="IL85" s="53"/>
      <c r="IM85" s="51"/>
      <c r="IN85" s="85"/>
      <c r="IO85" s="175"/>
      <c r="IP85" s="53"/>
      <c r="IQ85" s="51"/>
      <c r="IR85" s="53"/>
      <c r="IS85" s="51"/>
      <c r="IT85" s="85"/>
      <c r="IU85" s="175"/>
      <c r="IV85" s="53"/>
      <c r="IW85" s="51"/>
      <c r="IX85" s="53"/>
      <c r="IY85" s="51"/>
      <c r="IZ85" s="85"/>
      <c r="JA85" s="175"/>
      <c r="JB85" s="53"/>
      <c r="JC85" s="51"/>
      <c r="JD85" s="53"/>
      <c r="JE85" s="51"/>
      <c r="JF85" s="85"/>
      <c r="JG85" s="179"/>
      <c r="JH85" s="53"/>
      <c r="JI85" s="51"/>
      <c r="JJ85" s="53"/>
      <c r="JK85" s="51"/>
      <c r="JL85" s="85"/>
      <c r="JM85" s="175"/>
      <c r="JN85" s="53"/>
      <c r="JO85" s="51"/>
      <c r="JP85" s="53"/>
      <c r="JQ85" s="51"/>
      <c r="JR85" s="85"/>
      <c r="JS85" s="175"/>
      <c r="JT85" s="53"/>
      <c r="JU85" s="51"/>
      <c r="JV85" s="53"/>
      <c r="JW85" s="51"/>
      <c r="JX85" s="85"/>
      <c r="JY85" s="175"/>
      <c r="JZ85" s="53"/>
      <c r="KA85" s="51"/>
      <c r="KB85" s="53"/>
      <c r="KC85" s="51"/>
      <c r="KD85" s="85"/>
      <c r="KE85" s="175"/>
      <c r="KF85" s="53"/>
      <c r="KG85" s="51"/>
      <c r="KH85" s="53"/>
      <c r="KI85" s="51"/>
      <c r="KJ85" s="85"/>
      <c r="KK85" s="175"/>
      <c r="KL85" s="53"/>
      <c r="KM85" s="51"/>
      <c r="KN85" s="53"/>
      <c r="KO85" s="51"/>
      <c r="KP85" s="85"/>
      <c r="KQ85" s="175"/>
      <c r="KR85" s="53"/>
      <c r="KS85" s="51"/>
      <c r="KT85" s="53"/>
      <c r="KU85" s="51"/>
      <c r="KV85" s="85"/>
      <c r="KW85" s="175"/>
      <c r="KX85" s="53"/>
      <c r="KY85" s="51"/>
      <c r="KZ85" s="53"/>
      <c r="LA85" s="51"/>
      <c r="LB85" s="85"/>
      <c r="LC85" s="175"/>
      <c r="LD85" s="53"/>
      <c r="LE85" s="51"/>
      <c r="LF85" s="53"/>
      <c r="LG85" s="51"/>
      <c r="LH85" s="85"/>
      <c r="LI85" s="175"/>
      <c r="LJ85" s="53"/>
      <c r="LK85" s="51"/>
      <c r="LL85" s="53"/>
      <c r="LM85" s="51"/>
      <c r="LN85" s="85"/>
      <c r="LO85" s="175"/>
      <c r="LP85" s="53"/>
      <c r="LQ85" s="51"/>
      <c r="LR85" s="53"/>
      <c r="LS85" s="51"/>
      <c r="LT85" s="85"/>
      <c r="LU85" s="175"/>
      <c r="LV85" s="53"/>
      <c r="LW85" s="51"/>
      <c r="LX85" s="53"/>
      <c r="LY85" s="51"/>
      <c r="LZ85" s="85"/>
      <c r="MA85" s="175"/>
      <c r="MB85" s="53"/>
      <c r="MC85" s="51"/>
      <c r="MD85" s="53"/>
      <c r="ME85" s="51"/>
      <c r="MF85" s="85"/>
      <c r="MG85" s="175"/>
      <c r="MH85" s="53"/>
      <c r="MI85" s="51"/>
      <c r="MJ85" s="53"/>
      <c r="MK85" s="51"/>
      <c r="ML85" s="85"/>
      <c r="MM85" s="175"/>
      <c r="MN85" s="53"/>
      <c r="MO85" s="51"/>
      <c r="MP85" s="53"/>
      <c r="MQ85" s="51"/>
      <c r="MR85" s="53"/>
      <c r="MS85" s="175"/>
      <c r="MT85" s="53"/>
      <c r="MU85" s="51"/>
      <c r="MV85" s="53"/>
      <c r="MW85" s="51"/>
    </row>
    <row r="86" spans="45:361" s="10" customFormat="1" hidden="1" x14ac:dyDescent="0.35">
      <c r="CZ86" s="81"/>
      <c r="DA86"/>
      <c r="DB86"/>
      <c r="DC86"/>
      <c r="DD86"/>
      <c r="DE86"/>
      <c r="DF86" s="81"/>
      <c r="DG86"/>
      <c r="DH86"/>
      <c r="DI86"/>
      <c r="DJ86"/>
      <c r="DK86"/>
      <c r="DL86" s="81"/>
      <c r="DM86"/>
      <c r="DN86"/>
      <c r="DO86"/>
      <c r="DP86"/>
      <c r="DQ86"/>
      <c r="DR86" s="81"/>
      <c r="DS86"/>
      <c r="DT86"/>
      <c r="DU86"/>
      <c r="DV86"/>
      <c r="DW86"/>
      <c r="DX86" s="158"/>
      <c r="DY86"/>
      <c r="DZ86"/>
      <c r="EA86"/>
      <c r="EB86"/>
      <c r="EC86"/>
      <c r="ED86" s="101">
        <f>(ED85/SUM(DB$5:DX$5))</f>
        <v>0.20813833197200574</v>
      </c>
      <c r="EE86"/>
      <c r="EF86"/>
      <c r="EG86"/>
      <c r="EH86"/>
      <c r="EI86"/>
      <c r="EJ86" s="81"/>
      <c r="EK86"/>
      <c r="EL86"/>
      <c r="EM86"/>
      <c r="EN86"/>
      <c r="EO86"/>
      <c r="EP86" s="81"/>
      <c r="EQ86"/>
      <c r="ER86"/>
      <c r="ES86"/>
      <c r="ET86"/>
      <c r="EU86"/>
      <c r="EV86" s="81"/>
      <c r="EW86"/>
      <c r="EY86"/>
      <c r="FA86"/>
      <c r="FB86" s="81"/>
      <c r="FC86"/>
      <c r="FE86" s="175"/>
      <c r="FG86" s="175"/>
      <c r="FH86" s="81"/>
      <c r="FI86" s="175"/>
      <c r="FK86" s="175"/>
      <c r="FM86" s="175"/>
      <c r="FN86" s="81"/>
      <c r="FO86" s="175"/>
      <c r="FQ86" s="175"/>
      <c r="FS86" s="175"/>
      <c r="FT86" s="81"/>
      <c r="FU86" s="175"/>
      <c r="FW86" s="175"/>
      <c r="FY86" s="175"/>
      <c r="FZ86" s="81"/>
      <c r="GA86" s="175"/>
      <c r="GC86" s="175"/>
      <c r="GE86" s="175"/>
      <c r="GF86" s="81"/>
      <c r="GG86" s="175"/>
      <c r="GI86" s="175"/>
      <c r="GK86" s="175"/>
      <c r="GL86" s="81"/>
      <c r="GM86" s="175"/>
      <c r="GO86" s="175"/>
      <c r="GQ86" s="175"/>
      <c r="GR86" s="81"/>
      <c r="GS86" s="175"/>
      <c r="GU86" s="175"/>
      <c r="GW86" s="175"/>
      <c r="GX86" s="81"/>
      <c r="GY86" s="175"/>
      <c r="HA86" s="175"/>
      <c r="HC86" s="175"/>
      <c r="HD86" s="81"/>
      <c r="HE86" s="175"/>
      <c r="HG86" s="175"/>
      <c r="HI86" s="175"/>
      <c r="HJ86" s="81"/>
      <c r="HK86" s="175"/>
      <c r="HM86" s="175"/>
      <c r="HO86" s="175"/>
      <c r="HP86" s="81"/>
      <c r="HQ86" s="175"/>
      <c r="HS86" s="175"/>
      <c r="HU86" s="175"/>
      <c r="HV86" s="81"/>
      <c r="HW86" s="175"/>
      <c r="HY86" s="175"/>
      <c r="IA86" s="175"/>
      <c r="IB86" s="81"/>
      <c r="IC86" s="175"/>
      <c r="IE86" s="175"/>
      <c r="IG86" s="175"/>
      <c r="IH86" s="81"/>
      <c r="II86" s="175"/>
      <c r="IK86" s="175"/>
      <c r="IM86" s="175"/>
      <c r="IN86" s="81"/>
      <c r="IO86" s="175"/>
      <c r="IQ86" s="175"/>
      <c r="IS86" s="175"/>
      <c r="IT86" s="81"/>
      <c r="IU86" s="175"/>
      <c r="IW86" s="175"/>
      <c r="IY86" s="175"/>
      <c r="IZ86" s="81"/>
      <c r="JA86" s="175"/>
      <c r="JC86" s="175"/>
      <c r="JE86" s="175"/>
      <c r="JF86" s="81"/>
      <c r="JG86" s="179"/>
      <c r="JI86" s="175"/>
      <c r="JK86" s="175"/>
      <c r="JL86" s="81"/>
      <c r="JM86" s="175"/>
      <c r="JO86" s="175"/>
      <c r="JQ86" s="175"/>
      <c r="JR86" s="81"/>
      <c r="JS86" s="175"/>
      <c r="JU86" s="175"/>
      <c r="JW86" s="175"/>
      <c r="JX86" s="81"/>
      <c r="JY86" s="175"/>
      <c r="KA86" s="175"/>
      <c r="KC86" s="175"/>
      <c r="KD86" s="81"/>
      <c r="KE86" s="175"/>
      <c r="KG86" s="175"/>
      <c r="KI86" s="175"/>
      <c r="KJ86" s="81"/>
      <c r="KK86" s="175"/>
      <c r="KM86" s="175"/>
      <c r="KO86" s="175"/>
      <c r="KP86" s="81"/>
      <c r="KQ86" s="175"/>
      <c r="KS86" s="175"/>
      <c r="KU86" s="175"/>
      <c r="KV86" s="81"/>
      <c r="KW86" s="175"/>
      <c r="KY86" s="175"/>
      <c r="LA86" s="175"/>
      <c r="LB86" s="81"/>
      <c r="LC86" s="175"/>
      <c r="LE86" s="175"/>
      <c r="LG86" s="175"/>
      <c r="LH86" s="81"/>
      <c r="LI86" s="175"/>
      <c r="LK86" s="175"/>
      <c r="LM86" s="175"/>
      <c r="LN86" s="81"/>
      <c r="LO86" s="175"/>
      <c r="LQ86" s="175"/>
      <c r="LS86" s="175"/>
      <c r="LT86" s="81"/>
      <c r="LU86" s="175"/>
      <c r="LW86" s="175"/>
      <c r="LY86" s="175"/>
      <c r="LZ86" s="81"/>
      <c r="MA86" s="175"/>
      <c r="MC86" s="175"/>
      <c r="ME86" s="175"/>
      <c r="MF86" s="81"/>
      <c r="MG86" s="175"/>
      <c r="MI86" s="175"/>
      <c r="MK86" s="175"/>
      <c r="ML86" s="81"/>
      <c r="MM86" s="175"/>
      <c r="MO86" s="175"/>
      <c r="MQ86" s="175"/>
      <c r="MS86" s="175"/>
      <c r="MU86" s="175"/>
      <c r="MW86" s="175"/>
    </row>
    <row r="87" spans="45:361" s="10" customFormat="1" hidden="1" x14ac:dyDescent="0.35">
      <c r="AS87"/>
      <c r="AT87"/>
      <c r="AU87"/>
      <c r="CC87"/>
      <c r="CD87"/>
      <c r="DF87" s="81"/>
      <c r="DG87"/>
      <c r="DH87"/>
      <c r="DI87"/>
      <c r="DJ87"/>
      <c r="DK87"/>
      <c r="DL87" s="81"/>
      <c r="DM87"/>
      <c r="DN87"/>
      <c r="DO87"/>
      <c r="DP87"/>
      <c r="DQ87"/>
      <c r="DR87" s="81"/>
      <c r="DS87"/>
      <c r="DT87"/>
      <c r="DU87"/>
      <c r="DV87"/>
      <c r="DW87"/>
      <c r="DX87" s="81"/>
      <c r="DY87"/>
      <c r="DZ87"/>
      <c r="EA87"/>
      <c r="EB87"/>
      <c r="EC87"/>
      <c r="ED87" s="81"/>
      <c r="EE87"/>
      <c r="EF87"/>
      <c r="EG87"/>
      <c r="EH87"/>
      <c r="EI87"/>
      <c r="EJ87" s="81"/>
      <c r="EK87"/>
      <c r="EL87"/>
      <c r="EM87"/>
      <c r="EN87"/>
      <c r="EO87"/>
      <c r="EP87" s="81"/>
      <c r="EQ87"/>
      <c r="ER87"/>
      <c r="ES87"/>
      <c r="ET87"/>
      <c r="EU87"/>
      <c r="EV87" s="81"/>
      <c r="EW87"/>
      <c r="EX87"/>
      <c r="EY87"/>
      <c r="EZ87"/>
      <c r="FA87"/>
      <c r="FB87" s="81"/>
      <c r="FC87"/>
      <c r="FD87" s="175"/>
      <c r="FE87" s="175"/>
      <c r="FF87" s="175"/>
      <c r="FG87" s="175"/>
      <c r="FH87" s="81"/>
      <c r="FI87" s="175"/>
      <c r="FJ87" s="175"/>
      <c r="FK87" s="175"/>
      <c r="FL87" s="175"/>
      <c r="FM87" s="175"/>
      <c r="FN87" s="81"/>
      <c r="FO87" s="175"/>
      <c r="FP87" s="175"/>
      <c r="FQ87" s="175"/>
      <c r="FR87" s="175"/>
      <c r="FS87" s="175"/>
      <c r="FT87" s="81"/>
      <c r="FU87" s="175"/>
      <c r="FV87" s="175"/>
      <c r="FW87" s="175"/>
      <c r="FX87" s="175"/>
      <c r="FY87" s="175"/>
      <c r="FZ87" s="81"/>
      <c r="GA87" s="175"/>
      <c r="GB87" s="175"/>
      <c r="GC87" s="175"/>
      <c r="GD87" s="175"/>
      <c r="GE87" s="175"/>
      <c r="GF87" s="81"/>
      <c r="GG87" s="175"/>
      <c r="GH87" s="175"/>
      <c r="GI87" s="175"/>
      <c r="GJ87" s="175"/>
      <c r="GK87" s="175"/>
      <c r="GL87" s="81"/>
      <c r="GM87" s="175"/>
      <c r="GN87" s="175"/>
      <c r="GO87" s="175"/>
      <c r="GP87" s="175"/>
      <c r="GQ87" s="175"/>
      <c r="GR87" s="81"/>
      <c r="GS87" s="175"/>
      <c r="GT87" s="175"/>
      <c r="GU87" s="175"/>
      <c r="GV87" s="175"/>
      <c r="GW87" s="175"/>
      <c r="GX87" s="81"/>
      <c r="GY87" s="175"/>
      <c r="GZ87" s="175"/>
      <c r="HA87" s="175"/>
      <c r="HB87" s="175"/>
      <c r="HC87" s="175"/>
      <c r="HD87" s="81"/>
      <c r="HE87" s="175"/>
      <c r="HF87" s="175"/>
      <c r="HG87" s="175"/>
      <c r="HH87" s="175"/>
      <c r="HI87" s="175"/>
      <c r="HJ87" s="81"/>
      <c r="HK87" s="175"/>
      <c r="HL87" s="175"/>
      <c r="HM87" s="175"/>
      <c r="HN87" s="175"/>
      <c r="HO87" s="175"/>
      <c r="HP87" s="81"/>
      <c r="HQ87" s="175"/>
      <c r="HR87" s="175"/>
      <c r="HS87" s="175"/>
      <c r="HT87" s="175"/>
      <c r="HU87" s="175"/>
      <c r="HV87" s="81"/>
      <c r="HW87" s="175"/>
      <c r="HX87" s="175"/>
      <c r="HY87" s="175"/>
      <c r="HZ87" s="175"/>
      <c r="IA87" s="175"/>
      <c r="IB87" s="81"/>
      <c r="IC87" s="175"/>
      <c r="ID87" s="175"/>
      <c r="IE87" s="175"/>
      <c r="IF87" s="175"/>
      <c r="IG87" s="175"/>
      <c r="IH87" s="81"/>
      <c r="II87" s="175"/>
      <c r="IJ87" s="175"/>
      <c r="IK87" s="175"/>
      <c r="IL87" s="175"/>
      <c r="IM87" s="175"/>
      <c r="IN87" s="81"/>
      <c r="IO87" s="175"/>
      <c r="IP87" s="175"/>
      <c r="IQ87" s="175"/>
      <c r="IR87" s="175"/>
      <c r="IS87" s="175"/>
      <c r="IT87" s="81"/>
      <c r="IU87" s="175"/>
      <c r="IV87" s="175"/>
      <c r="IW87" s="175"/>
      <c r="IX87" s="175"/>
      <c r="IY87" s="175"/>
      <c r="IZ87" s="81"/>
      <c r="JA87" s="175"/>
      <c r="JB87" s="175"/>
      <c r="JC87" s="175"/>
      <c r="JD87" s="175"/>
      <c r="JE87" s="175"/>
      <c r="JF87" s="81"/>
      <c r="JG87" s="179"/>
      <c r="JH87" s="175"/>
      <c r="JI87" s="175"/>
      <c r="JJ87" s="175"/>
      <c r="JK87" s="175"/>
      <c r="JL87" s="81"/>
      <c r="JM87" s="175"/>
      <c r="JN87" s="175"/>
      <c r="JO87" s="175"/>
      <c r="JP87" s="175"/>
      <c r="JQ87" s="175"/>
      <c r="JR87" s="81"/>
      <c r="JS87" s="175"/>
      <c r="JT87" s="175"/>
      <c r="JU87" s="175"/>
      <c r="JV87" s="175"/>
      <c r="JW87" s="175"/>
      <c r="JX87" s="81"/>
      <c r="JY87" s="175"/>
      <c r="JZ87" s="175"/>
      <c r="KA87" s="175"/>
      <c r="KB87" s="175"/>
      <c r="KC87" s="175"/>
      <c r="KD87" s="81"/>
      <c r="KE87" s="175"/>
      <c r="KF87" s="175"/>
      <c r="KG87" s="175"/>
      <c r="KH87" s="175"/>
      <c r="KI87" s="175"/>
      <c r="KJ87" s="81"/>
      <c r="KK87" s="175"/>
      <c r="KL87" s="175"/>
      <c r="KM87" s="175"/>
      <c r="KN87" s="175"/>
      <c r="KO87" s="175"/>
      <c r="KP87" s="81"/>
      <c r="KQ87" s="175"/>
      <c r="KR87" s="175"/>
      <c r="KS87" s="175"/>
      <c r="KT87" s="175"/>
      <c r="KU87" s="175"/>
      <c r="KV87" s="81"/>
      <c r="KW87" s="175"/>
      <c r="KX87" s="175"/>
      <c r="KY87" s="175"/>
      <c r="KZ87" s="175"/>
      <c r="LA87" s="175"/>
      <c r="LB87" s="81"/>
      <c r="LC87" s="175"/>
      <c r="LD87" s="175"/>
      <c r="LE87" s="175"/>
      <c r="LF87" s="175"/>
      <c r="LG87" s="175"/>
      <c r="LH87" s="81"/>
      <c r="LI87" s="175"/>
      <c r="LJ87" s="175"/>
      <c r="LK87" s="175"/>
      <c r="LL87" s="175"/>
      <c r="LM87" s="175"/>
      <c r="LN87" s="81"/>
      <c r="LO87" s="175"/>
      <c r="LP87" s="175"/>
      <c r="LQ87" s="175"/>
      <c r="LR87" s="175"/>
      <c r="LS87" s="175"/>
      <c r="LT87" s="81"/>
      <c r="LU87" s="175"/>
      <c r="LV87" s="175"/>
      <c r="LW87" s="175"/>
      <c r="LX87" s="175"/>
      <c r="LY87" s="175"/>
      <c r="LZ87" s="81"/>
      <c r="MA87" s="175"/>
      <c r="MB87" s="175"/>
      <c r="MC87" s="175"/>
      <c r="MD87" s="175"/>
      <c r="ME87" s="175"/>
      <c r="MF87" s="81"/>
      <c r="MG87" s="175"/>
      <c r="MH87" s="175"/>
      <c r="MI87" s="175"/>
      <c r="MJ87" s="175"/>
      <c r="MK87" s="175"/>
      <c r="ML87" s="81"/>
      <c r="MM87" s="175"/>
      <c r="MN87" s="175"/>
      <c r="MO87" s="175"/>
      <c r="MP87" s="175"/>
      <c r="MQ87" s="175"/>
      <c r="MR87" s="175"/>
      <c r="MS87" s="175"/>
      <c r="MT87" s="175"/>
      <c r="MU87" s="175"/>
      <c r="MV87" s="175"/>
      <c r="MW87" s="175"/>
    </row>
    <row r="88" spans="45:361" s="10" customFormat="1" hidden="1" x14ac:dyDescent="0.35">
      <c r="DF88" s="81"/>
      <c r="DG88"/>
      <c r="DH88" s="66">
        <f>'Actual Adjustment (SIV)'!AN21</f>
        <v>-0.91135723059987073</v>
      </c>
      <c r="DI88" s="95"/>
      <c r="DJ88" s="43">
        <f>DH88</f>
        <v>-0.91135723059987073</v>
      </c>
      <c r="DK88" s="40"/>
      <c r="DL88" s="150">
        <f>DJ88</f>
        <v>-0.91135723059987073</v>
      </c>
      <c r="DM88" s="40"/>
      <c r="DN88" s="43">
        <f>DL88</f>
        <v>-0.91135723059987073</v>
      </c>
      <c r="DO88" s="40"/>
      <c r="DP88" s="43">
        <f>DN88</f>
        <v>-0.91135723059987073</v>
      </c>
      <c r="DQ88" s="40"/>
      <c r="DR88" s="150">
        <f>DP88</f>
        <v>-0.91135723059987073</v>
      </c>
      <c r="DS88" s="40"/>
      <c r="DT88" s="43">
        <f>DR88</f>
        <v>-0.91135723059987073</v>
      </c>
      <c r="DU88" s="40"/>
      <c r="DV88" s="43">
        <f>DT88</f>
        <v>-0.91135723059987073</v>
      </c>
      <c r="DW88" s="40"/>
      <c r="DX88" s="150">
        <f>DV88</f>
        <v>-0.91135723059987073</v>
      </c>
      <c r="DY88" s="40"/>
      <c r="DZ88" s="43">
        <f>DX88</f>
        <v>-0.91135723059987073</v>
      </c>
      <c r="EA88" s="40"/>
      <c r="EB88" s="43">
        <f>DZ88</f>
        <v>-0.91135723059987073</v>
      </c>
      <c r="EC88" s="40"/>
      <c r="ED88" s="150">
        <f>EB88</f>
        <v>-0.91135723059987073</v>
      </c>
      <c r="EE88" s="156"/>
      <c r="EF88" s="144"/>
      <c r="EG88" s="144"/>
      <c r="EH88" s="144"/>
      <c r="EI88" s="144"/>
      <c r="EJ88" s="118"/>
      <c r="EK88" s="40"/>
      <c r="EL88" s="151">
        <f>EJ90</f>
        <v>0.23407415250415198</v>
      </c>
      <c r="EM88" s="40"/>
      <c r="EN88" s="43">
        <f>EL88</f>
        <v>0.23407415250415198</v>
      </c>
      <c r="EO88" s="40"/>
      <c r="EP88" s="150">
        <f>EN88</f>
        <v>0.23407415250415198</v>
      </c>
      <c r="EQ88" s="40"/>
      <c r="ER88" s="43">
        <f>EP88</f>
        <v>0.23407415250415198</v>
      </c>
      <c r="ES88" s="40"/>
      <c r="ET88" s="43">
        <f>ER88</f>
        <v>0.23407415250415198</v>
      </c>
      <c r="EU88" s="40"/>
      <c r="EV88" s="150">
        <f>ET88</f>
        <v>0.23407415250415198</v>
      </c>
      <c r="EW88" s="40"/>
      <c r="EX88" s="43">
        <f>EV88</f>
        <v>0.23407415250415198</v>
      </c>
      <c r="EY88" s="40"/>
      <c r="EZ88" s="43">
        <f>EX88</f>
        <v>0.23407415250415198</v>
      </c>
      <c r="FA88" s="40"/>
      <c r="FB88" s="150">
        <f>EZ88</f>
        <v>0.23407415250415198</v>
      </c>
      <c r="FC88" s="40"/>
      <c r="FD88" s="43">
        <f>FB88</f>
        <v>0.23407415250415198</v>
      </c>
      <c r="FE88" s="40"/>
      <c r="FF88" s="43">
        <f>FD88</f>
        <v>0.23407415250415198</v>
      </c>
      <c r="FG88" s="40"/>
      <c r="FH88" s="150">
        <f>FF88</f>
        <v>0.23407415250415198</v>
      </c>
      <c r="FI88" s="40"/>
      <c r="FJ88" s="76"/>
      <c r="FK88" s="76"/>
      <c r="FL88" s="76"/>
      <c r="FM88" s="76"/>
      <c r="FN88" s="118"/>
      <c r="FO88" s="76"/>
      <c r="FP88" s="76"/>
      <c r="FQ88" s="76"/>
      <c r="FR88" s="76"/>
      <c r="FS88" s="76"/>
      <c r="FT88" s="118"/>
      <c r="FU88" s="76"/>
      <c r="FV88" s="76"/>
      <c r="FW88" s="76"/>
      <c r="FX88" s="76"/>
      <c r="FY88" s="76"/>
      <c r="FZ88" s="118"/>
      <c r="GA88" s="40"/>
      <c r="GB88" s="76"/>
      <c r="GC88" s="76"/>
      <c r="GD88" s="76"/>
      <c r="GE88" s="76"/>
      <c r="GF88" s="118"/>
      <c r="GG88" s="40"/>
      <c r="GH88" s="76"/>
      <c r="GI88" s="76"/>
      <c r="GJ88" s="76"/>
      <c r="GK88" s="76"/>
      <c r="GL88" s="118"/>
      <c r="GM88" s="40"/>
      <c r="GN88" s="76"/>
      <c r="GO88" s="76"/>
      <c r="GP88" s="76"/>
      <c r="GQ88" s="76"/>
      <c r="GR88" s="118"/>
      <c r="GS88" s="40"/>
      <c r="GT88" s="76"/>
      <c r="GU88" s="76"/>
      <c r="GV88" s="76"/>
      <c r="GW88" s="76"/>
      <c r="GX88" s="118"/>
      <c r="GY88" s="40"/>
      <c r="GZ88" s="76"/>
      <c r="HA88" s="76"/>
      <c r="HB88" s="76"/>
      <c r="HC88" s="76"/>
      <c r="HD88" s="118"/>
      <c r="HE88" s="40"/>
      <c r="HF88" s="76"/>
      <c r="HG88" s="76"/>
      <c r="HH88" s="76"/>
      <c r="HI88" s="76"/>
      <c r="HJ88" s="118"/>
      <c r="HK88" s="40"/>
      <c r="HL88" s="76"/>
      <c r="HM88" s="76"/>
      <c r="HN88" s="76"/>
      <c r="HO88" s="76"/>
      <c r="HP88" s="118"/>
      <c r="HQ88" s="40"/>
      <c r="HR88" s="76"/>
      <c r="HS88" s="76"/>
      <c r="HT88" s="76"/>
      <c r="HU88" s="76"/>
      <c r="HV88" s="118"/>
      <c r="HW88" s="40"/>
      <c r="HX88" s="76"/>
      <c r="HY88" s="76"/>
      <c r="HZ88" s="76"/>
      <c r="IA88" s="76"/>
      <c r="IB88" s="118"/>
      <c r="IC88" s="40"/>
      <c r="ID88" s="76"/>
      <c r="IE88" s="76"/>
      <c r="IF88" s="76"/>
      <c r="IG88" s="76"/>
      <c r="IH88" s="118"/>
      <c r="II88" s="40"/>
      <c r="IJ88" s="76"/>
      <c r="IK88" s="76"/>
      <c r="IL88" s="76"/>
      <c r="IM88" s="76"/>
      <c r="IN88" s="118"/>
      <c r="IO88" s="40"/>
      <c r="IP88" s="76"/>
      <c r="IQ88" s="76"/>
      <c r="IR88" s="76"/>
      <c r="IS88" s="76"/>
      <c r="IT88" s="118"/>
      <c r="IU88" s="40"/>
      <c r="IV88" s="76"/>
      <c r="IW88" s="76"/>
      <c r="IX88" s="76"/>
      <c r="IY88" s="76"/>
      <c r="IZ88" s="118"/>
      <c r="JA88" s="40"/>
      <c r="JB88" s="76"/>
      <c r="JC88" s="76"/>
      <c r="JD88" s="76"/>
      <c r="JE88" s="76"/>
      <c r="JF88" s="118"/>
      <c r="JG88" s="196"/>
      <c r="JH88" s="76"/>
      <c r="JI88" s="76"/>
      <c r="JJ88" s="76"/>
      <c r="JK88" s="76"/>
      <c r="JL88" s="118"/>
      <c r="JM88" s="40"/>
      <c r="JN88" s="76"/>
      <c r="JO88" s="76"/>
      <c r="JP88" s="76"/>
      <c r="JQ88" s="76"/>
      <c r="JR88" s="118"/>
      <c r="JS88" s="40"/>
      <c r="JT88" s="76"/>
      <c r="JU88" s="76"/>
      <c r="JV88" s="76"/>
      <c r="JW88" s="76"/>
      <c r="JX88" s="118"/>
      <c r="JY88" s="40"/>
      <c r="JZ88" s="76"/>
      <c r="KA88" s="76"/>
      <c r="KB88" s="76"/>
      <c r="KC88" s="76"/>
      <c r="KD88" s="118"/>
      <c r="KE88" s="40"/>
      <c r="KF88" s="76"/>
      <c r="KG88" s="76"/>
      <c r="KH88" s="76"/>
      <c r="KI88" s="76"/>
      <c r="KJ88" s="118"/>
      <c r="KK88" s="40"/>
      <c r="KL88" s="76"/>
      <c r="KM88" s="76"/>
      <c r="KN88" s="76"/>
      <c r="KO88" s="76"/>
      <c r="KP88" s="118"/>
      <c r="KQ88" s="40"/>
      <c r="KR88" s="76"/>
      <c r="KS88" s="76"/>
      <c r="KT88" s="76"/>
      <c r="KU88" s="76"/>
      <c r="KV88" s="118"/>
      <c r="KW88" s="40"/>
      <c r="KX88" s="76"/>
      <c r="KY88" s="76"/>
      <c r="KZ88" s="76"/>
      <c r="LA88" s="76"/>
      <c r="LB88" s="118"/>
      <c r="LC88" s="40"/>
      <c r="LD88" s="76"/>
      <c r="LE88" s="76"/>
      <c r="LF88" s="76"/>
      <c r="LG88" s="76"/>
      <c r="LH88" s="118"/>
      <c r="LI88" s="40"/>
      <c r="LJ88" s="76"/>
      <c r="LK88" s="76"/>
      <c r="LL88" s="76"/>
      <c r="LM88" s="76"/>
      <c r="LN88" s="118"/>
      <c r="LO88" s="40"/>
      <c r="LP88" s="76"/>
      <c r="LQ88" s="76"/>
      <c r="LR88" s="76"/>
      <c r="LS88" s="76"/>
      <c r="LT88" s="118"/>
      <c r="LU88" s="40"/>
      <c r="LV88" s="76"/>
      <c r="LW88" s="76"/>
      <c r="LX88" s="76"/>
      <c r="LY88" s="76"/>
      <c r="LZ88" s="118"/>
      <c r="MA88" s="40"/>
      <c r="MB88" s="76"/>
      <c r="MC88" s="76"/>
      <c r="MD88" s="76"/>
      <c r="ME88" s="76"/>
      <c r="MF88" s="118"/>
      <c r="MG88" s="40"/>
      <c r="MH88" s="76"/>
      <c r="MI88" s="76"/>
      <c r="MJ88" s="76"/>
      <c r="MK88" s="76"/>
      <c r="ML88" s="118"/>
      <c r="MM88" s="40"/>
      <c r="MN88" s="76"/>
      <c r="MO88" s="76"/>
      <c r="MP88" s="76"/>
      <c r="MQ88" s="76"/>
      <c r="MR88" s="76"/>
      <c r="MS88" s="40"/>
      <c r="MT88" s="76"/>
      <c r="MU88" s="76"/>
      <c r="MV88" s="76"/>
      <c r="MW88" s="76"/>
    </row>
    <row r="89" spans="45:361" s="10" customFormat="1" hidden="1" x14ac:dyDescent="0.35">
      <c r="DF89" s="93">
        <f>'Actual Adjustment (SIV)'!AN19</f>
        <v>-21826.666301175104</v>
      </c>
      <c r="DG89"/>
      <c r="DH89" s="33">
        <f>DF89-(DH$5*DH88)</f>
        <v>-20708.157572059885</v>
      </c>
      <c r="DI89"/>
      <c r="DJ89" s="33">
        <f>DH89-(DJ$5*DJ88)</f>
        <v>-19752.417244329801</v>
      </c>
      <c r="DK89"/>
      <c r="DL89" s="82">
        <f>DJ89-(DL$5*DL88)</f>
        <v>-18100.308856698357</v>
      </c>
      <c r="DM89"/>
      <c r="DN89" s="33">
        <f>DL89-(DN$5*DN88)</f>
        <v>-14753.167155874213</v>
      </c>
      <c r="DO89"/>
      <c r="DP89" s="33">
        <f>DN89-(DP$5*DP88)</f>
        <v>-12152.609298357482</v>
      </c>
      <c r="DQ89"/>
      <c r="DR89" s="82">
        <f>DP89-(DR$5*DR88)</f>
        <v>-6618.3925155397665</v>
      </c>
      <c r="DS89"/>
      <c r="DT89" s="33">
        <f>DR89-(DT$5*DT88)</f>
        <v>-2695.6375878687427</v>
      </c>
      <c r="DU89"/>
      <c r="DV89" s="33">
        <f>DT89-(DV$5*DV88)</f>
        <v>2207.5554484816225</v>
      </c>
      <c r="DW89"/>
      <c r="DX89" s="82">
        <f>DV89-(DX$5*DX88)</f>
        <v>4514.1094634068359</v>
      </c>
      <c r="DY89"/>
      <c r="DZ89" s="33">
        <f>DX89-(DZ$5*DZ88)</f>
        <v>5975.0151040584287</v>
      </c>
      <c r="EA89"/>
      <c r="EB89" s="33">
        <f>DZ89-(EB$5*EB88)</f>
        <v>6805.4438125810311</v>
      </c>
      <c r="EC89"/>
      <c r="ED89" s="82">
        <f>EB89-(ED$5*ED88)</f>
        <v>7543.460897920806</v>
      </c>
      <c r="EE89" s="157"/>
      <c r="EF89" s="143">
        <f>ED89</f>
        <v>7543.460897920806</v>
      </c>
      <c r="EG89" s="143"/>
      <c r="EH89" s="143">
        <f>EF89</f>
        <v>7543.460897920806</v>
      </c>
      <c r="EI89" s="143"/>
      <c r="EJ89" s="169">
        <f>EH89+ED69</f>
        <v>7543.460897920806</v>
      </c>
      <c r="EK89"/>
      <c r="EL89" s="33">
        <f>EJ89-(EL$5*EL88)</f>
        <v>6997.1318259761156</v>
      </c>
      <c r="EM89"/>
      <c r="EN89" s="33">
        <f>EL89-(EN$5*EN88)</f>
        <v>6082.8381862948982</v>
      </c>
      <c r="EO89"/>
      <c r="EP89" s="82">
        <f>EN89-(EP$5*EP88)</f>
        <v>4569.5487903555559</v>
      </c>
      <c r="EQ89"/>
      <c r="ER89" s="33">
        <f>EP89-(ER$5*ER88)</f>
        <v>3232.9853795568479</v>
      </c>
      <c r="ES89"/>
      <c r="ET89" s="33">
        <f>ER89-(ET$5*ET88)</f>
        <v>2305.5835873353976</v>
      </c>
      <c r="EU89"/>
      <c r="EV89" s="82">
        <f>ET89-(EV$5*EV88)</f>
        <v>1796.238231486363</v>
      </c>
      <c r="EW89"/>
      <c r="EX89" s="33">
        <f>EV89-(EX$5*EX88)</f>
        <v>1553.5033353395575</v>
      </c>
      <c r="EY89"/>
      <c r="EZ89" s="33">
        <f>EX89-(EZ$5*EZ88)</f>
        <v>1319.6632569879096</v>
      </c>
      <c r="FA89"/>
      <c r="FB89" s="82">
        <f>EZ89-(FB$5*FB88)</f>
        <v>1095.6542930414362</v>
      </c>
      <c r="FC89"/>
      <c r="FD89" s="33">
        <f>FB89-(FD$5*FD88)</f>
        <v>895.75496680289041</v>
      </c>
      <c r="FE89" s="175"/>
      <c r="FF89" s="33">
        <f>FD89-(FF$5*FF88)</f>
        <v>668.93711302636711</v>
      </c>
      <c r="FG89" s="175"/>
      <c r="FH89" s="168">
        <f>FF89-(FH$5*FH88)</f>
        <v>259.54142029660528</v>
      </c>
      <c r="FI89" s="175"/>
      <c r="FJ89" s="53"/>
      <c r="FK89" s="51"/>
      <c r="FL89" s="53"/>
      <c r="FM89" s="51"/>
      <c r="FN89" s="85"/>
      <c r="FO89" s="51"/>
      <c r="FP89" s="53"/>
      <c r="FQ89" s="51"/>
      <c r="FR89" s="53"/>
      <c r="FS89" s="51"/>
      <c r="FT89" s="85"/>
      <c r="FU89" s="51"/>
      <c r="FV89" s="53"/>
      <c r="FW89" s="51"/>
      <c r="FX89" s="53"/>
      <c r="FY89" s="51"/>
      <c r="FZ89" s="85"/>
      <c r="GA89" s="175"/>
      <c r="GB89" s="53"/>
      <c r="GC89" s="51"/>
      <c r="GD89" s="53"/>
      <c r="GE89" s="51"/>
      <c r="GF89" s="85"/>
      <c r="GG89" s="175"/>
      <c r="GH89" s="53"/>
      <c r="GI89" s="51"/>
      <c r="GJ89" s="53"/>
      <c r="GK89" s="51"/>
      <c r="GL89" s="85"/>
      <c r="GM89" s="175"/>
      <c r="GN89" s="53"/>
      <c r="GO89" s="51"/>
      <c r="GP89" s="53"/>
      <c r="GQ89" s="51"/>
      <c r="GR89" s="85"/>
      <c r="GS89" s="175"/>
      <c r="GT89" s="53"/>
      <c r="GU89" s="51"/>
      <c r="GV89" s="53"/>
      <c r="GW89" s="51"/>
      <c r="GX89" s="85"/>
      <c r="GY89" s="175"/>
      <c r="GZ89" s="53"/>
      <c r="HA89" s="51"/>
      <c r="HB89" s="53"/>
      <c r="HC89" s="51"/>
      <c r="HD89" s="85"/>
      <c r="HE89" s="175"/>
      <c r="HF89" s="53"/>
      <c r="HG89" s="51"/>
      <c r="HH89" s="53"/>
      <c r="HI89" s="51"/>
      <c r="HJ89" s="85"/>
      <c r="HK89" s="175"/>
      <c r="HL89" s="53"/>
      <c r="HM89" s="51"/>
      <c r="HN89" s="53"/>
      <c r="HO89" s="51"/>
      <c r="HP89" s="85"/>
      <c r="HQ89" s="175"/>
      <c r="HR89" s="53"/>
      <c r="HS89" s="51"/>
      <c r="HT89" s="53"/>
      <c r="HU89" s="51"/>
      <c r="HV89" s="85"/>
      <c r="HW89" s="175"/>
      <c r="HX89" s="53"/>
      <c r="HY89" s="51"/>
      <c r="HZ89" s="53"/>
      <c r="IA89" s="51"/>
      <c r="IB89" s="85"/>
      <c r="IC89" s="175"/>
      <c r="ID89" s="53"/>
      <c r="IE89" s="51"/>
      <c r="IF89" s="53"/>
      <c r="IG89" s="51"/>
      <c r="IH89" s="85"/>
      <c r="II89" s="175"/>
      <c r="IJ89" s="53"/>
      <c r="IK89" s="51"/>
      <c r="IL89" s="53"/>
      <c r="IM89" s="51"/>
      <c r="IN89" s="85"/>
      <c r="IO89" s="175"/>
      <c r="IP89" s="53"/>
      <c r="IQ89" s="51"/>
      <c r="IR89" s="53"/>
      <c r="IS89" s="51"/>
      <c r="IT89" s="85"/>
      <c r="IU89" s="175"/>
      <c r="IV89" s="53"/>
      <c r="IW89" s="51"/>
      <c r="IX89" s="53"/>
      <c r="IY89" s="51"/>
      <c r="IZ89" s="85"/>
      <c r="JA89" s="175"/>
      <c r="JB89" s="53"/>
      <c r="JC89" s="51"/>
      <c r="JD89" s="53"/>
      <c r="JE89" s="51"/>
      <c r="JF89" s="85"/>
      <c r="JG89" s="179"/>
      <c r="JH89" s="53"/>
      <c r="JI89" s="51"/>
      <c r="JJ89" s="53"/>
      <c r="JK89" s="51"/>
      <c r="JL89" s="85"/>
      <c r="JM89" s="175"/>
      <c r="JN89" s="53"/>
      <c r="JO89" s="51"/>
      <c r="JP89" s="53"/>
      <c r="JQ89" s="51"/>
      <c r="JR89" s="85"/>
      <c r="JS89" s="175"/>
      <c r="JT89" s="53"/>
      <c r="JU89" s="51"/>
      <c r="JV89" s="53"/>
      <c r="JW89" s="51"/>
      <c r="JX89" s="85"/>
      <c r="JY89" s="175"/>
      <c r="JZ89" s="53"/>
      <c r="KA89" s="51"/>
      <c r="KB89" s="53"/>
      <c r="KC89" s="51"/>
      <c r="KD89" s="85"/>
      <c r="KE89" s="175"/>
      <c r="KF89" s="53"/>
      <c r="KG89" s="51"/>
      <c r="KH89" s="53"/>
      <c r="KI89" s="51"/>
      <c r="KJ89" s="85"/>
      <c r="KK89" s="175"/>
      <c r="KL89" s="53"/>
      <c r="KM89" s="51"/>
      <c r="KN89" s="53"/>
      <c r="KO89" s="51"/>
      <c r="KP89" s="85"/>
      <c r="KQ89" s="175"/>
      <c r="KR89" s="53"/>
      <c r="KS89" s="51"/>
      <c r="KT89" s="53"/>
      <c r="KU89" s="51"/>
      <c r="KV89" s="85"/>
      <c r="KW89" s="175"/>
      <c r="KX89" s="53"/>
      <c r="KY89" s="51"/>
      <c r="KZ89" s="53"/>
      <c r="LA89" s="51"/>
      <c r="LB89" s="85"/>
      <c r="LC89" s="175"/>
      <c r="LD89" s="53"/>
      <c r="LE89" s="51"/>
      <c r="LF89" s="53"/>
      <c r="LG89" s="51"/>
      <c r="LH89" s="85"/>
      <c r="LI89" s="175"/>
      <c r="LJ89" s="53"/>
      <c r="LK89" s="51"/>
      <c r="LL89" s="53"/>
      <c r="LM89" s="51"/>
      <c r="LN89" s="85"/>
      <c r="LO89" s="175"/>
      <c r="LP89" s="53"/>
      <c r="LQ89" s="51"/>
      <c r="LR89" s="53"/>
      <c r="LS89" s="51"/>
      <c r="LT89" s="85"/>
      <c r="LU89" s="175"/>
      <c r="LV89" s="53"/>
      <c r="LW89" s="51"/>
      <c r="LX89" s="53"/>
      <c r="LY89" s="51"/>
      <c r="LZ89" s="85"/>
      <c r="MA89" s="175"/>
      <c r="MB89" s="53"/>
      <c r="MC89" s="51"/>
      <c r="MD89" s="53"/>
      <c r="ME89" s="51"/>
      <c r="MF89" s="85"/>
      <c r="MG89" s="175"/>
      <c r="MH89" s="53"/>
      <c r="MI89" s="51"/>
      <c r="MJ89" s="53"/>
      <c r="MK89" s="51"/>
      <c r="ML89" s="85"/>
      <c r="MM89" s="175"/>
      <c r="MN89" s="53"/>
      <c r="MO89" s="51"/>
      <c r="MP89" s="53"/>
      <c r="MQ89" s="51"/>
      <c r="MR89" s="53"/>
      <c r="MS89" s="175"/>
      <c r="MT89" s="53"/>
      <c r="MU89" s="51"/>
      <c r="MV89" s="53"/>
      <c r="MW89" s="51"/>
    </row>
    <row r="90" spans="45:361" s="10" customFormat="1" hidden="1" x14ac:dyDescent="0.35">
      <c r="DF90" s="81"/>
      <c r="DG90"/>
      <c r="DH90"/>
      <c r="DI90"/>
      <c r="DJ90"/>
      <c r="DK90"/>
      <c r="DL90" s="81"/>
      <c r="DM90"/>
      <c r="DN90"/>
      <c r="DO90"/>
      <c r="DP90"/>
      <c r="DQ90"/>
      <c r="DR90" s="81"/>
      <c r="DS90"/>
      <c r="DT90"/>
      <c r="DU90"/>
      <c r="DV90"/>
      <c r="DW90"/>
      <c r="DX90" s="81"/>
      <c r="DY90"/>
      <c r="DZ90"/>
      <c r="EA90"/>
      <c r="EB90"/>
      <c r="EC90"/>
      <c r="ED90" s="158"/>
      <c r="EE90"/>
      <c r="EF90"/>
      <c r="EG90"/>
      <c r="EH90"/>
      <c r="EI90"/>
      <c r="EJ90" s="101">
        <f>(EJ89/SUM(DH$5:ED$5))</f>
        <v>0.23407415250415198</v>
      </c>
      <c r="EK90"/>
      <c r="EL90"/>
      <c r="EM90"/>
      <c r="EN90"/>
      <c r="EO90"/>
      <c r="EP90" s="81"/>
      <c r="EQ90"/>
      <c r="ER90"/>
      <c r="ES90"/>
      <c r="ET90"/>
      <c r="EU90"/>
      <c r="EV90" s="81"/>
      <c r="EW90"/>
      <c r="EX90"/>
      <c r="EY90"/>
      <c r="EZ90"/>
      <c r="FA90"/>
      <c r="FB90" s="81"/>
      <c r="FC90"/>
      <c r="FD90" s="175"/>
      <c r="FE90" s="175"/>
      <c r="FF90" s="175"/>
      <c r="FG90" s="175"/>
      <c r="FH90" s="81"/>
      <c r="FI90" s="175"/>
      <c r="FJ90" s="175"/>
      <c r="FK90" s="175"/>
      <c r="FL90" s="175"/>
      <c r="FM90" s="175"/>
      <c r="FN90" s="81"/>
      <c r="FO90" s="175"/>
      <c r="FP90" s="175"/>
      <c r="FQ90" s="175"/>
      <c r="FR90" s="175"/>
      <c r="FS90" s="175"/>
      <c r="FT90" s="81"/>
      <c r="FU90" s="175"/>
      <c r="FV90" s="175"/>
      <c r="FW90" s="175"/>
      <c r="FX90" s="175"/>
      <c r="FY90" s="175"/>
      <c r="FZ90" s="81"/>
      <c r="GA90" s="175"/>
      <c r="GB90" s="175"/>
      <c r="GC90" s="175"/>
      <c r="GD90" s="175"/>
      <c r="GE90" s="175"/>
      <c r="GF90" s="81"/>
      <c r="GG90" s="175"/>
      <c r="GH90" s="175"/>
      <c r="GI90" s="175"/>
      <c r="GJ90" s="175"/>
      <c r="GK90" s="175"/>
      <c r="GL90" s="81"/>
      <c r="GM90" s="175"/>
      <c r="GN90" s="175"/>
      <c r="GO90" s="175"/>
      <c r="GP90" s="175"/>
      <c r="GQ90" s="175"/>
      <c r="GR90" s="81"/>
      <c r="GS90" s="175"/>
      <c r="GT90" s="175"/>
      <c r="GU90" s="175"/>
      <c r="GV90" s="175"/>
      <c r="GW90" s="175"/>
      <c r="GX90" s="81"/>
      <c r="GY90" s="175"/>
      <c r="GZ90" s="175"/>
      <c r="HA90" s="175"/>
      <c r="HB90" s="175"/>
      <c r="HC90" s="175"/>
      <c r="HD90" s="81"/>
      <c r="HE90" s="175"/>
      <c r="HF90" s="175"/>
      <c r="HG90" s="175"/>
      <c r="HH90" s="175"/>
      <c r="HI90" s="175"/>
      <c r="HJ90" s="81"/>
      <c r="HK90" s="175"/>
      <c r="HL90" s="175"/>
      <c r="HM90" s="175"/>
      <c r="HN90" s="175"/>
      <c r="HO90" s="175"/>
      <c r="HP90" s="81"/>
      <c r="HQ90" s="175"/>
      <c r="HR90" s="175"/>
      <c r="HS90" s="175"/>
      <c r="HT90" s="175"/>
      <c r="HU90" s="175"/>
      <c r="HV90" s="81"/>
      <c r="HW90" s="175"/>
      <c r="HX90" s="175"/>
      <c r="HY90" s="175"/>
      <c r="HZ90" s="175"/>
      <c r="IA90" s="175"/>
      <c r="IB90" s="81"/>
      <c r="IC90" s="175"/>
      <c r="ID90" s="175"/>
      <c r="IE90" s="175"/>
      <c r="IF90" s="175"/>
      <c r="IG90" s="175"/>
      <c r="IH90" s="81"/>
      <c r="II90" s="175"/>
      <c r="IJ90" s="175"/>
      <c r="IK90" s="175"/>
      <c r="IL90" s="175"/>
      <c r="IM90" s="175"/>
      <c r="IN90" s="81"/>
      <c r="IO90" s="175"/>
      <c r="IP90" s="175"/>
      <c r="IQ90" s="175"/>
      <c r="IR90" s="175"/>
      <c r="IS90" s="175"/>
      <c r="IT90" s="81"/>
      <c r="IU90" s="175"/>
      <c r="IV90" s="175"/>
      <c r="IW90" s="175"/>
      <c r="IX90" s="175"/>
      <c r="IY90" s="175"/>
      <c r="IZ90" s="81"/>
      <c r="JA90" s="175"/>
      <c r="JB90" s="175"/>
      <c r="JC90" s="175"/>
      <c r="JD90" s="175"/>
      <c r="JE90" s="175"/>
      <c r="JF90" s="81"/>
      <c r="JG90" s="179"/>
      <c r="JH90" s="175"/>
      <c r="JI90" s="175"/>
      <c r="JJ90" s="175"/>
      <c r="JK90" s="175"/>
      <c r="JL90" s="81"/>
      <c r="JM90" s="175"/>
      <c r="JN90" s="175"/>
      <c r="JO90" s="175"/>
      <c r="JP90" s="175"/>
      <c r="JQ90" s="175"/>
      <c r="JR90" s="81"/>
      <c r="JS90" s="175"/>
      <c r="JT90" s="175"/>
      <c r="JU90" s="175"/>
      <c r="JV90" s="175"/>
      <c r="JW90" s="175"/>
      <c r="JX90" s="81"/>
      <c r="JY90" s="175"/>
      <c r="JZ90" s="175"/>
      <c r="KA90" s="175"/>
      <c r="KB90" s="175"/>
      <c r="KC90" s="175"/>
      <c r="KD90" s="81"/>
      <c r="KE90" s="175"/>
      <c r="KF90" s="175"/>
      <c r="KG90" s="175"/>
      <c r="KH90" s="175"/>
      <c r="KI90" s="175"/>
      <c r="KJ90" s="81"/>
      <c r="KK90" s="175"/>
      <c r="KL90" s="175"/>
      <c r="KM90" s="175"/>
      <c r="KN90" s="175"/>
      <c r="KO90" s="175"/>
      <c r="KP90" s="81"/>
      <c r="KQ90" s="175"/>
      <c r="KR90" s="175"/>
      <c r="KS90" s="175"/>
      <c r="KT90" s="175"/>
      <c r="KU90" s="175"/>
      <c r="KV90" s="81"/>
      <c r="KW90" s="175"/>
      <c r="KX90" s="175"/>
      <c r="KY90" s="175"/>
      <c r="KZ90" s="175"/>
      <c r="LA90" s="175"/>
      <c r="LB90" s="81"/>
      <c r="LC90" s="175"/>
      <c r="LD90" s="175"/>
      <c r="LE90" s="175"/>
      <c r="LF90" s="175"/>
      <c r="LG90" s="175"/>
      <c r="LH90" s="81"/>
      <c r="LI90" s="175"/>
      <c r="LJ90" s="175"/>
      <c r="LK90" s="175"/>
      <c r="LL90" s="175"/>
      <c r="LM90" s="175"/>
      <c r="LN90" s="81"/>
      <c r="LO90" s="175"/>
      <c r="LP90" s="175"/>
      <c r="LQ90" s="175"/>
      <c r="LR90" s="175"/>
      <c r="LS90" s="175"/>
      <c r="LT90" s="81"/>
      <c r="LU90" s="175"/>
      <c r="LV90" s="175"/>
      <c r="LW90" s="175"/>
      <c r="LX90" s="175"/>
      <c r="LY90" s="175"/>
      <c r="LZ90" s="81"/>
      <c r="MA90" s="175"/>
      <c r="MB90" s="175"/>
      <c r="MC90" s="175"/>
      <c r="MD90" s="175"/>
      <c r="ME90" s="175"/>
      <c r="MF90" s="81"/>
      <c r="MG90" s="175"/>
      <c r="MH90" s="175"/>
      <c r="MI90" s="175"/>
      <c r="MJ90" s="175"/>
      <c r="MK90" s="175"/>
      <c r="ML90" s="81"/>
      <c r="MM90" s="175"/>
      <c r="MN90" s="175"/>
      <c r="MO90" s="175"/>
      <c r="MP90" s="175"/>
      <c r="MQ90" s="175"/>
      <c r="MR90" s="175"/>
      <c r="MS90" s="175"/>
      <c r="MT90" s="175"/>
      <c r="MU90" s="175"/>
      <c r="MV90" s="175"/>
      <c r="MW90" s="175"/>
    </row>
    <row r="91" spans="45:361" s="10" customFormat="1" hidden="1" x14ac:dyDescent="0.35">
      <c r="DM91" s="179"/>
      <c r="DS91" s="179"/>
      <c r="DY91" s="179"/>
      <c r="EE91" s="179"/>
      <c r="EK91" s="179"/>
      <c r="EP91" s="81"/>
      <c r="EW91" s="179"/>
      <c r="FC91" s="179"/>
      <c r="FI91" s="179"/>
      <c r="FO91" s="179"/>
      <c r="FU91" s="179"/>
      <c r="GA91" s="179"/>
      <c r="GG91" s="179"/>
      <c r="GM91" s="179"/>
      <c r="GS91" s="179"/>
      <c r="GY91" s="179"/>
      <c r="HE91" s="179"/>
      <c r="HK91" s="179"/>
      <c r="HQ91" s="179"/>
      <c r="HW91" s="179"/>
      <c r="IC91" s="179"/>
      <c r="II91" s="179"/>
      <c r="IO91" s="179"/>
      <c r="IU91" s="179"/>
      <c r="JA91" s="179"/>
      <c r="JF91" s="81"/>
      <c r="JG91" s="179"/>
      <c r="JM91" s="179"/>
      <c r="JS91" s="179"/>
      <c r="JY91" s="179"/>
      <c r="KE91" s="179"/>
      <c r="KK91" s="179"/>
      <c r="KQ91" s="179"/>
      <c r="KW91" s="179"/>
      <c r="LC91" s="179"/>
      <c r="LI91" s="179"/>
      <c r="LO91" s="179"/>
      <c r="LU91" s="179"/>
      <c r="MA91" s="179"/>
      <c r="MG91" s="179"/>
      <c r="MM91" s="179"/>
      <c r="MS91" s="179"/>
    </row>
    <row r="92" spans="45:361" s="10" customFormat="1" hidden="1" x14ac:dyDescent="0.35">
      <c r="DL92" s="81"/>
      <c r="DM92" s="175"/>
      <c r="DN92" s="66">
        <f>'Actual Adjustment (SIV)'!AT21</f>
        <v>0.87554218562160202</v>
      </c>
      <c r="DO92" s="95"/>
      <c r="DP92" s="43">
        <f>DN92</f>
        <v>0.87554218562160202</v>
      </c>
      <c r="DQ92" s="40"/>
      <c r="DR92" s="150">
        <f>DP92</f>
        <v>0.87554218562160202</v>
      </c>
      <c r="DS92" s="40"/>
      <c r="DT92" s="43">
        <f>DR92</f>
        <v>0.87554218562160202</v>
      </c>
      <c r="DU92" s="40"/>
      <c r="DV92" s="43">
        <f>DT92</f>
        <v>0.87554218562160202</v>
      </c>
      <c r="DW92" s="40"/>
      <c r="DX92" s="150">
        <f>DV92</f>
        <v>0.87554218562160202</v>
      </c>
      <c r="DY92" s="40"/>
      <c r="DZ92" s="43">
        <f>DX92</f>
        <v>0.87554218562160202</v>
      </c>
      <c r="EA92" s="40"/>
      <c r="EB92" s="43">
        <f>DZ92</f>
        <v>0.87554218562160202</v>
      </c>
      <c r="EC92" s="40"/>
      <c r="ED92" s="150">
        <f>EB92</f>
        <v>0.87554218562160202</v>
      </c>
      <c r="EE92" s="40"/>
      <c r="EF92" s="43">
        <f>ED92</f>
        <v>0.87554218562160202</v>
      </c>
      <c r="EG92" s="40"/>
      <c r="EH92" s="43">
        <f>EF92</f>
        <v>0.87554218562160202</v>
      </c>
      <c r="EI92" s="40"/>
      <c r="EJ92" s="150">
        <f>EH92</f>
        <v>0.87554218562160202</v>
      </c>
      <c r="EK92" s="156"/>
      <c r="EL92" s="144"/>
      <c r="EM92" s="144"/>
      <c r="EN92" s="144"/>
      <c r="EO92" s="144"/>
      <c r="EP92" s="118"/>
      <c r="EQ92" s="40"/>
      <c r="ER92" s="151">
        <f>EP94</f>
        <v>0.13264235906393793</v>
      </c>
      <c r="ES92" s="40"/>
      <c r="ET92" s="43">
        <f>ER92</f>
        <v>0.13264235906393793</v>
      </c>
      <c r="EU92" s="40"/>
      <c r="EV92" s="150">
        <f>ET92</f>
        <v>0.13264235906393793</v>
      </c>
      <c r="EW92" s="40"/>
      <c r="EX92" s="43">
        <f>EV92</f>
        <v>0.13264235906393793</v>
      </c>
      <c r="EY92" s="40"/>
      <c r="EZ92" s="43">
        <f>EX92</f>
        <v>0.13264235906393793</v>
      </c>
      <c r="FA92" s="40"/>
      <c r="FB92" s="150">
        <f>EZ92</f>
        <v>0.13264235906393793</v>
      </c>
      <c r="FC92" s="40"/>
      <c r="FD92" s="43">
        <f>FB92</f>
        <v>0.13264235906393793</v>
      </c>
      <c r="FE92" s="40"/>
      <c r="FF92" s="43">
        <f>FD92</f>
        <v>0.13264235906393793</v>
      </c>
      <c r="FG92" s="40"/>
      <c r="FH92" s="150">
        <f>FF92</f>
        <v>0.13264235906393793</v>
      </c>
      <c r="FI92" s="40"/>
      <c r="FJ92" s="43">
        <f>FH92</f>
        <v>0.13264235906393793</v>
      </c>
      <c r="FK92" s="40"/>
      <c r="FL92" s="43">
        <f>FJ92</f>
        <v>0.13264235906393793</v>
      </c>
      <c r="FM92" s="40"/>
      <c r="FN92" s="150">
        <f>FL92</f>
        <v>0.13264235906393793</v>
      </c>
      <c r="FO92" s="40"/>
      <c r="FP92" s="76"/>
      <c r="FQ92" s="76"/>
      <c r="FR92" s="76"/>
      <c r="FS92" s="76"/>
      <c r="FT92" s="118"/>
      <c r="FU92" s="76"/>
      <c r="FV92" s="76"/>
      <c r="FW92" s="76"/>
      <c r="FX92" s="76"/>
      <c r="FY92" s="76"/>
      <c r="FZ92" s="118"/>
      <c r="GA92" s="40"/>
      <c r="GB92" s="76"/>
      <c r="GC92" s="76"/>
      <c r="GD92" s="76"/>
      <c r="GE92" s="76"/>
      <c r="GF92" s="118"/>
      <c r="GG92" s="40"/>
      <c r="GH92" s="76"/>
      <c r="GI92" s="76"/>
      <c r="GJ92" s="76"/>
      <c r="GK92" s="76"/>
      <c r="GL92" s="118"/>
      <c r="GM92" s="40"/>
      <c r="GN92" s="76"/>
      <c r="GO92" s="76"/>
      <c r="GP92" s="76"/>
      <c r="GQ92" s="76"/>
      <c r="GR92" s="118"/>
      <c r="GS92" s="40"/>
      <c r="GT92" s="76"/>
      <c r="GU92" s="76"/>
      <c r="GV92" s="76"/>
      <c r="GW92" s="76"/>
      <c r="GX92" s="118"/>
      <c r="GY92" s="40"/>
      <c r="GZ92" s="76"/>
      <c r="HA92" s="76"/>
      <c r="HB92" s="76"/>
      <c r="HC92" s="76"/>
      <c r="HD92" s="118"/>
      <c r="HE92" s="40"/>
      <c r="HF92" s="76"/>
      <c r="HG92" s="76"/>
      <c r="HH92" s="76"/>
      <c r="HI92" s="76"/>
      <c r="HJ92" s="118"/>
      <c r="HK92" s="40"/>
      <c r="HL92" s="76"/>
      <c r="HM92" s="76"/>
      <c r="HN92" s="76"/>
      <c r="HO92" s="76"/>
      <c r="HP92" s="118"/>
      <c r="HQ92" s="40"/>
      <c r="HR92" s="76"/>
      <c r="HS92" s="76"/>
      <c r="HT92" s="76"/>
      <c r="HU92" s="76"/>
      <c r="HV92" s="118"/>
      <c r="HW92" s="40"/>
      <c r="HX92" s="76"/>
      <c r="HY92" s="76"/>
      <c r="HZ92" s="76"/>
      <c r="IA92" s="76"/>
      <c r="IB92" s="118"/>
      <c r="IC92" s="40"/>
      <c r="ID92" s="76"/>
      <c r="IE92" s="76"/>
      <c r="IF92" s="76"/>
      <c r="IG92" s="76"/>
      <c r="IH92" s="118"/>
      <c r="II92" s="40"/>
      <c r="IJ92" s="76"/>
      <c r="IK92" s="76"/>
      <c r="IL92" s="76"/>
      <c r="IM92" s="76"/>
      <c r="IN92" s="118"/>
      <c r="IO92" s="40"/>
      <c r="IP92" s="76"/>
      <c r="IQ92" s="76"/>
      <c r="IR92" s="76"/>
      <c r="IS92" s="76"/>
      <c r="IT92" s="118"/>
      <c r="IU92" s="40"/>
      <c r="IV92" s="76"/>
      <c r="IW92" s="76"/>
      <c r="IX92" s="76"/>
      <c r="IY92" s="76"/>
      <c r="IZ92" s="118"/>
      <c r="JA92" s="40"/>
      <c r="JB92" s="76"/>
      <c r="JC92" s="76"/>
      <c r="JD92" s="76"/>
      <c r="JE92" s="76"/>
      <c r="JF92" s="118"/>
      <c r="JG92" s="196"/>
      <c r="JH92" s="76"/>
      <c r="JI92" s="76"/>
      <c r="JJ92" s="76"/>
      <c r="JK92" s="76"/>
      <c r="JL92" s="118"/>
      <c r="JM92" s="40"/>
      <c r="JN92" s="76"/>
      <c r="JO92" s="76"/>
      <c r="JP92" s="76"/>
      <c r="JQ92" s="76"/>
      <c r="JR92" s="118"/>
      <c r="JS92" s="40"/>
      <c r="JT92" s="76"/>
      <c r="JU92" s="76"/>
      <c r="JV92" s="76"/>
      <c r="JW92" s="76"/>
      <c r="JX92" s="118"/>
      <c r="JY92" s="40"/>
      <c r="JZ92" s="76"/>
      <c r="KA92" s="76"/>
      <c r="KB92" s="76"/>
      <c r="KC92" s="76"/>
      <c r="KD92" s="118"/>
      <c r="KE92" s="40"/>
      <c r="KF92" s="76"/>
      <c r="KG92" s="76"/>
      <c r="KH92" s="76"/>
      <c r="KI92" s="76"/>
      <c r="KJ92" s="118"/>
      <c r="KK92" s="40"/>
      <c r="KL92" s="76"/>
      <c r="KM92" s="76"/>
      <c r="KN92" s="76"/>
      <c r="KO92" s="76"/>
      <c r="KP92" s="118"/>
      <c r="KQ92" s="40"/>
      <c r="KR92" s="76"/>
      <c r="KS92" s="76"/>
      <c r="KT92" s="76"/>
      <c r="KU92" s="76"/>
      <c r="KV92" s="118"/>
      <c r="KW92" s="40"/>
      <c r="KX92" s="76"/>
      <c r="KY92" s="76"/>
      <c r="KZ92" s="76"/>
      <c r="LA92" s="76"/>
      <c r="LB92" s="118"/>
      <c r="LC92" s="40"/>
      <c r="LD92" s="76"/>
      <c r="LE92" s="76"/>
      <c r="LF92" s="76"/>
      <c r="LG92" s="76"/>
      <c r="LH92" s="118"/>
      <c r="LI92" s="40"/>
      <c r="LJ92" s="76"/>
      <c r="LK92" s="76"/>
      <c r="LL92" s="76"/>
      <c r="LM92" s="76"/>
      <c r="LN92" s="118"/>
      <c r="LO92" s="40"/>
      <c r="LP92" s="76"/>
      <c r="LQ92" s="76"/>
      <c r="LR92" s="76"/>
      <c r="LS92" s="76"/>
      <c r="LT92" s="118"/>
      <c r="LU92" s="40"/>
      <c r="LV92" s="76"/>
      <c r="LW92" s="76"/>
      <c r="LX92" s="76"/>
      <c r="LY92" s="76"/>
      <c r="LZ92" s="118"/>
      <c r="MA92" s="40"/>
      <c r="MB92" s="76"/>
      <c r="MC92" s="76"/>
      <c r="MD92" s="76"/>
      <c r="ME92" s="76"/>
      <c r="MF92" s="118"/>
      <c r="MG92" s="40"/>
      <c r="MH92" s="76"/>
      <c r="MI92" s="76"/>
      <c r="MJ92" s="76"/>
      <c r="MK92" s="76"/>
      <c r="ML92" s="118"/>
      <c r="MM92" s="40"/>
      <c r="MN92" s="76"/>
      <c r="MO92" s="76"/>
      <c r="MP92" s="76"/>
      <c r="MQ92" s="76"/>
      <c r="MR92" s="76"/>
      <c r="MS92" s="40"/>
      <c r="MT92" s="76"/>
      <c r="MU92" s="76"/>
      <c r="MV92" s="76"/>
      <c r="MW92" s="76"/>
    </row>
    <row r="93" spans="45:361" s="10" customFormat="1" hidden="1" x14ac:dyDescent="0.35">
      <c r="DL93" s="93">
        <f>'Actual Adjustment (SIV)'!AT19</f>
        <v>20975.364140936719</v>
      </c>
      <c r="DM93" s="175"/>
      <c r="DN93" s="33">
        <f>DL93-(DN$5*DN92)</f>
        <v>17759.760355804261</v>
      </c>
      <c r="DO93" s="175"/>
      <c r="DP93" s="33">
        <f>DN93-(DP$5*DP92)</f>
        <v>15261.40072913302</v>
      </c>
      <c r="DQ93" s="175"/>
      <c r="DR93" s="82">
        <f>DP93-(DR$5*DR92)</f>
        <v>9944.6708069458418</v>
      </c>
      <c r="DS93" s="175"/>
      <c r="DT93" s="33">
        <f>DR93-(DT$5*DT92)</f>
        <v>6176.0745773747803</v>
      </c>
      <c r="DU93" s="175"/>
      <c r="DV93" s="33">
        <f>DT93-(DV$5*DV92)</f>
        <v>1465.5700645119987</v>
      </c>
      <c r="DW93" s="175"/>
      <c r="DX93" s="82">
        <f>DV93-(DX$5*DX92)</f>
        <v>-750.33965307771405</v>
      </c>
      <c r="DY93" s="175"/>
      <c r="DZ93" s="33">
        <f>DX93-(DZ$5*DZ92)</f>
        <v>-2153.833776629142</v>
      </c>
      <c r="EA93" s="175"/>
      <c r="EB93" s="33">
        <f>DZ93-(EB$5*EB92)</f>
        <v>-2951.6278161675459</v>
      </c>
      <c r="EC93" s="175"/>
      <c r="ED93" s="82">
        <f>EB93-(ED$5*ED92)</f>
        <v>-3660.6418780839194</v>
      </c>
      <c r="EE93" s="175"/>
      <c r="EF93" s="33">
        <f>ED93-(EF$5*EF92)</f>
        <v>-4577.5096548668607</v>
      </c>
      <c r="EG93" s="175"/>
      <c r="EH93" s="33">
        <f>EF93-(EH$5*EH92)</f>
        <v>-5497.4418292994778</v>
      </c>
      <c r="EI93" s="175"/>
      <c r="EJ93" s="82">
        <f>EH93-(EJ$5*EJ92)</f>
        <v>-6914.4193025094792</v>
      </c>
      <c r="EK93" s="157"/>
      <c r="EL93" s="143">
        <f>EJ93</f>
        <v>-6914.4193025094792</v>
      </c>
      <c r="EM93" s="143"/>
      <c r="EN93" s="143">
        <f>EL93</f>
        <v>-6914.4193025094792</v>
      </c>
      <c r="EO93" s="143"/>
      <c r="EP93" s="169">
        <f>EN93+EJ73</f>
        <v>4225.2294983303982</v>
      </c>
      <c r="EQ93" s="175"/>
      <c r="ER93" s="33">
        <f>EP93-(ER$5*ER92)</f>
        <v>3467.8416280753127</v>
      </c>
      <c r="ES93" s="175"/>
      <c r="ET93" s="33">
        <f>ER93-(ET$5*ET92)</f>
        <v>2942.3126014639906</v>
      </c>
      <c r="EU93" s="175"/>
      <c r="EV93" s="82">
        <f>ET93-(EV$5*EV92)</f>
        <v>2653.6828281408616</v>
      </c>
      <c r="EW93" s="175"/>
      <c r="EX93" s="33">
        <f>EV93-(EX$5*EX92)</f>
        <v>2516.1327017915578</v>
      </c>
      <c r="EY93" s="175"/>
      <c r="EZ93" s="33">
        <f>EX93-(EZ$5*EZ92)</f>
        <v>2383.6229850866839</v>
      </c>
      <c r="FA93" s="175"/>
      <c r="FB93" s="82">
        <f>EZ93-(FB$5*FB92)</f>
        <v>2256.6842474624955</v>
      </c>
      <c r="FC93" s="175"/>
      <c r="FD93" s="33">
        <f>FB93-(FD$5*FD92)</f>
        <v>2143.4076728218924</v>
      </c>
      <c r="FE93" s="175"/>
      <c r="FF93" s="33">
        <f>FD93-(FF$5*FF92)</f>
        <v>2014.8772268889365</v>
      </c>
      <c r="FG93" s="175"/>
      <c r="FH93" s="82">
        <f>FF93-(FH$5*FH92)</f>
        <v>1782.885740886109</v>
      </c>
      <c r="FI93" s="175"/>
      <c r="FJ93" s="33">
        <f>FH93-(FJ$5*FJ92)</f>
        <v>1351.532789210183</v>
      </c>
      <c r="FK93" s="175"/>
      <c r="FL93" s="33">
        <f>FJ93-(FL$5*FL92)</f>
        <v>766.57998573821669</v>
      </c>
      <c r="FM93" s="175"/>
      <c r="FN93" s="168">
        <f>FL93-(FN$5*FN92)</f>
        <v>-433.30279435416583</v>
      </c>
      <c r="FO93" s="175"/>
      <c r="FP93" s="53"/>
      <c r="FQ93" s="51"/>
      <c r="FR93" s="53"/>
      <c r="FS93" s="51"/>
      <c r="FT93" s="85"/>
      <c r="FU93" s="51"/>
      <c r="FV93" s="53"/>
      <c r="FW93" s="51"/>
      <c r="FX93" s="53"/>
      <c r="FY93" s="51"/>
      <c r="FZ93" s="85"/>
      <c r="GA93" s="175"/>
      <c r="GB93" s="53"/>
      <c r="GC93" s="51"/>
      <c r="GD93" s="53"/>
      <c r="GE93" s="51"/>
      <c r="GF93" s="85"/>
      <c r="GG93" s="175"/>
      <c r="GH93" s="53"/>
      <c r="GI93" s="51"/>
      <c r="GJ93" s="53"/>
      <c r="GK93" s="51"/>
      <c r="GL93" s="85"/>
      <c r="GM93" s="175"/>
      <c r="GN93" s="53"/>
      <c r="GO93" s="51"/>
      <c r="GP93" s="53"/>
      <c r="GQ93" s="51"/>
      <c r="GR93" s="85"/>
      <c r="GS93" s="175"/>
      <c r="GT93" s="53"/>
      <c r="GU93" s="51"/>
      <c r="GV93" s="53"/>
      <c r="GW93" s="51"/>
      <c r="GX93" s="85"/>
      <c r="GY93" s="175"/>
      <c r="GZ93" s="53"/>
      <c r="HA93" s="51"/>
      <c r="HB93" s="53"/>
      <c r="HC93" s="51"/>
      <c r="HD93" s="85"/>
      <c r="HE93" s="175"/>
      <c r="HF93" s="53"/>
      <c r="HG93" s="51"/>
      <c r="HH93" s="53"/>
      <c r="HI93" s="51"/>
      <c r="HJ93" s="85"/>
      <c r="HK93" s="175"/>
      <c r="HL93" s="53"/>
      <c r="HM93" s="51"/>
      <c r="HN93" s="53"/>
      <c r="HO93" s="51"/>
      <c r="HP93" s="85"/>
      <c r="HQ93" s="175"/>
      <c r="HR93" s="53"/>
      <c r="HS93" s="51"/>
      <c r="HT93" s="53"/>
      <c r="HU93" s="51"/>
      <c r="HV93" s="85"/>
      <c r="HW93" s="175"/>
      <c r="HX93" s="53"/>
      <c r="HY93" s="51"/>
      <c r="HZ93" s="53"/>
      <c r="IA93" s="51"/>
      <c r="IB93" s="85"/>
      <c r="IC93" s="175"/>
      <c r="ID93" s="53"/>
      <c r="IE93" s="51"/>
      <c r="IF93" s="53"/>
      <c r="IG93" s="51"/>
      <c r="IH93" s="85"/>
      <c r="II93" s="175"/>
      <c r="IJ93" s="53"/>
      <c r="IK93" s="51"/>
      <c r="IL93" s="53"/>
      <c r="IM93" s="51"/>
      <c r="IN93" s="85"/>
      <c r="IO93" s="175"/>
      <c r="IP93" s="53"/>
      <c r="IQ93" s="51"/>
      <c r="IR93" s="53"/>
      <c r="IS93" s="51"/>
      <c r="IT93" s="85"/>
      <c r="IU93" s="175"/>
      <c r="IV93" s="53"/>
      <c r="IW93" s="51"/>
      <c r="IX93" s="53"/>
      <c r="IY93" s="51"/>
      <c r="IZ93" s="85"/>
      <c r="JA93" s="175"/>
      <c r="JB93" s="53"/>
      <c r="JC93" s="51"/>
      <c r="JD93" s="53"/>
      <c r="JE93" s="51"/>
      <c r="JF93" s="85"/>
      <c r="JG93" s="179"/>
      <c r="JH93" s="53"/>
      <c r="JI93" s="51"/>
      <c r="JJ93" s="53"/>
      <c r="JK93" s="51"/>
      <c r="JL93" s="85"/>
      <c r="JM93" s="175"/>
      <c r="JN93" s="53"/>
      <c r="JO93" s="51"/>
      <c r="JP93" s="53"/>
      <c r="JQ93" s="51"/>
      <c r="JR93" s="85"/>
      <c r="JS93" s="175"/>
      <c r="JT93" s="53"/>
      <c r="JU93" s="51"/>
      <c r="JV93" s="53"/>
      <c r="JW93" s="51"/>
      <c r="JX93" s="85"/>
      <c r="JY93" s="175"/>
      <c r="JZ93" s="53"/>
      <c r="KA93" s="51"/>
      <c r="KB93" s="53"/>
      <c r="KC93" s="51"/>
      <c r="KD93" s="85"/>
      <c r="KE93" s="175"/>
      <c r="KF93" s="53"/>
      <c r="KG93" s="51"/>
      <c r="KH93" s="53"/>
      <c r="KI93" s="51"/>
      <c r="KJ93" s="85"/>
      <c r="KK93" s="175"/>
      <c r="KL93" s="53"/>
      <c r="KM93" s="51"/>
      <c r="KN93" s="53"/>
      <c r="KO93" s="51"/>
      <c r="KP93" s="85"/>
      <c r="KQ93" s="175"/>
      <c r="KR93" s="53"/>
      <c r="KS93" s="51"/>
      <c r="KT93" s="53"/>
      <c r="KU93" s="51"/>
      <c r="KV93" s="85"/>
      <c r="KW93" s="175"/>
      <c r="KX93" s="53"/>
      <c r="KY93" s="51"/>
      <c r="KZ93" s="53"/>
      <c r="LA93" s="51"/>
      <c r="LB93" s="85"/>
      <c r="LC93" s="175"/>
      <c r="LD93" s="53"/>
      <c r="LE93" s="51"/>
      <c r="LF93" s="53"/>
      <c r="LG93" s="51"/>
      <c r="LH93" s="85"/>
      <c r="LI93" s="175"/>
      <c r="LJ93" s="53"/>
      <c r="LK93" s="51"/>
      <c r="LL93" s="53"/>
      <c r="LM93" s="51"/>
      <c r="LN93" s="85"/>
      <c r="LO93" s="175"/>
      <c r="LP93" s="53"/>
      <c r="LQ93" s="51"/>
      <c r="LR93" s="53"/>
      <c r="LS93" s="51"/>
      <c r="LT93" s="85"/>
      <c r="LU93" s="175"/>
      <c r="LV93" s="53"/>
      <c r="LW93" s="51"/>
      <c r="LX93" s="53"/>
      <c r="LY93" s="51"/>
      <c r="LZ93" s="85"/>
      <c r="MA93" s="175"/>
      <c r="MB93" s="53"/>
      <c r="MC93" s="51"/>
      <c r="MD93" s="53"/>
      <c r="ME93" s="51"/>
      <c r="MF93" s="85"/>
      <c r="MG93" s="175"/>
      <c r="MH93" s="53"/>
      <c r="MI93" s="51"/>
      <c r="MJ93" s="53"/>
      <c r="MK93" s="51"/>
      <c r="ML93" s="85"/>
      <c r="MM93" s="175"/>
      <c r="MN93" s="53"/>
      <c r="MO93" s="51"/>
      <c r="MP93" s="53"/>
      <c r="MQ93" s="51"/>
      <c r="MR93" s="53"/>
      <c r="MS93" s="175"/>
      <c r="MT93" s="53"/>
      <c r="MU93" s="51"/>
      <c r="MV93" s="53"/>
      <c r="MW93" s="51"/>
    </row>
    <row r="94" spans="45:361" s="10" customFormat="1" hidden="1" x14ac:dyDescent="0.35">
      <c r="DL94" s="81"/>
      <c r="DM94" s="175"/>
      <c r="DN94" s="175"/>
      <c r="DO94" s="175"/>
      <c r="DP94" s="175"/>
      <c r="DQ94" s="175"/>
      <c r="DR94" s="81"/>
      <c r="DS94" s="175"/>
      <c r="DT94" s="175"/>
      <c r="DU94" s="175"/>
      <c r="DV94" s="175"/>
      <c r="DW94" s="175"/>
      <c r="DX94" s="81"/>
      <c r="DY94" s="175"/>
      <c r="DZ94" s="175"/>
      <c r="EA94" s="175"/>
      <c r="EB94" s="175"/>
      <c r="EC94" s="175"/>
      <c r="ED94" s="81"/>
      <c r="EE94" s="175"/>
      <c r="EF94" s="175"/>
      <c r="EG94" s="175"/>
      <c r="EH94" s="175"/>
      <c r="EI94" s="175"/>
      <c r="EJ94" s="158"/>
      <c r="EK94" s="175"/>
      <c r="EL94" s="175"/>
      <c r="EM94" s="175"/>
      <c r="EN94" s="175"/>
      <c r="EO94" s="175"/>
      <c r="EP94" s="101">
        <f>(EP93/SUM(DN$5:EJ$5))</f>
        <v>0.13264235906393793</v>
      </c>
      <c r="EQ94" s="175"/>
      <c r="ER94" s="175"/>
      <c r="ES94" s="175"/>
      <c r="ET94" s="175"/>
      <c r="EU94" s="175"/>
      <c r="EV94" s="81"/>
      <c r="EW94" s="175"/>
      <c r="EX94" s="175"/>
      <c r="EY94" s="175"/>
      <c r="EZ94" s="175"/>
      <c r="FA94" s="175"/>
      <c r="FB94" s="81"/>
      <c r="FC94" s="175"/>
      <c r="FD94" s="175"/>
      <c r="FE94" s="175"/>
      <c r="FF94" s="175"/>
      <c r="FG94" s="175"/>
      <c r="FH94" s="81"/>
      <c r="FI94" s="175"/>
      <c r="FJ94" s="175"/>
      <c r="FK94" s="175"/>
      <c r="FL94" s="175"/>
      <c r="FM94" s="175"/>
      <c r="FN94" s="81"/>
      <c r="FO94" s="175"/>
      <c r="FP94" s="175"/>
      <c r="FQ94" s="175"/>
      <c r="FR94" s="175"/>
      <c r="FS94" s="175"/>
      <c r="FT94" s="81"/>
      <c r="FU94" s="175"/>
      <c r="FV94" s="175"/>
      <c r="FW94" s="175"/>
      <c r="FX94" s="175"/>
      <c r="FY94" s="175"/>
      <c r="FZ94" s="81"/>
      <c r="GA94" s="175"/>
      <c r="GB94" s="175"/>
      <c r="GC94" s="175"/>
      <c r="GD94" s="175"/>
      <c r="GE94" s="175"/>
      <c r="GF94" s="81"/>
      <c r="GG94" s="175"/>
      <c r="GH94" s="175"/>
      <c r="GI94" s="175"/>
      <c r="GJ94" s="175"/>
      <c r="GK94" s="175"/>
      <c r="GL94" s="81"/>
      <c r="GM94" s="175"/>
      <c r="GN94" s="175"/>
      <c r="GO94" s="175"/>
      <c r="GP94" s="175"/>
      <c r="GQ94" s="175"/>
      <c r="GR94" s="81"/>
      <c r="GS94" s="175"/>
      <c r="GT94" s="175"/>
      <c r="GU94" s="175"/>
      <c r="GV94" s="175"/>
      <c r="GW94" s="175"/>
      <c r="GX94" s="81"/>
      <c r="GY94" s="175"/>
      <c r="GZ94" s="175"/>
      <c r="HA94" s="175"/>
      <c r="HB94" s="175"/>
      <c r="HC94" s="175"/>
      <c r="HD94" s="81"/>
      <c r="HE94" s="175"/>
      <c r="HF94" s="175"/>
      <c r="HG94" s="175"/>
      <c r="HH94" s="175"/>
      <c r="HI94" s="175"/>
      <c r="HJ94" s="81"/>
      <c r="HK94" s="175"/>
      <c r="HL94" s="175"/>
      <c r="HM94" s="175"/>
      <c r="HN94" s="175"/>
      <c r="HO94" s="175"/>
      <c r="HP94" s="81"/>
      <c r="HQ94" s="175"/>
      <c r="HR94" s="175"/>
      <c r="HS94" s="175"/>
      <c r="HT94" s="175"/>
      <c r="HU94" s="175"/>
      <c r="HV94" s="81"/>
      <c r="HW94" s="175"/>
      <c r="HX94" s="175"/>
      <c r="HY94" s="175"/>
      <c r="HZ94" s="175"/>
      <c r="IA94" s="175"/>
      <c r="IB94" s="81"/>
      <c r="IC94" s="175"/>
      <c r="ID94" s="175"/>
      <c r="IE94" s="175"/>
      <c r="IF94" s="175"/>
      <c r="IG94" s="175"/>
      <c r="IH94" s="81"/>
      <c r="II94" s="175"/>
      <c r="IJ94" s="175"/>
      <c r="IK94" s="175"/>
      <c r="IL94" s="175"/>
      <c r="IM94" s="175"/>
      <c r="IN94" s="81"/>
      <c r="IO94" s="175"/>
      <c r="IP94" s="175"/>
      <c r="IQ94" s="175"/>
      <c r="IR94" s="175"/>
      <c r="IS94" s="175"/>
      <c r="IT94" s="81"/>
      <c r="IU94" s="175"/>
      <c r="IV94" s="175"/>
      <c r="IW94" s="175"/>
      <c r="IX94" s="175"/>
      <c r="IY94" s="175"/>
      <c r="IZ94" s="81"/>
      <c r="JA94" s="175"/>
      <c r="JB94" s="175"/>
      <c r="JC94" s="175"/>
      <c r="JD94" s="175"/>
      <c r="JE94" s="175"/>
      <c r="JF94" s="81"/>
      <c r="JG94" s="179"/>
      <c r="JH94" s="175"/>
      <c r="JI94" s="175"/>
      <c r="JJ94" s="175"/>
      <c r="JK94" s="175"/>
      <c r="JL94" s="81"/>
      <c r="JM94" s="175"/>
      <c r="JN94" s="175"/>
      <c r="JO94" s="175"/>
      <c r="JP94" s="175"/>
      <c r="JQ94" s="175"/>
      <c r="JR94" s="81"/>
      <c r="JS94" s="175"/>
      <c r="JT94" s="175"/>
      <c r="JU94" s="175"/>
      <c r="JV94" s="175"/>
      <c r="JW94" s="175"/>
      <c r="JX94" s="81"/>
      <c r="JY94" s="175"/>
      <c r="JZ94" s="175"/>
      <c r="KA94" s="175"/>
      <c r="KB94" s="175"/>
      <c r="KC94" s="175"/>
      <c r="KD94" s="81"/>
      <c r="KE94" s="175"/>
      <c r="KF94" s="175"/>
      <c r="KG94" s="175"/>
      <c r="KH94" s="175"/>
      <c r="KI94" s="175"/>
      <c r="KJ94" s="81"/>
      <c r="KK94" s="175"/>
      <c r="KL94" s="175"/>
      <c r="KM94" s="175"/>
      <c r="KN94" s="175"/>
      <c r="KO94" s="175"/>
      <c r="KP94" s="81"/>
      <c r="KQ94" s="175"/>
      <c r="KR94" s="175"/>
      <c r="KS94" s="175"/>
      <c r="KT94" s="175"/>
      <c r="KU94" s="175"/>
      <c r="KV94" s="81"/>
      <c r="KW94" s="175"/>
      <c r="KX94" s="175"/>
      <c r="KY94" s="175"/>
      <c r="KZ94" s="175"/>
      <c r="LA94" s="175"/>
      <c r="LB94" s="81"/>
      <c r="LC94" s="175"/>
      <c r="LD94" s="175"/>
      <c r="LE94" s="175"/>
      <c r="LF94" s="175"/>
      <c r="LG94" s="175"/>
      <c r="LH94" s="81"/>
      <c r="LI94" s="175"/>
      <c r="LJ94" s="175"/>
      <c r="LK94" s="175"/>
      <c r="LL94" s="175"/>
      <c r="LM94" s="175"/>
      <c r="LN94" s="81"/>
      <c r="LO94" s="175"/>
      <c r="LP94" s="175"/>
      <c r="LQ94" s="175"/>
      <c r="LR94" s="175"/>
      <c r="LS94" s="175"/>
      <c r="LT94" s="81"/>
      <c r="LU94" s="175"/>
      <c r="LV94" s="175"/>
      <c r="LW94" s="175"/>
      <c r="LX94" s="175"/>
      <c r="LY94" s="175"/>
      <c r="LZ94" s="81"/>
      <c r="MA94" s="175"/>
      <c r="MB94" s="175"/>
      <c r="MC94" s="175"/>
      <c r="MD94" s="175"/>
      <c r="ME94" s="175"/>
      <c r="MF94" s="81"/>
      <c r="MG94" s="175"/>
      <c r="MH94" s="175"/>
      <c r="MI94" s="175"/>
      <c r="MJ94" s="175"/>
      <c r="MK94" s="175"/>
      <c r="ML94" s="81"/>
      <c r="MM94" s="175"/>
      <c r="MN94" s="175"/>
      <c r="MO94" s="175"/>
      <c r="MP94" s="175"/>
      <c r="MQ94" s="175"/>
      <c r="MR94" s="175"/>
      <c r="MS94" s="175"/>
      <c r="MT94" s="175"/>
      <c r="MU94" s="175"/>
      <c r="MV94" s="175"/>
      <c r="MW94" s="175"/>
    </row>
    <row r="95" spans="45:361" s="10" customFormat="1" hidden="1" x14ac:dyDescent="0.35">
      <c r="DS95" s="179"/>
      <c r="DY95" s="179"/>
      <c r="EE95" s="179"/>
      <c r="EK95" s="179"/>
      <c r="EQ95" s="179"/>
      <c r="EV95" s="81"/>
      <c r="FC95" s="179"/>
      <c r="FI95" s="179"/>
      <c r="FO95" s="179"/>
      <c r="FU95" s="179"/>
      <c r="GA95" s="179"/>
      <c r="GG95" s="179"/>
      <c r="GM95" s="179"/>
      <c r="GS95" s="179"/>
      <c r="GY95" s="179"/>
      <c r="HE95" s="179"/>
      <c r="HK95" s="179"/>
      <c r="HQ95" s="179"/>
      <c r="HW95" s="179"/>
      <c r="IC95" s="179"/>
      <c r="II95" s="179"/>
      <c r="IO95" s="179"/>
      <c r="IU95" s="179"/>
      <c r="JA95" s="179"/>
      <c r="JF95" s="81"/>
      <c r="JG95" s="179"/>
      <c r="JM95" s="179"/>
      <c r="JS95" s="179"/>
      <c r="JY95" s="179"/>
      <c r="KE95" s="179"/>
      <c r="KK95" s="179"/>
      <c r="KQ95" s="179"/>
      <c r="KW95" s="179"/>
      <c r="LC95" s="179"/>
      <c r="LI95" s="179"/>
      <c r="LO95" s="179"/>
      <c r="LU95" s="179"/>
      <c r="MA95" s="179"/>
      <c r="MG95" s="179"/>
      <c r="MM95" s="179"/>
      <c r="MS95" s="179"/>
    </row>
    <row r="96" spans="45:361" s="10" customFormat="1" hidden="1" x14ac:dyDescent="0.35">
      <c r="DR96" s="81"/>
      <c r="DS96" s="175"/>
      <c r="DT96" s="66">
        <f>'Actual Adjustment (SIV)'!AZ21</f>
        <v>-0.51898517133278621</v>
      </c>
      <c r="DU96" s="95"/>
      <c r="DV96" s="43">
        <f>DT96</f>
        <v>-0.51898517133278621</v>
      </c>
      <c r="DW96" s="40"/>
      <c r="DX96" s="150">
        <f>DV96</f>
        <v>-0.51898517133278621</v>
      </c>
      <c r="DY96" s="40"/>
      <c r="DZ96" s="43">
        <f>DX96</f>
        <v>-0.51898517133278621</v>
      </c>
      <c r="EA96" s="40"/>
      <c r="EB96" s="43">
        <f>DZ96</f>
        <v>-0.51898517133278621</v>
      </c>
      <c r="EC96" s="40"/>
      <c r="ED96" s="150">
        <f>EB96</f>
        <v>-0.51898517133278621</v>
      </c>
      <c r="EE96" s="40"/>
      <c r="EF96" s="43">
        <f>ED96</f>
        <v>-0.51898517133278621</v>
      </c>
      <c r="EG96" s="40"/>
      <c r="EH96" s="43">
        <f>EF96</f>
        <v>-0.51898517133278621</v>
      </c>
      <c r="EI96" s="40"/>
      <c r="EJ96" s="150">
        <f>EH96</f>
        <v>-0.51898517133278621</v>
      </c>
      <c r="EK96" s="40"/>
      <c r="EL96" s="43">
        <f>EJ96</f>
        <v>-0.51898517133278621</v>
      </c>
      <c r="EM96" s="40"/>
      <c r="EN96" s="43">
        <f>EL96</f>
        <v>-0.51898517133278621</v>
      </c>
      <c r="EO96" s="40"/>
      <c r="EP96" s="150">
        <f>EN96</f>
        <v>-0.51898517133278621</v>
      </c>
      <c r="EQ96" s="156"/>
      <c r="ER96" s="144"/>
      <c r="ES96" s="144"/>
      <c r="ET96" s="144"/>
      <c r="EU96" s="144"/>
      <c r="EV96" s="118"/>
      <c r="EW96" s="40"/>
      <c r="EX96" s="151">
        <f>EV98</f>
        <v>0.11132317218110355</v>
      </c>
      <c r="EY96" s="40"/>
      <c r="EZ96" s="43">
        <f>EX96</f>
        <v>0.11132317218110355</v>
      </c>
      <c r="FA96" s="40"/>
      <c r="FB96" s="150">
        <f>EZ96</f>
        <v>0.11132317218110355</v>
      </c>
      <c r="FC96" s="40"/>
      <c r="FD96" s="43">
        <f>FB96</f>
        <v>0.11132317218110355</v>
      </c>
      <c r="FE96" s="40"/>
      <c r="FF96" s="43">
        <f>FD96</f>
        <v>0.11132317218110355</v>
      </c>
      <c r="FG96" s="40"/>
      <c r="FH96" s="150">
        <f>FF96</f>
        <v>0.11132317218110355</v>
      </c>
      <c r="FI96" s="40"/>
      <c r="FJ96" s="43">
        <f>FH96</f>
        <v>0.11132317218110355</v>
      </c>
      <c r="FK96" s="40"/>
      <c r="FL96" s="43">
        <f>FJ96</f>
        <v>0.11132317218110355</v>
      </c>
      <c r="FM96" s="40"/>
      <c r="FN96" s="150">
        <f>FL96</f>
        <v>0.11132317218110355</v>
      </c>
      <c r="FO96" s="40"/>
      <c r="FP96" s="43">
        <f>FN96</f>
        <v>0.11132317218110355</v>
      </c>
      <c r="FQ96" s="40"/>
      <c r="FR96" s="43">
        <f>FP96</f>
        <v>0.11132317218110355</v>
      </c>
      <c r="FS96" s="40"/>
      <c r="FT96" s="150">
        <f>FR96</f>
        <v>0.11132317218110355</v>
      </c>
      <c r="FU96" s="40"/>
      <c r="FV96" s="181"/>
      <c r="FW96" s="76"/>
      <c r="FX96" s="76"/>
      <c r="FY96" s="76"/>
      <c r="FZ96" s="118"/>
      <c r="GA96" s="40"/>
      <c r="GB96" s="181"/>
      <c r="GC96" s="76"/>
      <c r="GD96" s="76"/>
      <c r="GE96" s="76"/>
      <c r="GF96" s="118"/>
      <c r="GG96" s="40"/>
      <c r="GH96" s="181"/>
      <c r="GI96" s="76"/>
      <c r="GJ96" s="76"/>
      <c r="GK96" s="76"/>
      <c r="GL96" s="118"/>
      <c r="GM96" s="40"/>
      <c r="GN96" s="181"/>
      <c r="GO96" s="76"/>
      <c r="GP96" s="76"/>
      <c r="GQ96" s="76"/>
      <c r="GR96" s="118"/>
      <c r="GS96" s="40"/>
      <c r="GT96" s="181"/>
      <c r="GU96" s="76"/>
      <c r="GV96" s="76"/>
      <c r="GW96" s="76"/>
      <c r="GX96" s="118"/>
      <c r="GY96" s="40"/>
      <c r="GZ96" s="181"/>
      <c r="HA96" s="76"/>
      <c r="HB96" s="76"/>
      <c r="HC96" s="76"/>
      <c r="HD96" s="118"/>
      <c r="HE96" s="40"/>
      <c r="HF96" s="181"/>
      <c r="HG96" s="76"/>
      <c r="HH96" s="76"/>
      <c r="HI96" s="76"/>
      <c r="HJ96" s="118"/>
      <c r="HK96" s="40"/>
      <c r="HL96" s="181"/>
      <c r="HM96" s="76"/>
      <c r="HN96" s="76"/>
      <c r="HO96" s="76"/>
      <c r="HP96" s="118"/>
      <c r="HQ96" s="40"/>
      <c r="HR96" s="181"/>
      <c r="HS96" s="76"/>
      <c r="HT96" s="76"/>
      <c r="HU96" s="76"/>
      <c r="HV96" s="118"/>
      <c r="HW96" s="40"/>
      <c r="HX96" s="181"/>
      <c r="HY96" s="76"/>
      <c r="HZ96" s="76"/>
      <c r="IA96" s="76"/>
      <c r="IB96" s="118"/>
      <c r="IC96" s="40"/>
      <c r="ID96" s="181"/>
      <c r="IE96" s="76"/>
      <c r="IF96" s="76"/>
      <c r="IG96" s="76"/>
      <c r="IH96" s="118"/>
      <c r="II96" s="40"/>
      <c r="IJ96" s="181"/>
      <c r="IK96" s="76"/>
      <c r="IL96" s="76"/>
      <c r="IM96" s="76"/>
      <c r="IN96" s="118"/>
      <c r="IO96" s="40"/>
      <c r="IP96" s="181"/>
      <c r="IQ96" s="76"/>
      <c r="IR96" s="76"/>
      <c r="IS96" s="76"/>
      <c r="IT96" s="118"/>
      <c r="IU96" s="40"/>
      <c r="IV96" s="181"/>
      <c r="IW96" s="76"/>
      <c r="IX96" s="76"/>
      <c r="IY96" s="76"/>
      <c r="IZ96" s="118"/>
      <c r="JA96" s="40"/>
      <c r="JB96" s="181"/>
      <c r="JC96" s="76"/>
      <c r="JD96" s="76"/>
      <c r="JE96" s="76"/>
      <c r="JF96" s="118"/>
      <c r="JG96" s="196"/>
      <c r="JH96" s="181"/>
      <c r="JI96" s="76"/>
      <c r="JJ96" s="76"/>
      <c r="JK96" s="76"/>
      <c r="JL96" s="118"/>
      <c r="JM96" s="40"/>
      <c r="JN96" s="181"/>
      <c r="JO96" s="76"/>
      <c r="JP96" s="76"/>
      <c r="JQ96" s="76"/>
      <c r="JR96" s="118"/>
      <c r="JS96" s="40"/>
      <c r="JT96" s="181"/>
      <c r="JU96" s="76"/>
      <c r="JV96" s="76"/>
      <c r="JW96" s="76"/>
      <c r="JX96" s="118"/>
      <c r="JY96" s="40"/>
      <c r="JZ96" s="181"/>
      <c r="KA96" s="76"/>
      <c r="KB96" s="76"/>
      <c r="KC96" s="76"/>
      <c r="KD96" s="118"/>
      <c r="KE96" s="40"/>
      <c r="KF96" s="181"/>
      <c r="KG96" s="76"/>
      <c r="KH96" s="76"/>
      <c r="KI96" s="76"/>
      <c r="KJ96" s="118"/>
      <c r="KK96" s="40"/>
      <c r="KL96" s="181"/>
      <c r="KM96" s="76"/>
      <c r="KN96" s="76"/>
      <c r="KO96" s="76"/>
      <c r="KP96" s="118"/>
      <c r="KQ96" s="40"/>
      <c r="KR96" s="181"/>
      <c r="KS96" s="76"/>
      <c r="KT96" s="76"/>
      <c r="KU96" s="76"/>
      <c r="KV96" s="118"/>
      <c r="KW96" s="40"/>
      <c r="KX96" s="181"/>
      <c r="KY96" s="76"/>
      <c r="KZ96" s="76"/>
      <c r="LA96" s="76"/>
      <c r="LB96" s="118"/>
      <c r="LC96" s="40"/>
      <c r="LD96" s="181"/>
      <c r="LE96" s="76"/>
      <c r="LF96" s="76"/>
      <c r="LG96" s="76"/>
      <c r="LH96" s="118"/>
      <c r="LI96" s="40"/>
      <c r="LJ96" s="181"/>
      <c r="LK96" s="76"/>
      <c r="LL96" s="76"/>
      <c r="LM96" s="76"/>
      <c r="LN96" s="118"/>
      <c r="LO96" s="40"/>
      <c r="LP96" s="181"/>
      <c r="LQ96" s="76"/>
      <c r="LR96" s="76"/>
      <c r="LS96" s="76"/>
      <c r="LT96" s="118"/>
      <c r="LU96" s="40"/>
      <c r="LV96" s="181"/>
      <c r="LW96" s="76"/>
      <c r="LX96" s="76"/>
      <c r="LY96" s="76"/>
      <c r="LZ96" s="118"/>
      <c r="MA96" s="40"/>
      <c r="MB96" s="181"/>
      <c r="MC96" s="76"/>
      <c r="MD96" s="76"/>
      <c r="ME96" s="76"/>
      <c r="MF96" s="118"/>
      <c r="MG96" s="40"/>
      <c r="MH96" s="181"/>
      <c r="MI96" s="76"/>
      <c r="MJ96" s="76"/>
      <c r="MK96" s="76"/>
      <c r="ML96" s="118"/>
      <c r="MM96" s="40"/>
      <c r="MN96" s="181"/>
      <c r="MO96" s="76"/>
      <c r="MP96" s="181"/>
      <c r="MQ96" s="76"/>
      <c r="MR96" s="181"/>
      <c r="MS96" s="40"/>
      <c r="MT96" s="181"/>
      <c r="MU96" s="76"/>
      <c r="MV96" s="181"/>
      <c r="MW96" s="76"/>
    </row>
    <row r="97" spans="122:361" s="10" customFormat="1" hidden="1" x14ac:dyDescent="0.35">
      <c r="DR97" s="93">
        <f>'Actual Adjustment (SIV)'!AZ19</f>
        <v>-13029.122726309597</v>
      </c>
      <c r="DS97" s="175"/>
      <c r="DT97" s="33">
        <f>DR97-(DT$5*DT96)</f>
        <v>-10795.254853341885</v>
      </c>
      <c r="DU97" s="175"/>
      <c r="DV97" s="33">
        <f>DT97-(DV$5*DV96)</f>
        <v>-8003.0627330543612</v>
      </c>
      <c r="DW97" s="175"/>
      <c r="DX97" s="82">
        <f>DV97-(DX$5*DX96)</f>
        <v>-6689.5631629282125</v>
      </c>
      <c r="DY97" s="175"/>
      <c r="DZ97" s="33">
        <f>DX97-(DZ$5*DZ96)</f>
        <v>-5857.6299332817562</v>
      </c>
      <c r="EA97" s="175"/>
      <c r="EB97" s="33">
        <f>DZ97-(EB$5*EB96)</f>
        <v>-5384.7306451633212</v>
      </c>
      <c r="EC97" s="175"/>
      <c r="ED97" s="82">
        <f>EB97-(ED$5*ED96)</f>
        <v>-4964.4564534180308</v>
      </c>
      <c r="EE97" s="175"/>
      <c r="EF97" s="33">
        <f>ED97-(EF$5*EF96)</f>
        <v>-4420.9751819983376</v>
      </c>
      <c r="EG97" s="175"/>
      <c r="EH97" s="33">
        <f>EF97-(EH$5*EH96)</f>
        <v>-3875.6774624789791</v>
      </c>
      <c r="EI97" s="175"/>
      <c r="EJ97" s="82">
        <f>EH97-(EJ$5*EJ96)</f>
        <v>-3035.7518611939977</v>
      </c>
      <c r="EK97" s="175"/>
      <c r="EL97" s="33">
        <f>EJ97-(EL$5*EL96)</f>
        <v>-1824.4404713032748</v>
      </c>
      <c r="EM97" s="175"/>
      <c r="EN97" s="33">
        <f>EL97-(EN$5*EN96)</f>
        <v>202.71560792258811</v>
      </c>
      <c r="EO97" s="175"/>
      <c r="EP97" s="82">
        <f>EN97-(EP$5*EP96)</f>
        <v>3557.9547405890507</v>
      </c>
      <c r="EQ97" s="157"/>
      <c r="ER97" s="143">
        <f>EP97</f>
        <v>3557.9547405890507</v>
      </c>
      <c r="ES97" s="143"/>
      <c r="ET97" s="143">
        <f>ER97</f>
        <v>3557.9547405890507</v>
      </c>
      <c r="EU97" s="143"/>
      <c r="EV97" s="169">
        <f>ET97+EP77</f>
        <v>3557.9553768113783</v>
      </c>
      <c r="EW97" s="175"/>
      <c r="EX97" s="33">
        <f>EV97-(EX$5*EX96)</f>
        <v>3442.5132472595737</v>
      </c>
      <c r="EY97" s="175"/>
      <c r="EZ97" s="33">
        <f>EX97-(EZ$5*EZ96)</f>
        <v>3331.3013982506513</v>
      </c>
      <c r="FA97" s="175"/>
      <c r="FB97" s="82">
        <f>EZ97-(FB$5*FB96)</f>
        <v>3224.7651224733354</v>
      </c>
      <c r="FC97" s="175"/>
      <c r="FD97" s="33">
        <f>FB97-(FD$5*FD96)</f>
        <v>3129.6951334306732</v>
      </c>
      <c r="FE97" s="175"/>
      <c r="FF97" s="33">
        <f>FD97-(FF$5*FF96)</f>
        <v>3021.8229795871839</v>
      </c>
      <c r="FG97" s="175"/>
      <c r="FH97" s="82">
        <f>FF97-(FH$5*FH96)</f>
        <v>2827.1187514424337</v>
      </c>
      <c r="FI97" s="175"/>
      <c r="FJ97" s="33">
        <f>FH97-(FJ$5*FJ96)</f>
        <v>2465.095795509485</v>
      </c>
      <c r="FK97" s="175"/>
      <c r="FL97" s="33">
        <f>FJ97-(FL$5*FL96)</f>
        <v>1974.1606061908183</v>
      </c>
      <c r="FM97" s="175"/>
      <c r="FN97" s="82">
        <f>FL97-(FN$5*FN96)</f>
        <v>967.13119064055559</v>
      </c>
      <c r="FO97" s="175"/>
      <c r="FP97" s="33">
        <f>FN97-(FP$5*FP96)</f>
        <v>-353.94089363260014</v>
      </c>
      <c r="FQ97" s="175"/>
      <c r="FR97" s="33">
        <f>FP97-(FR$5*FR96)</f>
        <v>-1840.2165654225137</v>
      </c>
      <c r="FS97" s="175"/>
      <c r="FT97" s="168">
        <f>FR97-(FT$5*FT96)</f>
        <v>-2854.9272798532725</v>
      </c>
      <c r="FU97" s="175"/>
      <c r="FV97" s="53"/>
      <c r="FW97" s="51"/>
      <c r="FX97" s="53"/>
      <c r="FY97" s="51"/>
      <c r="FZ97" s="85"/>
      <c r="GA97" s="175"/>
      <c r="GB97" s="53"/>
      <c r="GC97" s="51"/>
      <c r="GD97" s="53"/>
      <c r="GE97" s="51"/>
      <c r="GF97" s="85"/>
      <c r="GG97" s="175"/>
      <c r="GH97" s="53"/>
      <c r="GI97" s="51"/>
      <c r="GJ97" s="53"/>
      <c r="GK97" s="51"/>
      <c r="GL97" s="85"/>
      <c r="GM97" s="175"/>
      <c r="GN97" s="53"/>
      <c r="GO97" s="51"/>
      <c r="GP97" s="53"/>
      <c r="GQ97" s="51"/>
      <c r="GR97" s="85"/>
      <c r="GS97" s="175"/>
      <c r="GT97" s="53"/>
      <c r="GU97" s="51"/>
      <c r="GV97" s="53"/>
      <c r="GW97" s="51"/>
      <c r="GX97" s="85"/>
      <c r="GY97" s="175"/>
      <c r="GZ97" s="53"/>
      <c r="HA97" s="51"/>
      <c r="HB97" s="53"/>
      <c r="HC97" s="51"/>
      <c r="HD97" s="85"/>
      <c r="HE97" s="175"/>
      <c r="HF97" s="53"/>
      <c r="HG97" s="51"/>
      <c r="HH97" s="53"/>
      <c r="HI97" s="51"/>
      <c r="HJ97" s="85"/>
      <c r="HK97" s="175"/>
      <c r="HL97" s="53"/>
      <c r="HM97" s="51"/>
      <c r="HN97" s="53"/>
      <c r="HO97" s="51"/>
      <c r="HP97" s="85"/>
      <c r="HQ97" s="175"/>
      <c r="HR97" s="53"/>
      <c r="HS97" s="51"/>
      <c r="HT97" s="53"/>
      <c r="HU97" s="51"/>
      <c r="HV97" s="85"/>
      <c r="HW97" s="175"/>
      <c r="HX97" s="53"/>
      <c r="HY97" s="51"/>
      <c r="HZ97" s="53"/>
      <c r="IA97" s="51"/>
      <c r="IB97" s="85"/>
      <c r="IC97" s="175"/>
      <c r="ID97" s="53"/>
      <c r="IE97" s="51"/>
      <c r="IF97" s="53"/>
      <c r="IG97" s="51"/>
      <c r="IH97" s="85"/>
      <c r="II97" s="175"/>
      <c r="IJ97" s="53"/>
      <c r="IK97" s="51"/>
      <c r="IL97" s="53"/>
      <c r="IM97" s="51"/>
      <c r="IN97" s="85"/>
      <c r="IO97" s="175"/>
      <c r="IP97" s="53"/>
      <c r="IQ97" s="51"/>
      <c r="IR97" s="53"/>
      <c r="IS97" s="51"/>
      <c r="IT97" s="85"/>
      <c r="IU97" s="175"/>
      <c r="IV97" s="53"/>
      <c r="IW97" s="51"/>
      <c r="IX97" s="53"/>
      <c r="IY97" s="51"/>
      <c r="IZ97" s="85"/>
      <c r="JA97" s="175"/>
      <c r="JB97" s="53"/>
      <c r="JC97" s="51"/>
      <c r="JD97" s="53"/>
      <c r="JE97" s="51"/>
      <c r="JF97" s="85"/>
      <c r="JG97" s="179"/>
      <c r="JH97" s="53"/>
      <c r="JI97" s="51"/>
      <c r="JJ97" s="53"/>
      <c r="JK97" s="51"/>
      <c r="JL97" s="85"/>
      <c r="JM97" s="175"/>
      <c r="JN97" s="53"/>
      <c r="JO97" s="51"/>
      <c r="JP97" s="53"/>
      <c r="JQ97" s="51"/>
      <c r="JR97" s="85"/>
      <c r="JS97" s="175"/>
      <c r="JT97" s="53"/>
      <c r="JU97" s="51"/>
      <c r="JV97" s="53"/>
      <c r="JW97" s="51"/>
      <c r="JX97" s="85"/>
      <c r="JY97" s="175"/>
      <c r="JZ97" s="53"/>
      <c r="KA97" s="51"/>
      <c r="KB97" s="53"/>
      <c r="KC97" s="51"/>
      <c r="KD97" s="85"/>
      <c r="KE97" s="175"/>
      <c r="KF97" s="53"/>
      <c r="KG97" s="51"/>
      <c r="KH97" s="53"/>
      <c r="KI97" s="51"/>
      <c r="KJ97" s="85"/>
      <c r="KK97" s="175"/>
      <c r="KL97" s="53"/>
      <c r="KM97" s="51"/>
      <c r="KN97" s="53"/>
      <c r="KO97" s="51"/>
      <c r="KP97" s="85"/>
      <c r="KQ97" s="175"/>
      <c r="KR97" s="53"/>
      <c r="KS97" s="51"/>
      <c r="KT97" s="53"/>
      <c r="KU97" s="51"/>
      <c r="KV97" s="85"/>
      <c r="KW97" s="175"/>
      <c r="KX97" s="53"/>
      <c r="KY97" s="51"/>
      <c r="KZ97" s="53"/>
      <c r="LA97" s="51"/>
      <c r="LB97" s="85"/>
      <c r="LC97" s="175"/>
      <c r="LD97" s="53"/>
      <c r="LE97" s="51"/>
      <c r="LF97" s="53"/>
      <c r="LG97" s="51"/>
      <c r="LH97" s="85"/>
      <c r="LI97" s="175"/>
      <c r="LJ97" s="53"/>
      <c r="LK97" s="51"/>
      <c r="LL97" s="53"/>
      <c r="LM97" s="51"/>
      <c r="LN97" s="85"/>
      <c r="LO97" s="175"/>
      <c r="LP97" s="53"/>
      <c r="LQ97" s="51"/>
      <c r="LR97" s="53"/>
      <c r="LS97" s="51"/>
      <c r="LT97" s="85"/>
      <c r="LU97" s="175"/>
      <c r="LV97" s="53"/>
      <c r="LW97" s="51"/>
      <c r="LX97" s="53"/>
      <c r="LY97" s="51"/>
      <c r="LZ97" s="85"/>
      <c r="MA97" s="175"/>
      <c r="MB97" s="53"/>
      <c r="MC97" s="51"/>
      <c r="MD97" s="53"/>
      <c r="ME97" s="51"/>
      <c r="MF97" s="85"/>
      <c r="MG97" s="175"/>
      <c r="MH97" s="53"/>
      <c r="MI97" s="51"/>
      <c r="MJ97" s="53"/>
      <c r="MK97" s="51"/>
      <c r="ML97" s="85"/>
      <c r="MM97" s="175"/>
      <c r="MN97" s="53"/>
      <c r="MO97" s="51"/>
      <c r="MP97" s="53"/>
      <c r="MQ97" s="51"/>
      <c r="MR97" s="53"/>
      <c r="MS97" s="175"/>
      <c r="MT97" s="53"/>
      <c r="MU97" s="51"/>
      <c r="MV97" s="53"/>
      <c r="MW97" s="51"/>
    </row>
    <row r="98" spans="122:361" s="10" customFormat="1" hidden="1" x14ac:dyDescent="0.35">
      <c r="DR98" s="81"/>
      <c r="DS98" s="175"/>
      <c r="DT98" s="175"/>
      <c r="DU98" s="175"/>
      <c r="DV98" s="175"/>
      <c r="DW98" s="175"/>
      <c r="DX98" s="81"/>
      <c r="DY98" s="175"/>
      <c r="DZ98" s="175"/>
      <c r="EA98" s="175"/>
      <c r="EB98" s="175"/>
      <c r="EC98" s="175"/>
      <c r="ED98" s="81"/>
      <c r="EE98" s="175"/>
      <c r="EF98" s="175"/>
      <c r="EG98" s="175"/>
      <c r="EH98" s="175"/>
      <c r="EI98" s="175"/>
      <c r="EJ98" s="81"/>
      <c r="EK98" s="175"/>
      <c r="EL98" s="175"/>
      <c r="EM98" s="175"/>
      <c r="EN98" s="175"/>
      <c r="EO98" s="175"/>
      <c r="EP98" s="158"/>
      <c r="EQ98" s="175"/>
      <c r="ER98" s="175"/>
      <c r="ES98" s="175"/>
      <c r="ET98" s="175"/>
      <c r="EU98" s="175"/>
      <c r="EV98" s="101">
        <f>(EV97/SUM(DT$5:EP$5))</f>
        <v>0.11132317218110355</v>
      </c>
      <c r="EW98" s="175"/>
      <c r="EX98" s="175"/>
      <c r="EY98" s="175"/>
      <c r="EZ98" s="175"/>
      <c r="FA98" s="175"/>
      <c r="FB98" s="81"/>
      <c r="FC98" s="175"/>
      <c r="FD98" s="175"/>
      <c r="FE98" s="175"/>
      <c r="FF98" s="175"/>
      <c r="FG98" s="175"/>
      <c r="FH98" s="81"/>
      <c r="FI98" s="175"/>
      <c r="FJ98" s="175"/>
      <c r="FK98" s="175"/>
      <c r="FL98" s="175"/>
      <c r="FM98" s="175"/>
      <c r="FN98" s="81"/>
      <c r="FO98" s="175"/>
      <c r="FP98" s="175"/>
      <c r="FQ98" s="175"/>
      <c r="FR98" s="175"/>
      <c r="FS98" s="175"/>
      <c r="FT98" s="81"/>
      <c r="FU98" s="175"/>
      <c r="FV98" s="175"/>
      <c r="FW98" s="175"/>
      <c r="FX98" s="175"/>
      <c r="FY98" s="175"/>
      <c r="FZ98" s="81"/>
      <c r="GA98" s="175"/>
      <c r="GB98" s="175"/>
      <c r="GC98" s="175"/>
      <c r="GD98" s="175"/>
      <c r="GE98" s="175"/>
      <c r="GF98" s="81"/>
      <c r="GG98" s="175"/>
      <c r="GH98" s="175"/>
      <c r="GI98" s="175"/>
      <c r="GJ98" s="175"/>
      <c r="GK98" s="175"/>
      <c r="GL98" s="81"/>
      <c r="GM98" s="175"/>
      <c r="GN98" s="175"/>
      <c r="GO98" s="175"/>
      <c r="GP98" s="175"/>
      <c r="GQ98" s="175"/>
      <c r="GR98" s="81"/>
      <c r="GS98" s="175"/>
      <c r="GT98" s="175"/>
      <c r="GU98" s="175"/>
      <c r="GV98" s="175"/>
      <c r="GW98" s="175"/>
      <c r="GX98" s="81"/>
      <c r="GY98" s="175"/>
      <c r="GZ98" s="175"/>
      <c r="HA98" s="175"/>
      <c r="HB98" s="175"/>
      <c r="HC98" s="175"/>
      <c r="HD98" s="81"/>
      <c r="HE98" s="175"/>
      <c r="HF98" s="175"/>
      <c r="HG98" s="175"/>
      <c r="HH98" s="175"/>
      <c r="HI98" s="175"/>
      <c r="HJ98" s="81"/>
      <c r="HK98" s="175"/>
      <c r="HL98" s="175"/>
      <c r="HM98" s="175"/>
      <c r="HN98" s="175"/>
      <c r="HO98" s="175"/>
      <c r="HP98" s="81"/>
      <c r="HQ98" s="175"/>
      <c r="HR98" s="175"/>
      <c r="HS98" s="175"/>
      <c r="HT98" s="175"/>
      <c r="HU98" s="175"/>
      <c r="HV98" s="81"/>
      <c r="HW98" s="175"/>
      <c r="HX98" s="175"/>
      <c r="HY98" s="175"/>
      <c r="HZ98" s="175"/>
      <c r="IA98" s="175"/>
      <c r="IB98" s="81"/>
      <c r="IC98" s="175"/>
      <c r="ID98" s="175"/>
      <c r="IE98" s="175"/>
      <c r="IF98" s="175"/>
      <c r="IG98" s="175"/>
      <c r="IH98" s="81"/>
      <c r="II98" s="175"/>
      <c r="IJ98" s="175"/>
      <c r="IK98" s="175"/>
      <c r="IL98" s="175"/>
      <c r="IM98" s="175"/>
      <c r="IN98" s="81"/>
      <c r="IO98" s="175"/>
      <c r="IP98" s="175"/>
      <c r="IQ98" s="175"/>
      <c r="IR98" s="175"/>
      <c r="IS98" s="175"/>
      <c r="IT98" s="81"/>
      <c r="IU98" s="175"/>
      <c r="IV98" s="175"/>
      <c r="IW98" s="175"/>
      <c r="IX98" s="175"/>
      <c r="IY98" s="175"/>
      <c r="IZ98" s="81"/>
      <c r="JA98" s="175"/>
      <c r="JB98" s="175"/>
      <c r="JC98" s="175"/>
      <c r="JD98" s="175"/>
      <c r="JE98" s="175"/>
      <c r="JF98" s="81"/>
      <c r="JG98" s="179"/>
      <c r="JH98" s="175"/>
      <c r="JI98" s="175"/>
      <c r="JJ98" s="175"/>
      <c r="JK98" s="175"/>
      <c r="JL98" s="81"/>
      <c r="JM98" s="175"/>
      <c r="JN98" s="175"/>
      <c r="JO98" s="175"/>
      <c r="JP98" s="175"/>
      <c r="JQ98" s="175"/>
      <c r="JR98" s="81"/>
      <c r="JS98" s="175"/>
      <c r="JT98" s="175"/>
      <c r="JU98" s="175"/>
      <c r="JV98" s="175"/>
      <c r="JW98" s="175"/>
      <c r="JX98" s="81"/>
      <c r="JY98" s="175"/>
      <c r="JZ98" s="175"/>
      <c r="KA98" s="175"/>
      <c r="KB98" s="175"/>
      <c r="KC98" s="175"/>
      <c r="KD98" s="81"/>
      <c r="KE98" s="175"/>
      <c r="KF98" s="175"/>
      <c r="KG98" s="175"/>
      <c r="KH98" s="175"/>
      <c r="KI98" s="175"/>
      <c r="KJ98" s="81"/>
      <c r="KK98" s="175"/>
      <c r="KL98" s="175"/>
      <c r="KM98" s="175"/>
      <c r="KN98" s="175"/>
      <c r="KO98" s="175"/>
      <c r="KP98" s="81"/>
      <c r="KQ98" s="175"/>
      <c r="KR98" s="175"/>
      <c r="KS98" s="175"/>
      <c r="KT98" s="175"/>
      <c r="KU98" s="175"/>
      <c r="KV98" s="81"/>
      <c r="KW98" s="175"/>
      <c r="KX98" s="175"/>
      <c r="KY98" s="175"/>
      <c r="KZ98" s="175"/>
      <c r="LA98" s="175"/>
      <c r="LB98" s="81"/>
      <c r="LC98" s="175"/>
      <c r="LD98" s="175"/>
      <c r="LE98" s="175"/>
      <c r="LF98" s="175"/>
      <c r="LG98" s="175"/>
      <c r="LH98" s="81"/>
      <c r="LI98" s="175"/>
      <c r="LJ98" s="175"/>
      <c r="LK98" s="175"/>
      <c r="LL98" s="175"/>
      <c r="LM98" s="175"/>
      <c r="LN98" s="81"/>
      <c r="LO98" s="175"/>
      <c r="LP98" s="175"/>
      <c r="LQ98" s="175"/>
      <c r="LR98" s="175"/>
      <c r="LS98" s="175"/>
      <c r="LT98" s="81"/>
      <c r="LU98" s="175"/>
      <c r="LV98" s="175"/>
      <c r="LW98" s="175"/>
      <c r="LX98" s="175"/>
      <c r="LY98" s="175"/>
      <c r="LZ98" s="81"/>
      <c r="MA98" s="175"/>
      <c r="MB98" s="175"/>
      <c r="MC98" s="175"/>
      <c r="MD98" s="175"/>
      <c r="ME98" s="175"/>
      <c r="MF98" s="81"/>
      <c r="MG98" s="175"/>
      <c r="MH98" s="175"/>
      <c r="MI98" s="175"/>
      <c r="MJ98" s="175"/>
      <c r="MK98" s="175"/>
      <c r="ML98" s="81"/>
      <c r="MM98" s="175"/>
      <c r="MN98" s="175"/>
      <c r="MO98" s="175"/>
      <c r="MP98" s="175"/>
      <c r="MQ98" s="175"/>
      <c r="MR98" s="175"/>
      <c r="MS98" s="175"/>
      <c r="MT98" s="175"/>
      <c r="MU98" s="175"/>
      <c r="MV98" s="175"/>
      <c r="MW98" s="175"/>
    </row>
    <row r="99" spans="122:361" s="10" customFormat="1" hidden="1" x14ac:dyDescent="0.35">
      <c r="DY99" s="179"/>
      <c r="EE99" s="179"/>
      <c r="EK99" s="179"/>
      <c r="EQ99" s="179"/>
      <c r="EW99" s="179"/>
      <c r="FC99" s="179"/>
      <c r="FI99" s="179"/>
      <c r="FO99" s="179"/>
      <c r="FU99" s="179"/>
      <c r="GA99" s="179"/>
      <c r="GB99" s="110"/>
      <c r="GC99" s="110"/>
      <c r="GD99" s="110"/>
      <c r="GE99" s="110"/>
      <c r="GF99" s="110"/>
      <c r="GG99" s="179"/>
      <c r="GH99" s="110"/>
      <c r="GI99" s="110"/>
      <c r="GJ99" s="110"/>
      <c r="GK99" s="110"/>
      <c r="GL99" s="110"/>
      <c r="GM99" s="179"/>
      <c r="GN99" s="110"/>
      <c r="GO99" s="110"/>
      <c r="GP99" s="110"/>
      <c r="GQ99" s="110"/>
      <c r="GR99" s="110"/>
      <c r="GS99" s="179"/>
      <c r="GT99" s="110"/>
      <c r="GU99" s="110"/>
      <c r="GV99" s="110"/>
      <c r="GW99" s="110"/>
      <c r="GX99" s="110"/>
      <c r="GY99" s="179"/>
      <c r="GZ99" s="110"/>
      <c r="HA99" s="110"/>
      <c r="HB99" s="110"/>
      <c r="HC99" s="110"/>
      <c r="HD99" s="110"/>
      <c r="HE99" s="179"/>
      <c r="HF99" s="110"/>
      <c r="HG99" s="110"/>
      <c r="HH99" s="110"/>
      <c r="HI99" s="110"/>
      <c r="HJ99" s="110"/>
      <c r="HK99" s="179"/>
      <c r="HL99" s="110"/>
      <c r="HM99" s="110"/>
      <c r="HN99" s="110"/>
      <c r="HO99" s="110"/>
      <c r="HP99" s="110"/>
      <c r="HQ99" s="179"/>
      <c r="HR99" s="110"/>
      <c r="HS99" s="110"/>
      <c r="HT99" s="110"/>
      <c r="HU99" s="110"/>
      <c r="HV99" s="110"/>
      <c r="HW99" s="179"/>
      <c r="HX99" s="110"/>
      <c r="HY99" s="110"/>
      <c r="HZ99" s="110"/>
      <c r="IA99" s="110"/>
      <c r="IB99" s="110"/>
      <c r="IC99" s="179"/>
      <c r="ID99" s="110"/>
      <c r="IE99" s="110"/>
      <c r="IF99" s="110"/>
      <c r="IG99" s="110"/>
      <c r="IH99" s="110"/>
      <c r="II99" s="179"/>
      <c r="IJ99" s="110"/>
      <c r="IK99" s="110"/>
      <c r="IL99" s="110"/>
      <c r="IM99" s="110"/>
      <c r="IN99" s="110"/>
      <c r="IO99" s="179"/>
      <c r="IP99" s="110"/>
      <c r="IQ99" s="110"/>
      <c r="IR99" s="110"/>
      <c r="IS99" s="110"/>
      <c r="IT99" s="110"/>
      <c r="IU99" s="179"/>
      <c r="IV99" s="110"/>
      <c r="IW99" s="110"/>
      <c r="IX99" s="110"/>
      <c r="IY99" s="110"/>
      <c r="IZ99" s="110"/>
      <c r="JA99" s="179"/>
      <c r="JB99" s="110"/>
      <c r="JC99" s="110"/>
      <c r="JD99" s="110"/>
      <c r="JE99" s="110"/>
      <c r="JF99" s="83"/>
      <c r="JG99" s="179"/>
      <c r="JH99" s="110"/>
      <c r="JI99" s="110"/>
      <c r="JJ99" s="110"/>
      <c r="JK99" s="110"/>
      <c r="JL99" s="110"/>
      <c r="JM99" s="179"/>
      <c r="JN99" s="110"/>
      <c r="JO99" s="110"/>
      <c r="JP99" s="110"/>
      <c r="JQ99" s="110"/>
      <c r="JR99" s="110"/>
      <c r="JS99" s="179"/>
      <c r="JT99" s="110"/>
      <c r="JU99" s="110"/>
      <c r="JV99" s="110"/>
      <c r="JW99" s="110"/>
      <c r="JX99" s="110"/>
      <c r="JY99" s="179"/>
      <c r="JZ99" s="110"/>
      <c r="KA99" s="110"/>
      <c r="KB99" s="110"/>
      <c r="KC99" s="110"/>
      <c r="KD99" s="110"/>
      <c r="KE99" s="179"/>
      <c r="KF99" s="110"/>
      <c r="KG99" s="110"/>
      <c r="KH99" s="110"/>
      <c r="KI99" s="110"/>
      <c r="KJ99" s="110"/>
      <c r="KK99" s="179"/>
      <c r="KL99" s="110"/>
      <c r="KM99" s="110"/>
      <c r="KN99" s="110"/>
      <c r="KO99" s="110"/>
      <c r="KP99" s="110"/>
      <c r="KQ99" s="179"/>
      <c r="KR99" s="110"/>
      <c r="KS99" s="110"/>
      <c r="KT99" s="110"/>
      <c r="KU99" s="110"/>
      <c r="KV99" s="110"/>
      <c r="KW99" s="179"/>
      <c r="KX99" s="110"/>
      <c r="KY99" s="110"/>
      <c r="KZ99" s="110"/>
      <c r="LA99" s="110"/>
      <c r="LB99" s="110"/>
      <c r="LC99" s="179"/>
      <c r="LD99" s="110"/>
      <c r="LE99" s="110"/>
      <c r="LF99" s="110"/>
      <c r="LG99" s="110"/>
      <c r="LH99" s="110"/>
      <c r="LI99" s="179"/>
      <c r="LJ99" s="110"/>
      <c r="LK99" s="110"/>
      <c r="LL99" s="110"/>
      <c r="LM99" s="110"/>
      <c r="LN99" s="110"/>
      <c r="LO99" s="179"/>
      <c r="LP99" s="110"/>
      <c r="LQ99" s="110"/>
      <c r="LR99" s="110"/>
      <c r="LS99" s="110"/>
      <c r="LT99" s="110"/>
      <c r="LU99" s="179"/>
      <c r="LV99" s="110"/>
      <c r="LW99" s="110"/>
      <c r="LX99" s="110"/>
      <c r="LY99" s="110"/>
      <c r="LZ99" s="110"/>
      <c r="MA99" s="179"/>
      <c r="MB99" s="110"/>
      <c r="MC99" s="110"/>
      <c r="MD99" s="110"/>
      <c r="ME99" s="110"/>
      <c r="MF99" s="110"/>
      <c r="MG99" s="179"/>
      <c r="MH99" s="110"/>
      <c r="MI99" s="110"/>
      <c r="MJ99" s="110"/>
      <c r="MK99" s="110"/>
      <c r="ML99" s="110"/>
      <c r="MM99" s="179"/>
      <c r="MN99" s="110"/>
      <c r="MO99" s="110"/>
      <c r="MP99" s="110"/>
      <c r="MQ99" s="110"/>
      <c r="MR99" s="110"/>
      <c r="MS99" s="179"/>
      <c r="MT99" s="110"/>
      <c r="MU99" s="110"/>
      <c r="MV99" s="110"/>
      <c r="MW99" s="110"/>
    </row>
    <row r="100" spans="122:361" hidden="1" x14ac:dyDescent="0.35">
      <c r="DX100" s="81"/>
      <c r="DY100" s="175"/>
      <c r="DZ100" s="66">
        <f>'Actual Adjustment (SIV)'!BF21</f>
        <v>3.1973267269909122E-2</v>
      </c>
      <c r="EA100" s="95"/>
      <c r="EB100" s="43">
        <f>DZ100</f>
        <v>3.1973267269909122E-2</v>
      </c>
      <c r="EC100" s="40"/>
      <c r="ED100" s="150">
        <f>EB100</f>
        <v>3.1973267269909122E-2</v>
      </c>
      <c r="EE100" s="40"/>
      <c r="EF100" s="43">
        <f>ED100</f>
        <v>3.1973267269909122E-2</v>
      </c>
      <c r="EG100" s="40"/>
      <c r="EH100" s="43">
        <f>EF100</f>
        <v>3.1973267269909122E-2</v>
      </c>
      <c r="EI100" s="40"/>
      <c r="EJ100" s="150">
        <f>EH100</f>
        <v>3.1973267269909122E-2</v>
      </c>
      <c r="EK100" s="40"/>
      <c r="EL100" s="43">
        <f>EJ100</f>
        <v>3.1973267269909122E-2</v>
      </c>
      <c r="EM100" s="40"/>
      <c r="EN100" s="43">
        <f>EL100</f>
        <v>3.1973267269909122E-2</v>
      </c>
      <c r="EO100" s="40"/>
      <c r="EP100" s="150">
        <f>EN100</f>
        <v>3.1973267269909122E-2</v>
      </c>
      <c r="EQ100" s="40"/>
      <c r="ER100" s="43">
        <f>EP100</f>
        <v>3.1973267269909122E-2</v>
      </c>
      <c r="ES100" s="40"/>
      <c r="ET100" s="43">
        <f>ER100</f>
        <v>3.1973267269909122E-2</v>
      </c>
      <c r="EU100" s="40"/>
      <c r="EV100" s="150">
        <f>ET100</f>
        <v>3.1973267269909122E-2</v>
      </c>
      <c r="EW100" s="156"/>
      <c r="EX100" s="144"/>
      <c r="EY100" s="144"/>
      <c r="EZ100" s="144"/>
      <c r="FA100" s="144"/>
      <c r="FB100" s="118"/>
      <c r="FC100" s="40"/>
      <c r="FD100" s="151">
        <f>FB102</f>
        <v>-8.9769418702264799E-3</v>
      </c>
      <c r="FE100" s="40"/>
      <c r="FF100" s="43">
        <f>FD100</f>
        <v>-8.9769418702264799E-3</v>
      </c>
      <c r="FG100" s="40"/>
      <c r="FH100" s="150">
        <f>FF100</f>
        <v>-8.9769418702264799E-3</v>
      </c>
      <c r="FI100" s="40"/>
      <c r="FJ100" s="43">
        <f>FH100</f>
        <v>-8.9769418702264799E-3</v>
      </c>
      <c r="FK100" s="40"/>
      <c r="FL100" s="43">
        <f>FJ100</f>
        <v>-8.9769418702264799E-3</v>
      </c>
      <c r="FM100" s="40"/>
      <c r="FN100" s="150">
        <f>FL100</f>
        <v>-8.9769418702264799E-3</v>
      </c>
      <c r="FO100" s="40"/>
      <c r="FP100" s="43">
        <f>FN100</f>
        <v>-8.9769418702264799E-3</v>
      </c>
      <c r="FQ100" s="40"/>
      <c r="FR100" s="43">
        <f>FP100</f>
        <v>-8.9769418702264799E-3</v>
      </c>
      <c r="FS100" s="40"/>
      <c r="FT100" s="150">
        <f>FR100</f>
        <v>-8.9769418702264799E-3</v>
      </c>
      <c r="FU100" s="40"/>
      <c r="FV100" s="43">
        <f>FT100</f>
        <v>-8.9769418702264799E-3</v>
      </c>
      <c r="FW100" s="40"/>
      <c r="FX100" s="43">
        <f>FV100</f>
        <v>-8.9769418702264799E-3</v>
      </c>
      <c r="FY100" s="40"/>
      <c r="FZ100" s="150">
        <f>FX100</f>
        <v>-8.9769418702264799E-3</v>
      </c>
      <c r="GA100" s="40"/>
      <c r="GB100" s="76"/>
      <c r="GC100" s="76"/>
      <c r="GD100" s="76"/>
      <c r="GE100" s="76"/>
      <c r="GF100" s="118"/>
      <c r="GG100" s="40"/>
      <c r="GH100" s="76"/>
      <c r="GI100" s="76"/>
      <c r="GJ100" s="76"/>
      <c r="GK100" s="76"/>
      <c r="GL100" s="118"/>
      <c r="GM100" s="40"/>
      <c r="GN100" s="76"/>
      <c r="GO100" s="76"/>
      <c r="GP100" s="76"/>
      <c r="GQ100" s="76"/>
      <c r="GR100" s="118"/>
      <c r="GS100" s="40"/>
      <c r="GT100" s="76"/>
      <c r="GU100" s="76"/>
      <c r="GV100" s="76"/>
      <c r="GW100" s="76"/>
      <c r="GX100" s="118"/>
      <c r="GY100" s="40"/>
      <c r="GZ100" s="76"/>
      <c r="HA100" s="76"/>
      <c r="HB100" s="76"/>
      <c r="HC100" s="76"/>
      <c r="HD100" s="118"/>
      <c r="HE100" s="40"/>
      <c r="HF100" s="76"/>
      <c r="HG100" s="76"/>
      <c r="HH100" s="76"/>
      <c r="HI100" s="76"/>
      <c r="HJ100" s="118"/>
      <c r="HK100" s="40"/>
      <c r="HL100" s="76"/>
      <c r="HM100" s="76"/>
      <c r="HN100" s="76"/>
      <c r="HO100" s="76"/>
      <c r="HP100" s="118"/>
      <c r="HQ100" s="40"/>
      <c r="HR100" s="76"/>
      <c r="HS100" s="76"/>
      <c r="HT100" s="76"/>
      <c r="HU100" s="76"/>
      <c r="HV100" s="118"/>
      <c r="HW100" s="40"/>
      <c r="HX100" s="76"/>
      <c r="HY100" s="76"/>
      <c r="HZ100" s="76"/>
      <c r="IA100" s="76"/>
      <c r="IB100" s="118"/>
      <c r="IC100" s="40"/>
      <c r="ID100" s="76"/>
      <c r="IE100" s="76"/>
      <c r="IF100" s="76"/>
      <c r="IG100" s="76"/>
      <c r="IH100" s="118"/>
      <c r="II100" s="40"/>
      <c r="IJ100" s="76"/>
      <c r="IK100" s="76"/>
      <c r="IL100" s="76"/>
      <c r="IM100" s="76"/>
      <c r="IN100" s="118"/>
      <c r="IO100" s="40"/>
      <c r="IP100" s="76"/>
      <c r="IQ100" s="76"/>
      <c r="IR100" s="76"/>
      <c r="IS100" s="76"/>
      <c r="IT100" s="118"/>
      <c r="IU100" s="40"/>
      <c r="IV100" s="76"/>
      <c r="IW100" s="76"/>
      <c r="IX100" s="76"/>
      <c r="IY100" s="76"/>
      <c r="IZ100" s="118"/>
      <c r="JA100" s="40"/>
      <c r="JB100" s="76"/>
      <c r="JC100" s="76"/>
      <c r="JD100" s="76"/>
      <c r="JE100" s="76"/>
      <c r="JF100" s="118"/>
      <c r="JG100" s="196"/>
      <c r="JH100" s="76"/>
      <c r="JI100" s="76"/>
      <c r="JJ100" s="76"/>
      <c r="JK100" s="76"/>
      <c r="JL100" s="118"/>
      <c r="JM100" s="40"/>
      <c r="JN100" s="76"/>
      <c r="JO100" s="76"/>
      <c r="JP100" s="76"/>
      <c r="JQ100" s="76"/>
      <c r="JR100" s="118"/>
      <c r="JS100" s="40"/>
      <c r="JT100" s="76"/>
      <c r="JU100" s="76"/>
      <c r="JV100" s="76"/>
      <c r="JW100" s="76"/>
      <c r="JX100" s="118"/>
      <c r="JY100" s="40"/>
      <c r="JZ100" s="76"/>
      <c r="KA100" s="76"/>
      <c r="KB100" s="76"/>
      <c r="KC100" s="76"/>
      <c r="KD100" s="118"/>
      <c r="KE100" s="40"/>
      <c r="KF100" s="76"/>
      <c r="KG100" s="76"/>
      <c r="KH100" s="76"/>
      <c r="KI100" s="76"/>
      <c r="KJ100" s="118"/>
      <c r="KK100" s="40"/>
      <c r="KL100" s="76"/>
      <c r="KM100" s="76"/>
      <c r="KN100" s="76"/>
      <c r="KO100" s="76"/>
      <c r="KP100" s="118"/>
      <c r="KQ100" s="40"/>
      <c r="KR100" s="76"/>
      <c r="KS100" s="76"/>
      <c r="KT100" s="76"/>
      <c r="KU100" s="76"/>
      <c r="KV100" s="118"/>
      <c r="KW100" s="40"/>
      <c r="KX100" s="76"/>
      <c r="KY100" s="76"/>
      <c r="KZ100" s="76"/>
      <c r="LA100" s="76"/>
      <c r="LB100" s="118"/>
      <c r="LC100" s="40"/>
      <c r="LD100" s="76"/>
      <c r="LE100" s="76"/>
      <c r="LF100" s="76"/>
      <c r="LG100" s="76"/>
      <c r="LH100" s="118"/>
      <c r="LI100" s="40"/>
      <c r="LJ100" s="76"/>
      <c r="LK100" s="76"/>
      <c r="LL100" s="76"/>
      <c r="LM100" s="76"/>
      <c r="LN100" s="118"/>
      <c r="LO100" s="40"/>
      <c r="LP100" s="76"/>
      <c r="LQ100" s="76"/>
      <c r="LR100" s="76"/>
      <c r="LS100" s="76"/>
      <c r="LT100" s="118"/>
      <c r="LU100" s="40"/>
      <c r="LV100" s="76"/>
      <c r="LW100" s="76"/>
      <c r="LX100" s="76"/>
      <c r="LY100" s="76"/>
      <c r="LZ100" s="118"/>
      <c r="MA100" s="40"/>
      <c r="MB100" s="76"/>
      <c r="MC100" s="76"/>
      <c r="MD100" s="76"/>
      <c r="ME100" s="76"/>
      <c r="MF100" s="118"/>
      <c r="MG100" s="40"/>
      <c r="MH100" s="76"/>
      <c r="MI100" s="76"/>
      <c r="MJ100" s="76"/>
      <c r="MK100" s="76"/>
      <c r="ML100" s="118"/>
      <c r="MM100" s="40"/>
      <c r="MN100" s="76"/>
      <c r="MO100" s="76"/>
      <c r="MP100" s="76"/>
      <c r="MQ100" s="76"/>
      <c r="MR100" s="76"/>
      <c r="MS100" s="40"/>
      <c r="MT100" s="76"/>
      <c r="MU100" s="76"/>
      <c r="MV100" s="76"/>
      <c r="MW100" s="76"/>
    </row>
    <row r="101" spans="122:361" hidden="1" x14ac:dyDescent="0.35">
      <c r="DX101" s="93">
        <f>'Actual Adjustment (SIV)'!BF19</f>
        <v>851.51205393221983</v>
      </c>
      <c r="DY101" s="175"/>
      <c r="DZ101" s="33">
        <f>DX101-(DZ$5*DZ100)</f>
        <v>800.25890649855546</v>
      </c>
      <c r="EA101" s="175"/>
      <c r="EB101" s="33">
        <f>DZ101-(EB$5*EB100)</f>
        <v>771.12486536221422</v>
      </c>
      <c r="EC101" s="175"/>
      <c r="ED101" s="82">
        <f>EB101-(ED$5*ED100)</f>
        <v>745.23291352704177</v>
      </c>
      <c r="EE101" s="175"/>
      <c r="EF101" s="33">
        <f>ED101-(EF$5*EF100)</f>
        <v>711.75050804199293</v>
      </c>
      <c r="EG101" s="175"/>
      <c r="EH101" s="33">
        <f>EF101-(EH$5*EH100)</f>
        <v>678.15619612149942</v>
      </c>
      <c r="EI101" s="175"/>
      <c r="EJ101" s="82">
        <f>EH101-(EJ$5*EJ100)</f>
        <v>626.41066037187852</v>
      </c>
      <c r="EK101" s="175"/>
      <c r="EL101" s="33">
        <f>EJ101-(EL$5*EL100)</f>
        <v>551.78505456391065</v>
      </c>
      <c r="EM101" s="175"/>
      <c r="EN101" s="33">
        <f>EL101-(EN$5*EN100)</f>
        <v>426.89747260764562</v>
      </c>
      <c r="EO101" s="175"/>
      <c r="EP101" s="82">
        <f>EN101-(EP$5*EP100)</f>
        <v>220.19029970768315</v>
      </c>
      <c r="EQ101" s="175"/>
      <c r="ER101" s="33">
        <f>EP101-(ER$5*ER100)</f>
        <v>37.622943596502068</v>
      </c>
      <c r="ES101" s="175"/>
      <c r="ET101" s="33">
        <f>ER101-(ET$5*ET100)</f>
        <v>-89.055141326877873</v>
      </c>
      <c r="EU101" s="175"/>
      <c r="EV101" s="82">
        <f>ET101-(EV$5*EV100)</f>
        <v>-158.62897090620012</v>
      </c>
      <c r="EW101" s="157"/>
      <c r="EX101" s="143">
        <f>EV101</f>
        <v>-158.62897090620012</v>
      </c>
      <c r="EY101" s="143"/>
      <c r="EZ101" s="143">
        <f>EX101</f>
        <v>-158.62897090620012</v>
      </c>
      <c r="FA101" s="143"/>
      <c r="FB101" s="169">
        <f>EZ101+EV81</f>
        <v>-283.61121758862623</v>
      </c>
      <c r="FC101" s="175"/>
      <c r="FD101" s="33">
        <f>FB101-(FD$5*FD100)</f>
        <v>-275.94490923145281</v>
      </c>
      <c r="FF101" s="33">
        <f>FD101-(FF$5*FF100)</f>
        <v>-267.24625255920336</v>
      </c>
      <c r="FH101" s="82">
        <f>FF101-(FH$5*FH100)</f>
        <v>-251.54558122817724</v>
      </c>
      <c r="FJ101" s="33">
        <f>FH101-(FJ$5*FJ100)</f>
        <v>-222.35256626620074</v>
      </c>
      <c r="FL101" s="33">
        <f>FJ101-(FL$5*FL100)</f>
        <v>-182.76425261850196</v>
      </c>
      <c r="FN101" s="82">
        <f>FL101-(FN$5*FN100)</f>
        <v>-101.55883646043321</v>
      </c>
      <c r="FP101" s="33">
        <f>FN101-(FP$5*FP100)</f>
        <v>4.9705327135444293</v>
      </c>
      <c r="FR101" s="33">
        <f>FP101-(FR$5*FR100)</f>
        <v>124.82168362293817</v>
      </c>
      <c r="FT101" s="82">
        <f>FR101-(FT$5*FT100)</f>
        <v>206.64650877005255</v>
      </c>
      <c r="FV101" s="33">
        <f>FT101-(FV$5*FV100)</f>
        <v>284.96134964590834</v>
      </c>
      <c r="FX101" s="33">
        <f>FV101-(FX$5*FX100)</f>
        <v>343.06011743001409</v>
      </c>
      <c r="FZ101" s="168">
        <f>FX101-(FZ$5*FZ100)</f>
        <v>397.47833904732704</v>
      </c>
      <c r="GB101" s="53"/>
      <c r="GC101" s="51"/>
      <c r="GD101" s="53"/>
      <c r="GE101" s="51"/>
      <c r="GF101" s="85"/>
      <c r="GH101" s="53"/>
      <c r="GI101" s="51"/>
      <c r="GJ101" s="53"/>
      <c r="GK101" s="51"/>
      <c r="GL101" s="85"/>
      <c r="GN101" s="53"/>
      <c r="GO101" s="51"/>
      <c r="GP101" s="53"/>
      <c r="GQ101" s="51"/>
      <c r="GR101" s="85"/>
      <c r="GT101" s="53"/>
      <c r="GU101" s="51"/>
      <c r="GV101" s="53"/>
      <c r="GW101" s="51"/>
      <c r="GX101" s="85"/>
      <c r="GZ101" s="53"/>
      <c r="HA101" s="51"/>
      <c r="HB101" s="53"/>
      <c r="HC101" s="51"/>
      <c r="HD101" s="85"/>
      <c r="HF101" s="53"/>
      <c r="HG101" s="51"/>
      <c r="HH101" s="53"/>
      <c r="HI101" s="51"/>
      <c r="HJ101" s="85"/>
      <c r="HL101" s="53"/>
      <c r="HM101" s="51"/>
      <c r="HN101" s="53"/>
      <c r="HO101" s="51"/>
      <c r="HP101" s="85"/>
      <c r="HR101" s="53"/>
      <c r="HS101" s="51"/>
      <c r="HT101" s="53"/>
      <c r="HU101" s="51"/>
      <c r="HV101" s="85"/>
      <c r="HX101" s="53"/>
      <c r="HY101" s="51"/>
      <c r="HZ101" s="53"/>
      <c r="IA101" s="51"/>
      <c r="IB101" s="85"/>
      <c r="ID101" s="53"/>
      <c r="IE101" s="51"/>
      <c r="IF101" s="53"/>
      <c r="IG101" s="51"/>
      <c r="IH101" s="85"/>
      <c r="IJ101" s="53"/>
      <c r="IK101" s="51"/>
      <c r="IL101" s="53"/>
      <c r="IM101" s="51"/>
      <c r="IN101" s="85"/>
      <c r="IP101" s="53"/>
      <c r="IQ101" s="51"/>
      <c r="IR101" s="53"/>
      <c r="IS101" s="51"/>
      <c r="IT101" s="85"/>
      <c r="IV101" s="53"/>
      <c r="IW101" s="51"/>
      <c r="IX101" s="53"/>
      <c r="IY101" s="51"/>
      <c r="IZ101" s="85"/>
      <c r="JB101" s="53"/>
      <c r="JC101" s="51"/>
      <c r="JD101" s="53"/>
      <c r="JE101" s="51"/>
      <c r="JF101" s="85"/>
      <c r="JG101" s="179"/>
      <c r="JH101" s="53"/>
      <c r="JI101" s="51"/>
      <c r="JJ101" s="53"/>
      <c r="JK101" s="51"/>
      <c r="JL101" s="85"/>
      <c r="JN101" s="53"/>
      <c r="JO101" s="51"/>
      <c r="JP101" s="53"/>
      <c r="JQ101" s="51"/>
      <c r="JR101" s="85"/>
      <c r="JT101" s="53"/>
      <c r="JU101" s="51"/>
      <c r="JV101" s="53"/>
      <c r="JW101" s="51"/>
      <c r="JX101" s="85"/>
      <c r="JZ101" s="53"/>
      <c r="KA101" s="51"/>
      <c r="KB101" s="53"/>
      <c r="KC101" s="51"/>
      <c r="KD101" s="85"/>
      <c r="KF101" s="53"/>
      <c r="KG101" s="51"/>
      <c r="KH101" s="53"/>
      <c r="KI101" s="51"/>
      <c r="KJ101" s="85"/>
      <c r="KL101" s="53"/>
      <c r="KM101" s="51"/>
      <c r="KN101" s="53"/>
      <c r="KO101" s="51"/>
      <c r="KP101" s="85"/>
      <c r="KR101" s="53"/>
      <c r="KS101" s="51"/>
      <c r="KT101" s="53"/>
      <c r="KU101" s="51"/>
      <c r="KV101" s="85"/>
      <c r="KX101" s="53"/>
      <c r="KY101" s="51"/>
      <c r="KZ101" s="53"/>
      <c r="LA101" s="51"/>
      <c r="LB101" s="85"/>
      <c r="LD101" s="53"/>
      <c r="LE101" s="51"/>
      <c r="LF101" s="53"/>
      <c r="LG101" s="51"/>
      <c r="LH101" s="85"/>
      <c r="LJ101" s="53"/>
      <c r="LK101" s="51"/>
      <c r="LL101" s="53"/>
      <c r="LM101" s="51"/>
      <c r="LN101" s="85"/>
      <c r="LP101" s="53"/>
      <c r="LQ101" s="51"/>
      <c r="LR101" s="53"/>
      <c r="LS101" s="51"/>
      <c r="LT101" s="85"/>
      <c r="LV101" s="53"/>
      <c r="LW101" s="51"/>
      <c r="LX101" s="53"/>
      <c r="LY101" s="51"/>
      <c r="LZ101" s="85"/>
      <c r="MB101" s="53"/>
      <c r="MC101" s="51"/>
      <c r="MD101" s="53"/>
      <c r="ME101" s="51"/>
      <c r="MF101" s="85"/>
      <c r="MH101" s="53"/>
      <c r="MI101" s="51"/>
      <c r="MJ101" s="53"/>
      <c r="MK101" s="51"/>
      <c r="ML101" s="85"/>
      <c r="MN101" s="53"/>
      <c r="MO101" s="51"/>
      <c r="MP101" s="53"/>
      <c r="MQ101" s="51"/>
      <c r="MR101" s="53"/>
      <c r="MT101" s="53"/>
      <c r="MU101" s="51"/>
      <c r="MV101" s="53"/>
      <c r="MW101" s="51"/>
    </row>
    <row r="102" spans="122:361" hidden="1" x14ac:dyDescent="0.35">
      <c r="DX102" s="81"/>
      <c r="DY102" s="175"/>
      <c r="DZ102" s="175"/>
      <c r="EA102" s="175"/>
      <c r="EB102" s="175"/>
      <c r="EC102" s="175"/>
      <c r="ED102" s="81"/>
      <c r="EE102" s="175"/>
      <c r="EF102" s="175"/>
      <c r="EG102" s="175"/>
      <c r="EH102" s="175"/>
      <c r="EI102" s="175"/>
      <c r="EJ102" s="81"/>
      <c r="EK102" s="175"/>
      <c r="EL102" s="175"/>
      <c r="EM102" s="175"/>
      <c r="EN102" s="175"/>
      <c r="EO102" s="175"/>
      <c r="EP102" s="81"/>
      <c r="EQ102" s="175"/>
      <c r="ER102" s="175"/>
      <c r="ES102" s="175"/>
      <c r="ET102" s="175"/>
      <c r="EU102" s="175"/>
      <c r="EV102" s="158"/>
      <c r="EW102" s="175"/>
      <c r="EX102" s="175"/>
      <c r="EY102" s="175"/>
      <c r="EZ102" s="175"/>
      <c r="FA102" s="175"/>
      <c r="FB102" s="101">
        <f>(FB101/SUM(DZ$5:EV$5))</f>
        <v>-8.9769418702264799E-3</v>
      </c>
      <c r="FC102" s="175"/>
      <c r="FH102" s="81"/>
      <c r="FN102" s="81"/>
      <c r="FT102" s="81"/>
      <c r="FZ102" s="81"/>
      <c r="GB102" s="51"/>
      <c r="GC102" s="51"/>
      <c r="GD102" s="51"/>
      <c r="GE102" s="51"/>
      <c r="GF102" s="83"/>
      <c r="GH102" s="51"/>
      <c r="GI102" s="51"/>
      <c r="GJ102" s="51"/>
      <c r="GK102" s="51"/>
      <c r="GL102" s="83"/>
      <c r="GN102" s="51"/>
      <c r="GO102" s="51"/>
      <c r="GP102" s="51"/>
      <c r="GQ102" s="51"/>
      <c r="GR102" s="83"/>
      <c r="GT102" s="51"/>
      <c r="GU102" s="51"/>
      <c r="GV102" s="51"/>
      <c r="GW102" s="51"/>
      <c r="GX102" s="83"/>
      <c r="GZ102" s="51"/>
      <c r="HA102" s="51"/>
      <c r="HB102" s="51"/>
      <c r="HC102" s="51"/>
      <c r="HD102" s="83"/>
      <c r="HF102" s="51"/>
      <c r="HG102" s="51"/>
      <c r="HH102" s="51"/>
      <c r="HI102" s="51"/>
      <c r="HJ102" s="83"/>
      <c r="HL102" s="51"/>
      <c r="HM102" s="51"/>
      <c r="HN102" s="51"/>
      <c r="HO102" s="51"/>
      <c r="HP102" s="83"/>
      <c r="HR102" s="51"/>
      <c r="HS102" s="51"/>
      <c r="HT102" s="51"/>
      <c r="HU102" s="51"/>
      <c r="HV102" s="83"/>
      <c r="HX102" s="51"/>
      <c r="HY102" s="51"/>
      <c r="HZ102" s="51"/>
      <c r="IA102" s="51"/>
      <c r="IB102" s="83"/>
      <c r="ID102" s="51"/>
      <c r="IE102" s="51"/>
      <c r="IF102" s="51"/>
      <c r="IG102" s="51"/>
      <c r="IH102" s="83"/>
      <c r="IJ102" s="51"/>
      <c r="IK102" s="51"/>
      <c r="IL102" s="51"/>
      <c r="IM102" s="51"/>
      <c r="IN102" s="83"/>
      <c r="IP102" s="51"/>
      <c r="IQ102" s="51"/>
      <c r="IR102" s="51"/>
      <c r="IS102" s="51"/>
      <c r="IT102" s="83"/>
      <c r="IV102" s="51"/>
      <c r="IW102" s="51"/>
      <c r="IX102" s="51"/>
      <c r="IY102" s="51"/>
      <c r="IZ102" s="83"/>
      <c r="JB102" s="51"/>
      <c r="JC102" s="51"/>
      <c r="JD102" s="51"/>
      <c r="JE102" s="51"/>
      <c r="JF102" s="83"/>
      <c r="JG102" s="179"/>
      <c r="JH102" s="51"/>
      <c r="JI102" s="51"/>
      <c r="JJ102" s="51"/>
      <c r="JK102" s="51"/>
      <c r="JL102" s="83"/>
      <c r="JN102" s="51"/>
      <c r="JO102" s="51"/>
      <c r="JP102" s="51"/>
      <c r="JQ102" s="51"/>
      <c r="JR102" s="83"/>
      <c r="JT102" s="51"/>
      <c r="JU102" s="51"/>
      <c r="JV102" s="51"/>
      <c r="JW102" s="51"/>
      <c r="JX102" s="83"/>
      <c r="JZ102" s="51"/>
      <c r="KA102" s="51"/>
      <c r="KB102" s="51"/>
      <c r="KC102" s="51"/>
      <c r="KD102" s="83"/>
      <c r="KF102" s="51"/>
      <c r="KG102" s="51"/>
      <c r="KH102" s="51"/>
      <c r="KI102" s="51"/>
      <c r="KJ102" s="83"/>
      <c r="KL102" s="51"/>
      <c r="KM102" s="51"/>
      <c r="KN102" s="51"/>
      <c r="KO102" s="51"/>
      <c r="KP102" s="83"/>
      <c r="KR102" s="51"/>
      <c r="KS102" s="51"/>
      <c r="KT102" s="51"/>
      <c r="KU102" s="51"/>
      <c r="KV102" s="83"/>
      <c r="KX102" s="51"/>
      <c r="KY102" s="51"/>
      <c r="KZ102" s="51"/>
      <c r="LA102" s="51"/>
      <c r="LB102" s="83"/>
      <c r="LD102" s="51"/>
      <c r="LE102" s="51"/>
      <c r="LF102" s="51"/>
      <c r="LG102" s="51"/>
      <c r="LH102" s="83"/>
      <c r="LJ102" s="51"/>
      <c r="LK102" s="51"/>
      <c r="LL102" s="51"/>
      <c r="LM102" s="51"/>
      <c r="LN102" s="83"/>
      <c r="LP102" s="51"/>
      <c r="LQ102" s="51"/>
      <c r="LR102" s="51"/>
      <c r="LS102" s="51"/>
      <c r="LT102" s="83"/>
      <c r="LV102" s="51"/>
      <c r="LW102" s="51"/>
      <c r="LX102" s="51"/>
      <c r="LY102" s="51"/>
      <c r="LZ102" s="83"/>
      <c r="MB102" s="51"/>
      <c r="MC102" s="51"/>
      <c r="MD102" s="51"/>
      <c r="ME102" s="51"/>
      <c r="MF102" s="83"/>
      <c r="MH102" s="51"/>
      <c r="MI102" s="51"/>
      <c r="MJ102" s="51"/>
      <c r="MK102" s="51"/>
      <c r="ML102" s="83"/>
      <c r="MN102" s="51"/>
      <c r="MO102" s="51"/>
      <c r="MP102" s="51"/>
      <c r="MQ102" s="51"/>
      <c r="MR102" s="51"/>
      <c r="MT102" s="51"/>
      <c r="MU102" s="51"/>
      <c r="MV102" s="51"/>
      <c r="MW102" s="51"/>
    </row>
    <row r="103" spans="122:361" hidden="1" x14ac:dyDescent="0.35">
      <c r="EE103" s="179"/>
      <c r="EK103" s="179"/>
      <c r="EQ103" s="179"/>
      <c r="EW103" s="179"/>
      <c r="FC103" s="179"/>
      <c r="FI103" s="179"/>
      <c r="FO103" s="179"/>
      <c r="FU103" s="179"/>
      <c r="GA103" s="179"/>
      <c r="GG103" s="179"/>
      <c r="GM103" s="179"/>
      <c r="GS103" s="179"/>
      <c r="GY103" s="179"/>
      <c r="HE103" s="179"/>
      <c r="HK103" s="179"/>
      <c r="HQ103" s="179"/>
      <c r="HW103" s="179"/>
      <c r="IC103" s="179"/>
      <c r="II103" s="179"/>
      <c r="IO103" s="179"/>
      <c r="IU103" s="179"/>
      <c r="JA103" s="179"/>
      <c r="JF103" s="81"/>
      <c r="JG103" s="179"/>
      <c r="JM103" s="179"/>
      <c r="JS103" s="179"/>
      <c r="JY103" s="179"/>
      <c r="KE103" s="179"/>
      <c r="KK103" s="179"/>
      <c r="KQ103" s="179"/>
      <c r="KW103" s="179"/>
      <c r="LC103" s="179"/>
      <c r="LI103" s="179"/>
      <c r="LO103" s="179"/>
      <c r="LU103" s="179"/>
      <c r="MA103" s="179"/>
      <c r="MG103" s="179"/>
      <c r="MM103" s="179"/>
      <c r="MS103" s="179"/>
    </row>
    <row r="104" spans="122:361" hidden="1" x14ac:dyDescent="0.35">
      <c r="ED104" s="81"/>
      <c r="EE104" s="175"/>
      <c r="EF104" s="66">
        <f>'Actual Adjustment (SIV)'!BL21</f>
        <v>0.33517956083011025</v>
      </c>
      <c r="EG104" s="95"/>
      <c r="EH104" s="43">
        <f>EF104</f>
        <v>0.33517956083011025</v>
      </c>
      <c r="EI104" s="40"/>
      <c r="EJ104" s="150">
        <f>EH104</f>
        <v>0.33517956083011025</v>
      </c>
      <c r="EK104" s="40"/>
      <c r="EL104" s="43">
        <f>EJ104</f>
        <v>0.33517956083011025</v>
      </c>
      <c r="EM104" s="40"/>
      <c r="EN104" s="43">
        <f>EL104</f>
        <v>0.33517956083011025</v>
      </c>
      <c r="EO104" s="40"/>
      <c r="EP104" s="150">
        <f>EN104</f>
        <v>0.33517956083011025</v>
      </c>
      <c r="EQ104" s="40"/>
      <c r="ER104" s="43">
        <f>EP104</f>
        <v>0.33517956083011025</v>
      </c>
      <c r="ES104" s="40"/>
      <c r="ET104" s="43">
        <f>ER104</f>
        <v>0.33517956083011025</v>
      </c>
      <c r="EU104" s="40"/>
      <c r="EV104" s="150">
        <f>ET104</f>
        <v>0.33517956083011025</v>
      </c>
      <c r="EW104" s="40"/>
      <c r="EX104" s="43">
        <f>EV104</f>
        <v>0.33517956083011025</v>
      </c>
      <c r="EY104" s="40"/>
      <c r="EZ104" s="43">
        <f>EX104</f>
        <v>0.33517956083011025</v>
      </c>
      <c r="FA104" s="40"/>
      <c r="FB104" s="150">
        <f>EZ104</f>
        <v>0.33517956083011025</v>
      </c>
      <c r="FC104" s="156"/>
      <c r="FD104" s="144"/>
      <c r="FE104" s="144"/>
      <c r="FF104" s="144"/>
      <c r="FG104" s="144"/>
      <c r="FH104" s="118"/>
      <c r="FI104" s="40"/>
      <c r="FJ104" s="151">
        <f>FH106</f>
        <v>1.4242509590270231E-2</v>
      </c>
      <c r="FK104" s="40"/>
      <c r="FL104" s="43">
        <f>FJ104</f>
        <v>1.4242509590270231E-2</v>
      </c>
      <c r="FM104" s="40"/>
      <c r="FN104" s="150">
        <f>FL104</f>
        <v>1.4242509590270231E-2</v>
      </c>
      <c r="FO104" s="40"/>
      <c r="FP104" s="43">
        <f>FN104</f>
        <v>1.4242509590270231E-2</v>
      </c>
      <c r="FQ104" s="40"/>
      <c r="FR104" s="43">
        <f>FP104</f>
        <v>1.4242509590270231E-2</v>
      </c>
      <c r="FS104" s="40"/>
      <c r="FT104" s="150">
        <f>FR104</f>
        <v>1.4242509590270231E-2</v>
      </c>
      <c r="FU104" s="40"/>
      <c r="FV104" s="43">
        <f>FT104</f>
        <v>1.4242509590270231E-2</v>
      </c>
      <c r="FW104" s="40"/>
      <c r="FX104" s="43">
        <f>FV104</f>
        <v>1.4242509590270231E-2</v>
      </c>
      <c r="FY104" s="40"/>
      <c r="FZ104" s="150">
        <f>FX104</f>
        <v>1.4242509590270231E-2</v>
      </c>
      <c r="GA104" s="40"/>
      <c r="GB104" s="43">
        <f>FZ104</f>
        <v>1.4242509590270231E-2</v>
      </c>
      <c r="GC104" s="40"/>
      <c r="GD104" s="43">
        <f>GB104</f>
        <v>1.4242509590270231E-2</v>
      </c>
      <c r="GE104" s="40"/>
      <c r="GF104" s="150">
        <f>GD104</f>
        <v>1.4242509590270231E-2</v>
      </c>
      <c r="GG104" s="40"/>
      <c r="GH104" s="76"/>
      <c r="GI104" s="76"/>
      <c r="GJ104" s="76"/>
      <c r="GK104" s="76"/>
      <c r="GL104" s="118"/>
      <c r="GM104" s="40"/>
      <c r="GN104" s="76"/>
      <c r="GO104" s="76"/>
      <c r="GP104" s="76"/>
      <c r="GQ104" s="76"/>
      <c r="GR104" s="118"/>
      <c r="GS104" s="40"/>
      <c r="GT104" s="76"/>
      <c r="GU104" s="76"/>
      <c r="GV104" s="76"/>
      <c r="GW104" s="76"/>
      <c r="GX104" s="118"/>
      <c r="GY104" s="40"/>
      <c r="GZ104" s="76"/>
      <c r="HA104" s="76"/>
      <c r="HB104" s="76"/>
      <c r="HC104" s="76"/>
      <c r="HD104" s="118"/>
      <c r="HE104" s="40"/>
      <c r="HF104" s="76"/>
      <c r="HG104" s="76"/>
      <c r="HH104" s="76"/>
      <c r="HI104" s="76"/>
      <c r="HJ104" s="118"/>
      <c r="HK104" s="40"/>
      <c r="HL104" s="76"/>
      <c r="HM104" s="76"/>
      <c r="HN104" s="76"/>
      <c r="HO104" s="76"/>
      <c r="HP104" s="118"/>
      <c r="HQ104" s="40"/>
      <c r="HR104" s="76"/>
      <c r="HS104" s="76"/>
      <c r="HT104" s="76"/>
      <c r="HU104" s="76"/>
      <c r="HV104" s="118"/>
      <c r="HW104" s="40"/>
      <c r="HX104" s="76"/>
      <c r="HY104" s="76"/>
      <c r="HZ104" s="76"/>
      <c r="IA104" s="76"/>
      <c r="IB104" s="118"/>
      <c r="IC104" s="40"/>
      <c r="ID104" s="76"/>
      <c r="IE104" s="76"/>
      <c r="IF104" s="76"/>
      <c r="IG104" s="76"/>
      <c r="IH104" s="118"/>
      <c r="II104" s="40"/>
      <c r="IJ104" s="76"/>
      <c r="IK104" s="76"/>
      <c r="IL104" s="76"/>
      <c r="IM104" s="76"/>
      <c r="IN104" s="118"/>
      <c r="IO104" s="40"/>
      <c r="IP104" s="76"/>
      <c r="IQ104" s="76"/>
      <c r="IR104" s="76"/>
      <c r="IS104" s="76"/>
      <c r="IT104" s="118"/>
      <c r="IU104" s="40"/>
      <c r="IV104" s="76"/>
      <c r="IW104" s="76"/>
      <c r="IX104" s="76"/>
      <c r="IY104" s="76"/>
      <c r="IZ104" s="118"/>
      <c r="JA104" s="40"/>
      <c r="JB104" s="76"/>
      <c r="JC104" s="76"/>
      <c r="JD104" s="76"/>
      <c r="JE104" s="76"/>
      <c r="JF104" s="118"/>
      <c r="JG104" s="196"/>
      <c r="JH104" s="76"/>
      <c r="JI104" s="76"/>
      <c r="JJ104" s="76"/>
      <c r="JK104" s="76"/>
      <c r="JL104" s="118"/>
      <c r="JM104" s="40"/>
      <c r="JN104" s="76"/>
      <c r="JO104" s="76"/>
      <c r="JP104" s="76"/>
      <c r="JQ104" s="76"/>
      <c r="JR104" s="118"/>
      <c r="JS104" s="40"/>
      <c r="JT104" s="76"/>
      <c r="JU104" s="76"/>
      <c r="JV104" s="76"/>
      <c r="JW104" s="76"/>
      <c r="JX104" s="118"/>
      <c r="JY104" s="40"/>
      <c r="JZ104" s="76"/>
      <c r="KA104" s="76"/>
      <c r="KB104" s="76"/>
      <c r="KC104" s="76"/>
      <c r="KD104" s="118"/>
      <c r="KE104" s="40"/>
      <c r="KF104" s="76"/>
      <c r="KG104" s="76"/>
      <c r="KH104" s="76"/>
      <c r="KI104" s="76"/>
      <c r="KJ104" s="118"/>
      <c r="KK104" s="40"/>
      <c r="KL104" s="76"/>
      <c r="KM104" s="76"/>
      <c r="KN104" s="76"/>
      <c r="KO104" s="76"/>
      <c r="KP104" s="118"/>
      <c r="KQ104" s="40"/>
      <c r="KR104" s="76"/>
      <c r="KS104" s="76"/>
      <c r="KT104" s="76"/>
      <c r="KU104" s="76"/>
      <c r="KV104" s="118"/>
      <c r="KW104" s="40"/>
      <c r="KX104" s="76"/>
      <c r="KY104" s="76"/>
      <c r="KZ104" s="76"/>
      <c r="LA104" s="76"/>
      <c r="LB104" s="118"/>
      <c r="LC104" s="40"/>
      <c r="LD104" s="76"/>
      <c r="LE104" s="76"/>
      <c r="LF104" s="76"/>
      <c r="LG104" s="76"/>
      <c r="LH104" s="118"/>
      <c r="LI104" s="40"/>
      <c r="LJ104" s="76"/>
      <c r="LK104" s="76"/>
      <c r="LL104" s="76"/>
      <c r="LM104" s="76"/>
      <c r="LN104" s="118"/>
      <c r="LO104" s="40"/>
      <c r="LP104" s="76"/>
      <c r="LQ104" s="76"/>
      <c r="LR104" s="76"/>
      <c r="LS104" s="76"/>
      <c r="LT104" s="118"/>
      <c r="LU104" s="40"/>
      <c r="LV104" s="76"/>
      <c r="LW104" s="76"/>
      <c r="LX104" s="76"/>
      <c r="LY104" s="76"/>
      <c r="LZ104" s="118"/>
      <c r="MA104" s="40"/>
      <c r="MB104" s="76"/>
      <c r="MC104" s="76"/>
      <c r="MD104" s="76"/>
      <c r="ME104" s="76"/>
      <c r="MF104" s="118"/>
      <c r="MG104" s="40"/>
      <c r="MH104" s="76"/>
      <c r="MI104" s="76"/>
      <c r="MJ104" s="76"/>
      <c r="MK104" s="76"/>
      <c r="ML104" s="118"/>
      <c r="MM104" s="40"/>
      <c r="MN104" s="76"/>
      <c r="MO104" s="76"/>
      <c r="MP104" s="76"/>
      <c r="MQ104" s="76"/>
      <c r="MR104" s="76"/>
      <c r="MS104" s="40"/>
      <c r="MT104" s="76"/>
      <c r="MU104" s="76"/>
      <c r="MV104" s="76"/>
      <c r="MW104" s="76"/>
    </row>
    <row r="105" spans="122:361" hidden="1" x14ac:dyDescent="0.35">
      <c r="ED105" s="93">
        <f>'Actual Adjustment (SIV)'!BL19</f>
        <v>10753.230670551597</v>
      </c>
      <c r="EE105" s="175"/>
      <c r="EF105" s="33">
        <f>ED105-(EF$5*EF104)</f>
        <v>10402.230634450305</v>
      </c>
      <c r="EG105" s="175"/>
      <c r="EH105" s="33">
        <f>EF105-(EH$5*EH104)</f>
        <v>10050.057469886107</v>
      </c>
      <c r="EI105" s="175"/>
      <c r="EJ105" s="82">
        <f>EH105-(EJ$5*EJ104)</f>
        <v>9507.6028686386562</v>
      </c>
      <c r="EK105" s="175"/>
      <c r="EL105" s="33">
        <f>EJ105-(EL$5*EL104)</f>
        <v>8725.2937736611784</v>
      </c>
      <c r="EM105" s="175"/>
      <c r="EN105" s="33">
        <f>EL105-(EN$5*EN104)</f>
        <v>7416.0824090587676</v>
      </c>
      <c r="EO105" s="175"/>
      <c r="EP105" s="82">
        <f>EN105-(EP$5*EP104)</f>
        <v>5249.1465482921049</v>
      </c>
      <c r="EQ105" s="175"/>
      <c r="ER105" s="33">
        <f>EP105-(ER$5*ER104)</f>
        <v>3335.2712559521751</v>
      </c>
      <c r="ES105" s="175"/>
      <c r="ET105" s="33">
        <f>ER105-(ET$5*ET104)</f>
        <v>2007.2898359432784</v>
      </c>
      <c r="EU105" s="175"/>
      <c r="EV105" s="82">
        <f>ET105-(EV$5*EV104)</f>
        <v>1277.9391115769586</v>
      </c>
      <c r="EW105" s="175"/>
      <c r="EX105" s="33">
        <f>EV105-(EX$5*EX104)</f>
        <v>930.35790699613426</v>
      </c>
      <c r="EY105" s="175"/>
      <c r="EZ105" s="33">
        <f>EX105-(EZ$5*EZ104)</f>
        <v>595.51352572685414</v>
      </c>
      <c r="FA105" s="175"/>
      <c r="FB105" s="82">
        <f>EZ105-(FB$5*FB104)</f>
        <v>274.74668601243866</v>
      </c>
      <c r="FC105" s="157"/>
      <c r="FD105" s="143">
        <f>FB105</f>
        <v>274.74668601243866</v>
      </c>
      <c r="FE105" s="143"/>
      <c r="FF105" s="143">
        <f>FD105</f>
        <v>274.74668601243866</v>
      </c>
      <c r="FG105" s="143"/>
      <c r="FH105" s="169">
        <f>FF105+FB85</f>
        <v>445.25360756390501</v>
      </c>
      <c r="FJ105" s="33">
        <f>FH105-(FJ$5*FJ104)</f>
        <v>398.93696637634622</v>
      </c>
      <c r="FL105" s="33">
        <f>FJ105-(FL$5*FL104)</f>
        <v>336.12749908325452</v>
      </c>
      <c r="FN105" s="82">
        <f>FL105-(FN$5*FN104)</f>
        <v>207.28975732967001</v>
      </c>
      <c r="FP105" s="33">
        <f>FN105-(FP$5*FP104)</f>
        <v>38.273896021933183</v>
      </c>
      <c r="FR105" s="33">
        <f>FP105-(FR$5*FR104)</f>
        <v>-151.87784951776467</v>
      </c>
      <c r="FT105" s="82">
        <f>FR105-(FT$5*FT104)</f>
        <v>-281.6983244330778</v>
      </c>
      <c r="FV105" s="33">
        <f>FT105-(FV$5*FV104)</f>
        <v>-405.9499780985953</v>
      </c>
      <c r="FX105" s="33">
        <f>FV105-(FX$5*FX104)</f>
        <v>-498.12750016682423</v>
      </c>
      <c r="FZ105" s="82">
        <f>FX105-(FZ$5*FZ104)</f>
        <v>-584.4655933030424</v>
      </c>
      <c r="GB105" s="33">
        <f>FZ105-(GB$5*GB104)</f>
        <v>-657.78603267375354</v>
      </c>
      <c r="GD105" s="33">
        <f>GB105-(GD$5*GD104)</f>
        <v>-737.0028710148365</v>
      </c>
      <c r="GF105" s="168">
        <f>GD105-(GF$5*GF104)</f>
        <v>-850.07415465199188</v>
      </c>
      <c r="GH105" s="53"/>
      <c r="GI105" s="51"/>
      <c r="GJ105" s="53"/>
      <c r="GK105" s="51"/>
      <c r="GL105" s="85"/>
      <c r="GN105" s="53"/>
      <c r="GO105" s="51"/>
      <c r="GP105" s="53"/>
      <c r="GQ105" s="51"/>
      <c r="GR105" s="85"/>
      <c r="GT105" s="53"/>
      <c r="GU105" s="51"/>
      <c r="GV105" s="53"/>
      <c r="GW105" s="51"/>
      <c r="GX105" s="85"/>
      <c r="GZ105" s="53"/>
      <c r="HA105" s="51"/>
      <c r="HB105" s="53"/>
      <c r="HC105" s="51"/>
      <c r="HD105" s="85"/>
      <c r="HF105" s="53"/>
      <c r="HG105" s="51"/>
      <c r="HH105" s="53"/>
      <c r="HI105" s="51"/>
      <c r="HJ105" s="85"/>
      <c r="HL105" s="53"/>
      <c r="HM105" s="51"/>
      <c r="HN105" s="53"/>
      <c r="HO105" s="51"/>
      <c r="HP105" s="85"/>
      <c r="HR105" s="53"/>
      <c r="HS105" s="51"/>
      <c r="HT105" s="53"/>
      <c r="HU105" s="51"/>
      <c r="HV105" s="85"/>
      <c r="HX105" s="53"/>
      <c r="HY105" s="51"/>
      <c r="HZ105" s="53"/>
      <c r="IA105" s="51"/>
      <c r="IB105" s="85"/>
      <c r="ID105" s="53"/>
      <c r="IE105" s="51"/>
      <c r="IF105" s="53"/>
      <c r="IG105" s="51"/>
      <c r="IH105" s="85"/>
      <c r="IJ105" s="53"/>
      <c r="IK105" s="51"/>
      <c r="IL105" s="53"/>
      <c r="IM105" s="51"/>
      <c r="IN105" s="85"/>
      <c r="IP105" s="53"/>
      <c r="IQ105" s="51"/>
      <c r="IR105" s="53"/>
      <c r="IS105" s="51"/>
      <c r="IT105" s="85"/>
      <c r="IV105" s="53"/>
      <c r="IW105" s="51"/>
      <c r="IX105" s="53"/>
      <c r="IY105" s="51"/>
      <c r="IZ105" s="85"/>
      <c r="JB105" s="53"/>
      <c r="JC105" s="51"/>
      <c r="JD105" s="53"/>
      <c r="JE105" s="51"/>
      <c r="JF105" s="85"/>
      <c r="JG105" s="179"/>
      <c r="JH105" s="53"/>
      <c r="JI105" s="51"/>
      <c r="JJ105" s="53"/>
      <c r="JK105" s="51"/>
      <c r="JL105" s="85"/>
      <c r="JN105" s="53"/>
      <c r="JO105" s="51"/>
      <c r="JP105" s="53"/>
      <c r="JQ105" s="51"/>
      <c r="JR105" s="85"/>
      <c r="JT105" s="53"/>
      <c r="JU105" s="51"/>
      <c r="JV105" s="53"/>
      <c r="JW105" s="51"/>
      <c r="JX105" s="85"/>
      <c r="JZ105" s="53"/>
      <c r="KA105" s="51"/>
      <c r="KB105" s="53"/>
      <c r="KC105" s="51"/>
      <c r="KD105" s="85"/>
      <c r="KF105" s="53"/>
      <c r="KG105" s="51"/>
      <c r="KH105" s="53"/>
      <c r="KI105" s="51"/>
      <c r="KJ105" s="85"/>
      <c r="KL105" s="53"/>
      <c r="KM105" s="51"/>
      <c r="KN105" s="53"/>
      <c r="KO105" s="51"/>
      <c r="KP105" s="85"/>
      <c r="KR105" s="53"/>
      <c r="KS105" s="51"/>
      <c r="KT105" s="53"/>
      <c r="KU105" s="51"/>
      <c r="KV105" s="85"/>
      <c r="KX105" s="53"/>
      <c r="KY105" s="51"/>
      <c r="KZ105" s="53"/>
      <c r="LA105" s="51"/>
      <c r="LB105" s="85"/>
      <c r="LD105" s="53"/>
      <c r="LE105" s="51"/>
      <c r="LF105" s="53"/>
      <c r="LG105" s="51"/>
      <c r="LH105" s="85"/>
      <c r="LJ105" s="53"/>
      <c r="LK105" s="51"/>
      <c r="LL105" s="53"/>
      <c r="LM105" s="51"/>
      <c r="LN105" s="85"/>
      <c r="LP105" s="53"/>
      <c r="LQ105" s="51"/>
      <c r="LR105" s="53"/>
      <c r="LS105" s="51"/>
      <c r="LT105" s="85"/>
      <c r="LV105" s="53"/>
      <c r="LW105" s="51"/>
      <c r="LX105" s="53"/>
      <c r="LY105" s="51"/>
      <c r="LZ105" s="85"/>
      <c r="MB105" s="53"/>
      <c r="MC105" s="51"/>
      <c r="MD105" s="53"/>
      <c r="ME105" s="51"/>
      <c r="MF105" s="85"/>
      <c r="MH105" s="53"/>
      <c r="MI105" s="51"/>
      <c r="MJ105" s="53"/>
      <c r="MK105" s="51"/>
      <c r="ML105" s="85"/>
      <c r="MN105" s="53"/>
      <c r="MO105" s="51"/>
      <c r="MP105" s="53"/>
      <c r="MQ105" s="51"/>
      <c r="MR105" s="53"/>
      <c r="MT105" s="53"/>
      <c r="MU105" s="51"/>
      <c r="MV105" s="53"/>
      <c r="MW105" s="51"/>
    </row>
    <row r="106" spans="122:361" hidden="1" x14ac:dyDescent="0.35">
      <c r="ED106" s="81"/>
      <c r="EE106" s="175"/>
      <c r="EF106" s="175"/>
      <c r="EG106" s="175"/>
      <c r="EH106" s="175"/>
      <c r="EI106" s="175"/>
      <c r="EJ106" s="81"/>
      <c r="EK106" s="175"/>
      <c r="EL106" s="175"/>
      <c r="EM106" s="175"/>
      <c r="EN106" s="175"/>
      <c r="EO106" s="175"/>
      <c r="EP106" s="81"/>
      <c r="EQ106" s="175"/>
      <c r="ER106" s="175"/>
      <c r="ES106" s="175"/>
      <c r="ET106" s="175"/>
      <c r="EU106" s="175"/>
      <c r="EV106" s="81"/>
      <c r="EW106" s="175"/>
      <c r="EX106" s="175"/>
      <c r="EY106" s="175"/>
      <c r="EZ106" s="175"/>
      <c r="FA106" s="175"/>
      <c r="FB106" s="158"/>
      <c r="FC106" s="175"/>
      <c r="FH106" s="101">
        <f>(FH105/SUM(EF$5:FB$5))</f>
        <v>1.4242509590270231E-2</v>
      </c>
      <c r="FN106" s="81"/>
      <c r="FT106" s="81"/>
      <c r="FZ106" s="81"/>
      <c r="GF106" s="81"/>
      <c r="GL106" s="81"/>
      <c r="GR106" s="81"/>
      <c r="GX106" s="81"/>
      <c r="HD106" s="81"/>
      <c r="HJ106" s="81"/>
      <c r="HP106" s="81"/>
      <c r="HV106" s="81"/>
      <c r="IB106" s="81"/>
      <c r="IH106" s="81"/>
      <c r="IN106" s="81"/>
      <c r="IT106" s="81"/>
      <c r="IZ106" s="81"/>
      <c r="JF106" s="81"/>
      <c r="JG106" s="179"/>
      <c r="JL106" s="81"/>
      <c r="JR106" s="81"/>
      <c r="JX106" s="81"/>
      <c r="KD106" s="81"/>
      <c r="KJ106" s="81"/>
      <c r="KP106" s="81"/>
      <c r="KV106" s="81"/>
      <c r="LB106" s="81"/>
      <c r="LH106" s="81"/>
      <c r="LN106" s="81"/>
      <c r="LT106" s="81"/>
      <c r="LZ106" s="81"/>
      <c r="MF106" s="81"/>
      <c r="ML106" s="81"/>
    </row>
    <row r="107" spans="122:361" hidden="1" x14ac:dyDescent="0.35">
      <c r="EK107" s="179"/>
      <c r="EQ107" s="179"/>
      <c r="EW107" s="179"/>
      <c r="FC107" s="179"/>
      <c r="FI107" s="179"/>
      <c r="FO107" s="179"/>
      <c r="FU107" s="179"/>
      <c r="GA107" s="183"/>
      <c r="GG107" s="179"/>
      <c r="GM107" s="179"/>
      <c r="GS107" s="179"/>
      <c r="GY107" s="179"/>
      <c r="HE107" s="179"/>
      <c r="HK107" s="179"/>
      <c r="HQ107" s="179"/>
      <c r="HW107" s="179"/>
      <c r="IC107" s="179"/>
      <c r="II107" s="179"/>
      <c r="IO107" s="179"/>
      <c r="IU107" s="179"/>
      <c r="JA107" s="179"/>
      <c r="JF107" s="81"/>
      <c r="JG107" s="179"/>
      <c r="JM107" s="179"/>
      <c r="JS107" s="179"/>
      <c r="JY107" s="179"/>
      <c r="KE107" s="179"/>
      <c r="KK107" s="179"/>
      <c r="KQ107" s="179"/>
      <c r="KW107" s="179"/>
      <c r="LC107" s="179"/>
      <c r="LI107" s="179"/>
      <c r="LO107" s="179"/>
      <c r="LU107" s="179"/>
      <c r="MA107" s="179"/>
      <c r="MG107" s="179"/>
      <c r="MM107" s="179"/>
      <c r="MS107" s="179"/>
    </row>
    <row r="108" spans="122:361" hidden="1" x14ac:dyDescent="0.35">
      <c r="EJ108" s="81"/>
      <c r="EK108" s="175"/>
      <c r="EL108" s="66">
        <f>'Actual Adjustment (SIV)'!BR21</f>
        <v>0.2883320248895892</v>
      </c>
      <c r="EM108" s="95"/>
      <c r="EN108" s="43">
        <f>EL108</f>
        <v>0.2883320248895892</v>
      </c>
      <c r="EO108" s="40"/>
      <c r="EP108" s="150">
        <f>EN108</f>
        <v>0.2883320248895892</v>
      </c>
      <c r="EQ108" s="40"/>
      <c r="ER108" s="43">
        <f>EP108</f>
        <v>0.2883320248895892</v>
      </c>
      <c r="ES108" s="40"/>
      <c r="ET108" s="43">
        <f>ER108</f>
        <v>0.2883320248895892</v>
      </c>
      <c r="EU108" s="40"/>
      <c r="EV108" s="150">
        <f>ET108</f>
        <v>0.2883320248895892</v>
      </c>
      <c r="EW108" s="40"/>
      <c r="EX108" s="43">
        <f>EV108</f>
        <v>0.2883320248895892</v>
      </c>
      <c r="EY108" s="40"/>
      <c r="EZ108" s="43">
        <f>EX108</f>
        <v>0.2883320248895892</v>
      </c>
      <c r="FA108" s="40"/>
      <c r="FB108" s="150">
        <f>EZ108</f>
        <v>0.2883320248895892</v>
      </c>
      <c r="FC108" s="40"/>
      <c r="FD108" s="43">
        <f>FB108</f>
        <v>0.2883320248895892</v>
      </c>
      <c r="FE108" s="40"/>
      <c r="FF108" s="43">
        <f>FD108</f>
        <v>0.2883320248895892</v>
      </c>
      <c r="FG108" s="40"/>
      <c r="FH108" s="150">
        <f>FF108</f>
        <v>0.2883320248895892</v>
      </c>
      <c r="FI108" s="156"/>
      <c r="FJ108" s="144"/>
      <c r="FK108" s="144"/>
      <c r="FL108" s="144"/>
      <c r="FM108" s="144"/>
      <c r="FN108" s="118"/>
      <c r="FO108" s="40"/>
      <c r="FP108" s="151">
        <f>FN110</f>
        <v>3.8334390072602793E-3</v>
      </c>
      <c r="FQ108" s="40"/>
      <c r="FR108" s="43">
        <f>FP108</f>
        <v>3.8334390072602793E-3</v>
      </c>
      <c r="FS108" s="40"/>
      <c r="FT108" s="150">
        <f>FR108</f>
        <v>3.8334390072602793E-3</v>
      </c>
      <c r="FU108" s="40"/>
      <c r="FV108" s="43">
        <f>FT108</f>
        <v>3.8334390072602793E-3</v>
      </c>
      <c r="FW108" s="40"/>
      <c r="FX108" s="43">
        <f>FV108</f>
        <v>3.8334390072602793E-3</v>
      </c>
      <c r="FY108" s="40"/>
      <c r="FZ108" s="150">
        <f>FX108</f>
        <v>3.8334390072602793E-3</v>
      </c>
      <c r="GA108" s="40"/>
      <c r="GB108" s="43">
        <f>FZ108</f>
        <v>3.8334390072602793E-3</v>
      </c>
      <c r="GC108" s="40"/>
      <c r="GD108" s="43">
        <f>GB108</f>
        <v>3.8334390072602793E-3</v>
      </c>
      <c r="GE108" s="40"/>
      <c r="GF108" s="150">
        <f>GD108</f>
        <v>3.8334390072602793E-3</v>
      </c>
      <c r="GG108" s="40"/>
      <c r="GH108" s="43">
        <f>GF108</f>
        <v>3.8334390072602793E-3</v>
      </c>
      <c r="GI108" s="40"/>
      <c r="GJ108" s="43">
        <f>GH108</f>
        <v>3.8334390072602793E-3</v>
      </c>
      <c r="GK108" s="40"/>
      <c r="GL108" s="150">
        <f>GJ108</f>
        <v>3.8334390072602793E-3</v>
      </c>
      <c r="GN108" s="76"/>
      <c r="GO108" s="76"/>
      <c r="GP108" s="76"/>
      <c r="GQ108" s="76"/>
      <c r="GR108" s="118"/>
      <c r="GT108" s="76"/>
      <c r="GU108" s="76"/>
      <c r="GV108" s="76"/>
      <c r="GW108" s="76"/>
      <c r="GX108" s="118"/>
      <c r="GZ108" s="76"/>
      <c r="HA108" s="76"/>
      <c r="HB108" s="76"/>
      <c r="HC108" s="76"/>
      <c r="HD108" s="118"/>
      <c r="HF108" s="76"/>
      <c r="HG108" s="76"/>
      <c r="HH108" s="76"/>
      <c r="HI108" s="76"/>
      <c r="HJ108" s="118"/>
      <c r="HL108" s="76"/>
      <c r="HM108" s="76"/>
      <c r="HN108" s="76"/>
      <c r="HO108" s="76"/>
      <c r="HP108" s="118"/>
      <c r="HR108" s="76"/>
      <c r="HS108" s="76"/>
      <c r="HT108" s="76"/>
      <c r="HU108" s="76"/>
      <c r="HV108" s="118"/>
      <c r="HX108" s="76"/>
      <c r="HY108" s="76"/>
      <c r="HZ108" s="76"/>
      <c r="IA108" s="76"/>
      <c r="IB108" s="118"/>
      <c r="ID108" s="76"/>
      <c r="IE108" s="76"/>
      <c r="IF108" s="76"/>
      <c r="IG108" s="76"/>
      <c r="IH108" s="118"/>
      <c r="IJ108" s="76"/>
      <c r="IK108" s="76"/>
      <c r="IL108" s="76"/>
      <c r="IM108" s="76"/>
      <c r="IN108" s="118"/>
      <c r="IP108" s="76"/>
      <c r="IQ108" s="76"/>
      <c r="IR108" s="76"/>
      <c r="IS108" s="76"/>
      <c r="IT108" s="118"/>
      <c r="IV108" s="76"/>
      <c r="IW108" s="76"/>
      <c r="IX108" s="76"/>
      <c r="IY108" s="76"/>
      <c r="IZ108" s="118"/>
      <c r="JB108" s="76"/>
      <c r="JC108" s="76"/>
      <c r="JD108" s="76"/>
      <c r="JE108" s="76"/>
      <c r="JF108" s="118"/>
      <c r="JG108" s="179"/>
      <c r="JH108" s="76"/>
      <c r="JI108" s="76"/>
      <c r="JJ108" s="76"/>
      <c r="JK108" s="76"/>
      <c r="JL108" s="118"/>
      <c r="JN108" s="76"/>
      <c r="JO108" s="76"/>
      <c r="JP108" s="76"/>
      <c r="JQ108" s="76"/>
      <c r="JR108" s="118"/>
      <c r="JT108" s="76"/>
      <c r="JU108" s="76"/>
      <c r="JV108" s="76"/>
      <c r="JW108" s="76"/>
      <c r="JX108" s="118"/>
      <c r="JZ108" s="76"/>
      <c r="KA108" s="76"/>
      <c r="KB108" s="76"/>
      <c r="KC108" s="76"/>
      <c r="KD108" s="118"/>
      <c r="KF108" s="76"/>
      <c r="KG108" s="76"/>
      <c r="KH108" s="76"/>
      <c r="KI108" s="76"/>
      <c r="KJ108" s="118"/>
      <c r="KL108" s="76"/>
      <c r="KM108" s="76"/>
      <c r="KN108" s="76"/>
      <c r="KO108" s="76"/>
      <c r="KP108" s="118"/>
      <c r="KR108" s="76"/>
      <c r="KS108" s="76"/>
      <c r="KT108" s="76"/>
      <c r="KU108" s="76"/>
      <c r="KV108" s="118"/>
      <c r="KX108" s="76"/>
      <c r="KY108" s="76"/>
      <c r="KZ108" s="76"/>
      <c r="LA108" s="76"/>
      <c r="LB108" s="118"/>
      <c r="LD108" s="76"/>
      <c r="LE108" s="76"/>
      <c r="LF108" s="76"/>
      <c r="LG108" s="76"/>
      <c r="LH108" s="118"/>
      <c r="LJ108" s="76"/>
      <c r="LK108" s="76"/>
      <c r="LL108" s="76"/>
      <c r="LM108" s="76"/>
      <c r="LN108" s="118"/>
      <c r="LP108" s="76"/>
      <c r="LQ108" s="76"/>
      <c r="LR108" s="76"/>
      <c r="LS108" s="76"/>
      <c r="LT108" s="118"/>
      <c r="LV108" s="76"/>
      <c r="LW108" s="76"/>
      <c r="LX108" s="76"/>
      <c r="LY108" s="76"/>
      <c r="LZ108" s="118"/>
      <c r="MB108" s="76"/>
      <c r="MC108" s="76"/>
      <c r="MD108" s="76"/>
      <c r="ME108" s="76"/>
      <c r="MF108" s="118"/>
      <c r="MH108" s="76"/>
      <c r="MI108" s="76"/>
      <c r="MJ108" s="76"/>
      <c r="MK108" s="76"/>
      <c r="ML108" s="118"/>
      <c r="MN108" s="76"/>
      <c r="MO108" s="76"/>
      <c r="MP108" s="76"/>
      <c r="MQ108" s="76"/>
      <c r="MR108" s="76"/>
      <c r="MT108" s="76"/>
      <c r="MU108" s="76"/>
      <c r="MV108" s="76"/>
      <c r="MW108" s="76"/>
    </row>
    <row r="109" spans="122:361" hidden="1" x14ac:dyDescent="0.35">
      <c r="EJ109" s="93">
        <f>'Actual Adjustment (SIV)'!BR19</f>
        <v>9292.0761661167908</v>
      </c>
      <c r="EK109" s="175"/>
      <c r="EL109" s="33">
        <f>EJ109-(EL$5*EL108)</f>
        <v>8619.1092200244893</v>
      </c>
      <c r="EM109" s="175"/>
      <c r="EN109" s="33">
        <f>EL109-(EN$5*EN108)</f>
        <v>7492.884330805754</v>
      </c>
      <c r="EO109" s="175"/>
      <c r="EP109" s="82">
        <f>EN109-(EP$5*EP108)</f>
        <v>5628.8177898945596</v>
      </c>
      <c r="EQ109" s="175"/>
      <c r="ER109" s="33">
        <f>EP109-(ER$5*ER108)</f>
        <v>3982.4419277750053</v>
      </c>
      <c r="ES109" s="175"/>
      <c r="ET109" s="33">
        <f>ER109-(ET$5*ET108)</f>
        <v>2840.0704451624529</v>
      </c>
      <c r="EU109" s="175"/>
      <c r="EV109" s="82">
        <f>ET109-(EV$5*EV108)</f>
        <v>2212.6599590027067</v>
      </c>
      <c r="EW109" s="175"/>
      <c r="EX109" s="33">
        <f>EV109-(EX$5*EX108)</f>
        <v>1913.6596491922028</v>
      </c>
      <c r="EY109" s="175"/>
      <c r="EZ109" s="33">
        <f>EX109-(EZ$5*EZ108)</f>
        <v>1625.6159563275032</v>
      </c>
      <c r="FA109" s="175"/>
      <c r="FB109" s="82">
        <f>EZ109-(FB$5*FB108)</f>
        <v>1349.6822085081662</v>
      </c>
      <c r="FC109" s="175"/>
      <c r="FD109" s="33">
        <f>FB109-(FD$5*FD108)</f>
        <v>1103.446659252457</v>
      </c>
      <c r="FF109" s="33">
        <f>FD109-(FF$5*FF108)</f>
        <v>824.0529271344451</v>
      </c>
      <c r="FH109" s="82">
        <f>FF109-(FH$5*FH108)</f>
        <v>319.76021560255361</v>
      </c>
      <c r="FI109" s="157"/>
      <c r="FJ109" s="143">
        <f>FH109</f>
        <v>319.76021560255361</v>
      </c>
      <c r="FK109" s="143"/>
      <c r="FL109" s="143">
        <f>FJ109</f>
        <v>319.76021560255361</v>
      </c>
      <c r="FM109" s="143"/>
      <c r="FN109" s="169">
        <f>FL109+FH89</f>
        <v>579.3016358991589</v>
      </c>
      <c r="FP109" s="33">
        <f>FN109-(FP$5*FP108)</f>
        <v>533.81021520000115</v>
      </c>
      <c r="FR109" s="33">
        <f>FP109-(FR$5*FR108)</f>
        <v>482.62997101406916</v>
      </c>
      <c r="FT109" s="82">
        <f>FR109-(FT$5*FT108)</f>
        <v>447.68817446289171</v>
      </c>
      <c r="FV109" s="33">
        <f>FT109-(FV$5*FV108)</f>
        <v>414.24525256355304</v>
      </c>
      <c r="FX109" s="33">
        <f>FV109-(FX$5*FX108)</f>
        <v>389.43523530856453</v>
      </c>
      <c r="FZ109" s="82">
        <f>FX109-(FZ$5*FZ108)</f>
        <v>366.19692804655273</v>
      </c>
      <c r="GB109" s="33">
        <f>FZ109-(GB$5*GB108)</f>
        <v>346.46238403717683</v>
      </c>
      <c r="GD109" s="33">
        <f>GB109-(GD$5*GD108)</f>
        <v>325.14079627879516</v>
      </c>
      <c r="GF109" s="82">
        <f>GD109-(GF$5*GF108)</f>
        <v>294.70712400015583</v>
      </c>
      <c r="GH109" s="33">
        <f>GF109-(GH$5*GH108)</f>
        <v>261.27570241783894</v>
      </c>
      <c r="GJ109" s="33">
        <f>GH109-(GJ$5*GJ108)</f>
        <v>234.27679148970481</v>
      </c>
      <c r="GL109" s="168">
        <f>GJ109-(GL$5*GL108)</f>
        <v>192.05146082473283</v>
      </c>
      <c r="GN109" s="53"/>
      <c r="GO109" s="51"/>
      <c r="GP109" s="53"/>
      <c r="GQ109" s="51"/>
      <c r="GR109" s="85"/>
      <c r="GT109" s="53"/>
      <c r="GU109" s="51"/>
      <c r="GV109" s="53"/>
      <c r="GW109" s="51"/>
      <c r="GX109" s="85"/>
      <c r="GZ109" s="53"/>
      <c r="HA109" s="51"/>
      <c r="HB109" s="53"/>
      <c r="HC109" s="51"/>
      <c r="HD109" s="85"/>
      <c r="HF109" s="53"/>
      <c r="HG109" s="51"/>
      <c r="HH109" s="53"/>
      <c r="HI109" s="51"/>
      <c r="HJ109" s="85"/>
      <c r="HL109" s="53"/>
      <c r="HM109" s="51"/>
      <c r="HN109" s="53"/>
      <c r="HO109" s="51"/>
      <c r="HP109" s="85"/>
      <c r="HR109" s="53"/>
      <c r="HS109" s="51"/>
      <c r="HT109" s="53"/>
      <c r="HU109" s="51"/>
      <c r="HV109" s="85"/>
      <c r="HX109" s="53"/>
      <c r="HY109" s="51"/>
      <c r="HZ109" s="53"/>
      <c r="IA109" s="51"/>
      <c r="IB109" s="85"/>
      <c r="ID109" s="53"/>
      <c r="IE109" s="51"/>
      <c r="IF109" s="53"/>
      <c r="IG109" s="51"/>
      <c r="IH109" s="85"/>
      <c r="IJ109" s="53"/>
      <c r="IK109" s="51"/>
      <c r="IL109" s="53"/>
      <c r="IM109" s="51"/>
      <c r="IN109" s="85"/>
      <c r="IP109" s="53"/>
      <c r="IQ109" s="51"/>
      <c r="IR109" s="53"/>
      <c r="IS109" s="51"/>
      <c r="IT109" s="85"/>
      <c r="IV109" s="53"/>
      <c r="IW109" s="51"/>
      <c r="IX109" s="53"/>
      <c r="IY109" s="51"/>
      <c r="IZ109" s="85"/>
      <c r="JB109" s="53"/>
      <c r="JC109" s="51"/>
      <c r="JD109" s="53"/>
      <c r="JE109" s="51"/>
      <c r="JF109" s="85"/>
      <c r="JG109" s="179"/>
      <c r="JH109" s="53"/>
      <c r="JI109" s="51"/>
      <c r="JJ109" s="53"/>
      <c r="JK109" s="51"/>
      <c r="JL109" s="85"/>
      <c r="JN109" s="53"/>
      <c r="JO109" s="51"/>
      <c r="JP109" s="53"/>
      <c r="JQ109" s="51"/>
      <c r="JR109" s="85"/>
      <c r="JT109" s="53"/>
      <c r="JU109" s="51"/>
      <c r="JV109" s="53"/>
      <c r="JW109" s="51"/>
      <c r="JX109" s="85"/>
      <c r="JZ109" s="53"/>
      <c r="KA109" s="51"/>
      <c r="KB109" s="53"/>
      <c r="KC109" s="51"/>
      <c r="KD109" s="85"/>
      <c r="KF109" s="53"/>
      <c r="KG109" s="51"/>
      <c r="KH109" s="53"/>
      <c r="KI109" s="51"/>
      <c r="KJ109" s="85"/>
      <c r="KL109" s="53"/>
      <c r="KM109" s="51"/>
      <c r="KN109" s="53"/>
      <c r="KO109" s="51"/>
      <c r="KP109" s="85"/>
      <c r="KR109" s="53"/>
      <c r="KS109" s="51"/>
      <c r="KT109" s="53"/>
      <c r="KU109" s="51"/>
      <c r="KV109" s="85"/>
      <c r="KX109" s="53"/>
      <c r="KY109" s="51"/>
      <c r="KZ109" s="53"/>
      <c r="LA109" s="51"/>
      <c r="LB109" s="85"/>
      <c r="LD109" s="53"/>
      <c r="LE109" s="51"/>
      <c r="LF109" s="53"/>
      <c r="LG109" s="51"/>
      <c r="LH109" s="85"/>
      <c r="LJ109" s="53"/>
      <c r="LK109" s="51"/>
      <c r="LL109" s="53"/>
      <c r="LM109" s="51"/>
      <c r="LN109" s="85"/>
      <c r="LP109" s="53"/>
      <c r="LQ109" s="51"/>
      <c r="LR109" s="53"/>
      <c r="LS109" s="51"/>
      <c r="LT109" s="85"/>
      <c r="LV109" s="53"/>
      <c r="LW109" s="51"/>
      <c r="LX109" s="53"/>
      <c r="LY109" s="51"/>
      <c r="LZ109" s="85"/>
      <c r="MB109" s="53"/>
      <c r="MC109" s="51"/>
      <c r="MD109" s="53"/>
      <c r="ME109" s="51"/>
      <c r="MF109" s="85"/>
      <c r="MH109" s="53"/>
      <c r="MI109" s="51"/>
      <c r="MJ109" s="53"/>
      <c r="MK109" s="51"/>
      <c r="ML109" s="85"/>
      <c r="MN109" s="53"/>
      <c r="MO109" s="51"/>
      <c r="MP109" s="53"/>
      <c r="MQ109" s="51"/>
      <c r="MR109" s="53"/>
      <c r="MT109" s="53"/>
      <c r="MU109" s="51"/>
      <c r="MV109" s="53"/>
      <c r="MW109" s="51"/>
    </row>
    <row r="110" spans="122:361" hidden="1" x14ac:dyDescent="0.35">
      <c r="EJ110" s="81"/>
      <c r="EK110" s="175"/>
      <c r="EL110" s="175"/>
      <c r="EM110" s="175"/>
      <c r="EN110" s="175"/>
      <c r="EO110" s="175"/>
      <c r="EP110" s="81"/>
      <c r="EQ110" s="175"/>
      <c r="ER110" s="175"/>
      <c r="ES110" s="175"/>
      <c r="ET110" s="175"/>
      <c r="EU110" s="175"/>
      <c r="EV110" s="81"/>
      <c r="EW110" s="175"/>
      <c r="EX110" s="175"/>
      <c r="EY110" s="175"/>
      <c r="EZ110" s="175"/>
      <c r="FA110" s="175"/>
      <c r="FB110" s="81"/>
      <c r="FC110" s="175"/>
      <c r="FH110" s="158"/>
      <c r="FN110" s="101">
        <f>(FN109/(SUM(EL$5:FH$5)+120000))</f>
        <v>3.8334390072602793E-3</v>
      </c>
      <c r="FT110" s="81"/>
      <c r="FZ110" s="81"/>
      <c r="GF110" s="81"/>
      <c r="GL110" s="81"/>
      <c r="GR110" s="81"/>
      <c r="GX110" s="81"/>
      <c r="HD110" s="81"/>
      <c r="HJ110" s="81"/>
      <c r="HP110" s="81"/>
      <c r="HV110" s="81"/>
      <c r="IB110" s="81"/>
      <c r="IH110" s="81"/>
      <c r="IN110" s="81"/>
      <c r="IT110" s="81"/>
      <c r="IZ110" s="81"/>
      <c r="JF110" s="81"/>
      <c r="JG110" s="179"/>
      <c r="JL110" s="81"/>
      <c r="JR110" s="81"/>
      <c r="JX110" s="81"/>
      <c r="KD110" s="81"/>
      <c r="KJ110" s="81"/>
      <c r="KP110" s="81"/>
      <c r="KV110" s="81"/>
      <c r="LB110" s="81"/>
      <c r="LH110" s="81"/>
      <c r="LN110" s="81"/>
      <c r="LT110" s="81"/>
      <c r="LZ110" s="81"/>
      <c r="MF110" s="81"/>
      <c r="ML110" s="81"/>
    </row>
    <row r="111" spans="122:361" hidden="1" x14ac:dyDescent="0.35">
      <c r="EQ111" s="179"/>
      <c r="EW111" s="179"/>
      <c r="FC111" s="179"/>
      <c r="FI111" s="179"/>
      <c r="FO111" s="179"/>
      <c r="FU111" s="179"/>
      <c r="GA111" s="179"/>
      <c r="GG111" s="179"/>
      <c r="GM111" s="179"/>
      <c r="GS111" s="179"/>
      <c r="GY111" s="179"/>
      <c r="HE111" s="179"/>
      <c r="HK111" s="179"/>
      <c r="HQ111" s="179"/>
      <c r="HW111" s="179"/>
      <c r="IC111" s="179"/>
      <c r="II111" s="179"/>
      <c r="IO111" s="179"/>
      <c r="IU111" s="179"/>
      <c r="JA111" s="179"/>
      <c r="JF111" s="81"/>
      <c r="JG111" s="179"/>
      <c r="JM111" s="179"/>
      <c r="JS111" s="179"/>
      <c r="JY111" s="179"/>
      <c r="KE111" s="179"/>
      <c r="KK111" s="179"/>
      <c r="KQ111" s="179"/>
      <c r="KW111" s="179"/>
      <c r="LC111" s="179"/>
      <c r="LI111" s="179"/>
      <c r="LO111" s="179"/>
      <c r="LU111" s="179"/>
      <c r="MA111" s="179"/>
      <c r="MG111" s="179"/>
      <c r="MM111" s="179"/>
      <c r="MS111" s="179"/>
    </row>
    <row r="112" spans="122:361" hidden="1" x14ac:dyDescent="0.35">
      <c r="EP112" s="81"/>
      <c r="EQ112" s="175"/>
      <c r="ER112" s="66">
        <f>'Actual Adjustment (SIV)'!BX21</f>
        <v>0.15156827987494342</v>
      </c>
      <c r="ES112" s="95"/>
      <c r="ET112" s="43">
        <f>ER112</f>
        <v>0.15156827987494342</v>
      </c>
      <c r="EU112" s="40"/>
      <c r="EV112" s="150">
        <f>ET112</f>
        <v>0.15156827987494342</v>
      </c>
      <c r="EW112" s="40"/>
      <c r="EX112" s="43">
        <f>EV112</f>
        <v>0.15156827987494342</v>
      </c>
      <c r="EY112" s="40"/>
      <c r="EZ112" s="43">
        <f>EX112</f>
        <v>0.15156827987494342</v>
      </c>
      <c r="FA112" s="40"/>
      <c r="FB112" s="150">
        <f>EZ112</f>
        <v>0.15156827987494342</v>
      </c>
      <c r="FC112" s="40"/>
      <c r="FD112" s="43">
        <f>FB112</f>
        <v>0.15156827987494342</v>
      </c>
      <c r="FE112" s="40"/>
      <c r="FF112" s="43">
        <f>FD112</f>
        <v>0.15156827987494342</v>
      </c>
      <c r="FG112" s="40"/>
      <c r="FH112" s="150">
        <f>FF112</f>
        <v>0.15156827987494342</v>
      </c>
      <c r="FI112" s="40"/>
      <c r="FJ112" s="43">
        <f>FH112</f>
        <v>0.15156827987494342</v>
      </c>
      <c r="FK112" s="40"/>
      <c r="FL112" s="43">
        <f>FJ112</f>
        <v>0.15156827987494342</v>
      </c>
      <c r="FM112" s="40"/>
      <c r="FN112" s="150">
        <f>FL112</f>
        <v>0.15156827987494342</v>
      </c>
      <c r="FO112" s="156"/>
      <c r="FP112" s="144"/>
      <c r="FQ112" s="144"/>
      <c r="FR112" s="144"/>
      <c r="FS112" s="144"/>
      <c r="FT112" s="118"/>
      <c r="FU112" s="40"/>
      <c r="FV112" s="151">
        <f>FT114</f>
        <v>-6.3979462979555386E-3</v>
      </c>
      <c r="FW112" s="40"/>
      <c r="FX112" s="43">
        <f>FV112</f>
        <v>-6.3979462979555386E-3</v>
      </c>
      <c r="FY112" s="40"/>
      <c r="FZ112" s="150">
        <f>FX112</f>
        <v>-6.3979462979555386E-3</v>
      </c>
      <c r="GA112" s="40"/>
      <c r="GB112" s="43">
        <f>FZ112</f>
        <v>-6.3979462979555386E-3</v>
      </c>
      <c r="GC112" s="40"/>
      <c r="GD112" s="43">
        <f>GB112</f>
        <v>-6.3979462979555386E-3</v>
      </c>
      <c r="GE112" s="40"/>
      <c r="GF112" s="150">
        <f>GD112</f>
        <v>-6.3979462979555386E-3</v>
      </c>
      <c r="GG112" s="40"/>
      <c r="GH112" s="43">
        <f>GF112</f>
        <v>-6.3979462979555386E-3</v>
      </c>
      <c r="GI112" s="40"/>
      <c r="GJ112" s="43">
        <f>GH112</f>
        <v>-6.3979462979555386E-3</v>
      </c>
      <c r="GK112" s="40"/>
      <c r="GL112" s="150">
        <f>GJ112</f>
        <v>-6.3979462979555386E-3</v>
      </c>
      <c r="GM112" s="40"/>
      <c r="GN112" s="43">
        <f>GL112</f>
        <v>-6.3979462979555386E-3</v>
      </c>
      <c r="GO112" s="40"/>
      <c r="GP112" s="43">
        <f>GN112</f>
        <v>-6.3979462979555386E-3</v>
      </c>
      <c r="GQ112" s="40"/>
      <c r="GR112" s="150">
        <f>GP112</f>
        <v>-6.3979462979555386E-3</v>
      </c>
      <c r="GT112" s="76"/>
      <c r="GU112" s="76"/>
      <c r="GV112" s="76"/>
      <c r="GW112" s="76"/>
      <c r="GX112" s="118"/>
      <c r="GZ112" s="76"/>
      <c r="HA112" s="76"/>
      <c r="HB112" s="76"/>
      <c r="HC112" s="76"/>
      <c r="HD112" s="118"/>
      <c r="HF112" s="76"/>
      <c r="HG112" s="76"/>
      <c r="HH112" s="76"/>
      <c r="HI112" s="76"/>
      <c r="HJ112" s="118"/>
      <c r="HL112" s="76"/>
      <c r="HM112" s="76"/>
      <c r="HN112" s="76"/>
      <c r="HO112" s="76"/>
      <c r="HP112" s="118"/>
      <c r="HR112" s="76"/>
      <c r="HS112" s="76"/>
      <c r="HT112" s="76"/>
      <c r="HU112" s="76"/>
      <c r="HV112" s="118"/>
      <c r="HX112" s="76"/>
      <c r="HY112" s="76"/>
      <c r="HZ112" s="76"/>
      <c r="IA112" s="76"/>
      <c r="IB112" s="118"/>
      <c r="ID112" s="76"/>
      <c r="IE112" s="76"/>
      <c r="IF112" s="76"/>
      <c r="IG112" s="76"/>
      <c r="IH112" s="118"/>
      <c r="IJ112" s="76"/>
      <c r="IK112" s="76"/>
      <c r="IL112" s="76"/>
      <c r="IM112" s="76"/>
      <c r="IN112" s="118"/>
      <c r="IP112" s="76"/>
      <c r="IQ112" s="76"/>
      <c r="IR112" s="76"/>
      <c r="IS112" s="76"/>
      <c r="IT112" s="118"/>
      <c r="IV112" s="76"/>
      <c r="IW112" s="76"/>
      <c r="IX112" s="76"/>
      <c r="IY112" s="76"/>
      <c r="IZ112" s="118"/>
      <c r="JB112" s="76"/>
      <c r="JC112" s="76"/>
      <c r="JD112" s="76"/>
      <c r="JE112" s="76"/>
      <c r="JF112" s="118"/>
      <c r="JG112" s="179"/>
      <c r="JH112" s="76"/>
      <c r="JI112" s="76"/>
      <c r="JJ112" s="76"/>
      <c r="JK112" s="76"/>
      <c r="JL112" s="118"/>
      <c r="JN112" s="76"/>
      <c r="JO112" s="76"/>
      <c r="JP112" s="76"/>
      <c r="JQ112" s="76"/>
      <c r="JR112" s="118"/>
      <c r="JT112" s="76"/>
      <c r="JU112" s="76"/>
      <c r="JV112" s="76"/>
      <c r="JW112" s="76"/>
      <c r="JX112" s="118"/>
      <c r="JZ112" s="76"/>
      <c r="KA112" s="76"/>
      <c r="KB112" s="76"/>
      <c r="KC112" s="76"/>
      <c r="KD112" s="118"/>
      <c r="KF112" s="76"/>
      <c r="KG112" s="76"/>
      <c r="KH112" s="76"/>
      <c r="KI112" s="76"/>
      <c r="KJ112" s="118"/>
      <c r="KL112" s="76"/>
      <c r="KM112" s="76"/>
      <c r="KN112" s="76"/>
      <c r="KO112" s="76"/>
      <c r="KP112" s="118"/>
      <c r="KR112" s="76"/>
      <c r="KS112" s="76"/>
      <c r="KT112" s="76"/>
      <c r="KU112" s="76"/>
      <c r="KV112" s="118"/>
      <c r="KX112" s="76"/>
      <c r="KY112" s="76"/>
      <c r="KZ112" s="76"/>
      <c r="LA112" s="76"/>
      <c r="LB112" s="118"/>
      <c r="LD112" s="76"/>
      <c r="LE112" s="76"/>
      <c r="LF112" s="76"/>
      <c r="LG112" s="76"/>
      <c r="LH112" s="118"/>
      <c r="LJ112" s="76"/>
      <c r="LK112" s="76"/>
      <c r="LL112" s="76"/>
      <c r="LM112" s="76"/>
      <c r="LN112" s="118"/>
      <c r="LP112" s="76"/>
      <c r="LQ112" s="76"/>
      <c r="LR112" s="76"/>
      <c r="LS112" s="76"/>
      <c r="LT112" s="118"/>
      <c r="LV112" s="76"/>
      <c r="LW112" s="76"/>
      <c r="LX112" s="76"/>
      <c r="LY112" s="76"/>
      <c r="LZ112" s="118"/>
      <c r="MB112" s="76"/>
      <c r="MC112" s="76"/>
      <c r="MD112" s="76"/>
      <c r="ME112" s="76"/>
      <c r="MF112" s="118"/>
      <c r="MH112" s="76"/>
      <c r="MI112" s="76"/>
      <c r="MJ112" s="76"/>
      <c r="MK112" s="76"/>
      <c r="ML112" s="118"/>
      <c r="MN112" s="76"/>
      <c r="MO112" s="76"/>
      <c r="MP112" s="76"/>
      <c r="MQ112" s="76"/>
      <c r="MR112" s="76"/>
      <c r="MT112" s="76"/>
      <c r="MU112" s="76"/>
      <c r="MV112" s="76"/>
      <c r="MW112" s="76"/>
    </row>
    <row r="113" spans="3:361" hidden="1" x14ac:dyDescent="0.35">
      <c r="EP113" s="93">
        <f>'Actual Adjustment (SIV)'!BX19</f>
        <v>4828.0559871364476</v>
      </c>
      <c r="EQ113" s="175"/>
      <c r="ER113" s="33">
        <f>EP113-(ER$5*ER112)</f>
        <v>3962.6011090505208</v>
      </c>
      <c r="ES113" s="175"/>
      <c r="ET113" s="33">
        <f>ER113-(ET$5*ET112)</f>
        <v>3362.0875841859952</v>
      </c>
      <c r="EU113" s="175"/>
      <c r="EV113" s="82">
        <f>ET113-(EV$5*EV112)</f>
        <v>3032.2750071781184</v>
      </c>
      <c r="EW113" s="175"/>
      <c r="EX113" s="33">
        <f>EV113-(EX$5*EX112)</f>
        <v>2875.0987009478022</v>
      </c>
      <c r="EY113" s="175"/>
      <c r="EZ113" s="33">
        <f>EX113-(EZ$5*EZ112)</f>
        <v>2723.6819893527336</v>
      </c>
      <c r="FA113" s="175"/>
      <c r="FB113" s="82">
        <f>EZ113-(FB$5*FB112)</f>
        <v>2578.6311455124128</v>
      </c>
      <c r="FC113" s="175"/>
      <c r="FD113" s="33">
        <f>FB113-(FD$5*FD112)</f>
        <v>2449.1918344992109</v>
      </c>
      <c r="FF113" s="33">
        <f>FD113-(FF$5*FF112)</f>
        <v>2302.3221713003909</v>
      </c>
      <c r="FH113" s="82">
        <f>FF113-(FH$5*FH112)</f>
        <v>2037.2292497991148</v>
      </c>
      <c r="FJ113" s="33">
        <f>FH113-(FJ$5*FJ112)</f>
        <v>1544.3292036457988</v>
      </c>
      <c r="FL113" s="33">
        <f>FJ113-(FL$5*FL112)</f>
        <v>875.91308939729822</v>
      </c>
      <c r="FN113" s="82">
        <f>FL113-(FN$5*FN112)</f>
        <v>-495.17357035143993</v>
      </c>
      <c r="FO113" s="157"/>
      <c r="FP113" s="143">
        <f>FN113</f>
        <v>-495.17357035143993</v>
      </c>
      <c r="FQ113" s="143"/>
      <c r="FR113" s="143">
        <f>FP113</f>
        <v>-495.17357035143993</v>
      </c>
      <c r="FS113" s="143"/>
      <c r="FT113" s="169">
        <f>FR113+FN93</f>
        <v>-928.47636470560576</v>
      </c>
      <c r="FV113" s="33">
        <f>FT113-(FV$5*FV112)</f>
        <v>-872.66068120224168</v>
      </c>
      <c r="FX113" s="33">
        <f>FV113-(FX$5*FX112)</f>
        <v>-831.25317276187343</v>
      </c>
      <c r="FZ113" s="82">
        <f>FX113-(FZ$5*FZ112)</f>
        <v>-792.46882230366691</v>
      </c>
      <c r="GB113" s="33">
        <f>FZ113-(GB$5*GB112)</f>
        <v>-759.53219476179174</v>
      </c>
      <c r="GD113" s="33">
        <f>GB113-(GD$5*GD112)</f>
        <v>-723.94681745256298</v>
      </c>
      <c r="GF113" s="82">
        <f>GD113-(GF$5*GF112)</f>
        <v>-673.153521793094</v>
      </c>
      <c r="GH113" s="33">
        <f>GF113-(GH$5*GH112)</f>
        <v>-617.3570321286237</v>
      </c>
      <c r="GJ113" s="33">
        <f>GH113-(GJ$5*GJ112)</f>
        <v>-572.29629635212279</v>
      </c>
      <c r="GL113" s="82">
        <f>GJ113-(GL$5*GL112)</f>
        <v>-501.82291788014254</v>
      </c>
      <c r="GN113" s="33">
        <f>GL113-(GN$5*GN112)</f>
        <v>-437.14607875411002</v>
      </c>
      <c r="GP113" s="33">
        <f>GN113-(GP$5*GP112)</f>
        <v>-377.38926033120526</v>
      </c>
      <c r="GR113" s="168">
        <f>GP113-(GR$5*GR112)</f>
        <v>-327.52366688493981</v>
      </c>
      <c r="GT113" s="53"/>
      <c r="GU113" s="51"/>
      <c r="GV113" s="53"/>
      <c r="GW113" s="51"/>
      <c r="GX113" s="85"/>
      <c r="GZ113" s="53"/>
      <c r="HA113" s="51"/>
      <c r="HB113" s="53"/>
      <c r="HC113" s="51"/>
      <c r="HD113" s="85"/>
      <c r="HF113" s="53"/>
      <c r="HG113" s="51"/>
      <c r="HH113" s="53"/>
      <c r="HI113" s="51"/>
      <c r="HJ113" s="85"/>
      <c r="HL113" s="53"/>
      <c r="HM113" s="51"/>
      <c r="HN113" s="53"/>
      <c r="HO113" s="51"/>
      <c r="HP113" s="85"/>
      <c r="HR113" s="53"/>
      <c r="HS113" s="51"/>
      <c r="HT113" s="53"/>
      <c r="HU113" s="51"/>
      <c r="HV113" s="85"/>
      <c r="HX113" s="53"/>
      <c r="HY113" s="51"/>
      <c r="HZ113" s="53"/>
      <c r="IA113" s="51"/>
      <c r="IB113" s="85"/>
      <c r="ID113" s="53"/>
      <c r="IE113" s="51"/>
      <c r="IF113" s="53"/>
      <c r="IG113" s="51"/>
      <c r="IH113" s="85"/>
      <c r="IJ113" s="53"/>
      <c r="IK113" s="51"/>
      <c r="IL113" s="53"/>
      <c r="IM113" s="51"/>
      <c r="IN113" s="85"/>
      <c r="IP113" s="53"/>
      <c r="IQ113" s="51"/>
      <c r="IR113" s="53"/>
      <c r="IS113" s="51"/>
      <c r="IT113" s="85"/>
      <c r="IV113" s="53"/>
      <c r="IW113" s="51"/>
      <c r="IX113" s="53"/>
      <c r="IY113" s="51"/>
      <c r="IZ113" s="85"/>
      <c r="JB113" s="53"/>
      <c r="JC113" s="51"/>
      <c r="JD113" s="53"/>
      <c r="JE113" s="51"/>
      <c r="JF113" s="85"/>
      <c r="JG113" s="179"/>
      <c r="JH113" s="53"/>
      <c r="JI113" s="51"/>
      <c r="JJ113" s="53"/>
      <c r="JK113" s="51"/>
      <c r="JL113" s="85"/>
      <c r="JN113" s="53"/>
      <c r="JO113" s="51"/>
      <c r="JP113" s="53"/>
      <c r="JQ113" s="51"/>
      <c r="JR113" s="85"/>
      <c r="JT113" s="53"/>
      <c r="JU113" s="51"/>
      <c r="JV113" s="53"/>
      <c r="JW113" s="51"/>
      <c r="JX113" s="85"/>
      <c r="JZ113" s="53"/>
      <c r="KA113" s="51"/>
      <c r="KB113" s="53"/>
      <c r="KC113" s="51"/>
      <c r="KD113" s="85"/>
      <c r="KF113" s="53"/>
      <c r="KG113" s="51"/>
      <c r="KH113" s="53"/>
      <c r="KI113" s="51"/>
      <c r="KJ113" s="85"/>
      <c r="KL113" s="53"/>
      <c r="KM113" s="51"/>
      <c r="KN113" s="53"/>
      <c r="KO113" s="51"/>
      <c r="KP113" s="85"/>
      <c r="KR113" s="53"/>
      <c r="KS113" s="51"/>
      <c r="KT113" s="53"/>
      <c r="KU113" s="51"/>
      <c r="KV113" s="85"/>
      <c r="KX113" s="53"/>
      <c r="KY113" s="51"/>
      <c r="KZ113" s="53"/>
      <c r="LA113" s="51"/>
      <c r="LB113" s="85"/>
      <c r="LD113" s="53"/>
      <c r="LE113" s="51"/>
      <c r="LF113" s="53"/>
      <c r="LG113" s="51"/>
      <c r="LH113" s="85"/>
      <c r="LJ113" s="53"/>
      <c r="LK113" s="51"/>
      <c r="LL113" s="53"/>
      <c r="LM113" s="51"/>
      <c r="LN113" s="85"/>
      <c r="LP113" s="53"/>
      <c r="LQ113" s="51"/>
      <c r="LR113" s="53"/>
      <c r="LS113" s="51"/>
      <c r="LT113" s="85"/>
      <c r="LV113" s="53"/>
      <c r="LW113" s="51"/>
      <c r="LX113" s="53"/>
      <c r="LY113" s="51"/>
      <c r="LZ113" s="85"/>
      <c r="MB113" s="53"/>
      <c r="MC113" s="51"/>
      <c r="MD113" s="53"/>
      <c r="ME113" s="51"/>
      <c r="MF113" s="85"/>
      <c r="MH113" s="53"/>
      <c r="MI113" s="51"/>
      <c r="MJ113" s="53"/>
      <c r="MK113" s="51"/>
      <c r="ML113" s="85"/>
      <c r="MN113" s="53"/>
      <c r="MO113" s="51"/>
      <c r="MP113" s="53"/>
      <c r="MQ113" s="51"/>
      <c r="MR113" s="53"/>
      <c r="MT113" s="53"/>
      <c r="MU113" s="51"/>
      <c r="MV113" s="53"/>
      <c r="MW113" s="51"/>
    </row>
    <row r="114" spans="3:361" hidden="1" x14ac:dyDescent="0.35">
      <c r="EP114" s="81"/>
      <c r="EQ114" s="175"/>
      <c r="ER114" s="175"/>
      <c r="ES114" s="175"/>
      <c r="ET114" s="175"/>
      <c r="EU114" s="175"/>
      <c r="EV114" s="81"/>
      <c r="EW114" s="175"/>
      <c r="EX114" s="175"/>
      <c r="EY114" s="175"/>
      <c r="EZ114" s="175"/>
      <c r="FA114" s="175"/>
      <c r="FB114" s="81"/>
      <c r="FC114" s="175"/>
      <c r="FH114" s="81"/>
      <c r="FN114" s="158"/>
      <c r="FT114" s="101">
        <f>(FT113/(SUM(ER$5:FN$5)+110000))</f>
        <v>-6.3979462979555386E-3</v>
      </c>
      <c r="FZ114" s="81"/>
      <c r="GF114" s="81"/>
      <c r="GL114" s="81"/>
      <c r="GR114" s="81"/>
      <c r="GX114" s="81"/>
      <c r="HD114" s="81"/>
      <c r="HJ114" s="81"/>
      <c r="HP114" s="81"/>
      <c r="HV114" s="81"/>
      <c r="IB114" s="81"/>
      <c r="IH114" s="81"/>
      <c r="IN114" s="81"/>
      <c r="IT114" s="81"/>
      <c r="IZ114" s="81"/>
      <c r="JF114" s="81"/>
      <c r="JG114" s="179"/>
      <c r="JL114" s="81"/>
      <c r="JR114" s="81"/>
      <c r="JX114" s="81"/>
      <c r="KD114" s="81"/>
      <c r="KJ114" s="81"/>
      <c r="KP114" s="81"/>
      <c r="KV114" s="81"/>
      <c r="LB114" s="81"/>
      <c r="LH114" s="81"/>
      <c r="LN114" s="81"/>
      <c r="LT114" s="81"/>
      <c r="LZ114" s="81"/>
      <c r="MF114" s="81"/>
      <c r="ML114" s="81"/>
    </row>
    <row r="115" spans="3:361" hidden="1" x14ac:dyDescent="0.35">
      <c r="EQ115" s="179"/>
      <c r="EW115" s="179"/>
      <c r="FC115" s="179"/>
      <c r="FI115" s="179"/>
      <c r="FO115" s="179"/>
      <c r="FU115" s="179"/>
      <c r="GA115" s="179"/>
      <c r="GG115" s="179"/>
      <c r="GM115" s="179"/>
      <c r="GS115" s="179"/>
      <c r="GY115" s="179"/>
      <c r="HE115" s="179"/>
      <c r="HK115" s="179"/>
      <c r="HQ115" s="179"/>
      <c r="HW115" s="179"/>
      <c r="IC115" s="179"/>
      <c r="II115" s="179"/>
      <c r="IO115" s="179"/>
      <c r="IU115" s="179"/>
      <c r="JA115" s="179"/>
      <c r="JF115" s="81"/>
      <c r="JG115" s="179"/>
      <c r="JM115" s="179"/>
      <c r="JS115" s="179"/>
      <c r="JY115" s="179"/>
      <c r="KE115" s="179"/>
      <c r="KK115" s="179"/>
      <c r="KQ115" s="179"/>
      <c r="KW115" s="179"/>
      <c r="LC115" s="179"/>
      <c r="LI115" s="179"/>
      <c r="LO115" s="179"/>
      <c r="LU115" s="179"/>
      <c r="MA115" s="179"/>
      <c r="MG115" s="179"/>
      <c r="MM115" s="179"/>
      <c r="MS115" s="179"/>
    </row>
    <row r="116" spans="3:361" hidden="1" x14ac:dyDescent="0.35">
      <c r="C116" s="126"/>
      <c r="EV116" s="81"/>
      <c r="EW116" s="175"/>
      <c r="EX116" s="66">
        <f>'Actual Adjustment (SIV)'!CD21</f>
        <v>1.3319390074759128</v>
      </c>
      <c r="EY116" s="95"/>
      <c r="EZ116" s="43">
        <f>EX116</f>
        <v>1.3319390074759128</v>
      </c>
      <c r="FA116" s="40"/>
      <c r="FB116" s="150">
        <f>EZ116</f>
        <v>1.3319390074759128</v>
      </c>
      <c r="FC116" s="40"/>
      <c r="FD116" s="43">
        <f>FB116</f>
        <v>1.3319390074759128</v>
      </c>
      <c r="FE116" s="40"/>
      <c r="FF116" s="43">
        <f>FD116</f>
        <v>1.3319390074759128</v>
      </c>
      <c r="FG116" s="40"/>
      <c r="FH116" s="150">
        <f>FF116</f>
        <v>1.3319390074759128</v>
      </c>
      <c r="FI116" s="40"/>
      <c r="FJ116" s="43">
        <f>FH116</f>
        <v>1.3319390074759128</v>
      </c>
      <c r="FK116" s="40"/>
      <c r="FL116" s="43">
        <f>FJ116</f>
        <v>1.3319390074759128</v>
      </c>
      <c r="FM116" s="40"/>
      <c r="FN116" s="150">
        <f>FL116</f>
        <v>1.3319390074759128</v>
      </c>
      <c r="FO116" s="40"/>
      <c r="FP116" s="43">
        <f>FN116</f>
        <v>1.3319390074759128</v>
      </c>
      <c r="FQ116" s="40"/>
      <c r="FR116" s="43">
        <f>FP116</f>
        <v>1.3319390074759128</v>
      </c>
      <c r="FS116" s="40"/>
      <c r="FT116" s="150">
        <f>FR116</f>
        <v>1.3319390074759128</v>
      </c>
      <c r="FU116" s="156"/>
      <c r="FV116" s="144"/>
      <c r="FW116" s="144"/>
      <c r="FX116" s="144"/>
      <c r="FY116" s="144"/>
      <c r="FZ116" s="118"/>
      <c r="GA116" s="40"/>
      <c r="GB116" s="151">
        <f>FZ118</f>
        <v>-0.26899771250216598</v>
      </c>
      <c r="GC116" s="40"/>
      <c r="GD116" s="43">
        <f>GB116</f>
        <v>-0.26899771250216598</v>
      </c>
      <c r="GE116" s="40"/>
      <c r="GF116" s="150">
        <f>GD116</f>
        <v>-0.26899771250216598</v>
      </c>
      <c r="GG116" s="40"/>
      <c r="GH116" s="43">
        <f>GF116</f>
        <v>-0.26899771250216598</v>
      </c>
      <c r="GI116" s="40"/>
      <c r="GJ116" s="43">
        <f>GH116</f>
        <v>-0.26899771250216598</v>
      </c>
      <c r="GK116" s="40"/>
      <c r="GL116" s="150">
        <f>GJ116</f>
        <v>-0.26899771250216598</v>
      </c>
      <c r="GM116" s="40"/>
      <c r="GN116" s="43">
        <f>GL116</f>
        <v>-0.26899771250216598</v>
      </c>
      <c r="GO116" s="40"/>
      <c r="GP116" s="43">
        <f>GN116</f>
        <v>-0.26899771250216598</v>
      </c>
      <c r="GQ116" s="40"/>
      <c r="GR116" s="150">
        <f>GP116</f>
        <v>-0.26899771250216598</v>
      </c>
      <c r="GS116" s="40"/>
      <c r="GT116" s="43">
        <f>GR116</f>
        <v>-0.26899771250216598</v>
      </c>
      <c r="GU116" s="40"/>
      <c r="GV116" s="43">
        <f>GT116</f>
        <v>-0.26899771250216598</v>
      </c>
      <c r="GW116" s="40"/>
      <c r="GX116" s="150">
        <f>GV116</f>
        <v>-0.26899771250216598</v>
      </c>
      <c r="GZ116" s="76"/>
      <c r="HA116" s="76"/>
      <c r="HB116" s="76"/>
      <c r="HC116" s="76"/>
      <c r="HD116" s="118"/>
      <c r="HF116" s="76"/>
      <c r="HG116" s="76"/>
      <c r="HH116" s="76"/>
      <c r="HI116" s="76"/>
      <c r="HJ116" s="118"/>
      <c r="HL116" s="76"/>
      <c r="HM116" s="76"/>
      <c r="HN116" s="76"/>
      <c r="HO116" s="76"/>
      <c r="HP116" s="118"/>
      <c r="HR116" s="76"/>
      <c r="HS116" s="76"/>
      <c r="HT116" s="76"/>
      <c r="HU116" s="76"/>
      <c r="HV116" s="118"/>
      <c r="HX116" s="76"/>
      <c r="HY116" s="76"/>
      <c r="HZ116" s="76"/>
      <c r="IA116" s="76"/>
      <c r="IB116" s="118"/>
      <c r="ID116" s="76"/>
      <c r="IE116" s="76"/>
      <c r="IF116" s="76"/>
      <c r="IG116" s="76"/>
      <c r="IH116" s="118"/>
      <c r="IJ116" s="76"/>
      <c r="IK116" s="76"/>
      <c r="IL116" s="76"/>
      <c r="IM116" s="76"/>
      <c r="IN116" s="118"/>
      <c r="IP116" s="76"/>
      <c r="IQ116" s="76"/>
      <c r="IR116" s="76"/>
      <c r="IS116" s="76"/>
      <c r="IT116" s="118"/>
      <c r="IV116" s="76"/>
      <c r="IW116" s="76"/>
      <c r="IX116" s="76"/>
      <c r="IY116" s="76"/>
      <c r="IZ116" s="118"/>
      <c r="JB116" s="76"/>
      <c r="JC116" s="76"/>
      <c r="JD116" s="76"/>
      <c r="JE116" s="76"/>
      <c r="JF116" s="118"/>
      <c r="JG116" s="179"/>
      <c r="JH116" s="76"/>
      <c r="JI116" s="76"/>
      <c r="JJ116" s="76"/>
      <c r="JK116" s="76"/>
      <c r="JL116" s="118"/>
      <c r="JN116" s="76"/>
      <c r="JO116" s="76"/>
      <c r="JP116" s="76"/>
      <c r="JQ116" s="76"/>
      <c r="JR116" s="118"/>
      <c r="JT116" s="76"/>
      <c r="JU116" s="76"/>
      <c r="JV116" s="76"/>
      <c r="JW116" s="76"/>
      <c r="JX116" s="118"/>
      <c r="JZ116" s="76"/>
      <c r="KA116" s="76"/>
      <c r="KB116" s="76"/>
      <c r="KC116" s="76"/>
      <c r="KD116" s="118"/>
      <c r="KF116" s="76"/>
      <c r="KG116" s="76"/>
      <c r="KH116" s="76"/>
      <c r="KI116" s="76"/>
      <c r="KJ116" s="118"/>
      <c r="KL116" s="76"/>
      <c r="KM116" s="76"/>
      <c r="KN116" s="76"/>
      <c r="KO116" s="76"/>
      <c r="KP116" s="118"/>
      <c r="KR116" s="76"/>
      <c r="KS116" s="76"/>
      <c r="KT116" s="76"/>
      <c r="KU116" s="76"/>
      <c r="KV116" s="118"/>
      <c r="KX116" s="76"/>
      <c r="KY116" s="76"/>
      <c r="KZ116" s="76"/>
      <c r="LA116" s="76"/>
      <c r="LB116" s="118"/>
      <c r="LD116" s="76"/>
      <c r="LE116" s="76"/>
      <c r="LF116" s="76"/>
      <c r="LG116" s="76"/>
      <c r="LH116" s="118"/>
      <c r="LJ116" s="76"/>
      <c r="LK116" s="76"/>
      <c r="LL116" s="76"/>
      <c r="LM116" s="76"/>
      <c r="LN116" s="118"/>
      <c r="LP116" s="76"/>
      <c r="LQ116" s="76"/>
      <c r="LR116" s="76"/>
      <c r="LS116" s="76"/>
      <c r="LT116" s="118"/>
      <c r="LV116" s="76"/>
      <c r="LW116" s="76"/>
      <c r="LX116" s="76"/>
      <c r="LY116" s="76"/>
      <c r="LZ116" s="118"/>
      <c r="MB116" s="76"/>
      <c r="MC116" s="76"/>
      <c r="MD116" s="76"/>
      <c r="ME116" s="76"/>
      <c r="MF116" s="118"/>
      <c r="MH116" s="76"/>
      <c r="MI116" s="76"/>
      <c r="MJ116" s="76"/>
      <c r="MK116" s="76"/>
      <c r="ML116" s="118"/>
      <c r="MN116" s="76"/>
      <c r="MO116" s="76"/>
      <c r="MP116" s="76"/>
      <c r="MQ116" s="76"/>
      <c r="MR116" s="76"/>
      <c r="MT116" s="76"/>
      <c r="MU116" s="76"/>
      <c r="MV116" s="76"/>
      <c r="MW116" s="76"/>
    </row>
    <row r="117" spans="3:361" hidden="1" x14ac:dyDescent="0.35">
      <c r="EV117" s="93">
        <f>'Actual Adjustment (SIV)'!CD19</f>
        <v>42566.906517937648</v>
      </c>
      <c r="EW117" s="175"/>
      <c r="EX117" s="33">
        <f>EV117-(EX$5*EX116)</f>
        <v>41185.685767185125</v>
      </c>
      <c r="EY117" s="175"/>
      <c r="EZ117" s="33">
        <f>EX117-(EZ$5*EZ116)</f>
        <v>39855.078698716687</v>
      </c>
      <c r="FA117" s="175"/>
      <c r="FB117" s="82">
        <f>EZ117-(FB$5*FB116)</f>
        <v>38580.413068562237</v>
      </c>
      <c r="FC117" s="175"/>
      <c r="FD117" s="33">
        <f>FB117-(FD$5*FD116)</f>
        <v>37442.93715617781</v>
      </c>
      <c r="FF117" s="33">
        <f>FD117-(FF$5*FF116)</f>
        <v>36152.288257933651</v>
      </c>
      <c r="FH117" s="82">
        <f>FF117-(FH$5*FH116)</f>
        <v>33822.726933858277</v>
      </c>
      <c r="FJ117" s="33">
        <f>FH117-(FJ$5*FJ116)</f>
        <v>29491.261281546609</v>
      </c>
      <c r="FL117" s="33">
        <f>FJ117-(FL$5*FL116)</f>
        <v>23617.410258577835</v>
      </c>
      <c r="FN117" s="82">
        <f>FL117-(FN$5*FN116)</f>
        <v>11568.689996950729</v>
      </c>
      <c r="FP117" s="33">
        <f>FN117-(FP$5*FP116)</f>
        <v>-4237.4302047659276</v>
      </c>
      <c r="FR117" s="33">
        <f>FP117-(FR$5*FR116)</f>
        <v>-22020.147893576839</v>
      </c>
      <c r="FT117" s="82">
        <f>FR117-(FT$5*FT116)</f>
        <v>-34160.771946719782</v>
      </c>
      <c r="FU117" s="157"/>
      <c r="FV117" s="143">
        <f>FT117</f>
        <v>-34160.771946719782</v>
      </c>
      <c r="FW117" s="143"/>
      <c r="FX117" s="143">
        <f>FV117</f>
        <v>-34160.771946719782</v>
      </c>
      <c r="FY117" s="143"/>
      <c r="FZ117" s="169">
        <f>FX117+FT97</f>
        <v>-37015.699226573051</v>
      </c>
      <c r="GB117" s="33">
        <f>FZ117-(GB$5*GB116)</f>
        <v>-35630.899002611899</v>
      </c>
      <c r="GD117" s="33">
        <f>GB117-(GD$5*GD116)</f>
        <v>-34134.733725674851</v>
      </c>
      <c r="GF117" s="82">
        <f>GD117-(GF$5*GF116)</f>
        <v>-31999.160886120153</v>
      </c>
      <c r="GH117" s="33">
        <f>GF117-(GH$5*GH116)</f>
        <v>-29653.231835388764</v>
      </c>
      <c r="GJ117" s="33">
        <f>GH117-(GJ$5*GJ116)</f>
        <v>-27758.680946236011</v>
      </c>
      <c r="GL117" s="82">
        <f>GJ117-(GL$5*GL116)</f>
        <v>-24795.671143024651</v>
      </c>
      <c r="GN117" s="33">
        <f>GL117-(GN$5*GN116)</f>
        <v>-22076.373267340256</v>
      </c>
      <c r="GP117" s="33">
        <f>GN117-(GP$5*GP116)</f>
        <v>-19563.934632570024</v>
      </c>
      <c r="GR117" s="82">
        <f>GP117-(GR$5*GR116)</f>
        <v>-17467.366461328143</v>
      </c>
      <c r="GT117" s="33">
        <f>GR117-(GT$5*GT116)</f>
        <v>-15994.872983091287</v>
      </c>
      <c r="GV117" s="33">
        <f>GT117-(GV$5*GV116)</f>
        <v>-14709.601912755938</v>
      </c>
      <c r="GX117" s="168">
        <f>GV117-(GX$5*GX116)</f>
        <v>-13473.826421520987</v>
      </c>
      <c r="GZ117" s="53"/>
      <c r="HA117" s="51"/>
      <c r="HB117" s="53"/>
      <c r="HC117" s="51"/>
      <c r="HD117" s="85"/>
      <c r="HF117" s="53"/>
      <c r="HG117" s="51"/>
      <c r="HH117" s="53"/>
      <c r="HI117" s="51"/>
      <c r="HJ117" s="85"/>
      <c r="HL117" s="53"/>
      <c r="HM117" s="51"/>
      <c r="HN117" s="53"/>
      <c r="HO117" s="51"/>
      <c r="HP117" s="85"/>
      <c r="HR117" s="53"/>
      <c r="HS117" s="51"/>
      <c r="HT117" s="53"/>
      <c r="HU117" s="51"/>
      <c r="HV117" s="85"/>
      <c r="HX117" s="53"/>
      <c r="HY117" s="51"/>
      <c r="HZ117" s="53"/>
      <c r="IA117" s="51"/>
      <c r="IB117" s="85"/>
      <c r="ID117" s="53"/>
      <c r="IE117" s="51"/>
      <c r="IF117" s="53"/>
      <c r="IG117" s="51"/>
      <c r="IH117" s="85"/>
      <c r="IJ117" s="53"/>
      <c r="IK117" s="51"/>
      <c r="IL117" s="53"/>
      <c r="IM117" s="51"/>
      <c r="IN117" s="85"/>
      <c r="IP117" s="53"/>
      <c r="IQ117" s="51"/>
      <c r="IR117" s="53"/>
      <c r="IS117" s="51"/>
      <c r="IT117" s="85"/>
      <c r="IV117" s="53"/>
      <c r="IW117" s="51"/>
      <c r="IX117" s="53"/>
      <c r="IY117" s="51"/>
      <c r="IZ117" s="85"/>
      <c r="JB117" s="53"/>
      <c r="JC117" s="51"/>
      <c r="JD117" s="53"/>
      <c r="JE117" s="51"/>
      <c r="JF117" s="85"/>
      <c r="JG117" s="179"/>
      <c r="JH117" s="53"/>
      <c r="JI117" s="51"/>
      <c r="JJ117" s="53"/>
      <c r="JK117" s="51"/>
      <c r="JL117" s="85"/>
      <c r="JN117" s="53"/>
      <c r="JO117" s="51"/>
      <c r="JP117" s="53"/>
      <c r="JQ117" s="51"/>
      <c r="JR117" s="85"/>
      <c r="JT117" s="53"/>
      <c r="JU117" s="51"/>
      <c r="JV117" s="53"/>
      <c r="JW117" s="51"/>
      <c r="JX117" s="85"/>
      <c r="JZ117" s="53"/>
      <c r="KA117" s="51"/>
      <c r="KB117" s="53"/>
      <c r="KC117" s="51"/>
      <c r="KD117" s="85"/>
      <c r="KF117" s="53"/>
      <c r="KG117" s="51"/>
      <c r="KH117" s="53"/>
      <c r="KI117" s="51"/>
      <c r="KJ117" s="85"/>
      <c r="KL117" s="53"/>
      <c r="KM117" s="51"/>
      <c r="KN117" s="53"/>
      <c r="KO117" s="51"/>
      <c r="KP117" s="85"/>
      <c r="KR117" s="53"/>
      <c r="KS117" s="51"/>
      <c r="KT117" s="53"/>
      <c r="KU117" s="51"/>
      <c r="KV117" s="85"/>
      <c r="KX117" s="53"/>
      <c r="KY117" s="51"/>
      <c r="KZ117" s="53"/>
      <c r="LA117" s="51"/>
      <c r="LB117" s="85"/>
      <c r="LD117" s="53"/>
      <c r="LE117" s="51"/>
      <c r="LF117" s="53"/>
      <c r="LG117" s="51"/>
      <c r="LH117" s="85"/>
      <c r="LJ117" s="53"/>
      <c r="LK117" s="51"/>
      <c r="LL117" s="53"/>
      <c r="LM117" s="51"/>
      <c r="LN117" s="85"/>
      <c r="LP117" s="53"/>
      <c r="LQ117" s="51"/>
      <c r="LR117" s="53"/>
      <c r="LS117" s="51"/>
      <c r="LT117" s="85"/>
      <c r="LV117" s="53"/>
      <c r="LW117" s="51"/>
      <c r="LX117" s="53"/>
      <c r="LY117" s="51"/>
      <c r="LZ117" s="85"/>
      <c r="MB117" s="53"/>
      <c r="MC117" s="51"/>
      <c r="MD117" s="53"/>
      <c r="ME117" s="51"/>
      <c r="MF117" s="85"/>
      <c r="MH117" s="53"/>
      <c r="MI117" s="51"/>
      <c r="MJ117" s="53"/>
      <c r="MK117" s="51"/>
      <c r="ML117" s="85"/>
      <c r="MN117" s="53"/>
      <c r="MO117" s="51"/>
      <c r="MP117" s="53"/>
      <c r="MQ117" s="51"/>
      <c r="MR117" s="53"/>
      <c r="MT117" s="53"/>
      <c r="MU117" s="51"/>
      <c r="MV117" s="53"/>
      <c r="MW117" s="51"/>
    </row>
    <row r="118" spans="3:361" hidden="1" x14ac:dyDescent="0.35">
      <c r="EV118" s="81"/>
      <c r="EW118" s="175"/>
      <c r="EX118" s="175"/>
      <c r="EY118" s="175"/>
      <c r="EZ118" s="175"/>
      <c r="FA118" s="175"/>
      <c r="FB118" s="81"/>
      <c r="FC118" s="175"/>
      <c r="FH118" s="81"/>
      <c r="FN118" s="81"/>
      <c r="FT118" s="158"/>
      <c r="FZ118" s="101">
        <f>(FZ117/(SUM(EX$5:FT$5)+80000))</f>
        <v>-0.26899771250216598</v>
      </c>
      <c r="GF118" s="81"/>
      <c r="GL118" s="81"/>
      <c r="GR118" s="81"/>
      <c r="GX118" s="81"/>
      <c r="HD118" s="81"/>
      <c r="HJ118" s="81"/>
      <c r="HP118" s="81"/>
      <c r="HV118" s="81"/>
      <c r="IB118" s="81"/>
      <c r="IH118" s="81"/>
      <c r="IN118" s="81"/>
      <c r="IT118" s="81"/>
      <c r="IZ118" s="81"/>
      <c r="JF118" s="81"/>
      <c r="JG118" s="179"/>
      <c r="JL118" s="81"/>
      <c r="JR118" s="81"/>
      <c r="JX118" s="81"/>
      <c r="KD118" s="81"/>
      <c r="KJ118" s="81"/>
      <c r="KP118" s="81"/>
      <c r="KV118" s="81"/>
      <c r="LB118" s="81"/>
      <c r="LH118" s="81"/>
      <c r="LN118" s="81"/>
      <c r="LT118" s="81"/>
      <c r="LZ118" s="81"/>
      <c r="MF118" s="81"/>
      <c r="ML118" s="81"/>
    </row>
    <row r="119" spans="3:361" hidden="1" x14ac:dyDescent="0.35">
      <c r="EV119" s="175"/>
      <c r="EW119" s="179"/>
      <c r="EX119" s="175"/>
      <c r="EY119" s="175"/>
      <c r="EZ119" s="175"/>
      <c r="FA119" s="175"/>
      <c r="FB119" s="175"/>
      <c r="FC119" s="179"/>
      <c r="FI119" s="179"/>
      <c r="FO119" s="179"/>
      <c r="FU119" s="179"/>
      <c r="GA119" s="179"/>
      <c r="GG119" s="179"/>
      <c r="GM119" s="179"/>
      <c r="GS119" s="179"/>
      <c r="GY119" s="179"/>
      <c r="HE119" s="179"/>
      <c r="HF119" s="51"/>
      <c r="HG119" s="51"/>
      <c r="HH119" s="51"/>
      <c r="HI119" s="51"/>
      <c r="HJ119" s="51"/>
      <c r="HK119" s="179"/>
      <c r="HL119" s="51"/>
      <c r="HM119" s="51"/>
      <c r="HN119" s="51"/>
      <c r="HO119" s="51"/>
      <c r="HP119" s="51"/>
      <c r="HQ119" s="179"/>
      <c r="HR119" s="51"/>
      <c r="HS119" s="51"/>
      <c r="HT119" s="51"/>
      <c r="HU119" s="51"/>
      <c r="HV119" s="51"/>
      <c r="HW119" s="179"/>
      <c r="HX119" s="51"/>
      <c r="HY119" s="51"/>
      <c r="HZ119" s="51"/>
      <c r="IA119" s="51"/>
      <c r="IB119" s="51"/>
      <c r="IC119" s="179"/>
      <c r="ID119" s="51"/>
      <c r="IE119" s="51"/>
      <c r="IF119" s="51"/>
      <c r="IG119" s="51"/>
      <c r="IH119" s="51"/>
      <c r="II119" s="179"/>
      <c r="IJ119" s="51"/>
      <c r="IK119" s="51"/>
      <c r="IL119" s="51"/>
      <c r="IM119" s="51"/>
      <c r="IN119" s="51"/>
      <c r="IO119" s="179"/>
      <c r="IP119" s="51"/>
      <c r="IQ119" s="51"/>
      <c r="IR119" s="51"/>
      <c r="IS119" s="51"/>
      <c r="IT119" s="51"/>
      <c r="IU119" s="179"/>
      <c r="IV119" s="51"/>
      <c r="IW119" s="51"/>
      <c r="IX119" s="51"/>
      <c r="IY119" s="51"/>
      <c r="IZ119" s="51"/>
      <c r="JA119" s="179"/>
      <c r="JB119" s="51"/>
      <c r="JC119" s="51"/>
      <c r="JD119" s="51"/>
      <c r="JE119" s="51"/>
      <c r="JF119" s="83"/>
      <c r="JG119" s="179"/>
      <c r="JH119" s="51"/>
      <c r="JI119" s="51"/>
      <c r="JJ119" s="51"/>
      <c r="JK119" s="51"/>
      <c r="JL119" s="51"/>
      <c r="JM119" s="179"/>
      <c r="JN119" s="51"/>
      <c r="JO119" s="51"/>
      <c r="JP119" s="51"/>
      <c r="JQ119" s="51"/>
      <c r="JR119" s="51"/>
      <c r="JS119" s="179"/>
      <c r="JT119" s="51"/>
      <c r="JU119" s="51"/>
      <c r="JV119" s="51"/>
      <c r="JW119" s="51"/>
      <c r="JX119" s="51"/>
      <c r="JY119" s="179"/>
      <c r="JZ119" s="51"/>
      <c r="KA119" s="51"/>
      <c r="KB119" s="51"/>
      <c r="KC119" s="51"/>
      <c r="KD119" s="51"/>
      <c r="KE119" s="179"/>
      <c r="KF119" s="51"/>
      <c r="KG119" s="51"/>
      <c r="KH119" s="51"/>
      <c r="KI119" s="51"/>
      <c r="KJ119" s="51"/>
      <c r="KK119" s="179"/>
      <c r="KL119" s="51"/>
      <c r="KM119" s="51"/>
      <c r="KN119" s="51"/>
      <c r="KO119" s="51"/>
      <c r="KP119" s="51"/>
      <c r="KQ119" s="179"/>
      <c r="KR119" s="51"/>
      <c r="KS119" s="51"/>
      <c r="KT119" s="51"/>
      <c r="KU119" s="51"/>
      <c r="KV119" s="51"/>
      <c r="KW119" s="179"/>
      <c r="KX119" s="51"/>
      <c r="KY119" s="51"/>
      <c r="KZ119" s="51"/>
      <c r="LA119" s="51"/>
      <c r="LB119" s="51"/>
      <c r="LC119" s="179"/>
      <c r="LD119" s="51"/>
      <c r="LE119" s="51"/>
      <c r="LF119" s="51"/>
      <c r="LG119" s="51"/>
      <c r="LH119" s="51"/>
      <c r="LI119" s="179"/>
      <c r="LJ119" s="51"/>
      <c r="LK119" s="51"/>
      <c r="LL119" s="51"/>
      <c r="LM119" s="51"/>
      <c r="LN119" s="51"/>
      <c r="LO119" s="179"/>
      <c r="LP119" s="51"/>
      <c r="LQ119" s="51"/>
      <c r="LR119" s="51"/>
      <c r="LS119" s="51"/>
      <c r="LT119" s="51"/>
      <c r="LU119" s="179"/>
      <c r="LV119" s="51"/>
      <c r="LW119" s="51"/>
      <c r="LX119" s="51"/>
      <c r="LY119" s="51"/>
      <c r="LZ119" s="51"/>
      <c r="MA119" s="179"/>
      <c r="MB119" s="51"/>
      <c r="MC119" s="51"/>
      <c r="MD119" s="51"/>
      <c r="ME119" s="51"/>
      <c r="MF119" s="51"/>
      <c r="MG119" s="179"/>
      <c r="MH119" s="51"/>
      <c r="MI119" s="51"/>
      <c r="MJ119" s="51"/>
      <c r="MK119" s="51"/>
      <c r="ML119" s="51"/>
      <c r="MM119" s="179"/>
      <c r="MN119" s="51"/>
      <c r="MO119" s="51"/>
      <c r="MP119" s="51"/>
      <c r="MQ119" s="51"/>
      <c r="MR119" s="51"/>
      <c r="MS119" s="179"/>
      <c r="MT119" s="51"/>
      <c r="MU119" s="51"/>
      <c r="MV119" s="51"/>
      <c r="MW119" s="51"/>
    </row>
    <row r="120" spans="3:361" hidden="1" x14ac:dyDescent="0.35">
      <c r="FB120" s="81"/>
      <c r="FC120" s="175"/>
      <c r="FD120" s="66">
        <f>'Actual Adjustment (SIV)'!CJ21</f>
        <v>0.68965364740505042</v>
      </c>
      <c r="FE120" s="95"/>
      <c r="FF120" s="43">
        <f>FD120</f>
        <v>0.68965364740505042</v>
      </c>
      <c r="FG120" s="40"/>
      <c r="FH120" s="150">
        <f>FF120</f>
        <v>0.68965364740505042</v>
      </c>
      <c r="FI120" s="40"/>
      <c r="FJ120" s="43">
        <f>FH120</f>
        <v>0.68965364740505042</v>
      </c>
      <c r="FK120" s="40"/>
      <c r="FL120" s="43">
        <f>FJ120</f>
        <v>0.68965364740505042</v>
      </c>
      <c r="FM120" s="40"/>
      <c r="FN120" s="150">
        <f>FL120</f>
        <v>0.68965364740505042</v>
      </c>
      <c r="FO120" s="40"/>
      <c r="FP120" s="43">
        <f>FN120</f>
        <v>0.68965364740505042</v>
      </c>
      <c r="FQ120" s="40"/>
      <c r="FR120" s="43">
        <f>FP120</f>
        <v>0.68965364740505042</v>
      </c>
      <c r="FS120" s="40"/>
      <c r="FT120" s="150">
        <f>FR120</f>
        <v>0.68965364740505042</v>
      </c>
      <c r="FU120" s="40"/>
      <c r="FV120" s="43">
        <f>FT120</f>
        <v>0.68965364740505042</v>
      </c>
      <c r="FW120" s="40"/>
      <c r="FX120" s="43">
        <f>FV120</f>
        <v>0.68965364740505042</v>
      </c>
      <c r="FY120" s="40"/>
      <c r="FZ120" s="150">
        <f>FX120</f>
        <v>0.68965364740505042</v>
      </c>
      <c r="GA120" s="156"/>
      <c r="GB120" s="144"/>
      <c r="GC120" s="144"/>
      <c r="GD120" s="144"/>
      <c r="GE120" s="144"/>
      <c r="GF120" s="118"/>
      <c r="GG120" s="40"/>
      <c r="GH120" s="151">
        <f>GF122</f>
        <v>0.14408997670313278</v>
      </c>
      <c r="GI120" s="40"/>
      <c r="GJ120" s="43">
        <f>GH120</f>
        <v>0.14408997670313278</v>
      </c>
      <c r="GK120" s="40"/>
      <c r="GL120" s="150">
        <f>GJ120</f>
        <v>0.14408997670313278</v>
      </c>
      <c r="GM120" s="40"/>
      <c r="GN120" s="43">
        <f>GL120</f>
        <v>0.14408997670313278</v>
      </c>
      <c r="GO120" s="40"/>
      <c r="GP120" s="43">
        <f>GN120</f>
        <v>0.14408997670313278</v>
      </c>
      <c r="GQ120" s="40"/>
      <c r="GR120" s="150">
        <f>GP120</f>
        <v>0.14408997670313278</v>
      </c>
      <c r="GS120" s="40"/>
      <c r="GT120" s="43">
        <f>GR120</f>
        <v>0.14408997670313278</v>
      </c>
      <c r="GU120" s="40"/>
      <c r="GV120" s="43">
        <f>GT120</f>
        <v>0.14408997670313278</v>
      </c>
      <c r="GW120" s="40"/>
      <c r="GX120" s="150">
        <f>GV120</f>
        <v>0.14408997670313278</v>
      </c>
      <c r="GY120" s="40"/>
      <c r="GZ120" s="43">
        <f>GX120</f>
        <v>0.14408997670313278</v>
      </c>
      <c r="HA120" s="40"/>
      <c r="HB120" s="43">
        <f>GZ120</f>
        <v>0.14408997670313278</v>
      </c>
      <c r="HC120" s="40"/>
      <c r="HD120" s="150">
        <f>HB120</f>
        <v>0.14408997670313278</v>
      </c>
      <c r="HF120" s="76"/>
      <c r="HG120" s="76"/>
      <c r="HH120" s="76"/>
      <c r="HI120" s="76"/>
      <c r="HJ120" s="118"/>
      <c r="HL120" s="76"/>
      <c r="HM120" s="76"/>
      <c r="HN120" s="76"/>
      <c r="HO120" s="76"/>
      <c r="HP120" s="118"/>
      <c r="HR120" s="76"/>
      <c r="HS120" s="76"/>
      <c r="HT120" s="76"/>
      <c r="HU120" s="76"/>
      <c r="HV120" s="118"/>
      <c r="HX120" s="76"/>
      <c r="HY120" s="76"/>
      <c r="HZ120" s="76"/>
      <c r="IA120" s="76"/>
      <c r="IB120" s="118"/>
      <c r="ID120" s="76"/>
      <c r="IE120" s="76"/>
      <c r="IF120" s="76"/>
      <c r="IG120" s="76"/>
      <c r="IH120" s="118"/>
      <c r="IJ120" s="76"/>
      <c r="IK120" s="76"/>
      <c r="IL120" s="76"/>
      <c r="IM120" s="76"/>
      <c r="IN120" s="118"/>
      <c r="IP120" s="76"/>
      <c r="IQ120" s="76"/>
      <c r="IR120" s="76"/>
      <c r="IS120" s="76"/>
      <c r="IT120" s="118"/>
      <c r="IV120" s="76"/>
      <c r="IW120" s="76"/>
      <c r="IX120" s="76"/>
      <c r="IY120" s="76"/>
      <c r="IZ120" s="118"/>
      <c r="JB120" s="76"/>
      <c r="JC120" s="76"/>
      <c r="JD120" s="76"/>
      <c r="JE120" s="76"/>
      <c r="JF120" s="118"/>
      <c r="JG120" s="179"/>
      <c r="JH120" s="76"/>
      <c r="JI120" s="76"/>
      <c r="JJ120" s="76"/>
      <c r="JK120" s="76"/>
      <c r="JL120" s="118"/>
      <c r="JN120" s="76"/>
      <c r="JO120" s="76"/>
      <c r="JP120" s="76"/>
      <c r="JQ120" s="76"/>
      <c r="JR120" s="118"/>
      <c r="JT120" s="76"/>
      <c r="JU120" s="76"/>
      <c r="JV120" s="76"/>
      <c r="JW120" s="76"/>
      <c r="JX120" s="118"/>
      <c r="JZ120" s="76"/>
      <c r="KA120" s="76"/>
      <c r="KB120" s="76"/>
      <c r="KC120" s="76"/>
      <c r="KD120" s="118"/>
      <c r="KF120" s="76"/>
      <c r="KG120" s="76"/>
      <c r="KH120" s="76"/>
      <c r="KI120" s="76"/>
      <c r="KJ120" s="118"/>
      <c r="KL120" s="76"/>
      <c r="KM120" s="76"/>
      <c r="KN120" s="76"/>
      <c r="KO120" s="76"/>
      <c r="KP120" s="118"/>
      <c r="KR120" s="76"/>
      <c r="KS120" s="76"/>
      <c r="KT120" s="76"/>
      <c r="KU120" s="76"/>
      <c r="KV120" s="118"/>
      <c r="KX120" s="76"/>
      <c r="KY120" s="76"/>
      <c r="KZ120" s="76"/>
      <c r="LA120" s="76"/>
      <c r="LB120" s="118"/>
      <c r="LD120" s="76"/>
      <c r="LE120" s="76"/>
      <c r="LF120" s="76"/>
      <c r="LG120" s="76"/>
      <c r="LH120" s="118"/>
      <c r="LJ120" s="76"/>
      <c r="LK120" s="76"/>
      <c r="LL120" s="76"/>
      <c r="LM120" s="76"/>
      <c r="LN120" s="118"/>
      <c r="LP120" s="76"/>
      <c r="LQ120" s="76"/>
      <c r="LR120" s="76"/>
      <c r="LS120" s="76"/>
      <c r="LT120" s="118"/>
      <c r="LV120" s="76"/>
      <c r="LW120" s="76"/>
      <c r="LX120" s="76"/>
      <c r="LY120" s="76"/>
      <c r="LZ120" s="118"/>
      <c r="MB120" s="76"/>
      <c r="MC120" s="76"/>
      <c r="MD120" s="76"/>
      <c r="ME120" s="76"/>
      <c r="MF120" s="118"/>
      <c r="MH120" s="76"/>
      <c r="MI120" s="76"/>
      <c r="MJ120" s="76"/>
      <c r="MK120" s="76"/>
      <c r="ML120" s="118"/>
      <c r="MN120" s="76"/>
      <c r="MO120" s="76"/>
      <c r="MP120" s="76"/>
      <c r="MQ120" s="76"/>
      <c r="MR120" s="76"/>
      <c r="MT120" s="76"/>
      <c r="MU120" s="76"/>
      <c r="MV120" s="76"/>
      <c r="MW120" s="76"/>
    </row>
    <row r="121" spans="3:361" hidden="1" x14ac:dyDescent="0.35">
      <c r="FB121" s="93">
        <f>'Actual Adjustment (SIV)'!CJ19</f>
        <v>70063.983000821288</v>
      </c>
      <c r="FC121" s="175"/>
      <c r="FD121" s="33">
        <f>FB121-(FD$5*FD120)</f>
        <v>69475.018785937369</v>
      </c>
      <c r="FF121" s="33">
        <f>FD121-(FF$5*FF120)</f>
        <v>68806.744401601871</v>
      </c>
      <c r="FH121" s="82">
        <f>FF121-(FH$5*FH120)</f>
        <v>67600.540172290435</v>
      </c>
      <c r="FJ121" s="33">
        <f>FH121-(FJ$5*FJ120)</f>
        <v>65357.786510929211</v>
      </c>
      <c r="FL121" s="33">
        <f>FJ121-(FL$5*FL120)</f>
        <v>62316.413925872941</v>
      </c>
      <c r="FN121" s="82">
        <f>FL121-(FN$5*FN120)</f>
        <v>56077.807031446857</v>
      </c>
      <c r="FP121" s="33">
        <f>FN121-(FP$5*FP120)</f>
        <v>47893.687197691121</v>
      </c>
      <c r="FR121" s="33">
        <f>FP121-(FR$5*FR120)</f>
        <v>38686.121351186295</v>
      </c>
      <c r="FT121" s="82">
        <f>FR121-(FT$5*FT120)</f>
        <v>32399.928355089261</v>
      </c>
      <c r="FV121" s="33">
        <f>FT121-(FV$5*FV120)</f>
        <v>26383.389935127601</v>
      </c>
      <c r="FX121" s="33">
        <f>FV121-(FX$5*FX120)</f>
        <v>21919.951529122114</v>
      </c>
      <c r="FZ121" s="82">
        <f>FX121-(FZ$5*FZ120)</f>
        <v>17739.271118552701</v>
      </c>
      <c r="GA121" s="157"/>
      <c r="GB121" s="143">
        <f>FZ121</f>
        <v>17739.271118552701</v>
      </c>
      <c r="GC121" s="143"/>
      <c r="GD121" s="143">
        <f>GB121</f>
        <v>17739.271118552701</v>
      </c>
      <c r="GE121" s="143"/>
      <c r="GF121" s="169">
        <f>GD121+FZ101</f>
        <v>18136.749457600028</v>
      </c>
      <c r="GH121" s="33">
        <f>GF121-(GH$5*GH120)</f>
        <v>16880.140770772006</v>
      </c>
      <c r="GJ121" s="33">
        <f>GH121-(GJ$5*GJ120)</f>
        <v>15865.315064851842</v>
      </c>
      <c r="GL121" s="82">
        <f>GJ121-(GL$5*GL120)</f>
        <v>14278.163971466834</v>
      </c>
      <c r="GN121" s="33">
        <f>GL121-(GN$5*GN120)</f>
        <v>12821.558396974866</v>
      </c>
      <c r="GP121" s="33">
        <f>GN121-(GP$5*GP120)</f>
        <v>11475.758014567606</v>
      </c>
      <c r="GR121" s="82">
        <f>GP121-(GR$5*GR120)</f>
        <v>10352.720736143388</v>
      </c>
      <c r="GT121" s="33">
        <f>GR121-(GT$5*GT120)</f>
        <v>9563.9722036704388</v>
      </c>
      <c r="GV121" s="33">
        <f>GT121-(GV$5*GV120)</f>
        <v>8875.5102949828706</v>
      </c>
      <c r="GX121" s="82">
        <f>GV121-(GX$5*GX120)</f>
        <v>8213.5609420086785</v>
      </c>
      <c r="GZ121" s="33">
        <f>GX121-(GZ$5*GZ120)</f>
        <v>7570.6314659592999</v>
      </c>
      <c r="HB121" s="33">
        <f>GZ121-(HB$5*HB120)</f>
        <v>6777.4161442085542</v>
      </c>
      <c r="HD121" s="168">
        <f>HB121-(HD$5*HD120)</f>
        <v>5989.9644215259332</v>
      </c>
      <c r="HF121" s="53"/>
      <c r="HG121" s="51"/>
      <c r="HH121" s="53"/>
      <c r="HI121" s="51"/>
      <c r="HJ121" s="85"/>
      <c r="HL121" s="53"/>
      <c r="HM121" s="51"/>
      <c r="HN121" s="53"/>
      <c r="HO121" s="51"/>
      <c r="HP121" s="85"/>
      <c r="HR121" s="53"/>
      <c r="HS121" s="51"/>
      <c r="HT121" s="53"/>
      <c r="HU121" s="51"/>
      <c r="HV121" s="85"/>
      <c r="HX121" s="53"/>
      <c r="HY121" s="51"/>
      <c r="HZ121" s="53"/>
      <c r="IA121" s="51"/>
      <c r="IB121" s="85"/>
      <c r="ID121" s="53"/>
      <c r="IE121" s="51"/>
      <c r="IF121" s="53"/>
      <c r="IG121" s="51"/>
      <c r="IH121" s="85"/>
      <c r="IJ121" s="53"/>
      <c r="IK121" s="51"/>
      <c r="IL121" s="53"/>
      <c r="IM121" s="51"/>
      <c r="IN121" s="85"/>
      <c r="IP121" s="53"/>
      <c r="IQ121" s="51"/>
      <c r="IR121" s="53"/>
      <c r="IS121" s="51"/>
      <c r="IT121" s="85"/>
      <c r="IV121" s="53"/>
      <c r="IW121" s="51"/>
      <c r="IX121" s="53"/>
      <c r="IY121" s="51"/>
      <c r="IZ121" s="85"/>
      <c r="JB121" s="53"/>
      <c r="JC121" s="51"/>
      <c r="JD121" s="53"/>
      <c r="JE121" s="51"/>
      <c r="JF121" s="85"/>
      <c r="JG121" s="179"/>
      <c r="JH121" s="53"/>
      <c r="JI121" s="51"/>
      <c r="JJ121" s="53"/>
      <c r="JK121" s="51"/>
      <c r="JL121" s="85"/>
      <c r="JN121" s="53"/>
      <c r="JO121" s="51"/>
      <c r="JP121" s="53"/>
      <c r="JQ121" s="51"/>
      <c r="JR121" s="85"/>
      <c r="JT121" s="53"/>
      <c r="JU121" s="51"/>
      <c r="JV121" s="53"/>
      <c r="JW121" s="51"/>
      <c r="JX121" s="85"/>
      <c r="JZ121" s="53"/>
      <c r="KA121" s="51"/>
      <c r="KB121" s="53"/>
      <c r="KC121" s="51"/>
      <c r="KD121" s="85"/>
      <c r="KF121" s="53"/>
      <c r="KG121" s="51"/>
      <c r="KH121" s="53"/>
      <c r="KI121" s="51"/>
      <c r="KJ121" s="85"/>
      <c r="KL121" s="53"/>
      <c r="KM121" s="51"/>
      <c r="KN121" s="53"/>
      <c r="KO121" s="51"/>
      <c r="KP121" s="85"/>
      <c r="KR121" s="53"/>
      <c r="KS121" s="51"/>
      <c r="KT121" s="53"/>
      <c r="KU121" s="51"/>
      <c r="KV121" s="85"/>
      <c r="KX121" s="53"/>
      <c r="KY121" s="51"/>
      <c r="KZ121" s="53"/>
      <c r="LA121" s="51"/>
      <c r="LB121" s="85"/>
      <c r="LD121" s="53"/>
      <c r="LE121" s="51"/>
      <c r="LF121" s="53"/>
      <c r="LG121" s="51"/>
      <c r="LH121" s="85"/>
      <c r="LJ121" s="53"/>
      <c r="LK121" s="51"/>
      <c r="LL121" s="53"/>
      <c r="LM121" s="51"/>
      <c r="LN121" s="85"/>
      <c r="LP121" s="53"/>
      <c r="LQ121" s="51"/>
      <c r="LR121" s="53"/>
      <c r="LS121" s="51"/>
      <c r="LT121" s="85"/>
      <c r="LV121" s="53"/>
      <c r="LW121" s="51"/>
      <c r="LX121" s="53"/>
      <c r="LY121" s="51"/>
      <c r="LZ121" s="85"/>
      <c r="MB121" s="53"/>
      <c r="MC121" s="51"/>
      <c r="MD121" s="53"/>
      <c r="ME121" s="51"/>
      <c r="MF121" s="85"/>
      <c r="MH121" s="53"/>
      <c r="MI121" s="51"/>
      <c r="MJ121" s="53"/>
      <c r="MK121" s="51"/>
      <c r="ML121" s="85"/>
      <c r="MN121" s="53"/>
      <c r="MO121" s="51"/>
      <c r="MP121" s="53"/>
      <c r="MQ121" s="51"/>
      <c r="MR121" s="53"/>
      <c r="MT121" s="53"/>
      <c r="MU121" s="51"/>
      <c r="MV121" s="53"/>
      <c r="MW121" s="51"/>
    </row>
    <row r="122" spans="3:361" hidden="1" x14ac:dyDescent="0.35">
      <c r="FB122" s="81"/>
      <c r="FC122" s="175"/>
      <c r="FH122" s="81"/>
      <c r="FN122" s="81"/>
      <c r="FT122" s="81"/>
      <c r="FZ122" s="158"/>
      <c r="GF122" s="101">
        <f>(GF121/(SUM(FD$5:FZ$5)+50000))</f>
        <v>0.14408997670313278</v>
      </c>
      <c r="GL122" s="81"/>
      <c r="GR122" s="81"/>
      <c r="GX122" s="81"/>
      <c r="HD122" s="81"/>
      <c r="HF122" s="51"/>
      <c r="HG122" s="51"/>
      <c r="HH122" s="51"/>
      <c r="HI122" s="51"/>
      <c r="HJ122" s="83"/>
      <c r="HL122" s="51"/>
      <c r="HM122" s="51"/>
      <c r="HN122" s="51"/>
      <c r="HO122" s="51"/>
      <c r="HP122" s="83"/>
      <c r="HR122" s="51"/>
      <c r="HS122" s="51"/>
      <c r="HT122" s="51"/>
      <c r="HU122" s="51"/>
      <c r="HV122" s="83"/>
      <c r="HX122" s="51"/>
      <c r="HY122" s="51"/>
      <c r="HZ122" s="51"/>
      <c r="IA122" s="51"/>
      <c r="IB122" s="83"/>
      <c r="ID122" s="51"/>
      <c r="IE122" s="51"/>
      <c r="IF122" s="51"/>
      <c r="IG122" s="51"/>
      <c r="IH122" s="83"/>
      <c r="IJ122" s="51"/>
      <c r="IK122" s="51"/>
      <c r="IL122" s="51"/>
      <c r="IM122" s="51"/>
      <c r="IN122" s="83"/>
      <c r="IP122" s="51"/>
      <c r="IQ122" s="51"/>
      <c r="IR122" s="51"/>
      <c r="IS122" s="51"/>
      <c r="IT122" s="83"/>
      <c r="IV122" s="51"/>
      <c r="IW122" s="51"/>
      <c r="IX122" s="51"/>
      <c r="IY122" s="51"/>
      <c r="IZ122" s="83"/>
      <c r="JB122" s="51"/>
      <c r="JC122" s="51"/>
      <c r="JD122" s="51"/>
      <c r="JE122" s="51"/>
      <c r="JF122" s="83"/>
      <c r="JG122" s="179"/>
      <c r="JH122" s="51"/>
      <c r="JI122" s="51"/>
      <c r="JJ122" s="51"/>
      <c r="JK122" s="51"/>
      <c r="JL122" s="83"/>
      <c r="JN122" s="51"/>
      <c r="JO122" s="51"/>
      <c r="JP122" s="51"/>
      <c r="JQ122" s="51"/>
      <c r="JR122" s="83"/>
      <c r="JT122" s="51"/>
      <c r="JU122" s="51"/>
      <c r="JV122" s="51"/>
      <c r="JW122" s="51"/>
      <c r="JX122" s="83"/>
      <c r="JZ122" s="51"/>
      <c r="KA122" s="51"/>
      <c r="KB122" s="51"/>
      <c r="KC122" s="51"/>
      <c r="KD122" s="83"/>
      <c r="KF122" s="51"/>
      <c r="KG122" s="51"/>
      <c r="KH122" s="51"/>
      <c r="KI122" s="51"/>
      <c r="KJ122" s="83"/>
      <c r="KL122" s="51"/>
      <c r="KM122" s="51"/>
      <c r="KN122" s="51"/>
      <c r="KO122" s="51"/>
      <c r="KP122" s="83"/>
      <c r="KR122" s="51"/>
      <c r="KS122" s="51"/>
      <c r="KT122" s="51"/>
      <c r="KU122" s="51"/>
      <c r="KV122" s="83"/>
      <c r="KX122" s="51"/>
      <c r="KY122" s="51"/>
      <c r="KZ122" s="51"/>
      <c r="LA122" s="51"/>
      <c r="LB122" s="83"/>
      <c r="LD122" s="51"/>
      <c r="LE122" s="51"/>
      <c r="LF122" s="51"/>
      <c r="LG122" s="51"/>
      <c r="LH122" s="83"/>
      <c r="LJ122" s="51"/>
      <c r="LK122" s="51"/>
      <c r="LL122" s="51"/>
      <c r="LM122" s="51"/>
      <c r="LN122" s="83"/>
      <c r="LP122" s="51"/>
      <c r="LQ122" s="51"/>
      <c r="LR122" s="51"/>
      <c r="LS122" s="51"/>
      <c r="LT122" s="83"/>
      <c r="LV122" s="51"/>
      <c r="LW122" s="51"/>
      <c r="LX122" s="51"/>
      <c r="LY122" s="51"/>
      <c r="LZ122" s="83"/>
      <c r="MB122" s="51"/>
      <c r="MC122" s="51"/>
      <c r="MD122" s="51"/>
      <c r="ME122" s="51"/>
      <c r="MF122" s="83"/>
      <c r="MH122" s="51"/>
      <c r="MI122" s="51"/>
      <c r="MJ122" s="51"/>
      <c r="MK122" s="51"/>
      <c r="ML122" s="83"/>
      <c r="MN122" s="51"/>
      <c r="MO122" s="51"/>
      <c r="MP122" s="51"/>
      <c r="MQ122" s="51"/>
      <c r="MR122" s="51"/>
      <c r="MT122" s="51"/>
      <c r="MU122" s="51"/>
      <c r="MV122" s="51"/>
      <c r="MW122" s="51"/>
    </row>
    <row r="123" spans="3:361" hidden="1" x14ac:dyDescent="0.35">
      <c r="FB123" s="175"/>
      <c r="FC123" s="179"/>
      <c r="FI123" s="179"/>
      <c r="FO123" s="179"/>
      <c r="FU123" s="179"/>
      <c r="GA123" s="179"/>
      <c r="GG123" s="179"/>
      <c r="GM123" s="179"/>
      <c r="GS123" s="179"/>
      <c r="GY123" s="179"/>
      <c r="HE123" s="184"/>
      <c r="HK123" s="184"/>
      <c r="HL123" s="51"/>
      <c r="HM123" s="51"/>
      <c r="HN123" s="51"/>
      <c r="HO123" s="51"/>
      <c r="HP123" s="51"/>
      <c r="HQ123" s="184"/>
      <c r="HR123" s="51"/>
      <c r="HS123" s="51"/>
      <c r="HT123" s="51"/>
      <c r="HU123" s="51"/>
      <c r="HV123" s="51"/>
      <c r="HW123" s="184"/>
      <c r="HX123" s="51"/>
      <c r="HY123" s="51"/>
      <c r="HZ123" s="51"/>
      <c r="IA123" s="51"/>
      <c r="IB123" s="51"/>
      <c r="IC123" s="184"/>
      <c r="ID123" s="51"/>
      <c r="IE123" s="51"/>
      <c r="IF123" s="51"/>
      <c r="IG123" s="51"/>
      <c r="IH123" s="51"/>
      <c r="II123" s="184"/>
      <c r="IJ123" s="51"/>
      <c r="IK123" s="51"/>
      <c r="IL123" s="51"/>
      <c r="IM123" s="51"/>
      <c r="IN123" s="51"/>
      <c r="IO123" s="184"/>
      <c r="IP123" s="51"/>
      <c r="IQ123" s="51"/>
      <c r="IR123" s="51"/>
      <c r="IS123" s="51"/>
      <c r="IT123" s="51"/>
      <c r="IU123" s="184"/>
      <c r="IV123" s="51"/>
      <c r="IW123" s="51"/>
      <c r="IX123" s="51"/>
      <c r="IY123" s="51"/>
      <c r="IZ123" s="51"/>
      <c r="JA123" s="184"/>
      <c r="JB123" s="51"/>
      <c r="JC123" s="51"/>
      <c r="JD123" s="51"/>
      <c r="JE123" s="51"/>
      <c r="JF123" s="83"/>
      <c r="JG123" s="179"/>
      <c r="JH123" s="51"/>
      <c r="JI123" s="51"/>
      <c r="JJ123" s="51"/>
      <c r="JK123" s="51"/>
      <c r="JL123" s="51"/>
      <c r="JM123" s="184"/>
      <c r="JN123" s="51"/>
      <c r="JO123" s="51"/>
      <c r="JP123" s="51"/>
      <c r="JQ123" s="51"/>
      <c r="JR123" s="51"/>
      <c r="JS123" s="184"/>
      <c r="JT123" s="51"/>
      <c r="JU123" s="51"/>
      <c r="JV123" s="51"/>
      <c r="JW123" s="51"/>
      <c r="JX123" s="51"/>
      <c r="JY123" s="184"/>
      <c r="JZ123" s="51"/>
      <c r="KA123" s="51"/>
      <c r="KB123" s="51"/>
      <c r="KC123" s="51"/>
      <c r="KD123" s="51"/>
      <c r="KE123" s="184"/>
      <c r="KF123" s="51"/>
      <c r="KG123" s="51"/>
      <c r="KH123" s="51"/>
      <c r="KI123" s="51"/>
      <c r="KJ123" s="51"/>
      <c r="KK123" s="184"/>
      <c r="KL123" s="51"/>
      <c r="KM123" s="51"/>
      <c r="KN123" s="51"/>
      <c r="KO123" s="51"/>
      <c r="KP123" s="51"/>
      <c r="KQ123" s="184"/>
      <c r="KR123" s="51"/>
      <c r="KS123" s="51"/>
      <c r="KT123" s="51"/>
      <c r="KU123" s="51"/>
      <c r="KV123" s="51"/>
      <c r="KW123" s="184"/>
      <c r="KX123" s="51"/>
      <c r="KY123" s="51"/>
      <c r="KZ123" s="51"/>
      <c r="LA123" s="51"/>
      <c r="LB123" s="51"/>
      <c r="LC123" s="184"/>
      <c r="LD123" s="51"/>
      <c r="LE123" s="51"/>
      <c r="LF123" s="51"/>
      <c r="LG123" s="51"/>
      <c r="LH123" s="51"/>
      <c r="LI123" s="184"/>
      <c r="LJ123" s="51"/>
      <c r="LK123" s="51"/>
      <c r="LL123" s="51"/>
      <c r="LM123" s="51"/>
      <c r="LN123" s="51"/>
      <c r="LO123" s="184"/>
      <c r="LP123" s="51"/>
      <c r="LQ123" s="51"/>
      <c r="LR123" s="51"/>
      <c r="LS123" s="51"/>
      <c r="LT123" s="51"/>
      <c r="LU123" s="184"/>
      <c r="LV123" s="51"/>
      <c r="LW123" s="51"/>
      <c r="LX123" s="51"/>
      <c r="LY123" s="51"/>
      <c r="LZ123" s="51"/>
      <c r="MA123" s="184"/>
      <c r="MB123" s="51"/>
      <c r="MC123" s="51"/>
      <c r="MD123" s="51"/>
      <c r="ME123" s="51"/>
      <c r="MF123" s="51"/>
      <c r="MG123" s="184"/>
      <c r="MH123" s="51"/>
      <c r="MI123" s="51"/>
      <c r="MJ123" s="51"/>
      <c r="MK123" s="51"/>
      <c r="ML123" s="51"/>
      <c r="MM123" s="184"/>
      <c r="MN123" s="51"/>
      <c r="MO123" s="51"/>
      <c r="MP123" s="51"/>
      <c r="MQ123" s="51"/>
      <c r="MR123" s="51"/>
      <c r="MS123" s="184"/>
      <c r="MT123" s="51"/>
      <c r="MU123" s="51"/>
      <c r="MV123" s="51"/>
      <c r="MW123" s="51"/>
    </row>
    <row r="124" spans="3:361" hidden="1" x14ac:dyDescent="0.35">
      <c r="FH124" s="81"/>
      <c r="FJ124" s="66">
        <f>'Actual Adjustment (SIV)'!CP21</f>
        <v>0.19177028222359419</v>
      </c>
      <c r="FK124" s="95"/>
      <c r="FL124" s="43">
        <f>FJ124</f>
        <v>0.19177028222359419</v>
      </c>
      <c r="FM124" s="40"/>
      <c r="FN124" s="150">
        <f>FL124</f>
        <v>0.19177028222359419</v>
      </c>
      <c r="FO124" s="40"/>
      <c r="FP124" s="43">
        <f>FN124</f>
        <v>0.19177028222359419</v>
      </c>
      <c r="FQ124" s="40"/>
      <c r="FR124" s="43">
        <f>FP124</f>
        <v>0.19177028222359419</v>
      </c>
      <c r="FS124" s="40"/>
      <c r="FT124" s="150">
        <f>FR124</f>
        <v>0.19177028222359419</v>
      </c>
      <c r="FU124" s="40"/>
      <c r="FV124" s="43">
        <f>FT124</f>
        <v>0.19177028222359419</v>
      </c>
      <c r="FW124" s="40"/>
      <c r="FX124" s="43">
        <f>FV124</f>
        <v>0.19177028222359419</v>
      </c>
      <c r="FY124" s="40"/>
      <c r="FZ124" s="150">
        <f>FX124</f>
        <v>0.19177028222359419</v>
      </c>
      <c r="GA124" s="40"/>
      <c r="GB124" s="43">
        <f>FZ124</f>
        <v>0.19177028222359419</v>
      </c>
      <c r="GC124" s="40"/>
      <c r="GD124" s="43">
        <f>GB124</f>
        <v>0.19177028222359419</v>
      </c>
      <c r="GE124" s="40"/>
      <c r="GF124" s="150">
        <f>GD124</f>
        <v>0.19177028222359419</v>
      </c>
      <c r="GG124" s="156"/>
      <c r="GH124" s="144"/>
      <c r="GI124" s="144"/>
      <c r="GJ124" s="144"/>
      <c r="GK124" s="144"/>
      <c r="GL124" s="118"/>
      <c r="GM124" s="40"/>
      <c r="GN124" s="151">
        <f>GL126</f>
        <v>6.2019621831037854E-2</v>
      </c>
      <c r="GO124" s="40"/>
      <c r="GP124" s="43">
        <f>GN124</f>
        <v>6.2019621831037854E-2</v>
      </c>
      <c r="GQ124" s="40"/>
      <c r="GR124" s="150">
        <f>GP124</f>
        <v>6.2019621831037854E-2</v>
      </c>
      <c r="GS124" s="40"/>
      <c r="GT124" s="43">
        <f>GR124</f>
        <v>6.2019621831037854E-2</v>
      </c>
      <c r="GU124" s="40"/>
      <c r="GV124" s="43">
        <f>GT124</f>
        <v>6.2019621831037854E-2</v>
      </c>
      <c r="GW124" s="40"/>
      <c r="GX124" s="150">
        <f>GV124</f>
        <v>6.2019621831037854E-2</v>
      </c>
      <c r="GY124" s="40"/>
      <c r="GZ124" s="43">
        <f>GX124</f>
        <v>6.2019621831037854E-2</v>
      </c>
      <c r="HA124" s="40"/>
      <c r="HB124" s="43">
        <f>GZ124</f>
        <v>6.2019621831037854E-2</v>
      </c>
      <c r="HC124" s="40"/>
      <c r="HD124" s="150">
        <f>HB124</f>
        <v>6.2019621831037854E-2</v>
      </c>
      <c r="HE124" s="40"/>
      <c r="HF124" s="43">
        <f>HD124</f>
        <v>6.2019621831037854E-2</v>
      </c>
      <c r="HG124" s="40"/>
      <c r="HH124" s="43">
        <f>HF124</f>
        <v>6.2019621831037854E-2</v>
      </c>
      <c r="HI124" s="40"/>
      <c r="HJ124" s="150">
        <f>HH124</f>
        <v>6.2019621831037854E-2</v>
      </c>
      <c r="HL124" s="76"/>
      <c r="HM124" s="76"/>
      <c r="HN124" s="76"/>
      <c r="HO124" s="76"/>
      <c r="HP124" s="118"/>
      <c r="HR124" s="76"/>
      <c r="HS124" s="76"/>
      <c r="HT124" s="76"/>
      <c r="HU124" s="76"/>
      <c r="HV124" s="118"/>
      <c r="HX124" s="76"/>
      <c r="HY124" s="76"/>
      <c r="HZ124" s="76"/>
      <c r="IA124" s="76"/>
      <c r="IB124" s="118"/>
      <c r="ID124" s="76"/>
      <c r="IE124" s="76"/>
      <c r="IF124" s="76"/>
      <c r="IG124" s="76"/>
      <c r="IH124" s="118"/>
      <c r="IJ124" s="76"/>
      <c r="IK124" s="76"/>
      <c r="IL124" s="76"/>
      <c r="IM124" s="76"/>
      <c r="IN124" s="118"/>
      <c r="IP124" s="76"/>
      <c r="IQ124" s="76"/>
      <c r="IR124" s="76"/>
      <c r="IS124" s="76"/>
      <c r="IT124" s="118"/>
      <c r="IV124" s="76"/>
      <c r="IW124" s="76"/>
      <c r="IX124" s="76"/>
      <c r="IY124" s="76"/>
      <c r="IZ124" s="118"/>
      <c r="JB124" s="76"/>
      <c r="JC124" s="76"/>
      <c r="JD124" s="76"/>
      <c r="JE124" s="76"/>
      <c r="JF124" s="118"/>
      <c r="JG124" s="179"/>
      <c r="JH124" s="76"/>
      <c r="JI124" s="76"/>
      <c r="JJ124" s="76"/>
      <c r="JK124" s="76"/>
      <c r="JL124" s="118"/>
      <c r="JN124" s="76"/>
      <c r="JO124" s="76"/>
      <c r="JP124" s="76"/>
      <c r="JQ124" s="76"/>
      <c r="JR124" s="118"/>
      <c r="JT124" s="76"/>
      <c r="JU124" s="76"/>
      <c r="JV124" s="76"/>
      <c r="JW124" s="76"/>
      <c r="JX124" s="118"/>
      <c r="JZ124" s="76"/>
      <c r="KA124" s="76"/>
      <c r="KB124" s="76"/>
      <c r="KC124" s="76"/>
      <c r="KD124" s="118"/>
      <c r="KF124" s="76"/>
      <c r="KG124" s="76"/>
      <c r="KH124" s="76"/>
      <c r="KI124" s="76"/>
      <c r="KJ124" s="118"/>
      <c r="KL124" s="76"/>
      <c r="KM124" s="76"/>
      <c r="KN124" s="76"/>
      <c r="KO124" s="76"/>
      <c r="KP124" s="118"/>
      <c r="KR124" s="76"/>
      <c r="KS124" s="76"/>
      <c r="KT124" s="76"/>
      <c r="KU124" s="76"/>
      <c r="KV124" s="118"/>
      <c r="KX124" s="76"/>
      <c r="KY124" s="76"/>
      <c r="KZ124" s="76"/>
      <c r="LA124" s="76"/>
      <c r="LB124" s="118"/>
      <c r="LD124" s="76"/>
      <c r="LE124" s="76"/>
      <c r="LF124" s="76"/>
      <c r="LG124" s="76"/>
      <c r="LH124" s="118"/>
      <c r="LJ124" s="76"/>
      <c r="LK124" s="76"/>
      <c r="LL124" s="76"/>
      <c r="LM124" s="76"/>
      <c r="LN124" s="118"/>
      <c r="LP124" s="76"/>
      <c r="LQ124" s="76"/>
      <c r="LR124" s="76"/>
      <c r="LS124" s="76"/>
      <c r="LT124" s="118"/>
      <c r="LV124" s="76"/>
      <c r="LW124" s="76"/>
      <c r="LX124" s="76"/>
      <c r="LY124" s="76"/>
      <c r="LZ124" s="118"/>
      <c r="MB124" s="76"/>
      <c r="MC124" s="76"/>
      <c r="MD124" s="76"/>
      <c r="ME124" s="76"/>
      <c r="MF124" s="118"/>
      <c r="MH124" s="76"/>
      <c r="MI124" s="76"/>
      <c r="MJ124" s="76"/>
      <c r="MK124" s="76"/>
      <c r="ML124" s="118"/>
      <c r="MN124" s="76"/>
      <c r="MO124" s="76"/>
      <c r="MP124" s="76"/>
      <c r="MQ124" s="76"/>
      <c r="MR124" s="76"/>
      <c r="MT124" s="76"/>
      <c r="MU124" s="76"/>
      <c r="MV124" s="76"/>
      <c r="MW124" s="76"/>
    </row>
    <row r="125" spans="3:361" hidden="1" x14ac:dyDescent="0.35">
      <c r="FH125" s="93">
        <f>'Actual Adjustment (SIV)'!CP19</f>
        <v>25172.150785233422</v>
      </c>
      <c r="FJ125" s="33">
        <f>FH125-(FJ$5*FJ124)</f>
        <v>24548.513827442293</v>
      </c>
      <c r="FL125" s="33">
        <f>FJ125-(FL$5*FL124)</f>
        <v>23702.806882836245</v>
      </c>
      <c r="FN125" s="82">
        <f>FL125-(FN$5*FN124)</f>
        <v>21968.052909841612</v>
      </c>
      <c r="FP125" s="33">
        <f>FN125-(FP$5*FP124)</f>
        <v>19692.31497069422</v>
      </c>
      <c r="FR125" s="33">
        <f>FP125-(FR$5*FR124)</f>
        <v>17131.989932727014</v>
      </c>
      <c r="FT125" s="82">
        <f>FR125-(FT$5*FT124)</f>
        <v>15384.003810258953</v>
      </c>
      <c r="FV125" s="33">
        <f>FT125-(FV$5*FV124)</f>
        <v>13710.999868140318</v>
      </c>
      <c r="FX125" s="33">
        <f>FV125-(FX$5*FX124)</f>
        <v>12469.862601589215</v>
      </c>
      <c r="FZ125" s="82">
        <f>FX125-(FZ$5*FZ124)</f>
        <v>11307.351150749788</v>
      </c>
      <c r="GB125" s="33">
        <f>FZ125-(GB$5*GB124)</f>
        <v>10320.117737862725</v>
      </c>
      <c r="GD125" s="33">
        <f>GB125-(GD$5*GD124)</f>
        <v>9253.4914281350939</v>
      </c>
      <c r="GF125" s="82">
        <f>GD125-(GF$5*GF124)</f>
        <v>7731.0271575619799</v>
      </c>
      <c r="GG125" s="157"/>
      <c r="GH125" s="143">
        <f>GF125</f>
        <v>7731.0271575619799</v>
      </c>
      <c r="GI125" s="143"/>
      <c r="GJ125" s="143">
        <f>GH125</f>
        <v>7731.0271575619799</v>
      </c>
      <c r="GK125" s="143"/>
      <c r="GL125" s="169">
        <f>GJ125+GF105</f>
        <v>6880.9530029099878</v>
      </c>
      <c r="GN125" s="33">
        <f>GL125-(GN$5*GN124)</f>
        <v>6253.9966458200261</v>
      </c>
      <c r="GP125" s="33">
        <f>GN125-(GP$5*GP124)</f>
        <v>5674.7333779181326</v>
      </c>
      <c r="GR125" s="82">
        <f>GP125-(GR$5*GR124)</f>
        <v>5191.3524453670234</v>
      </c>
      <c r="GT125" s="33">
        <f>GR125-(GT$5*GT124)</f>
        <v>4851.8570354639223</v>
      </c>
      <c r="GV125" s="33">
        <f>GT125-(GV$5*GV124)</f>
        <v>4555.5272823552232</v>
      </c>
      <c r="GX125" s="82">
        <f>GV125-(GX$5*GX124)</f>
        <v>4270.6091396634356</v>
      </c>
      <c r="GZ125" s="33">
        <f>GX125-(GZ$5*GZ124)</f>
        <v>3993.8775870533445</v>
      </c>
      <c r="HB125" s="33">
        <f>GZ125-(HB$5*HB124)</f>
        <v>3652.4595688734812</v>
      </c>
      <c r="HD125" s="82">
        <f>HB125-(HD$5*HD124)</f>
        <v>3313.5223355668595</v>
      </c>
      <c r="HF125" s="33">
        <f>HD125-(HF$5*HF124)</f>
        <v>2856.8718600249276</v>
      </c>
      <c r="HH125" s="33">
        <f>HF125-(HH$5*HH124)</f>
        <v>2309.4866777441875</v>
      </c>
      <c r="HJ125" s="168">
        <f>HH125-(HJ$5*HJ124)</f>
        <v>1836.0288846860446</v>
      </c>
      <c r="HL125" s="53"/>
      <c r="HM125" s="51"/>
      <c r="HN125" s="53"/>
      <c r="HO125" s="51"/>
      <c r="HP125" s="85"/>
      <c r="HR125" s="53"/>
      <c r="HS125" s="51"/>
      <c r="HT125" s="53"/>
      <c r="HU125" s="51"/>
      <c r="HV125" s="85"/>
      <c r="HX125" s="53"/>
      <c r="HY125" s="51"/>
      <c r="HZ125" s="53"/>
      <c r="IA125" s="51"/>
      <c r="IB125" s="85"/>
      <c r="ID125" s="53"/>
      <c r="IE125" s="51"/>
      <c r="IF125" s="53"/>
      <c r="IG125" s="51"/>
      <c r="IH125" s="85"/>
      <c r="IJ125" s="53"/>
      <c r="IK125" s="51"/>
      <c r="IL125" s="53"/>
      <c r="IM125" s="51"/>
      <c r="IN125" s="85"/>
      <c r="IP125" s="53"/>
      <c r="IQ125" s="51"/>
      <c r="IR125" s="53"/>
      <c r="IS125" s="51"/>
      <c r="IT125" s="85"/>
      <c r="IV125" s="53"/>
      <c r="IW125" s="51"/>
      <c r="IX125" s="53"/>
      <c r="IY125" s="51"/>
      <c r="IZ125" s="85"/>
      <c r="JB125" s="53"/>
      <c r="JC125" s="51"/>
      <c r="JD125" s="53"/>
      <c r="JE125" s="51"/>
      <c r="JF125" s="85"/>
      <c r="JG125" s="179"/>
      <c r="JH125" s="53"/>
      <c r="JI125" s="51"/>
      <c r="JJ125" s="53"/>
      <c r="JK125" s="51"/>
      <c r="JL125" s="85"/>
      <c r="JN125" s="53"/>
      <c r="JO125" s="51"/>
      <c r="JP125" s="53"/>
      <c r="JQ125" s="51"/>
      <c r="JR125" s="85"/>
      <c r="JT125" s="53"/>
      <c r="JU125" s="51"/>
      <c r="JV125" s="53"/>
      <c r="JW125" s="51"/>
      <c r="JX125" s="85"/>
      <c r="JZ125" s="53"/>
      <c r="KA125" s="51"/>
      <c r="KB125" s="53"/>
      <c r="KC125" s="51"/>
      <c r="KD125" s="85"/>
      <c r="KF125" s="53"/>
      <c r="KG125" s="51"/>
      <c r="KH125" s="53"/>
      <c r="KI125" s="51"/>
      <c r="KJ125" s="85"/>
      <c r="KL125" s="53"/>
      <c r="KM125" s="51"/>
      <c r="KN125" s="53"/>
      <c r="KO125" s="51"/>
      <c r="KP125" s="85"/>
      <c r="KR125" s="53"/>
      <c r="KS125" s="51"/>
      <c r="KT125" s="53"/>
      <c r="KU125" s="51"/>
      <c r="KV125" s="85"/>
      <c r="KX125" s="53"/>
      <c r="KY125" s="51"/>
      <c r="KZ125" s="53"/>
      <c r="LA125" s="51"/>
      <c r="LB125" s="85"/>
      <c r="LD125" s="53"/>
      <c r="LE125" s="51"/>
      <c r="LF125" s="53"/>
      <c r="LG125" s="51"/>
      <c r="LH125" s="85"/>
      <c r="LJ125" s="53"/>
      <c r="LK125" s="51"/>
      <c r="LL125" s="53"/>
      <c r="LM125" s="51"/>
      <c r="LN125" s="85"/>
      <c r="LP125" s="53"/>
      <c r="LQ125" s="51"/>
      <c r="LR125" s="53"/>
      <c r="LS125" s="51"/>
      <c r="LT125" s="85"/>
      <c r="LV125" s="53"/>
      <c r="LW125" s="51"/>
      <c r="LX125" s="53"/>
      <c r="LY125" s="51"/>
      <c r="LZ125" s="85"/>
      <c r="MB125" s="53"/>
      <c r="MC125" s="51"/>
      <c r="MD125" s="53"/>
      <c r="ME125" s="51"/>
      <c r="MF125" s="85"/>
      <c r="MH125" s="53"/>
      <c r="MI125" s="51"/>
      <c r="MJ125" s="53"/>
      <c r="MK125" s="51"/>
      <c r="ML125" s="85"/>
      <c r="MN125" s="53"/>
      <c r="MO125" s="51"/>
      <c r="MP125" s="53"/>
      <c r="MQ125" s="51"/>
      <c r="MR125" s="53"/>
      <c r="MT125" s="53"/>
      <c r="MU125" s="51"/>
      <c r="MV125" s="53"/>
      <c r="MW125" s="51"/>
    </row>
    <row r="126" spans="3:361" hidden="1" x14ac:dyDescent="0.35">
      <c r="FH126" s="81"/>
      <c r="FN126" s="81"/>
      <c r="FT126" s="81"/>
      <c r="FZ126" s="81"/>
      <c r="GF126" s="158"/>
      <c r="GL126" s="101">
        <f>(GL125/(SUM(FJ$5:GF$5)+20000))</f>
        <v>6.2019621831037854E-2</v>
      </c>
      <c r="GR126" s="81"/>
      <c r="GX126" s="81"/>
      <c r="HD126" s="81"/>
      <c r="HJ126" s="81"/>
      <c r="HL126" s="51"/>
      <c r="HM126" s="51"/>
      <c r="HN126" s="51"/>
      <c r="HO126" s="51"/>
      <c r="HP126" s="83"/>
      <c r="HR126" s="51"/>
      <c r="HS126" s="51"/>
      <c r="HT126" s="51"/>
      <c r="HU126" s="51"/>
      <c r="HV126" s="83"/>
      <c r="HX126" s="51"/>
      <c r="HY126" s="51"/>
      <c r="HZ126" s="51"/>
      <c r="IA126" s="51"/>
      <c r="IB126" s="83"/>
      <c r="ID126" s="51"/>
      <c r="IE126" s="51"/>
      <c r="IF126" s="51"/>
      <c r="IG126" s="51"/>
      <c r="IH126" s="83"/>
      <c r="IJ126" s="51"/>
      <c r="IK126" s="51"/>
      <c r="IL126" s="51"/>
      <c r="IM126" s="51"/>
      <c r="IN126" s="83"/>
      <c r="IP126" s="51"/>
      <c r="IQ126" s="51"/>
      <c r="IR126" s="51"/>
      <c r="IS126" s="51"/>
      <c r="IT126" s="83"/>
      <c r="IV126" s="51"/>
      <c r="IW126" s="51"/>
      <c r="IX126" s="51"/>
      <c r="IY126" s="51"/>
      <c r="IZ126" s="83"/>
      <c r="JB126" s="51"/>
      <c r="JC126" s="51"/>
      <c r="JD126" s="51"/>
      <c r="JE126" s="51"/>
      <c r="JF126" s="83"/>
      <c r="JG126" s="179"/>
      <c r="JH126" s="51"/>
      <c r="JI126" s="51"/>
      <c r="JJ126" s="51"/>
      <c r="JK126" s="51"/>
      <c r="JL126" s="83"/>
      <c r="JN126" s="51"/>
      <c r="JO126" s="51"/>
      <c r="JP126" s="51"/>
      <c r="JQ126" s="51"/>
      <c r="JR126" s="83"/>
      <c r="JT126" s="51"/>
      <c r="JU126" s="51"/>
      <c r="JV126" s="51"/>
      <c r="JW126" s="51"/>
      <c r="JX126" s="83"/>
      <c r="JZ126" s="51"/>
      <c r="KA126" s="51"/>
      <c r="KB126" s="51"/>
      <c r="KC126" s="51"/>
      <c r="KD126" s="83"/>
      <c r="KF126" s="51"/>
      <c r="KG126" s="51"/>
      <c r="KH126" s="51"/>
      <c r="KI126" s="51"/>
      <c r="KJ126" s="83"/>
      <c r="KL126" s="51"/>
      <c r="KM126" s="51"/>
      <c r="KN126" s="51"/>
      <c r="KO126" s="51"/>
      <c r="KP126" s="83"/>
      <c r="KR126" s="51"/>
      <c r="KS126" s="51"/>
      <c r="KT126" s="51"/>
      <c r="KU126" s="51"/>
      <c r="KV126" s="83"/>
      <c r="KX126" s="51"/>
      <c r="KY126" s="51"/>
      <c r="KZ126" s="51"/>
      <c r="LA126" s="51"/>
      <c r="LB126" s="83"/>
      <c r="LD126" s="51"/>
      <c r="LE126" s="51"/>
      <c r="LF126" s="51"/>
      <c r="LG126" s="51"/>
      <c r="LH126" s="83"/>
      <c r="LJ126" s="51"/>
      <c r="LK126" s="51"/>
      <c r="LL126" s="51"/>
      <c r="LM126" s="51"/>
      <c r="LN126" s="83"/>
      <c r="LP126" s="51"/>
      <c r="LQ126" s="51"/>
      <c r="LR126" s="51"/>
      <c r="LS126" s="51"/>
      <c r="LT126" s="83"/>
      <c r="LV126" s="51"/>
      <c r="LW126" s="51"/>
      <c r="LX126" s="51"/>
      <c r="LY126" s="51"/>
      <c r="LZ126" s="83"/>
      <c r="MB126" s="51"/>
      <c r="MC126" s="51"/>
      <c r="MD126" s="51"/>
      <c r="ME126" s="51"/>
      <c r="MF126" s="83"/>
      <c r="MH126" s="51"/>
      <c r="MI126" s="51"/>
      <c r="MJ126" s="51"/>
      <c r="MK126" s="51"/>
      <c r="ML126" s="83"/>
      <c r="MN126" s="51"/>
      <c r="MO126" s="51"/>
      <c r="MP126" s="51"/>
      <c r="MQ126" s="51"/>
      <c r="MR126" s="51"/>
      <c r="MT126" s="51"/>
      <c r="MU126" s="51"/>
      <c r="MV126" s="51"/>
      <c r="MW126" s="51"/>
    </row>
    <row r="127" spans="3:361" hidden="1" x14ac:dyDescent="0.35">
      <c r="FI127" s="179"/>
      <c r="FO127" s="179"/>
      <c r="FU127" s="179"/>
      <c r="GA127" s="179"/>
      <c r="GG127" s="179"/>
      <c r="GM127" s="179"/>
      <c r="GS127" s="179"/>
      <c r="GY127" s="179"/>
      <c r="HE127" s="179"/>
      <c r="HK127" s="179"/>
      <c r="HQ127" s="179"/>
      <c r="HW127" s="179"/>
      <c r="IC127" s="179"/>
      <c r="II127" s="179"/>
      <c r="IO127" s="179"/>
      <c r="IU127" s="179"/>
      <c r="JA127" s="179"/>
      <c r="JF127" s="81"/>
      <c r="JG127" s="179"/>
      <c r="JM127" s="179"/>
      <c r="JS127" s="179"/>
      <c r="JY127" s="179"/>
      <c r="KE127" s="179"/>
      <c r="KK127" s="179"/>
      <c r="KQ127" s="179"/>
      <c r="KW127" s="179"/>
      <c r="LC127" s="179"/>
      <c r="LI127" s="179"/>
      <c r="LO127" s="179"/>
      <c r="LU127" s="179"/>
      <c r="MA127" s="179"/>
      <c r="MG127" s="179"/>
      <c r="MM127" s="179"/>
      <c r="MS127" s="179"/>
    </row>
    <row r="128" spans="3:361" hidden="1" x14ac:dyDescent="0.35">
      <c r="FN128" s="81"/>
      <c r="FP128" s="66">
        <f>'Actual Adjustment (SIV)'!CV21</f>
        <v>2.9170672513405119E-2</v>
      </c>
      <c r="FQ128" s="95"/>
      <c r="FR128" s="43">
        <f>FP128</f>
        <v>2.9170672513405119E-2</v>
      </c>
      <c r="FS128" s="40"/>
      <c r="FT128" s="150">
        <f>FR128</f>
        <v>2.9170672513405119E-2</v>
      </c>
      <c r="FU128" s="40"/>
      <c r="FV128" s="43">
        <f>FT128</f>
        <v>2.9170672513405119E-2</v>
      </c>
      <c r="FW128" s="40"/>
      <c r="FX128" s="43">
        <f>FV128</f>
        <v>2.9170672513405119E-2</v>
      </c>
      <c r="FY128" s="40"/>
      <c r="FZ128" s="150">
        <f>FX128</f>
        <v>2.9170672513405119E-2</v>
      </c>
      <c r="GA128" s="40"/>
      <c r="GB128" s="43">
        <f>FZ128</f>
        <v>2.9170672513405119E-2</v>
      </c>
      <c r="GC128" s="40"/>
      <c r="GD128" s="43">
        <f>GB128</f>
        <v>2.9170672513405119E-2</v>
      </c>
      <c r="GE128" s="40"/>
      <c r="GF128" s="150">
        <f>GD128</f>
        <v>2.9170672513405119E-2</v>
      </c>
      <c r="GG128" s="40"/>
      <c r="GH128" s="43">
        <f>GF128</f>
        <v>2.9170672513405119E-2</v>
      </c>
      <c r="GI128" s="40"/>
      <c r="GJ128" s="43">
        <f>GH128</f>
        <v>2.9170672513405119E-2</v>
      </c>
      <c r="GK128" s="40"/>
      <c r="GL128" s="150">
        <f>GJ128</f>
        <v>2.9170672513405119E-2</v>
      </c>
      <c r="GM128" s="156"/>
      <c r="GN128" s="144"/>
      <c r="GO128" s="144"/>
      <c r="GP128" s="144"/>
      <c r="GQ128" s="144"/>
      <c r="GR128" s="118"/>
      <c r="GS128" s="40"/>
      <c r="GT128" s="151">
        <f>GR130</f>
        <v>1.6367940516871241E-2</v>
      </c>
      <c r="GU128" s="40"/>
      <c r="GV128" s="43">
        <f>GT128</f>
        <v>1.6367940516871241E-2</v>
      </c>
      <c r="GW128" s="40"/>
      <c r="GX128" s="150">
        <f>GV128</f>
        <v>1.6367940516871241E-2</v>
      </c>
      <c r="GY128" s="40"/>
      <c r="GZ128" s="43">
        <f>GX128</f>
        <v>1.6367940516871241E-2</v>
      </c>
      <c r="HA128" s="40"/>
      <c r="HB128" s="43">
        <f>GZ128</f>
        <v>1.6367940516871241E-2</v>
      </c>
      <c r="HC128" s="40"/>
      <c r="HD128" s="150">
        <f>HB128</f>
        <v>1.6367940516871241E-2</v>
      </c>
      <c r="HE128" s="40"/>
      <c r="HF128" s="43">
        <f>HD128</f>
        <v>1.6367940516871241E-2</v>
      </c>
      <c r="HG128" s="40"/>
      <c r="HH128" s="43">
        <f>HF128</f>
        <v>1.6367940516871241E-2</v>
      </c>
      <c r="HI128" s="40"/>
      <c r="HJ128" s="150">
        <f>HH128</f>
        <v>1.6367940516871241E-2</v>
      </c>
      <c r="HK128" s="40"/>
      <c r="HL128" s="43">
        <f>HJ128</f>
        <v>1.6367940516871241E-2</v>
      </c>
      <c r="HM128" s="40"/>
      <c r="HN128" s="43">
        <f>HL128</f>
        <v>1.6367940516871241E-2</v>
      </c>
      <c r="HO128" s="40"/>
      <c r="HP128" s="150">
        <f>HN128</f>
        <v>1.6367940516871241E-2</v>
      </c>
      <c r="HR128" s="76"/>
      <c r="HS128" s="76"/>
      <c r="HT128" s="76"/>
      <c r="HU128" s="76"/>
      <c r="HV128" s="118"/>
      <c r="HX128" s="76"/>
      <c r="HY128" s="76"/>
      <c r="HZ128" s="76"/>
      <c r="IA128" s="76"/>
      <c r="IB128" s="118"/>
      <c r="ID128" s="76"/>
      <c r="IE128" s="76"/>
      <c r="IF128" s="76"/>
      <c r="IG128" s="76"/>
      <c r="IH128" s="118"/>
      <c r="IJ128" s="76"/>
      <c r="IK128" s="76"/>
      <c r="IL128" s="76"/>
      <c r="IM128" s="76"/>
      <c r="IN128" s="118"/>
      <c r="IP128" s="76"/>
      <c r="IQ128" s="76"/>
      <c r="IR128" s="76"/>
      <c r="IS128" s="76"/>
      <c r="IT128" s="118"/>
      <c r="IV128" s="76"/>
      <c r="IW128" s="76"/>
      <c r="IX128" s="76"/>
      <c r="IY128" s="76"/>
      <c r="IZ128" s="118"/>
      <c r="JB128" s="76"/>
      <c r="JC128" s="76"/>
      <c r="JD128" s="76"/>
      <c r="JE128" s="76"/>
      <c r="JF128" s="118"/>
      <c r="JG128" s="179"/>
      <c r="JH128" s="76"/>
      <c r="JI128" s="76"/>
      <c r="JJ128" s="76"/>
      <c r="JK128" s="76"/>
      <c r="JL128" s="118"/>
      <c r="JN128" s="76"/>
      <c r="JO128" s="76"/>
      <c r="JP128" s="76"/>
      <c r="JQ128" s="76"/>
      <c r="JR128" s="118"/>
      <c r="JT128" s="76"/>
      <c r="JU128" s="76"/>
      <c r="JV128" s="76"/>
      <c r="JW128" s="76"/>
      <c r="JX128" s="118"/>
      <c r="JZ128" s="76"/>
      <c r="KA128" s="76"/>
      <c r="KB128" s="76"/>
      <c r="KC128" s="76"/>
      <c r="KD128" s="118"/>
      <c r="KF128" s="76"/>
      <c r="KG128" s="76"/>
      <c r="KH128" s="76"/>
      <c r="KI128" s="76"/>
      <c r="KJ128" s="118"/>
      <c r="KL128" s="76"/>
      <c r="KM128" s="76"/>
      <c r="KN128" s="76"/>
      <c r="KO128" s="76"/>
      <c r="KP128" s="118"/>
      <c r="KR128" s="76"/>
      <c r="KS128" s="76"/>
      <c r="KT128" s="76"/>
      <c r="KU128" s="76"/>
      <c r="KV128" s="118"/>
      <c r="KX128" s="76"/>
      <c r="KY128" s="76"/>
      <c r="KZ128" s="76"/>
      <c r="LA128" s="76"/>
      <c r="LB128" s="118"/>
      <c r="LD128" s="76"/>
      <c r="LE128" s="76"/>
      <c r="LF128" s="76"/>
      <c r="LG128" s="76"/>
      <c r="LH128" s="118"/>
      <c r="LJ128" s="76"/>
      <c r="LK128" s="76"/>
      <c r="LL128" s="76"/>
      <c r="LM128" s="76"/>
      <c r="LN128" s="118"/>
      <c r="LP128" s="76"/>
      <c r="LQ128" s="76"/>
      <c r="LR128" s="76"/>
      <c r="LS128" s="76"/>
      <c r="LT128" s="118"/>
      <c r="LV128" s="76"/>
      <c r="LW128" s="76"/>
      <c r="LX128" s="76"/>
      <c r="LY128" s="76"/>
      <c r="LZ128" s="118"/>
      <c r="MB128" s="76"/>
      <c r="MC128" s="76"/>
      <c r="MD128" s="76"/>
      <c r="ME128" s="76"/>
      <c r="MF128" s="118"/>
      <c r="MH128" s="76"/>
      <c r="MI128" s="76"/>
      <c r="MJ128" s="76"/>
      <c r="MK128" s="76"/>
      <c r="ML128" s="118"/>
      <c r="MN128" s="76"/>
      <c r="MO128" s="76"/>
      <c r="MP128" s="76"/>
      <c r="MQ128" s="76"/>
      <c r="MR128" s="76"/>
      <c r="MT128" s="76"/>
      <c r="MU128" s="76"/>
      <c r="MV128" s="76"/>
      <c r="MW128" s="76"/>
    </row>
    <row r="129" spans="170:361" hidden="1" x14ac:dyDescent="0.35">
      <c r="FN129" s="93">
        <f>'Actual Adjustment (SIV)'!CV19</f>
        <v>4408.2136888807545</v>
      </c>
      <c r="FP129" s="33">
        <f>FN129-(FP$5*FP128)</f>
        <v>4062.045318164176</v>
      </c>
      <c r="FR129" s="33">
        <f>FP129-(FR$5*FR128)</f>
        <v>3672.5876694377043</v>
      </c>
      <c r="FT129" s="82">
        <f>FR129-(FT$5*FT128)</f>
        <v>3406.6969894780168</v>
      </c>
      <c r="FV129" s="33">
        <f>FT129-(FV$5*FV128)</f>
        <v>3152.2120424710706</v>
      </c>
      <c r="FX129" s="33">
        <f>FV129-(FX$5*FX128)</f>
        <v>2963.4194499643127</v>
      </c>
      <c r="FZ129" s="82">
        <f>FX129-(FZ$5*FZ128)</f>
        <v>2786.5868331880511</v>
      </c>
      <c r="GB129" s="33">
        <f>FZ129-(GB$5*GB128)</f>
        <v>2636.4162110890416</v>
      </c>
      <c r="GD129" s="33">
        <f>GB129-(GD$5*GD128)</f>
        <v>2474.1689305694822</v>
      </c>
      <c r="GF129" s="82">
        <f>GD129-(GF$5*GF128)</f>
        <v>2242.5829614855588</v>
      </c>
      <c r="GH129" s="33">
        <f>GF129-(GH$5*GH128)</f>
        <v>1988.1855264961528</v>
      </c>
      <c r="GJ129" s="33">
        <f>GH129-(GJ$5*GJ128)</f>
        <v>1782.7364799842405</v>
      </c>
      <c r="GL129" s="82">
        <f>GJ129-(GL$5*GL128)</f>
        <v>1461.4215222490832</v>
      </c>
      <c r="GM129" s="157"/>
      <c r="GN129" s="143">
        <f>GL129</f>
        <v>1461.4215222490832</v>
      </c>
      <c r="GO129" s="143"/>
      <c r="GP129" s="143">
        <f>GN129</f>
        <v>1461.4215222490832</v>
      </c>
      <c r="GQ129" s="143"/>
      <c r="GR129" s="169">
        <f>GP129+GL109</f>
        <v>1653.4729830738161</v>
      </c>
      <c r="GT129" s="33">
        <f>GR129-(GT$5*GT128)</f>
        <v>1563.8748766844628</v>
      </c>
      <c r="GV129" s="33">
        <f>GT129-(GV$5*GV128)</f>
        <v>1485.6688568948521</v>
      </c>
      <c r="GX129" s="82">
        <f>GV129-(GX$5*GX128)</f>
        <v>1410.4745381603457</v>
      </c>
      <c r="GZ129" s="33">
        <f>GX129-(GZ$5*GZ128)</f>
        <v>1337.4407875740662</v>
      </c>
      <c r="HB129" s="33">
        <f>GZ129-(HB$5*HB128)</f>
        <v>1247.3352750286901</v>
      </c>
      <c r="HD129" s="82">
        <f>HB129-(HD$5*HD128)</f>
        <v>1157.8844801039888</v>
      </c>
      <c r="HF129" s="33">
        <f>HD129-(HF$5*HF128)</f>
        <v>1037.3673340782659</v>
      </c>
      <c r="HH129" s="33">
        <f>HF129-(HH$5*HH128)</f>
        <v>892.90389107636031</v>
      </c>
      <c r="HJ129" s="82">
        <f>HH129-(HJ$5*HJ128)</f>
        <v>767.95103317056521</v>
      </c>
      <c r="HL129" s="33">
        <f>HJ129-(HL$5*HL128)</f>
        <v>663.31078944620731</v>
      </c>
      <c r="HN129" s="33">
        <f>HL129-(HN$5*HN128)</f>
        <v>536.06641986805027</v>
      </c>
      <c r="HP129" s="168">
        <f>HN129-(HP$5*HP128)</f>
        <v>427.21961543085649</v>
      </c>
      <c r="HR129" s="53"/>
      <c r="HS129" s="51"/>
      <c r="HT129" s="53"/>
      <c r="HU129" s="51"/>
      <c r="HV129" s="85"/>
      <c r="HX129" s="53"/>
      <c r="HY129" s="51"/>
      <c r="HZ129" s="53"/>
      <c r="IA129" s="51"/>
      <c r="IB129" s="85"/>
      <c r="ID129" s="53"/>
      <c r="IE129" s="51"/>
      <c r="IF129" s="53"/>
      <c r="IG129" s="51"/>
      <c r="IH129" s="85"/>
      <c r="IJ129" s="53"/>
      <c r="IK129" s="51"/>
      <c r="IL129" s="53"/>
      <c r="IM129" s="51"/>
      <c r="IN129" s="85"/>
      <c r="IP129" s="53"/>
      <c r="IQ129" s="51"/>
      <c r="IR129" s="53"/>
      <c r="IS129" s="51"/>
      <c r="IT129" s="85"/>
      <c r="IV129" s="53"/>
      <c r="IW129" s="51"/>
      <c r="IX129" s="53"/>
      <c r="IY129" s="51"/>
      <c r="IZ129" s="85"/>
      <c r="JB129" s="53"/>
      <c r="JC129" s="51"/>
      <c r="JD129" s="53"/>
      <c r="JE129" s="51"/>
      <c r="JF129" s="85"/>
      <c r="JG129" s="179"/>
      <c r="JH129" s="53"/>
      <c r="JI129" s="51"/>
      <c r="JJ129" s="53"/>
      <c r="JK129" s="51"/>
      <c r="JL129" s="85"/>
      <c r="JN129" s="53"/>
      <c r="JO129" s="51"/>
      <c r="JP129" s="53"/>
      <c r="JQ129" s="51"/>
      <c r="JR129" s="85"/>
      <c r="JT129" s="53"/>
      <c r="JU129" s="51"/>
      <c r="JV129" s="53"/>
      <c r="JW129" s="51"/>
      <c r="JX129" s="85"/>
      <c r="JZ129" s="53"/>
      <c r="KA129" s="51"/>
      <c r="KB129" s="53"/>
      <c r="KC129" s="51"/>
      <c r="KD129" s="85"/>
      <c r="KF129" s="53"/>
      <c r="KG129" s="51"/>
      <c r="KH129" s="53"/>
      <c r="KI129" s="51"/>
      <c r="KJ129" s="85"/>
      <c r="KL129" s="53"/>
      <c r="KM129" s="51"/>
      <c r="KN129" s="53"/>
      <c r="KO129" s="51"/>
      <c r="KP129" s="85"/>
      <c r="KR129" s="53"/>
      <c r="KS129" s="51"/>
      <c r="KT129" s="53"/>
      <c r="KU129" s="51"/>
      <c r="KV129" s="85"/>
      <c r="KX129" s="53"/>
      <c r="KY129" s="51"/>
      <c r="KZ129" s="53"/>
      <c r="LA129" s="51"/>
      <c r="LB129" s="85"/>
      <c r="LD129" s="53"/>
      <c r="LE129" s="51"/>
      <c r="LF129" s="53"/>
      <c r="LG129" s="51"/>
      <c r="LH129" s="85"/>
      <c r="LJ129" s="53"/>
      <c r="LK129" s="51"/>
      <c r="LL129" s="53"/>
      <c r="LM129" s="51"/>
      <c r="LN129" s="85"/>
      <c r="LP129" s="53"/>
      <c r="LQ129" s="51"/>
      <c r="LR129" s="53"/>
      <c r="LS129" s="51"/>
      <c r="LT129" s="85"/>
      <c r="LV129" s="53"/>
      <c r="LW129" s="51"/>
      <c r="LX129" s="53"/>
      <c r="LY129" s="51"/>
      <c r="LZ129" s="85"/>
      <c r="MB129" s="53"/>
      <c r="MC129" s="51"/>
      <c r="MD129" s="53"/>
      <c r="ME129" s="51"/>
      <c r="MF129" s="85"/>
      <c r="MH129" s="53"/>
      <c r="MI129" s="51"/>
      <c r="MJ129" s="53"/>
      <c r="MK129" s="51"/>
      <c r="ML129" s="85"/>
      <c r="MN129" s="53"/>
      <c r="MO129" s="51"/>
      <c r="MP129" s="53"/>
      <c r="MQ129" s="51"/>
      <c r="MR129" s="53"/>
      <c r="MT129" s="53"/>
      <c r="MU129" s="51"/>
      <c r="MV129" s="53"/>
      <c r="MW129" s="51"/>
    </row>
    <row r="130" spans="170:361" hidden="1" x14ac:dyDescent="0.35">
      <c r="FN130" s="81"/>
      <c r="FT130" s="81"/>
      <c r="FZ130" s="81"/>
      <c r="GF130" s="81"/>
      <c r="GL130" s="158"/>
      <c r="GR130" s="101">
        <f>(GR129/SUM(FP$5:GL$5))</f>
        <v>1.6367940516871241E-2</v>
      </c>
      <c r="GX130" s="81"/>
      <c r="HD130" s="81"/>
      <c r="HJ130" s="81"/>
      <c r="HP130" s="81"/>
      <c r="HV130" s="81"/>
      <c r="IB130" s="81"/>
      <c r="IH130" s="81"/>
      <c r="IN130" s="81"/>
      <c r="IT130" s="81"/>
      <c r="IZ130" s="81"/>
      <c r="JF130" s="81"/>
      <c r="JG130" s="179"/>
      <c r="JL130" s="81"/>
      <c r="JR130" s="81"/>
      <c r="JX130" s="81"/>
      <c r="KD130" s="81"/>
      <c r="KJ130" s="81"/>
      <c r="KP130" s="81"/>
      <c r="KV130" s="81"/>
      <c r="LB130" s="81"/>
      <c r="LH130" s="81"/>
      <c r="LN130" s="81"/>
      <c r="LT130" s="81"/>
      <c r="LZ130" s="81"/>
      <c r="MF130" s="81"/>
      <c r="ML130" s="81"/>
    </row>
    <row r="131" spans="170:361" hidden="1" x14ac:dyDescent="0.35">
      <c r="FO131" s="179"/>
      <c r="FU131" s="179"/>
      <c r="GA131" s="179"/>
      <c r="GG131" s="179"/>
      <c r="GM131" s="179"/>
      <c r="GS131" s="179"/>
      <c r="GY131" s="179"/>
      <c r="HE131" s="179"/>
      <c r="HK131" s="179"/>
      <c r="HQ131" s="179"/>
      <c r="HW131" s="179"/>
      <c r="IC131" s="179"/>
      <c r="II131" s="179"/>
      <c r="IO131" s="179"/>
      <c r="IU131" s="179"/>
      <c r="JA131" s="179"/>
      <c r="JF131" s="81"/>
      <c r="JG131" s="179"/>
      <c r="JM131" s="179"/>
      <c r="JS131" s="179"/>
      <c r="JY131" s="179"/>
      <c r="KE131" s="179"/>
      <c r="KK131" s="179"/>
      <c r="KQ131" s="179"/>
      <c r="KW131" s="179"/>
      <c r="LC131" s="179"/>
      <c r="LI131" s="179"/>
      <c r="LO131" s="179"/>
      <c r="LU131" s="179"/>
      <c r="MA131" s="179"/>
      <c r="MG131" s="179"/>
      <c r="MM131" s="179"/>
      <c r="MS131" s="179"/>
    </row>
    <row r="132" spans="170:361" hidden="1" x14ac:dyDescent="0.35">
      <c r="FT132" s="81"/>
      <c r="FV132" s="66">
        <f>'Actual Adjustment (SIV)'!DB21</f>
        <v>-8.5423107924278305E-2</v>
      </c>
      <c r="FW132" s="95"/>
      <c r="FX132" s="43">
        <f>FV132</f>
        <v>-8.5423107924278305E-2</v>
      </c>
      <c r="FY132" s="40"/>
      <c r="FZ132" s="150">
        <f>FX132</f>
        <v>-8.5423107924278305E-2</v>
      </c>
      <c r="GA132" s="40"/>
      <c r="GB132" s="43">
        <f>FZ132</f>
        <v>-8.5423107924278305E-2</v>
      </c>
      <c r="GC132" s="40"/>
      <c r="GD132" s="43">
        <f>GB132</f>
        <v>-8.5423107924278305E-2</v>
      </c>
      <c r="GE132" s="40"/>
      <c r="GF132" s="150">
        <f>GD132</f>
        <v>-8.5423107924278305E-2</v>
      </c>
      <c r="GG132" s="40"/>
      <c r="GH132" s="43">
        <f>GF132</f>
        <v>-8.5423107924278305E-2</v>
      </c>
      <c r="GI132" s="40"/>
      <c r="GJ132" s="43">
        <f>GH132</f>
        <v>-8.5423107924278305E-2</v>
      </c>
      <c r="GK132" s="40"/>
      <c r="GL132" s="150">
        <f>GJ132</f>
        <v>-8.5423107924278305E-2</v>
      </c>
      <c r="GM132" s="40"/>
      <c r="GN132" s="43">
        <f>GL132</f>
        <v>-8.5423107924278305E-2</v>
      </c>
      <c r="GO132" s="40"/>
      <c r="GP132" s="43">
        <f>GN132</f>
        <v>-8.5423107924278305E-2</v>
      </c>
      <c r="GQ132" s="40"/>
      <c r="GR132" s="150">
        <f>GP132</f>
        <v>-8.5423107924278305E-2</v>
      </c>
      <c r="GS132" s="156"/>
      <c r="GT132" s="144"/>
      <c r="GU132" s="144"/>
      <c r="GV132" s="144"/>
      <c r="GW132" s="144"/>
      <c r="GX132" s="118"/>
      <c r="GY132" s="40"/>
      <c r="GZ132" s="151">
        <f>GX134</f>
        <v>-4.9888653214072293E-2</v>
      </c>
      <c r="HA132" s="40"/>
      <c r="HB132" s="43">
        <f>GZ132</f>
        <v>-4.9888653214072293E-2</v>
      </c>
      <c r="HC132" s="40"/>
      <c r="HD132" s="150">
        <f>HB132</f>
        <v>-4.9888653214072293E-2</v>
      </c>
      <c r="HE132" s="40"/>
      <c r="HF132" s="43">
        <f>HD132</f>
        <v>-4.9888653214072293E-2</v>
      </c>
      <c r="HG132" s="40"/>
      <c r="HH132" s="43">
        <f>HF132</f>
        <v>-4.9888653214072293E-2</v>
      </c>
      <c r="HI132" s="40"/>
      <c r="HJ132" s="150">
        <f>HH132</f>
        <v>-4.9888653214072293E-2</v>
      </c>
      <c r="HK132" s="40"/>
      <c r="HL132" s="43">
        <f>HJ132</f>
        <v>-4.9888653214072293E-2</v>
      </c>
      <c r="HM132" s="40"/>
      <c r="HN132" s="43">
        <f>HL132</f>
        <v>-4.9888653214072293E-2</v>
      </c>
      <c r="HO132" s="40"/>
      <c r="HP132" s="150">
        <f>HN132</f>
        <v>-4.9888653214072293E-2</v>
      </c>
      <c r="HQ132" s="40"/>
      <c r="HR132" s="43">
        <f>HP132</f>
        <v>-4.9888653214072293E-2</v>
      </c>
      <c r="HS132" s="40"/>
      <c r="HT132" s="43">
        <f>HR132</f>
        <v>-4.9888653214072293E-2</v>
      </c>
      <c r="HU132" s="40"/>
      <c r="HV132" s="150">
        <f>HT132</f>
        <v>-4.9888653214072293E-2</v>
      </c>
      <c r="HX132" s="76"/>
      <c r="HY132" s="76"/>
      <c r="HZ132" s="76"/>
      <c r="IA132" s="76"/>
      <c r="IB132" s="118"/>
      <c r="ID132" s="76"/>
      <c r="IE132" s="76"/>
      <c r="IF132" s="76"/>
      <c r="IG132" s="76"/>
      <c r="IH132" s="118"/>
      <c r="IJ132" s="76"/>
      <c r="IK132" s="76"/>
      <c r="IL132" s="76"/>
      <c r="IM132" s="76"/>
      <c r="IN132" s="118"/>
      <c r="IP132" s="76"/>
      <c r="IQ132" s="76"/>
      <c r="IR132" s="76"/>
      <c r="IS132" s="76"/>
      <c r="IT132" s="118"/>
      <c r="IV132" s="76"/>
      <c r="IW132" s="76"/>
      <c r="IX132" s="76"/>
      <c r="IY132" s="76"/>
      <c r="IZ132" s="118"/>
      <c r="JB132" s="76"/>
      <c r="JC132" s="76"/>
      <c r="JD132" s="76"/>
      <c r="JE132" s="76"/>
      <c r="JF132" s="118"/>
      <c r="JG132" s="179"/>
      <c r="JH132" s="76"/>
      <c r="JI132" s="76"/>
      <c r="JJ132" s="76"/>
      <c r="JK132" s="76"/>
      <c r="JL132" s="118"/>
      <c r="JN132" s="76"/>
      <c r="JO132" s="76"/>
      <c r="JP132" s="76"/>
      <c r="JQ132" s="76"/>
      <c r="JR132" s="118"/>
      <c r="JT132" s="76"/>
      <c r="JU132" s="76"/>
      <c r="JV132" s="76"/>
      <c r="JW132" s="76"/>
      <c r="JX132" s="118"/>
      <c r="JZ132" s="76"/>
      <c r="KA132" s="76"/>
      <c r="KB132" s="76"/>
      <c r="KC132" s="76"/>
      <c r="KD132" s="118"/>
      <c r="KF132" s="76"/>
      <c r="KG132" s="76"/>
      <c r="KH132" s="76"/>
      <c r="KI132" s="76"/>
      <c r="KJ132" s="118"/>
      <c r="KL132" s="76"/>
      <c r="KM132" s="76"/>
      <c r="KN132" s="76"/>
      <c r="KO132" s="76"/>
      <c r="KP132" s="118"/>
      <c r="KR132" s="76"/>
      <c r="KS132" s="76"/>
      <c r="KT132" s="76"/>
      <c r="KU132" s="76"/>
      <c r="KV132" s="118"/>
      <c r="KX132" s="76"/>
      <c r="KY132" s="76"/>
      <c r="KZ132" s="76"/>
      <c r="LA132" s="76"/>
      <c r="LB132" s="118"/>
      <c r="LD132" s="76"/>
      <c r="LE132" s="76"/>
      <c r="LF132" s="76"/>
      <c r="LG132" s="76"/>
      <c r="LH132" s="118"/>
      <c r="LJ132" s="76"/>
      <c r="LK132" s="76"/>
      <c r="LL132" s="76"/>
      <c r="LM132" s="76"/>
      <c r="LN132" s="118"/>
      <c r="LP132" s="76"/>
      <c r="LQ132" s="76"/>
      <c r="LR132" s="76"/>
      <c r="LS132" s="76"/>
      <c r="LT132" s="118"/>
      <c r="LV132" s="76"/>
      <c r="LW132" s="76"/>
      <c r="LX132" s="76"/>
      <c r="LY132" s="76"/>
      <c r="LZ132" s="118"/>
      <c r="MB132" s="76"/>
      <c r="MC132" s="76"/>
      <c r="MD132" s="76"/>
      <c r="ME132" s="76"/>
      <c r="MF132" s="118"/>
      <c r="MH132" s="76"/>
      <c r="MI132" s="76"/>
      <c r="MJ132" s="76"/>
      <c r="MK132" s="76"/>
      <c r="ML132" s="118"/>
      <c r="MN132" s="76"/>
      <c r="MO132" s="76"/>
      <c r="MP132" s="76"/>
      <c r="MQ132" s="76"/>
      <c r="MR132" s="76"/>
      <c r="MT132" s="76"/>
      <c r="MU132" s="76"/>
      <c r="MV132" s="76"/>
      <c r="MW132" s="76"/>
    </row>
    <row r="133" spans="170:361" hidden="1" x14ac:dyDescent="0.35">
      <c r="FT133" s="93">
        <f>'Actual Adjustment (SIV)'!DB19</f>
        <v>-12382.174745079192</v>
      </c>
      <c r="FV133" s="33">
        <f>FT133-(FV$5*FV132)</f>
        <v>-11636.943551547787</v>
      </c>
      <c r="FX133" s="33">
        <f>FV133-(FX$5*FX132)</f>
        <v>-11084.085197061859</v>
      </c>
      <c r="FZ133" s="82">
        <f>FX133-(FZ$5*FZ132)</f>
        <v>-10566.250316824884</v>
      </c>
      <c r="GB133" s="33">
        <f>FZ133-(GB$5*GB132)</f>
        <v>-10126.492157230699</v>
      </c>
      <c r="GD133" s="33">
        <f>GB133-(GD$5*GD132)</f>
        <v>-9651.3688309558638</v>
      </c>
      <c r="GF133" s="82">
        <f>GD133-(GF$5*GF132)</f>
        <v>-8973.1947771450177</v>
      </c>
      <c r="GH133" s="33">
        <f>GF133-(GH$5*GH132)</f>
        <v>-8228.2198529373873</v>
      </c>
      <c r="GJ133" s="33">
        <f>GH133-(GJ$5*GJ132)</f>
        <v>-7626.5849038266952</v>
      </c>
      <c r="GL133" s="82">
        <f>GJ133-(GL$5*GL132)</f>
        <v>-6685.64937004077</v>
      </c>
      <c r="GN133" s="33">
        <f>GL133-(GN$5*GN132)</f>
        <v>-5822.1071720342406</v>
      </c>
      <c r="GP133" s="33">
        <f>GN133-(GP$5*GP132)</f>
        <v>-5024.2553440214815</v>
      </c>
      <c r="GR133" s="82">
        <f>GP133-(GR$5*GR132)</f>
        <v>-4358.4676408596561</v>
      </c>
      <c r="GS133" s="157"/>
      <c r="GT133" s="143">
        <f>GR133</f>
        <v>-4358.4676408596561</v>
      </c>
      <c r="GU133" s="143"/>
      <c r="GV133" s="143">
        <f>GT133</f>
        <v>-4358.4676408596561</v>
      </c>
      <c r="GW133" s="143"/>
      <c r="GX133" s="169">
        <f>GV133+GR113</f>
        <v>-4685.9913077445963</v>
      </c>
      <c r="GZ133" s="33">
        <f>GX133-(GZ$5*GZ132)</f>
        <v>-4463.3881371034058</v>
      </c>
      <c r="HB133" s="33">
        <f>GZ133-(HB$5*HB132)</f>
        <v>-4188.7511011599381</v>
      </c>
      <c r="HD133" s="82">
        <f>HB133-(HD$5*HD132)</f>
        <v>-3916.109611345033</v>
      </c>
      <c r="HF133" s="33">
        <f>HD133-(HF$5*HF132)</f>
        <v>-3548.7794577298187</v>
      </c>
      <c r="HH133" s="33">
        <f>HF133-(HH$5*HH132)</f>
        <v>-3108.4622044624166</v>
      </c>
      <c r="HJ133" s="82">
        <f>HH133-(HJ$5*HJ132)</f>
        <v>-2727.6122258261885</v>
      </c>
      <c r="HL133" s="33">
        <f>HJ133-(HL$5*HL132)</f>
        <v>-2408.6740658286244</v>
      </c>
      <c r="HN133" s="33">
        <f>HL133-(HN$5*HN132)</f>
        <v>-2020.8396757424264</v>
      </c>
      <c r="HP133" s="82">
        <f>HN133-(HP$5*HP132)</f>
        <v>-1689.0801318688457</v>
      </c>
      <c r="HR133" s="33">
        <f>HP133-(HR$5*HR132)</f>
        <v>-1490.4734034236239</v>
      </c>
      <c r="HT133" s="33">
        <f>HR133-(HT$5*HT132)</f>
        <v>-1317.9085519561479</v>
      </c>
      <c r="HV133" s="168">
        <f>HT133-(HV$5*HV132)</f>
        <v>-1183.0096336652964</v>
      </c>
      <c r="HX133" s="53"/>
      <c r="HY133" s="51"/>
      <c r="HZ133" s="53"/>
      <c r="IA133" s="51"/>
      <c r="IB133" s="85"/>
      <c r="ID133" s="53"/>
      <c r="IE133" s="51"/>
      <c r="IF133" s="53"/>
      <c r="IG133" s="51"/>
      <c r="IH133" s="85"/>
      <c r="IJ133" s="53"/>
      <c r="IK133" s="51"/>
      <c r="IL133" s="53"/>
      <c r="IM133" s="51"/>
      <c r="IN133" s="85"/>
      <c r="IP133" s="53"/>
      <c r="IQ133" s="51"/>
      <c r="IR133" s="53"/>
      <c r="IS133" s="51"/>
      <c r="IT133" s="85"/>
      <c r="IV133" s="53"/>
      <c r="IW133" s="51"/>
      <c r="IX133" s="53"/>
      <c r="IY133" s="51"/>
      <c r="IZ133" s="85"/>
      <c r="JB133" s="53"/>
      <c r="JC133" s="51"/>
      <c r="JD133" s="53"/>
      <c r="JE133" s="51"/>
      <c r="JF133" s="85"/>
      <c r="JG133" s="179"/>
      <c r="JH133" s="53"/>
      <c r="JI133" s="51"/>
      <c r="JJ133" s="53"/>
      <c r="JK133" s="51"/>
      <c r="JL133" s="85"/>
      <c r="JN133" s="53"/>
      <c r="JO133" s="51"/>
      <c r="JP133" s="53"/>
      <c r="JQ133" s="51"/>
      <c r="JR133" s="85"/>
      <c r="JT133" s="53"/>
      <c r="JU133" s="51"/>
      <c r="JV133" s="53"/>
      <c r="JW133" s="51"/>
      <c r="JX133" s="85"/>
      <c r="JZ133" s="53"/>
      <c r="KA133" s="51"/>
      <c r="KB133" s="53"/>
      <c r="KC133" s="51"/>
      <c r="KD133" s="85"/>
      <c r="KF133" s="53"/>
      <c r="KG133" s="51"/>
      <c r="KH133" s="53"/>
      <c r="KI133" s="51"/>
      <c r="KJ133" s="85"/>
      <c r="KL133" s="53"/>
      <c r="KM133" s="51"/>
      <c r="KN133" s="53"/>
      <c r="KO133" s="51"/>
      <c r="KP133" s="85"/>
      <c r="KR133" s="53"/>
      <c r="KS133" s="51"/>
      <c r="KT133" s="53"/>
      <c r="KU133" s="51"/>
      <c r="KV133" s="85"/>
      <c r="KX133" s="53"/>
      <c r="KY133" s="51"/>
      <c r="KZ133" s="53"/>
      <c r="LA133" s="51"/>
      <c r="LB133" s="85"/>
      <c r="LD133" s="53"/>
      <c r="LE133" s="51"/>
      <c r="LF133" s="53"/>
      <c r="LG133" s="51"/>
      <c r="LH133" s="85"/>
      <c r="LJ133" s="53"/>
      <c r="LK133" s="51"/>
      <c r="LL133" s="53"/>
      <c r="LM133" s="51"/>
      <c r="LN133" s="85"/>
      <c r="LP133" s="53"/>
      <c r="LQ133" s="51"/>
      <c r="LR133" s="53"/>
      <c r="LS133" s="51"/>
      <c r="LT133" s="85"/>
      <c r="LV133" s="53"/>
      <c r="LW133" s="51"/>
      <c r="LX133" s="53"/>
      <c r="LY133" s="51"/>
      <c r="LZ133" s="85"/>
      <c r="MB133" s="53"/>
      <c r="MC133" s="51"/>
      <c r="MD133" s="53"/>
      <c r="ME133" s="51"/>
      <c r="MF133" s="85"/>
      <c r="MH133" s="53"/>
      <c r="MI133" s="51"/>
      <c r="MJ133" s="53"/>
      <c r="MK133" s="51"/>
      <c r="ML133" s="85"/>
      <c r="MN133" s="53"/>
      <c r="MO133" s="51"/>
      <c r="MP133" s="53"/>
      <c r="MQ133" s="51"/>
      <c r="MR133" s="53"/>
      <c r="MT133" s="53"/>
      <c r="MU133" s="51"/>
      <c r="MV133" s="53"/>
      <c r="MW133" s="51"/>
    </row>
    <row r="134" spans="170:361" hidden="1" x14ac:dyDescent="0.35">
      <c r="FT134" s="81"/>
      <c r="FZ134" s="81"/>
      <c r="GF134" s="81"/>
      <c r="GL134" s="81"/>
      <c r="GR134" s="158"/>
      <c r="GX134" s="101">
        <f>(GX133/SUM(FV$5:GR$5))</f>
        <v>-4.9888653214072293E-2</v>
      </c>
      <c r="HD134" s="81"/>
      <c r="HJ134" s="81"/>
      <c r="HP134" s="81"/>
      <c r="HV134" s="81"/>
      <c r="IB134" s="81"/>
      <c r="IH134" s="81"/>
      <c r="IN134" s="81"/>
      <c r="IT134" s="81"/>
      <c r="IZ134" s="81"/>
      <c r="JF134" s="81"/>
      <c r="JG134" s="179"/>
      <c r="JL134" s="81"/>
      <c r="JR134" s="81"/>
      <c r="JX134" s="81"/>
      <c r="KD134" s="81"/>
      <c r="KJ134" s="81"/>
      <c r="KP134" s="81"/>
      <c r="KV134" s="81"/>
      <c r="LB134" s="81"/>
      <c r="LH134" s="81"/>
      <c r="LN134" s="81"/>
      <c r="LT134" s="81"/>
      <c r="LZ134" s="81"/>
      <c r="MF134" s="81"/>
      <c r="ML134" s="81"/>
    </row>
    <row r="135" spans="170:361" hidden="1" x14ac:dyDescent="0.35">
      <c r="FU135" s="179"/>
      <c r="GA135" s="179"/>
      <c r="GG135" s="179"/>
      <c r="GM135" s="179"/>
      <c r="GS135" s="179"/>
      <c r="GY135" s="179"/>
      <c r="HE135" s="179"/>
      <c r="HK135" s="179"/>
      <c r="HQ135" s="179"/>
      <c r="HV135" s="81"/>
      <c r="IB135" s="81"/>
      <c r="ID135" s="51"/>
      <c r="IE135" s="51"/>
      <c r="IF135" s="51"/>
      <c r="IG135" s="51"/>
      <c r="IH135" s="83"/>
      <c r="IJ135" s="51"/>
      <c r="IK135" s="51"/>
      <c r="IL135" s="51"/>
      <c r="IM135" s="51"/>
      <c r="IN135" s="83"/>
      <c r="IP135" s="51"/>
      <c r="IQ135" s="51"/>
      <c r="IR135" s="51"/>
      <c r="IS135" s="51"/>
      <c r="IT135" s="83"/>
      <c r="IV135" s="51"/>
      <c r="IW135" s="51"/>
      <c r="IX135" s="51"/>
      <c r="IY135" s="51"/>
      <c r="IZ135" s="83"/>
      <c r="JB135" s="51"/>
      <c r="JC135" s="51"/>
      <c r="JD135" s="51"/>
      <c r="JE135" s="51"/>
      <c r="JF135" s="83"/>
      <c r="JG135" s="179"/>
      <c r="JH135" s="51"/>
      <c r="JI135" s="51"/>
      <c r="JJ135" s="51"/>
      <c r="JK135" s="51"/>
      <c r="JL135" s="83"/>
      <c r="JN135" s="51"/>
      <c r="JO135" s="51"/>
      <c r="JP135" s="51"/>
      <c r="JQ135" s="51"/>
      <c r="JR135" s="83"/>
      <c r="JT135" s="51"/>
      <c r="JU135" s="51"/>
      <c r="JV135" s="51"/>
      <c r="JW135" s="51"/>
      <c r="JX135" s="83"/>
      <c r="JZ135" s="51"/>
      <c r="KA135" s="51"/>
      <c r="KB135" s="51"/>
      <c r="KC135" s="51"/>
      <c r="KD135" s="83"/>
      <c r="KF135" s="51"/>
      <c r="KG135" s="51"/>
      <c r="KH135" s="51"/>
      <c r="KI135" s="51"/>
      <c r="KJ135" s="83"/>
      <c r="KL135" s="51"/>
      <c r="KM135" s="51"/>
      <c r="KN135" s="51"/>
      <c r="KO135" s="51"/>
      <c r="KP135" s="83"/>
      <c r="KR135" s="51"/>
      <c r="KS135" s="51"/>
      <c r="KT135" s="51"/>
      <c r="KU135" s="51"/>
      <c r="KV135" s="83"/>
      <c r="KX135" s="51"/>
      <c r="KY135" s="51"/>
      <c r="KZ135" s="51"/>
      <c r="LA135" s="51"/>
      <c r="LB135" s="83"/>
      <c r="LD135" s="51"/>
      <c r="LE135" s="51"/>
      <c r="LF135" s="51"/>
      <c r="LG135" s="51"/>
      <c r="LH135" s="83"/>
      <c r="LJ135" s="51"/>
      <c r="LK135" s="51"/>
      <c r="LL135" s="51"/>
      <c r="LM135" s="51"/>
      <c r="LN135" s="83"/>
      <c r="LP135" s="51"/>
      <c r="LQ135" s="51"/>
      <c r="LR135" s="51"/>
      <c r="LS135" s="51"/>
      <c r="LT135" s="83"/>
      <c r="LV135" s="51"/>
      <c r="LW135" s="51"/>
      <c r="LX135" s="51"/>
      <c r="LY135" s="51"/>
      <c r="LZ135" s="83"/>
      <c r="MB135" s="51"/>
      <c r="MC135" s="51"/>
      <c r="MD135" s="51"/>
      <c r="ME135" s="51"/>
      <c r="MF135" s="83"/>
      <c r="MH135" s="51"/>
      <c r="MI135" s="51"/>
      <c r="MJ135" s="51"/>
      <c r="MK135" s="51"/>
      <c r="ML135" s="83"/>
      <c r="MN135" s="51"/>
      <c r="MO135" s="51"/>
      <c r="MP135" s="51"/>
      <c r="MQ135" s="51"/>
      <c r="MR135" s="51"/>
      <c r="MT135" s="51"/>
      <c r="MU135" s="51"/>
      <c r="MV135" s="51"/>
      <c r="MW135" s="51"/>
    </row>
    <row r="136" spans="170:361" hidden="1" x14ac:dyDescent="0.35">
      <c r="FZ136" s="81"/>
      <c r="GB136" s="66">
        <f>'Actual Adjustment (SIV)'!DH21</f>
        <v>-0.38965033647274666</v>
      </c>
      <c r="GC136" s="95"/>
      <c r="GD136" s="43">
        <f>GB136</f>
        <v>-0.38965033647274666</v>
      </c>
      <c r="GE136" s="40"/>
      <c r="GF136" s="150">
        <f>GD136</f>
        <v>-0.38965033647274666</v>
      </c>
      <c r="GG136" s="40"/>
      <c r="GH136" s="43">
        <f>GF136</f>
        <v>-0.38965033647274666</v>
      </c>
      <c r="GI136" s="40"/>
      <c r="GJ136" s="43">
        <f>GH136</f>
        <v>-0.38965033647274666</v>
      </c>
      <c r="GK136" s="40"/>
      <c r="GL136" s="150">
        <f>GJ136</f>
        <v>-0.38965033647274666</v>
      </c>
      <c r="GM136" s="40"/>
      <c r="GN136" s="43">
        <f>GL136</f>
        <v>-0.38965033647274666</v>
      </c>
      <c r="GO136" s="40"/>
      <c r="GP136" s="43">
        <f>GN136</f>
        <v>-0.38965033647274666</v>
      </c>
      <c r="GQ136" s="40"/>
      <c r="GR136" s="150">
        <f>GP136</f>
        <v>-0.38965033647274666</v>
      </c>
      <c r="GS136" s="40"/>
      <c r="GT136" s="43">
        <f>GR136</f>
        <v>-0.38965033647274666</v>
      </c>
      <c r="GU136" s="40"/>
      <c r="GV136" s="43">
        <f>GT136</f>
        <v>-0.38965033647274666</v>
      </c>
      <c r="GW136" s="40"/>
      <c r="GX136" s="150">
        <f>GV136</f>
        <v>-0.38965033647274666</v>
      </c>
      <c r="GY136" s="156"/>
      <c r="GZ136" s="144"/>
      <c r="HA136" s="144"/>
      <c r="HB136" s="144"/>
      <c r="HC136" s="144"/>
      <c r="HD136" s="118"/>
      <c r="HE136" s="40"/>
      <c r="HF136" s="151">
        <f>HD138</f>
        <v>-0.37696701355284562</v>
      </c>
      <c r="HG136" s="40"/>
      <c r="HH136" s="43">
        <f>HF136</f>
        <v>-0.37696701355284562</v>
      </c>
      <c r="HI136" s="40"/>
      <c r="HJ136" s="150">
        <f>HH136</f>
        <v>-0.37696701355284562</v>
      </c>
      <c r="HK136" s="40"/>
      <c r="HL136" s="43">
        <f>HJ136</f>
        <v>-0.37696701355284562</v>
      </c>
      <c r="HM136" s="40"/>
      <c r="HN136" s="43">
        <f>HL136</f>
        <v>-0.37696701355284562</v>
      </c>
      <c r="HO136" s="40"/>
      <c r="HP136" s="150">
        <f>HN136</f>
        <v>-0.37696701355284562</v>
      </c>
      <c r="HQ136" s="40"/>
      <c r="HR136" s="43">
        <f>HP136</f>
        <v>-0.37696701355284562</v>
      </c>
      <c r="HS136" s="40"/>
      <c r="HT136" s="43">
        <f>HR136</f>
        <v>-0.37696701355284562</v>
      </c>
      <c r="HU136" s="40"/>
      <c r="HV136" s="150">
        <f>HT136</f>
        <v>-0.37696701355284562</v>
      </c>
      <c r="HW136" s="40"/>
      <c r="HX136" s="43">
        <f>HV136</f>
        <v>-0.37696701355284562</v>
      </c>
      <c r="HY136" s="40"/>
      <c r="HZ136" s="43">
        <f>HX136</f>
        <v>-0.37696701355284562</v>
      </c>
      <c r="IA136" s="40"/>
      <c r="IB136" s="150">
        <f>HZ136</f>
        <v>-0.37696701355284562</v>
      </c>
      <c r="ID136" s="76"/>
      <c r="IE136" s="76"/>
      <c r="IF136" s="76"/>
      <c r="IG136" s="76"/>
      <c r="IH136" s="118"/>
      <c r="IJ136" s="76"/>
      <c r="IK136" s="76"/>
      <c r="IL136" s="76"/>
      <c r="IM136" s="76"/>
      <c r="IN136" s="118"/>
      <c r="IP136" s="76"/>
      <c r="IQ136" s="76"/>
      <c r="IR136" s="76"/>
      <c r="IS136" s="76"/>
      <c r="IT136" s="118"/>
      <c r="IV136" s="76"/>
      <c r="IW136" s="76"/>
      <c r="IX136" s="76"/>
      <c r="IY136" s="76"/>
      <c r="IZ136" s="118"/>
      <c r="JB136" s="76"/>
      <c r="JC136" s="76"/>
      <c r="JD136" s="76"/>
      <c r="JE136" s="76"/>
      <c r="JF136" s="118"/>
      <c r="JG136" s="179"/>
      <c r="JH136" s="76"/>
      <c r="JI136" s="76"/>
      <c r="JJ136" s="76"/>
      <c r="JK136" s="76"/>
      <c r="JL136" s="118"/>
      <c r="JN136" s="76"/>
      <c r="JO136" s="76"/>
      <c r="JP136" s="76"/>
      <c r="JQ136" s="76"/>
      <c r="JR136" s="118"/>
      <c r="JT136" s="76"/>
      <c r="JU136" s="76"/>
      <c r="JV136" s="76"/>
      <c r="JW136" s="76"/>
      <c r="JX136" s="118"/>
      <c r="JZ136" s="76"/>
      <c r="KA136" s="76"/>
      <c r="KB136" s="76"/>
      <c r="KC136" s="76"/>
      <c r="KD136" s="118"/>
      <c r="KF136" s="76"/>
      <c r="KG136" s="76"/>
      <c r="KH136" s="76"/>
      <c r="KI136" s="76"/>
      <c r="KJ136" s="118"/>
      <c r="KL136" s="76"/>
      <c r="KM136" s="76"/>
      <c r="KN136" s="76"/>
      <c r="KO136" s="76"/>
      <c r="KP136" s="118"/>
      <c r="KR136" s="76"/>
      <c r="KS136" s="76"/>
      <c r="KT136" s="76"/>
      <c r="KU136" s="76"/>
      <c r="KV136" s="118"/>
      <c r="KX136" s="76"/>
      <c r="KY136" s="76"/>
      <c r="KZ136" s="76"/>
      <c r="LA136" s="76"/>
      <c r="LB136" s="118"/>
      <c r="LD136" s="76"/>
      <c r="LE136" s="76"/>
      <c r="LF136" s="76"/>
      <c r="LG136" s="76"/>
      <c r="LH136" s="118"/>
      <c r="LJ136" s="76"/>
      <c r="LK136" s="76"/>
      <c r="LL136" s="76"/>
      <c r="LM136" s="76"/>
      <c r="LN136" s="118"/>
      <c r="LP136" s="76"/>
      <c r="LQ136" s="76"/>
      <c r="LR136" s="76"/>
      <c r="LS136" s="76"/>
      <c r="LT136" s="118"/>
      <c r="LV136" s="76"/>
      <c r="LW136" s="76"/>
      <c r="LX136" s="76"/>
      <c r="LY136" s="76"/>
      <c r="LZ136" s="118"/>
      <c r="MB136" s="76"/>
      <c r="MC136" s="76"/>
      <c r="MD136" s="76"/>
      <c r="ME136" s="76"/>
      <c r="MF136" s="118"/>
      <c r="MH136" s="76"/>
      <c r="MI136" s="76"/>
      <c r="MJ136" s="76"/>
      <c r="MK136" s="76"/>
      <c r="ML136" s="118"/>
      <c r="MN136" s="76"/>
      <c r="MO136" s="76"/>
      <c r="MP136" s="76"/>
      <c r="MQ136" s="76"/>
      <c r="MR136" s="76"/>
      <c r="MT136" s="76"/>
      <c r="MU136" s="76"/>
      <c r="MV136" s="76"/>
      <c r="MW136" s="76"/>
    </row>
    <row r="137" spans="170:361" hidden="1" x14ac:dyDescent="0.35">
      <c r="FZ137" s="93">
        <f>'Actual Adjustment (SIV)'!DH19</f>
        <v>-53618.224200668774</v>
      </c>
      <c r="GB137" s="33">
        <f>FZ137-(GB$5*GB136)</f>
        <v>-51612.304268507076</v>
      </c>
      <c r="GD137" s="33">
        <f>GB137-(GD$5*GD136)</f>
        <v>-49445.069097045656</v>
      </c>
      <c r="GF137" s="82">
        <f>GD137-(GF$5*GF136)</f>
        <v>-46351.635075788523</v>
      </c>
      <c r="GH137" s="33">
        <f>GF137-(GH$5*GH136)</f>
        <v>-42953.4944914097</v>
      </c>
      <c r="GJ137" s="33">
        <f>GH137-(GJ$5*GJ136)</f>
        <v>-40209.187171632148</v>
      </c>
      <c r="GL137" s="82">
        <f>GJ137-(GL$5*GL136)</f>
        <v>-35917.188715384844</v>
      </c>
      <c r="GN137" s="33">
        <f>GL137-(GN$5*GN136)</f>
        <v>-31978.213463981847</v>
      </c>
      <c r="GP137" s="33">
        <f>GN137-(GP$5*GP136)</f>
        <v>-28338.879321326393</v>
      </c>
      <c r="GR137" s="82">
        <f>GP137-(GR$5*GR136)</f>
        <v>-25301.944598857805</v>
      </c>
      <c r="GT137" s="33">
        <f>GR137-(GT$5*GT136)</f>
        <v>-23168.998657005988</v>
      </c>
      <c r="GV137" s="33">
        <f>GT137-(GV$5*GV136)</f>
        <v>-21307.249349339203</v>
      </c>
      <c r="GX137" s="82">
        <f>GV137-(GX$5*GX136)</f>
        <v>-19517.195703583406</v>
      </c>
      <c r="GY137" s="157"/>
      <c r="GZ137" s="143">
        <f>GX137</f>
        <v>-19517.195703583406</v>
      </c>
      <c r="HA137" s="143"/>
      <c r="HB137" s="143">
        <f>GZ137</f>
        <v>-19517.195703583406</v>
      </c>
      <c r="HC137" s="143"/>
      <c r="HD137" s="169">
        <f>HB137+GX117</f>
        <v>-32991.022125104391</v>
      </c>
      <c r="HF137" s="33">
        <f>HD137-(HF$5*HF136)</f>
        <v>-30215.414004314789</v>
      </c>
      <c r="HH137" s="33">
        <f>HF137-(HH$5*HH136)</f>
        <v>-26888.303142697372</v>
      </c>
      <c r="HJ137" s="82">
        <f>HH137-(HJ$5*HJ136)</f>
        <v>-24010.53696123495</v>
      </c>
      <c r="HL137" s="33">
        <f>HJ137-(HL$5*HL136)</f>
        <v>-21600.586843591609</v>
      </c>
      <c r="HN137" s="33">
        <f>HL137-(HN$5*HN136)</f>
        <v>-18670.045280231789</v>
      </c>
      <c r="HP137" s="82">
        <f>HN137-(HP$5*HP136)</f>
        <v>-16163.214640105365</v>
      </c>
      <c r="HR137" s="33">
        <f>HP137-(HR$5*HR136)</f>
        <v>-14662.508959151486</v>
      </c>
      <c r="HT137" s="33">
        <f>HR137-(HT$5*HT136)</f>
        <v>-13358.580059272193</v>
      </c>
      <c r="HV137" s="82">
        <f>HT137-(HV$5*HV136)</f>
        <v>-12339.261254625299</v>
      </c>
      <c r="HX137" s="33">
        <f>HV137-(HX$5*HX136)</f>
        <v>-10460.83462609147</v>
      </c>
      <c r="HZ137" s="33">
        <f>HX137-(HZ$5*HZ136)</f>
        <v>-8034.2979598518023</v>
      </c>
      <c r="IB137" s="168">
        <f>HZ137-(IB$5*IB136)</f>
        <v>-5657.1439723875574</v>
      </c>
      <c r="ID137" s="53"/>
      <c r="IE137" s="51"/>
      <c r="IF137" s="53"/>
      <c r="IG137" s="51"/>
      <c r="IH137" s="85"/>
      <c r="IJ137" s="53"/>
      <c r="IK137" s="51"/>
      <c r="IL137" s="53"/>
      <c r="IM137" s="51"/>
      <c r="IN137" s="85"/>
      <c r="IP137" s="53"/>
      <c r="IQ137" s="51"/>
      <c r="IR137" s="53"/>
      <c r="IS137" s="51"/>
      <c r="IT137" s="85"/>
      <c r="IV137" s="53"/>
      <c r="IW137" s="51"/>
      <c r="IX137" s="53"/>
      <c r="IY137" s="51"/>
      <c r="IZ137" s="85"/>
      <c r="JB137" s="53"/>
      <c r="JC137" s="51"/>
      <c r="JD137" s="53"/>
      <c r="JE137" s="51"/>
      <c r="JF137" s="85"/>
      <c r="JG137" s="179"/>
      <c r="JH137" s="53"/>
      <c r="JI137" s="51"/>
      <c r="JJ137" s="53"/>
      <c r="JK137" s="51"/>
      <c r="JL137" s="85"/>
      <c r="JN137" s="53"/>
      <c r="JO137" s="51"/>
      <c r="JP137" s="53"/>
      <c r="JQ137" s="51"/>
      <c r="JR137" s="85"/>
      <c r="JT137" s="53"/>
      <c r="JU137" s="51"/>
      <c r="JV137" s="53"/>
      <c r="JW137" s="51"/>
      <c r="JX137" s="85"/>
      <c r="JZ137" s="53"/>
      <c r="KA137" s="51"/>
      <c r="KB137" s="53"/>
      <c r="KC137" s="51"/>
      <c r="KD137" s="85"/>
      <c r="KF137" s="53"/>
      <c r="KG137" s="51"/>
      <c r="KH137" s="53"/>
      <c r="KI137" s="51"/>
      <c r="KJ137" s="85"/>
      <c r="KL137" s="53"/>
      <c r="KM137" s="51"/>
      <c r="KN137" s="53"/>
      <c r="KO137" s="51"/>
      <c r="KP137" s="85"/>
      <c r="KR137" s="53"/>
      <c r="KS137" s="51"/>
      <c r="KT137" s="53"/>
      <c r="KU137" s="51"/>
      <c r="KV137" s="85"/>
      <c r="KX137" s="53"/>
      <c r="KY137" s="51"/>
      <c r="KZ137" s="53"/>
      <c r="LA137" s="51"/>
      <c r="LB137" s="85"/>
      <c r="LD137" s="53"/>
      <c r="LE137" s="51"/>
      <c r="LF137" s="53"/>
      <c r="LG137" s="51"/>
      <c r="LH137" s="85"/>
      <c r="LJ137" s="53"/>
      <c r="LK137" s="51"/>
      <c r="LL137" s="53"/>
      <c r="LM137" s="51"/>
      <c r="LN137" s="85"/>
      <c r="LP137" s="53"/>
      <c r="LQ137" s="51"/>
      <c r="LR137" s="53"/>
      <c r="LS137" s="51"/>
      <c r="LT137" s="85"/>
      <c r="LV137" s="53"/>
      <c r="LW137" s="51"/>
      <c r="LX137" s="53"/>
      <c r="LY137" s="51"/>
      <c r="LZ137" s="85"/>
      <c r="MB137" s="53"/>
      <c r="MC137" s="51"/>
      <c r="MD137" s="53"/>
      <c r="ME137" s="51"/>
      <c r="MF137" s="85"/>
      <c r="MH137" s="53"/>
      <c r="MI137" s="51"/>
      <c r="MJ137" s="53"/>
      <c r="MK137" s="51"/>
      <c r="ML137" s="85"/>
      <c r="MN137" s="53"/>
      <c r="MO137" s="51"/>
      <c r="MP137" s="53"/>
      <c r="MQ137" s="51"/>
      <c r="MR137" s="53"/>
      <c r="MT137" s="53"/>
      <c r="MU137" s="51"/>
      <c r="MV137" s="53"/>
      <c r="MW137" s="51"/>
    </row>
    <row r="138" spans="170:361" hidden="1" x14ac:dyDescent="0.35">
      <c r="FZ138" s="81"/>
      <c r="GF138" s="81"/>
      <c r="GL138" s="81"/>
      <c r="GR138" s="81"/>
      <c r="GX138" s="158"/>
      <c r="HD138" s="101">
        <f>(HD137/SUM(GB$5:GX$5))</f>
        <v>-0.37696701355284562</v>
      </c>
      <c r="HJ138" s="81"/>
      <c r="HP138" s="81"/>
      <c r="HV138" s="81"/>
      <c r="IB138" s="81"/>
      <c r="ID138" s="51"/>
      <c r="IE138" s="51"/>
      <c r="IF138" s="51"/>
      <c r="IG138" s="51"/>
      <c r="IH138" s="83"/>
      <c r="IJ138" s="51"/>
      <c r="IK138" s="51"/>
      <c r="IL138" s="51"/>
      <c r="IM138" s="51"/>
      <c r="IN138" s="83"/>
      <c r="IP138" s="51"/>
      <c r="IQ138" s="51"/>
      <c r="IR138" s="51"/>
      <c r="IS138" s="51"/>
      <c r="IT138" s="83"/>
      <c r="IV138" s="51"/>
      <c r="IW138" s="51"/>
      <c r="IX138" s="51"/>
      <c r="IY138" s="51"/>
      <c r="IZ138" s="83"/>
      <c r="JB138" s="51"/>
      <c r="JC138" s="51"/>
      <c r="JD138" s="51"/>
      <c r="JE138" s="51"/>
      <c r="JF138" s="83"/>
      <c r="JG138" s="179"/>
      <c r="JH138" s="51"/>
      <c r="JI138" s="51"/>
      <c r="JJ138" s="51"/>
      <c r="JK138" s="51"/>
      <c r="JL138" s="83"/>
      <c r="JN138" s="51"/>
      <c r="JO138" s="51"/>
      <c r="JP138" s="51"/>
      <c r="JQ138" s="51"/>
      <c r="JR138" s="83"/>
      <c r="JT138" s="51"/>
      <c r="JU138" s="51"/>
      <c r="JV138" s="51"/>
      <c r="JW138" s="51"/>
      <c r="JX138" s="83"/>
      <c r="JZ138" s="51"/>
      <c r="KA138" s="51"/>
      <c r="KB138" s="51"/>
      <c r="KC138" s="51"/>
      <c r="KD138" s="83"/>
      <c r="KF138" s="51"/>
      <c r="KG138" s="51"/>
      <c r="KH138" s="51"/>
      <c r="KI138" s="51"/>
      <c r="KJ138" s="83"/>
      <c r="KL138" s="51"/>
      <c r="KM138" s="51"/>
      <c r="KN138" s="51"/>
      <c r="KO138" s="51"/>
      <c r="KP138" s="83"/>
      <c r="KR138" s="51"/>
      <c r="KS138" s="51"/>
      <c r="KT138" s="51"/>
      <c r="KU138" s="51"/>
      <c r="KV138" s="83"/>
      <c r="KX138" s="51"/>
      <c r="KY138" s="51"/>
      <c r="KZ138" s="51"/>
      <c r="LA138" s="51"/>
      <c r="LB138" s="83"/>
      <c r="LD138" s="51"/>
      <c r="LE138" s="51"/>
      <c r="LF138" s="51"/>
      <c r="LG138" s="51"/>
      <c r="LH138" s="83"/>
      <c r="LJ138" s="51"/>
      <c r="LK138" s="51"/>
      <c r="LL138" s="51"/>
      <c r="LM138" s="51"/>
      <c r="LN138" s="83"/>
      <c r="LP138" s="51"/>
      <c r="LQ138" s="51"/>
      <c r="LR138" s="51"/>
      <c r="LS138" s="51"/>
      <c r="LT138" s="83"/>
      <c r="LV138" s="51"/>
      <c r="LW138" s="51"/>
      <c r="LX138" s="51"/>
      <c r="LY138" s="51"/>
      <c r="LZ138" s="83"/>
      <c r="MB138" s="51"/>
      <c r="MC138" s="51"/>
      <c r="MD138" s="51"/>
      <c r="ME138" s="51"/>
      <c r="MF138" s="83"/>
      <c r="MH138" s="51"/>
      <c r="MI138" s="51"/>
      <c r="MJ138" s="51"/>
      <c r="MK138" s="51"/>
      <c r="ML138" s="83"/>
      <c r="MN138" s="51"/>
      <c r="MO138" s="51"/>
      <c r="MP138" s="51"/>
      <c r="MQ138" s="51"/>
      <c r="MR138" s="51"/>
      <c r="MT138" s="51"/>
      <c r="MU138" s="51"/>
      <c r="MV138" s="51"/>
      <c r="MW138" s="51"/>
    </row>
    <row r="139" spans="170:361" hidden="1" x14ac:dyDescent="0.35">
      <c r="GA139" s="179"/>
      <c r="GG139" s="179"/>
      <c r="GM139" s="179"/>
      <c r="GS139" s="179"/>
      <c r="GY139" s="179"/>
      <c r="HE139" s="179"/>
      <c r="HK139" s="179"/>
      <c r="HQ139" s="179"/>
      <c r="HW139" s="179"/>
      <c r="IC139" s="179"/>
      <c r="II139" s="179"/>
      <c r="IJ139" s="51"/>
      <c r="IK139" s="51"/>
      <c r="IL139" s="51"/>
      <c r="IM139" s="51"/>
      <c r="IN139" s="51"/>
      <c r="IO139" s="179"/>
      <c r="IP139" s="51"/>
      <c r="IQ139" s="51"/>
      <c r="IR139" s="51"/>
      <c r="IS139" s="51"/>
      <c r="IT139" s="51"/>
      <c r="IU139" s="179"/>
      <c r="IV139" s="51"/>
      <c r="IW139" s="51"/>
      <c r="IX139" s="51"/>
      <c r="IY139" s="51"/>
      <c r="IZ139" s="51"/>
      <c r="JA139" s="179"/>
      <c r="JB139" s="51"/>
      <c r="JC139" s="51"/>
      <c r="JD139" s="51"/>
      <c r="JE139" s="51"/>
      <c r="JF139" s="83"/>
      <c r="JG139" s="179"/>
      <c r="JH139" s="51"/>
      <c r="JI139" s="51"/>
      <c r="JJ139" s="51"/>
      <c r="JK139" s="51"/>
      <c r="JL139" s="51"/>
      <c r="JM139" s="179"/>
      <c r="JN139" s="51"/>
      <c r="JO139" s="51"/>
      <c r="JP139" s="51"/>
      <c r="JQ139" s="51"/>
      <c r="JR139" s="51"/>
      <c r="JS139" s="179"/>
      <c r="JT139" s="51"/>
      <c r="JU139" s="51"/>
      <c r="JV139" s="51"/>
      <c r="JW139" s="51"/>
      <c r="JX139" s="51"/>
      <c r="JY139" s="179"/>
      <c r="JZ139" s="51"/>
      <c r="KA139" s="51"/>
      <c r="KB139" s="51"/>
      <c r="KC139" s="51"/>
      <c r="KD139" s="51"/>
      <c r="KE139" s="179"/>
      <c r="KF139" s="51"/>
      <c r="KG139" s="51"/>
      <c r="KH139" s="51"/>
      <c r="KI139" s="51"/>
      <c r="KJ139" s="51"/>
      <c r="KK139" s="179"/>
      <c r="KL139" s="51"/>
      <c r="KM139" s="51"/>
      <c r="KN139" s="51"/>
      <c r="KO139" s="51"/>
      <c r="KP139" s="51"/>
      <c r="KQ139" s="179"/>
      <c r="KR139" s="51"/>
      <c r="KS139" s="51"/>
      <c r="KT139" s="51"/>
      <c r="KU139" s="51"/>
      <c r="KV139" s="51"/>
      <c r="KW139" s="179"/>
      <c r="KX139" s="51"/>
      <c r="KY139" s="51"/>
      <c r="KZ139" s="51"/>
      <c r="LA139" s="51"/>
      <c r="LB139" s="51"/>
      <c r="LC139" s="179"/>
      <c r="LD139" s="51"/>
      <c r="LE139" s="51"/>
      <c r="LF139" s="51"/>
      <c r="LG139" s="51"/>
      <c r="LH139" s="51"/>
      <c r="LI139" s="179"/>
      <c r="LJ139" s="51"/>
      <c r="LK139" s="51"/>
      <c r="LL139" s="51"/>
      <c r="LM139" s="51"/>
      <c r="LN139" s="51"/>
      <c r="LO139" s="179"/>
      <c r="LP139" s="51"/>
      <c r="LQ139" s="51"/>
      <c r="LR139" s="51"/>
      <c r="LS139" s="51"/>
      <c r="LT139" s="51"/>
      <c r="LU139" s="179"/>
      <c r="LV139" s="51"/>
      <c r="LW139" s="51"/>
      <c r="LX139" s="51"/>
      <c r="LY139" s="51"/>
      <c r="LZ139" s="51"/>
      <c r="MA139" s="179"/>
      <c r="MB139" s="51"/>
      <c r="MC139" s="51"/>
      <c r="MD139" s="51"/>
      <c r="ME139" s="51"/>
      <c r="MF139" s="51"/>
      <c r="MG139" s="179"/>
      <c r="MH139" s="51"/>
      <c r="MI139" s="51"/>
      <c r="MJ139" s="51"/>
      <c r="MK139" s="51"/>
      <c r="ML139" s="51"/>
      <c r="MM139" s="179"/>
      <c r="MN139" s="51"/>
      <c r="MO139" s="51"/>
      <c r="MP139" s="51"/>
      <c r="MQ139" s="51"/>
      <c r="MR139" s="51"/>
      <c r="MS139" s="179"/>
      <c r="MT139" s="51"/>
      <c r="MU139" s="51"/>
      <c r="MV139" s="51"/>
      <c r="MW139" s="51"/>
    </row>
    <row r="140" spans="170:361" hidden="1" x14ac:dyDescent="0.35">
      <c r="GF140" s="81"/>
      <c r="GH140" s="66">
        <f>'Actual Adjustment (SIV)'!DN21</f>
        <v>-0.13979920774100021</v>
      </c>
      <c r="GI140" s="95"/>
      <c r="GJ140" s="43">
        <f>GH140</f>
        <v>-0.13979920774100021</v>
      </c>
      <c r="GK140" s="40"/>
      <c r="GL140" s="150">
        <f>GJ140</f>
        <v>-0.13979920774100021</v>
      </c>
      <c r="GM140" s="40"/>
      <c r="GN140" s="43">
        <f>GL140</f>
        <v>-0.13979920774100021</v>
      </c>
      <c r="GO140" s="40"/>
      <c r="GP140" s="43">
        <f>GN140</f>
        <v>-0.13979920774100021</v>
      </c>
      <c r="GQ140" s="40"/>
      <c r="GR140" s="150">
        <f>GP140</f>
        <v>-0.13979920774100021</v>
      </c>
      <c r="GS140" s="40"/>
      <c r="GT140" s="43">
        <f>GR140</f>
        <v>-0.13979920774100021</v>
      </c>
      <c r="GU140" s="40"/>
      <c r="GV140" s="43">
        <f>GT140</f>
        <v>-0.13979920774100021</v>
      </c>
      <c r="GW140" s="40"/>
      <c r="GX140" s="150">
        <f>GV140</f>
        <v>-0.13979920774100021</v>
      </c>
      <c r="GY140" s="40"/>
      <c r="GZ140" s="43">
        <f>GX140</f>
        <v>-0.13979920774100021</v>
      </c>
      <c r="HA140" s="40"/>
      <c r="HB140" s="43">
        <f>GZ140</f>
        <v>-0.13979920774100021</v>
      </c>
      <c r="HC140" s="40"/>
      <c r="HD140" s="150">
        <f>HB140</f>
        <v>-0.13979920774100021</v>
      </c>
      <c r="HE140" s="156"/>
      <c r="HF140" s="144"/>
      <c r="HG140" s="144"/>
      <c r="HH140" s="144"/>
      <c r="HI140" s="144"/>
      <c r="HJ140" s="118"/>
      <c r="HK140" s="40"/>
      <c r="HL140" s="151">
        <f>HJ142</f>
        <v>2.1159140750274382E-3</v>
      </c>
      <c r="HM140" s="40"/>
      <c r="HN140" s="43">
        <f>HL140</f>
        <v>2.1159140750274382E-3</v>
      </c>
      <c r="HO140" s="40"/>
      <c r="HP140" s="150">
        <f>HN140</f>
        <v>2.1159140750274382E-3</v>
      </c>
      <c r="HQ140" s="40"/>
      <c r="HR140" s="43">
        <f>HP140</f>
        <v>2.1159140750274382E-3</v>
      </c>
      <c r="HS140" s="40"/>
      <c r="HT140" s="43">
        <f>HR140</f>
        <v>2.1159140750274382E-3</v>
      </c>
      <c r="HU140" s="40"/>
      <c r="HV140" s="150">
        <f>HT140</f>
        <v>2.1159140750274382E-3</v>
      </c>
      <c r="HW140" s="40"/>
      <c r="HX140" s="43">
        <f>HV140</f>
        <v>2.1159140750274382E-3</v>
      </c>
      <c r="HY140" s="40"/>
      <c r="HZ140" s="43">
        <f>HX140</f>
        <v>2.1159140750274382E-3</v>
      </c>
      <c r="IA140" s="40"/>
      <c r="IB140" s="150">
        <f>HZ140</f>
        <v>2.1159140750274382E-3</v>
      </c>
      <c r="IC140" s="40"/>
      <c r="ID140" s="43">
        <f>IB140</f>
        <v>2.1159140750274382E-3</v>
      </c>
      <c r="IE140" s="40"/>
      <c r="IF140" s="43">
        <f>ID140</f>
        <v>2.1159140750274382E-3</v>
      </c>
      <c r="IG140" s="40"/>
      <c r="IH140" s="150">
        <f>IF140</f>
        <v>2.1159140750274382E-3</v>
      </c>
      <c r="IJ140" s="76"/>
      <c r="IK140" s="76"/>
      <c r="IL140" s="76"/>
      <c r="IM140" s="76"/>
      <c r="IN140" s="118"/>
      <c r="IP140" s="76"/>
      <c r="IQ140" s="76"/>
      <c r="IR140" s="76"/>
      <c r="IS140" s="76"/>
      <c r="IT140" s="118"/>
      <c r="IV140" s="76"/>
      <c r="IW140" s="76"/>
      <c r="IX140" s="76"/>
      <c r="IY140" s="76"/>
      <c r="IZ140" s="118"/>
      <c r="JB140" s="76"/>
      <c r="JC140" s="76"/>
      <c r="JD140" s="76"/>
      <c r="JE140" s="76"/>
      <c r="JF140" s="118"/>
      <c r="JG140" s="179"/>
      <c r="JH140" s="76"/>
      <c r="JI140" s="76"/>
      <c r="JJ140" s="76"/>
      <c r="JK140" s="76"/>
      <c r="JL140" s="118"/>
      <c r="JN140" s="76"/>
      <c r="JO140" s="76"/>
      <c r="JP140" s="76"/>
      <c r="JQ140" s="76"/>
      <c r="JR140" s="118"/>
      <c r="JT140" s="76"/>
      <c r="JU140" s="76"/>
      <c r="JV140" s="76"/>
      <c r="JW140" s="76"/>
      <c r="JX140" s="118"/>
      <c r="JZ140" s="76"/>
      <c r="KA140" s="76"/>
      <c r="KB140" s="76"/>
      <c r="KC140" s="76"/>
      <c r="KD140" s="118"/>
      <c r="KF140" s="76"/>
      <c r="KG140" s="76"/>
      <c r="KH140" s="76"/>
      <c r="KI140" s="76"/>
      <c r="KJ140" s="118"/>
      <c r="KL140" s="76"/>
      <c r="KM140" s="76"/>
      <c r="KN140" s="76"/>
      <c r="KO140" s="76"/>
      <c r="KP140" s="118"/>
      <c r="KR140" s="76"/>
      <c r="KS140" s="76"/>
      <c r="KT140" s="76"/>
      <c r="KU140" s="76"/>
      <c r="KV140" s="118"/>
      <c r="KX140" s="76"/>
      <c r="KY140" s="76"/>
      <c r="KZ140" s="76"/>
      <c r="LA140" s="76"/>
      <c r="LB140" s="118"/>
      <c r="LD140" s="76"/>
      <c r="LE140" s="76"/>
      <c r="LF140" s="76"/>
      <c r="LG140" s="76"/>
      <c r="LH140" s="118"/>
      <c r="LJ140" s="76"/>
      <c r="LK140" s="76"/>
      <c r="LL140" s="76"/>
      <c r="LM140" s="76"/>
      <c r="LN140" s="118"/>
      <c r="LP140" s="76"/>
      <c r="LQ140" s="76"/>
      <c r="LR140" s="76"/>
      <c r="LS140" s="76"/>
      <c r="LT140" s="118"/>
      <c r="LV140" s="76"/>
      <c r="LW140" s="76"/>
      <c r="LX140" s="76"/>
      <c r="LY140" s="76"/>
      <c r="LZ140" s="118"/>
      <c r="MB140" s="76"/>
      <c r="MC140" s="76"/>
      <c r="MD140" s="76"/>
      <c r="ME140" s="76"/>
      <c r="MF140" s="118"/>
      <c r="MH140" s="76"/>
      <c r="MI140" s="76"/>
      <c r="MJ140" s="76"/>
      <c r="MK140" s="76"/>
      <c r="ML140" s="118"/>
      <c r="MN140" s="76"/>
      <c r="MO140" s="76"/>
      <c r="MP140" s="76"/>
      <c r="MQ140" s="76"/>
      <c r="MR140" s="76"/>
      <c r="MT140" s="76"/>
      <c r="MU140" s="76"/>
      <c r="MV140" s="76"/>
      <c r="MW140" s="76"/>
    </row>
    <row r="141" spans="170:361" hidden="1" x14ac:dyDescent="0.35">
      <c r="GF141" s="93">
        <f>'Actual Adjustment (SIV)'!DN19</f>
        <v>-17596.666077567439</v>
      </c>
      <c r="GH141" s="33">
        <f>GF141-(GH$5*GH140)</f>
        <v>-16377.477186858176</v>
      </c>
      <c r="GJ141" s="33">
        <f>GH141-(GJ$5*GJ140)</f>
        <v>-15392.871366738311</v>
      </c>
      <c r="GL141" s="82">
        <f>GJ141-(GL$5*GL140)</f>
        <v>-13852.983093471194</v>
      </c>
      <c r="GN141" s="33">
        <f>GL141-(GN$5*GN140)</f>
        <v>-12439.752902417422</v>
      </c>
      <c r="GP141" s="33">
        <f>GN141-(GP$5*GP140)</f>
        <v>-11134.02830211648</v>
      </c>
      <c r="GR141" s="82">
        <f>GP141-(GR$5*GR140)</f>
        <v>-10044.433276983124</v>
      </c>
      <c r="GT141" s="33">
        <f>GR141-(GT$5*GT140)</f>
        <v>-9279.1724138088885</v>
      </c>
      <c r="GV141" s="33">
        <f>GT141-(GV$5*GV140)</f>
        <v>-8611.2117992223903</v>
      </c>
      <c r="GX141" s="82">
        <f>GV141-(GX$5*GX140)</f>
        <v>-7968.9742388602353</v>
      </c>
      <c r="GZ141" s="33">
        <f>GX141-(GZ$5*GZ140)</f>
        <v>-7345.190173919892</v>
      </c>
      <c r="HB141" s="33">
        <f>GZ141-(HB$5*HB140)</f>
        <v>-6575.5955353056861</v>
      </c>
      <c r="HD141" s="82">
        <f>HB141-(HD$5*HD140)</f>
        <v>-5811.5928650011201</v>
      </c>
      <c r="HE141" s="157"/>
      <c r="HF141" s="143">
        <f>HD141</f>
        <v>-5811.5928650011201</v>
      </c>
      <c r="HG141" s="143"/>
      <c r="HH141" s="143">
        <f>HF141</f>
        <v>-5811.5928650011201</v>
      </c>
      <c r="HI141" s="143"/>
      <c r="HJ141" s="169">
        <f>HH141+HD121</f>
        <v>178.37155652481306</v>
      </c>
      <c r="HL141" s="33">
        <f>HJ141-(HL$5*HL140)</f>
        <v>164.84451784316263</v>
      </c>
      <c r="HN141" s="33">
        <f>HL141-(HN$5*HN140)</f>
        <v>148.39540182389933</v>
      </c>
      <c r="HP141" s="82">
        <f>HN141-(HP$5*HP140)</f>
        <v>134.32457322496685</v>
      </c>
      <c r="HR141" s="33">
        <f>HP141-(HR$5*HR140)</f>
        <v>125.90111929228263</v>
      </c>
      <c r="HT141" s="33">
        <f>HR141-(HT$5*HT140)</f>
        <v>118.58217250676272</v>
      </c>
      <c r="HV141" s="82">
        <f>HT141-(HV$5*HV140)</f>
        <v>112.86074084788852</v>
      </c>
      <c r="HX141" s="33">
        <f>HV141-(HX$5*HX140)</f>
        <v>102.3171410120268</v>
      </c>
      <c r="HZ141" s="33">
        <f>HX141-(HZ$5*HZ140)</f>
        <v>88.697002111075179</v>
      </c>
      <c r="IB141" s="82">
        <f>HZ141-(IB$5*IB140)</f>
        <v>75.354047953952147</v>
      </c>
      <c r="ID141" s="33">
        <f>IB141-(ID$5*ID140)</f>
        <v>52.356177872478924</v>
      </c>
      <c r="IF141" s="33">
        <f>ID141-(IF$5*IF140)</f>
        <v>25.450214494430018</v>
      </c>
      <c r="IH141" s="168">
        <f>IF141-(IH$5*IH140)</f>
        <v>-0.5882241128576382</v>
      </c>
      <c r="IJ141" s="53"/>
      <c r="IK141" s="51"/>
      <c r="IL141" s="53"/>
      <c r="IM141" s="51"/>
      <c r="IN141" s="85"/>
      <c r="IP141" s="53"/>
      <c r="IQ141" s="51"/>
      <c r="IR141" s="53"/>
      <c r="IS141" s="51"/>
      <c r="IT141" s="85"/>
      <c r="IV141" s="53"/>
      <c r="IW141" s="51"/>
      <c r="IX141" s="53"/>
      <c r="IY141" s="51"/>
      <c r="IZ141" s="85"/>
      <c r="JB141" s="53"/>
      <c r="JC141" s="51"/>
      <c r="JD141" s="53"/>
      <c r="JE141" s="51"/>
      <c r="JF141" s="85"/>
      <c r="JG141" s="179"/>
      <c r="JH141" s="53"/>
      <c r="JI141" s="51"/>
      <c r="JJ141" s="53"/>
      <c r="JK141" s="51"/>
      <c r="JL141" s="85"/>
      <c r="JN141" s="53"/>
      <c r="JO141" s="51"/>
      <c r="JP141" s="53"/>
      <c r="JQ141" s="51"/>
      <c r="JR141" s="85"/>
      <c r="JT141" s="53"/>
      <c r="JU141" s="51"/>
      <c r="JV141" s="53"/>
      <c r="JW141" s="51"/>
      <c r="JX141" s="85"/>
      <c r="JZ141" s="53"/>
      <c r="KA141" s="51"/>
      <c r="KB141" s="53"/>
      <c r="KC141" s="51"/>
      <c r="KD141" s="85"/>
      <c r="KF141" s="53"/>
      <c r="KG141" s="51"/>
      <c r="KH141" s="53"/>
      <c r="KI141" s="51"/>
      <c r="KJ141" s="85"/>
      <c r="KL141" s="53"/>
      <c r="KM141" s="51"/>
      <c r="KN141" s="53"/>
      <c r="KO141" s="51"/>
      <c r="KP141" s="85"/>
      <c r="KR141" s="53"/>
      <c r="KS141" s="51"/>
      <c r="KT141" s="53"/>
      <c r="KU141" s="51"/>
      <c r="KV141" s="85"/>
      <c r="KX141" s="53"/>
      <c r="KY141" s="51"/>
      <c r="KZ141" s="53"/>
      <c r="LA141" s="51"/>
      <c r="LB141" s="85"/>
      <c r="LD141" s="53"/>
      <c r="LE141" s="51"/>
      <c r="LF141" s="53"/>
      <c r="LG141" s="51"/>
      <c r="LH141" s="85"/>
      <c r="LJ141" s="53"/>
      <c r="LK141" s="51"/>
      <c r="LL141" s="53"/>
      <c r="LM141" s="51"/>
      <c r="LN141" s="85"/>
      <c r="LP141" s="53"/>
      <c r="LQ141" s="51"/>
      <c r="LR141" s="53"/>
      <c r="LS141" s="51"/>
      <c r="LT141" s="85"/>
      <c r="LV141" s="53"/>
      <c r="LW141" s="51"/>
      <c r="LX141" s="53"/>
      <c r="LY141" s="51"/>
      <c r="LZ141" s="85"/>
      <c r="MB141" s="53"/>
      <c r="MC141" s="51"/>
      <c r="MD141" s="53"/>
      <c r="ME141" s="51"/>
      <c r="MF141" s="85"/>
      <c r="MH141" s="53"/>
      <c r="MI141" s="51"/>
      <c r="MJ141" s="53"/>
      <c r="MK141" s="51"/>
      <c r="ML141" s="85"/>
      <c r="MN141" s="53"/>
      <c r="MO141" s="51"/>
      <c r="MP141" s="53"/>
      <c r="MQ141" s="51"/>
      <c r="MR141" s="53"/>
      <c r="MT141" s="53"/>
      <c r="MU141" s="51"/>
      <c r="MV141" s="53"/>
      <c r="MW141" s="51"/>
    </row>
    <row r="142" spans="170:361" hidden="1" x14ac:dyDescent="0.35">
      <c r="GF142" s="81"/>
      <c r="GL142" s="81"/>
      <c r="GR142" s="81"/>
      <c r="GX142" s="81"/>
      <c r="HD142" s="158"/>
      <c r="HJ142" s="101">
        <f>(HJ141/SUM(GH$5:HD$5))</f>
        <v>2.1159140750274382E-3</v>
      </c>
      <c r="HP142" s="81"/>
      <c r="HV142" s="81"/>
      <c r="IB142" s="81"/>
      <c r="IH142" s="81"/>
      <c r="IJ142" s="51"/>
      <c r="IK142" s="51"/>
      <c r="IL142" s="51"/>
      <c r="IM142" s="51"/>
      <c r="IN142" s="83"/>
      <c r="IP142" s="51"/>
      <c r="IQ142" s="51"/>
      <c r="IR142" s="51"/>
      <c r="IS142" s="51"/>
      <c r="IT142" s="83"/>
      <c r="IV142" s="51"/>
      <c r="IW142" s="51"/>
      <c r="IX142" s="51"/>
      <c r="IY142" s="51"/>
      <c r="IZ142" s="83"/>
      <c r="JB142" s="51"/>
      <c r="JC142" s="51"/>
      <c r="JD142" s="51"/>
      <c r="JE142" s="51"/>
      <c r="JF142" s="83"/>
      <c r="JG142" s="179"/>
      <c r="JH142" s="51"/>
      <c r="JI142" s="51"/>
      <c r="JJ142" s="51"/>
      <c r="JK142" s="51"/>
      <c r="JL142" s="83"/>
      <c r="JN142" s="51"/>
      <c r="JO142" s="51"/>
      <c r="JP142" s="51"/>
      <c r="JQ142" s="51"/>
      <c r="JR142" s="83"/>
      <c r="JT142" s="51"/>
      <c r="JU142" s="51"/>
      <c r="JV142" s="51"/>
      <c r="JW142" s="51"/>
      <c r="JX142" s="83"/>
      <c r="JZ142" s="51"/>
      <c r="KA142" s="51"/>
      <c r="KB142" s="51"/>
      <c r="KC142" s="51"/>
      <c r="KD142" s="83"/>
      <c r="KF142" s="51"/>
      <c r="KG142" s="51"/>
      <c r="KH142" s="51"/>
      <c r="KI142" s="51"/>
      <c r="KJ142" s="83"/>
      <c r="KL142" s="51"/>
      <c r="KM142" s="51"/>
      <c r="KN142" s="51"/>
      <c r="KO142" s="51"/>
      <c r="KP142" s="83"/>
      <c r="KR142" s="51"/>
      <c r="KS142" s="51"/>
      <c r="KT142" s="51"/>
      <c r="KU142" s="51"/>
      <c r="KV142" s="83"/>
      <c r="KX142" s="51"/>
      <c r="KY142" s="51"/>
      <c r="KZ142" s="51"/>
      <c r="LA142" s="51"/>
      <c r="LB142" s="83"/>
      <c r="LD142" s="51"/>
      <c r="LE142" s="51"/>
      <c r="LF142" s="51"/>
      <c r="LG142" s="51"/>
      <c r="LH142" s="83"/>
      <c r="LJ142" s="51"/>
      <c r="LK142" s="51"/>
      <c r="LL142" s="51"/>
      <c r="LM142" s="51"/>
      <c r="LN142" s="83"/>
      <c r="LP142" s="51"/>
      <c r="LQ142" s="51"/>
      <c r="LR142" s="51"/>
      <c r="LS142" s="51"/>
      <c r="LT142" s="83"/>
      <c r="LV142" s="51"/>
      <c r="LW142" s="51"/>
      <c r="LX142" s="51"/>
      <c r="LY142" s="51"/>
      <c r="LZ142" s="83"/>
      <c r="MB142" s="51"/>
      <c r="MC142" s="51"/>
      <c r="MD142" s="51"/>
      <c r="ME142" s="51"/>
      <c r="MF142" s="83"/>
      <c r="MH142" s="51"/>
      <c r="MI142" s="51"/>
      <c r="MJ142" s="51"/>
      <c r="MK142" s="51"/>
      <c r="ML142" s="83"/>
      <c r="MN142" s="51"/>
      <c r="MO142" s="51"/>
      <c r="MP142" s="51"/>
      <c r="MQ142" s="51"/>
      <c r="MR142" s="51"/>
      <c r="MT142" s="51"/>
      <c r="MU142" s="51"/>
      <c r="MV142" s="51"/>
      <c r="MW142" s="51"/>
    </row>
    <row r="143" spans="170:361" hidden="1" x14ac:dyDescent="0.35">
      <c r="GG143" s="179"/>
      <c r="GM143" s="179"/>
      <c r="GS143" s="179"/>
      <c r="GY143" s="179"/>
      <c r="HE143" s="179"/>
      <c r="HK143" s="179"/>
      <c r="HQ143" s="179"/>
      <c r="HW143" s="179"/>
      <c r="IC143" s="179"/>
      <c r="II143" s="179"/>
      <c r="IJ143" s="51"/>
      <c r="IK143" s="51"/>
      <c r="IL143" s="51"/>
      <c r="IM143" s="51"/>
      <c r="IN143" s="51"/>
      <c r="IO143" s="179"/>
      <c r="IP143" s="51"/>
      <c r="IQ143" s="51"/>
      <c r="IR143" s="51"/>
      <c r="IS143" s="51"/>
      <c r="IT143" s="51"/>
      <c r="IU143" s="179"/>
      <c r="IV143" s="51"/>
      <c r="IW143" s="51"/>
      <c r="IX143" s="51"/>
      <c r="IY143" s="51"/>
      <c r="IZ143" s="51"/>
      <c r="JA143" s="179"/>
      <c r="JB143" s="51"/>
      <c r="JC143" s="51"/>
      <c r="JD143" s="51"/>
      <c r="JE143" s="51"/>
      <c r="JF143" s="83"/>
      <c r="JG143" s="179"/>
      <c r="JH143" s="51"/>
      <c r="JI143" s="51"/>
      <c r="JJ143" s="51"/>
      <c r="JK143" s="51"/>
      <c r="JL143" s="51"/>
      <c r="JM143" s="179"/>
      <c r="JN143" s="51"/>
      <c r="JO143" s="51"/>
      <c r="JP143" s="51"/>
      <c r="JQ143" s="51"/>
      <c r="JR143" s="51"/>
      <c r="JS143" s="179"/>
      <c r="JT143" s="51"/>
      <c r="JU143" s="51"/>
      <c r="JV143" s="51"/>
      <c r="JW143" s="51"/>
      <c r="JX143" s="51"/>
      <c r="JY143" s="179"/>
      <c r="JZ143" s="51"/>
      <c r="KA143" s="51"/>
      <c r="KB143" s="51"/>
      <c r="KC143" s="51"/>
      <c r="KD143" s="51"/>
      <c r="KE143" s="179"/>
      <c r="KF143" s="51"/>
      <c r="KG143" s="51"/>
      <c r="KH143" s="51"/>
      <c r="KI143" s="51"/>
      <c r="KJ143" s="51"/>
      <c r="KK143" s="179"/>
      <c r="KL143" s="51"/>
      <c r="KM143" s="51"/>
      <c r="KN143" s="51"/>
      <c r="KO143" s="51"/>
      <c r="KP143" s="51"/>
      <c r="KQ143" s="179"/>
      <c r="KR143" s="51"/>
      <c r="KS143" s="51"/>
      <c r="KT143" s="51"/>
      <c r="KU143" s="51"/>
      <c r="KV143" s="51"/>
      <c r="KW143" s="179"/>
      <c r="KX143" s="51"/>
      <c r="KY143" s="51"/>
      <c r="KZ143" s="51"/>
      <c r="LA143" s="51"/>
      <c r="LB143" s="51"/>
      <c r="LC143" s="179"/>
      <c r="LD143" s="51"/>
      <c r="LE143" s="51"/>
      <c r="LF143" s="51"/>
      <c r="LG143" s="51"/>
      <c r="LH143" s="51"/>
      <c r="LI143" s="179"/>
      <c r="LJ143" s="51"/>
      <c r="LK143" s="51"/>
      <c r="LL143" s="51"/>
      <c r="LM143" s="51"/>
      <c r="LN143" s="51"/>
      <c r="LO143" s="179"/>
      <c r="LP143" s="51"/>
      <c r="LQ143" s="51"/>
      <c r="LR143" s="51"/>
      <c r="LS143" s="51"/>
      <c r="LT143" s="51"/>
      <c r="LU143" s="179"/>
      <c r="LV143" s="51"/>
      <c r="LW143" s="51"/>
      <c r="LX143" s="51"/>
      <c r="LY143" s="51"/>
      <c r="LZ143" s="51"/>
      <c r="MA143" s="179"/>
      <c r="MB143" s="51"/>
      <c r="MC143" s="51"/>
      <c r="MD143" s="51"/>
      <c r="ME143" s="51"/>
      <c r="MF143" s="51"/>
      <c r="MG143" s="179"/>
      <c r="MH143" s="51"/>
      <c r="MI143" s="51"/>
      <c r="MJ143" s="51"/>
      <c r="MK143" s="51"/>
      <c r="ML143" s="51"/>
      <c r="MM143" s="179"/>
      <c r="MN143" s="51"/>
      <c r="MO143" s="51"/>
      <c r="MP143" s="51"/>
      <c r="MQ143" s="51"/>
      <c r="MR143" s="51"/>
      <c r="MS143" s="179"/>
      <c r="MT143" s="51"/>
      <c r="MU143" s="51"/>
      <c r="MV143" s="51"/>
      <c r="MW143" s="51"/>
    </row>
    <row r="144" spans="170:361" hidden="1" x14ac:dyDescent="0.35">
      <c r="GL144" s="81"/>
      <c r="GN144" s="66">
        <f>'Actual Adjustment (SIV)'!DT21</f>
        <v>-5.8305244063016834E-3</v>
      </c>
      <c r="GO144" s="95"/>
      <c r="GP144" s="43">
        <f>GN144</f>
        <v>-5.8305244063016834E-3</v>
      </c>
      <c r="GQ144" s="40"/>
      <c r="GR144" s="150">
        <f>GP144</f>
        <v>-5.8305244063016834E-3</v>
      </c>
      <c r="GS144" s="40"/>
      <c r="GT144" s="43">
        <f>GR144</f>
        <v>-5.8305244063016834E-3</v>
      </c>
      <c r="GU144" s="40"/>
      <c r="GV144" s="43">
        <f>GT144</f>
        <v>-5.8305244063016834E-3</v>
      </c>
      <c r="GW144" s="40"/>
      <c r="GX144" s="150">
        <f>GV144</f>
        <v>-5.8305244063016834E-3</v>
      </c>
      <c r="GY144" s="40"/>
      <c r="GZ144" s="43">
        <f>GX144</f>
        <v>-5.8305244063016834E-3</v>
      </c>
      <c r="HA144" s="40"/>
      <c r="HB144" s="43">
        <f>GZ144</f>
        <v>-5.8305244063016834E-3</v>
      </c>
      <c r="HC144" s="40"/>
      <c r="HD144" s="150">
        <f>HB144</f>
        <v>-5.8305244063016834E-3</v>
      </c>
      <c r="HE144" s="40"/>
      <c r="HF144" s="43">
        <f>HD144</f>
        <v>-5.8305244063016834E-3</v>
      </c>
      <c r="HG144" s="40"/>
      <c r="HH144" s="43">
        <f>HF144</f>
        <v>-5.8305244063016834E-3</v>
      </c>
      <c r="HI144" s="40"/>
      <c r="HJ144" s="150">
        <f>HH144</f>
        <v>-5.8305244063016834E-3</v>
      </c>
      <c r="HK144" s="156"/>
      <c r="HL144" s="144"/>
      <c r="HM144" s="144"/>
      <c r="HN144" s="144"/>
      <c r="HO144" s="144"/>
      <c r="HP144" s="118"/>
      <c r="HQ144" s="40"/>
      <c r="HR144" s="151">
        <f>HP146</f>
        <v>2.0449228463831258E-2</v>
      </c>
      <c r="HS144" s="40"/>
      <c r="HT144" s="43">
        <f>HR144</f>
        <v>2.0449228463831258E-2</v>
      </c>
      <c r="HU144" s="40"/>
      <c r="HV144" s="150">
        <f>HT144</f>
        <v>2.0449228463831258E-2</v>
      </c>
      <c r="HW144" s="40"/>
      <c r="HX144" s="43">
        <f>HV144</f>
        <v>2.0449228463831258E-2</v>
      </c>
      <c r="HY144" s="40"/>
      <c r="HZ144" s="43">
        <f>HX144</f>
        <v>2.0449228463831258E-2</v>
      </c>
      <c r="IA144" s="40"/>
      <c r="IB144" s="150">
        <f>HZ144</f>
        <v>2.0449228463831258E-2</v>
      </c>
      <c r="IC144" s="40"/>
      <c r="ID144" s="43">
        <f>IB144</f>
        <v>2.0449228463831258E-2</v>
      </c>
      <c r="IE144" s="40"/>
      <c r="IF144" s="43">
        <f>ID144</f>
        <v>2.0449228463831258E-2</v>
      </c>
      <c r="IG144" s="40"/>
      <c r="IH144" s="150">
        <f>IF144</f>
        <v>2.0449228463831258E-2</v>
      </c>
      <c r="II144" s="40"/>
      <c r="IJ144" s="43">
        <f>IH144</f>
        <v>2.0449228463831258E-2</v>
      </c>
      <c r="IK144" s="40"/>
      <c r="IL144" s="43">
        <f>IJ144</f>
        <v>2.0449228463831258E-2</v>
      </c>
      <c r="IM144" s="40"/>
      <c r="IN144" s="150">
        <f>IL144</f>
        <v>2.0449228463831258E-2</v>
      </c>
      <c r="IP144" s="76"/>
      <c r="IQ144" s="76"/>
      <c r="IR144" s="76"/>
      <c r="IS144" s="76"/>
      <c r="IT144" s="118"/>
      <c r="IV144" s="76"/>
      <c r="IW144" s="76"/>
      <c r="IX144" s="76"/>
      <c r="IY144" s="76"/>
      <c r="IZ144" s="118"/>
      <c r="JB144" s="76"/>
      <c r="JC144" s="76"/>
      <c r="JD144" s="76"/>
      <c r="JE144" s="76"/>
      <c r="JF144" s="118"/>
      <c r="JG144" s="179"/>
      <c r="JH144" s="76"/>
      <c r="JI144" s="76"/>
      <c r="JJ144" s="76"/>
      <c r="JK144" s="76"/>
      <c r="JL144" s="118"/>
      <c r="JN144" s="76"/>
      <c r="JO144" s="76"/>
      <c r="JP144" s="76"/>
      <c r="JQ144" s="76"/>
      <c r="JR144" s="118"/>
      <c r="JT144" s="76"/>
      <c r="JU144" s="76"/>
      <c r="JV144" s="76"/>
      <c r="JW144" s="76"/>
      <c r="JX144" s="118"/>
      <c r="JZ144" s="76"/>
      <c r="KA144" s="76"/>
      <c r="KB144" s="76"/>
      <c r="KC144" s="76"/>
      <c r="KD144" s="118"/>
      <c r="KF144" s="76"/>
      <c r="KG144" s="76"/>
      <c r="KH144" s="76"/>
      <c r="KI144" s="76"/>
      <c r="KJ144" s="118"/>
      <c r="KL144" s="76"/>
      <c r="KM144" s="76"/>
      <c r="KN144" s="76"/>
      <c r="KO144" s="76"/>
      <c r="KP144" s="118"/>
      <c r="KR144" s="76"/>
      <c r="KS144" s="76"/>
      <c r="KT144" s="76"/>
      <c r="KU144" s="76"/>
      <c r="KV144" s="118"/>
      <c r="KX144" s="76"/>
      <c r="KY144" s="76"/>
      <c r="KZ144" s="76"/>
      <c r="LA144" s="76"/>
      <c r="LB144" s="118"/>
      <c r="LD144" s="76"/>
      <c r="LE144" s="76"/>
      <c r="LF144" s="76"/>
      <c r="LG144" s="76"/>
      <c r="LH144" s="118"/>
      <c r="LJ144" s="76"/>
      <c r="LK144" s="76"/>
      <c r="LL144" s="76"/>
      <c r="LM144" s="76"/>
      <c r="LN144" s="118"/>
      <c r="LP144" s="76"/>
      <c r="LQ144" s="76"/>
      <c r="LR144" s="76"/>
      <c r="LS144" s="76"/>
      <c r="LT144" s="118"/>
      <c r="LV144" s="76"/>
      <c r="LW144" s="76"/>
      <c r="LX144" s="76"/>
      <c r="LY144" s="76"/>
      <c r="LZ144" s="118"/>
      <c r="MB144" s="76"/>
      <c r="MC144" s="76"/>
      <c r="MD144" s="76"/>
      <c r="ME144" s="76"/>
      <c r="MF144" s="118"/>
      <c r="MH144" s="76"/>
      <c r="MI144" s="76"/>
      <c r="MJ144" s="76"/>
      <c r="MK144" s="76"/>
      <c r="ML144" s="118"/>
      <c r="MN144" s="76"/>
      <c r="MO144" s="76"/>
      <c r="MP144" s="76"/>
      <c r="MQ144" s="76"/>
      <c r="MR144" s="76"/>
      <c r="MT144" s="76"/>
      <c r="MU144" s="76"/>
      <c r="MV144" s="76"/>
      <c r="MW144" s="76"/>
    </row>
    <row r="145" spans="190:361" hidden="1" x14ac:dyDescent="0.35">
      <c r="GL145" s="93">
        <f>'Actual Adjustment (SIV)'!DT19</f>
        <v>-646.88502183035916</v>
      </c>
      <c r="GN145" s="33">
        <f>GL145-(GN$5*GN144)</f>
        <v>-587.94425060705544</v>
      </c>
      <c r="GP145" s="33">
        <f>GN145-(GP$5*GP144)</f>
        <v>-533.48715265219766</v>
      </c>
      <c r="GR145" s="82">
        <f>GP145-(GR$5*GR144)</f>
        <v>-488.04404542948237</v>
      </c>
      <c r="GT145" s="33">
        <f>GR145-(GT$5*GT144)</f>
        <v>-456.12775482938696</v>
      </c>
      <c r="GV145" s="33">
        <f>GT145-(GV$5*GV144)</f>
        <v>-428.26950921607749</v>
      </c>
      <c r="GX145" s="82">
        <f>GV145-(GX$5*GX144)</f>
        <v>-401.48408009352755</v>
      </c>
      <c r="GZ145" s="33">
        <f>GX145-(GZ$5*GZ144)</f>
        <v>-375.46828019260943</v>
      </c>
      <c r="HB145" s="33">
        <f>GZ145-(HB$5*HB144)</f>
        <v>-343.37124333591868</v>
      </c>
      <c r="HD145" s="82">
        <f>HB145-(HD$5*HD144)</f>
        <v>-311.50742745547996</v>
      </c>
      <c r="HF145" s="33">
        <f>HD145-(HF$5*HF144)</f>
        <v>-268.57727625188068</v>
      </c>
      <c r="HH145" s="33">
        <f>HF145-(HH$5*HH144)</f>
        <v>-217.11706784186202</v>
      </c>
      <c r="HJ145" s="82">
        <f>HH145-(HJ$5*HJ144)</f>
        <v>-172.60684452415498</v>
      </c>
      <c r="HK145" s="157"/>
      <c r="HL145" s="143">
        <f>HJ145</f>
        <v>-172.60684452415498</v>
      </c>
      <c r="HM145" s="143"/>
      <c r="HN145" s="143">
        <f>HL145</f>
        <v>-172.60684452415498</v>
      </c>
      <c r="HO145" s="143"/>
      <c r="HP145" s="169">
        <f>HN145+HJ125</f>
        <v>1663.4220401618898</v>
      </c>
      <c r="HR145" s="33">
        <f>HP145-(HR$5*HR144)</f>
        <v>1582.0136616473776</v>
      </c>
      <c r="HT145" s="33">
        <f>HR145-(HT$5*HT144)</f>
        <v>1511.2797803909853</v>
      </c>
      <c r="HV145" s="82">
        <f>HT145-(HV$5*HV144)</f>
        <v>1455.9850666247855</v>
      </c>
      <c r="HX145" s="33">
        <f>HV145-(HX$5*HX144)</f>
        <v>1354.0865611895144</v>
      </c>
      <c r="HZ145" s="33">
        <f>HX145-(HZ$5*HZ144)</f>
        <v>1222.4548775678327</v>
      </c>
      <c r="IB145" s="82">
        <f>HZ145-(IB$5*IB144)</f>
        <v>1093.5020428749128</v>
      </c>
      <c r="ID145" s="33">
        <f>IB145-(ID$5*ID144)</f>
        <v>871.23937870153088</v>
      </c>
      <c r="IF145" s="33">
        <f>ID145-(IF$5*IF144)</f>
        <v>611.20698955545254</v>
      </c>
      <c r="IH145" s="82">
        <f>IF145-(IH$5*IH144)</f>
        <v>359.55878407954503</v>
      </c>
      <c r="IJ145" s="33">
        <f>IH145-(IJ$5*IJ144)</f>
        <v>106.17239418421192</v>
      </c>
      <c r="IL145" s="33">
        <f>IJ145-(IL$5*IL144)</f>
        <v>-163.02124931366276</v>
      </c>
      <c r="IN145" s="168">
        <f>IL145-(IN$5*IN144)</f>
        <v>-383.07539681295094</v>
      </c>
      <c r="IP145" s="53"/>
      <c r="IQ145" s="51"/>
      <c r="IR145" s="53"/>
      <c r="IS145" s="51"/>
      <c r="IT145" s="85"/>
      <c r="IV145" s="53"/>
      <c r="IW145" s="51"/>
      <c r="IX145" s="53"/>
      <c r="IY145" s="51"/>
      <c r="IZ145" s="85"/>
      <c r="JB145" s="53"/>
      <c r="JC145" s="51"/>
      <c r="JD145" s="53"/>
      <c r="JE145" s="51"/>
      <c r="JF145" s="85"/>
      <c r="JG145" s="179"/>
      <c r="JH145" s="53"/>
      <c r="JI145" s="51"/>
      <c r="JJ145" s="53"/>
      <c r="JK145" s="51"/>
      <c r="JL145" s="85"/>
      <c r="JN145" s="53"/>
      <c r="JO145" s="51"/>
      <c r="JP145" s="53"/>
      <c r="JQ145" s="51"/>
      <c r="JR145" s="85"/>
      <c r="JT145" s="53"/>
      <c r="JU145" s="51"/>
      <c r="JV145" s="53"/>
      <c r="JW145" s="51"/>
      <c r="JX145" s="85"/>
      <c r="JZ145" s="53"/>
      <c r="KA145" s="51"/>
      <c r="KB145" s="53"/>
      <c r="KC145" s="51"/>
      <c r="KD145" s="85"/>
      <c r="KF145" s="53"/>
      <c r="KG145" s="51"/>
      <c r="KH145" s="53"/>
      <c r="KI145" s="51"/>
      <c r="KJ145" s="85"/>
      <c r="KL145" s="53"/>
      <c r="KM145" s="51"/>
      <c r="KN145" s="53"/>
      <c r="KO145" s="51"/>
      <c r="KP145" s="85"/>
      <c r="KR145" s="53"/>
      <c r="KS145" s="51"/>
      <c r="KT145" s="53"/>
      <c r="KU145" s="51"/>
      <c r="KV145" s="85"/>
      <c r="KX145" s="53"/>
      <c r="KY145" s="51"/>
      <c r="KZ145" s="53"/>
      <c r="LA145" s="51"/>
      <c r="LB145" s="85"/>
      <c r="LD145" s="53"/>
      <c r="LE145" s="51"/>
      <c r="LF145" s="53"/>
      <c r="LG145" s="51"/>
      <c r="LH145" s="85"/>
      <c r="LJ145" s="53"/>
      <c r="LK145" s="51"/>
      <c r="LL145" s="53"/>
      <c r="LM145" s="51"/>
      <c r="LN145" s="85"/>
      <c r="LP145" s="53"/>
      <c r="LQ145" s="51"/>
      <c r="LR145" s="53"/>
      <c r="LS145" s="51"/>
      <c r="LT145" s="85"/>
      <c r="LV145" s="53"/>
      <c r="LW145" s="51"/>
      <c r="LX145" s="53"/>
      <c r="LY145" s="51"/>
      <c r="LZ145" s="85"/>
      <c r="MB145" s="53"/>
      <c r="MC145" s="51"/>
      <c r="MD145" s="53"/>
      <c r="ME145" s="51"/>
      <c r="MF145" s="85"/>
      <c r="MH145" s="53"/>
      <c r="MI145" s="51"/>
      <c r="MJ145" s="53"/>
      <c r="MK145" s="51"/>
      <c r="ML145" s="85"/>
      <c r="MN145" s="53"/>
      <c r="MO145" s="51"/>
      <c r="MP145" s="53"/>
      <c r="MQ145" s="51"/>
      <c r="MR145" s="53"/>
      <c r="MT145" s="53"/>
      <c r="MU145" s="51"/>
      <c r="MV145" s="53"/>
      <c r="MW145" s="51"/>
    </row>
    <row r="146" spans="190:361" hidden="1" x14ac:dyDescent="0.35">
      <c r="GL146" s="81"/>
      <c r="GR146" s="81"/>
      <c r="GX146" s="81"/>
      <c r="HD146" s="81"/>
      <c r="HJ146" s="158"/>
      <c r="HP146" s="101">
        <f>(HP145/SUM(GN$5:HJ$5))</f>
        <v>2.0449228463831258E-2</v>
      </c>
      <c r="HV146" s="81"/>
      <c r="IB146" s="81"/>
      <c r="IH146" s="81"/>
      <c r="IN146" s="81"/>
      <c r="IT146" s="81"/>
      <c r="IZ146" s="81"/>
      <c r="JF146" s="81"/>
      <c r="JG146" s="179"/>
      <c r="JL146" s="81"/>
      <c r="JR146" s="81"/>
      <c r="JX146" s="81"/>
      <c r="KD146" s="81"/>
      <c r="KJ146" s="81"/>
      <c r="KP146" s="81"/>
      <c r="KV146" s="81"/>
      <c r="LB146" s="81"/>
      <c r="LH146" s="81"/>
      <c r="LN146" s="81"/>
      <c r="LT146" s="81"/>
      <c r="LZ146" s="81"/>
      <c r="MF146" s="81"/>
      <c r="ML146" s="81"/>
    </row>
    <row r="147" spans="190:361" hidden="1" x14ac:dyDescent="0.35">
      <c r="GH147" s="24"/>
      <c r="GM147" s="179"/>
      <c r="GS147" s="179"/>
      <c r="GY147" s="179"/>
      <c r="HE147" s="179"/>
      <c r="HK147" s="179"/>
      <c r="HQ147" s="179"/>
      <c r="HW147" s="179"/>
      <c r="IC147" s="179"/>
      <c r="II147" s="179"/>
      <c r="IO147" s="179"/>
      <c r="IU147" s="179"/>
      <c r="JA147" s="179"/>
      <c r="JF147" s="81"/>
      <c r="JG147" s="179"/>
      <c r="JM147" s="179"/>
      <c r="JS147" s="179"/>
      <c r="JY147" s="179"/>
      <c r="KE147" s="179"/>
      <c r="KK147" s="179"/>
      <c r="KQ147" s="179"/>
      <c r="KW147" s="179"/>
      <c r="LC147" s="179"/>
      <c r="LI147" s="179"/>
      <c r="LO147" s="179"/>
      <c r="LU147" s="179"/>
      <c r="MA147" s="179"/>
      <c r="MG147" s="179"/>
      <c r="MM147" s="179"/>
      <c r="MS147" s="179"/>
    </row>
    <row r="148" spans="190:361" hidden="1" x14ac:dyDescent="0.35">
      <c r="GJ148" s="24"/>
      <c r="GR148" s="81"/>
      <c r="GT148" s="66">
        <f>'Actual Adjustment (SIV)'!DZ21</f>
        <v>-0.19006153857473845</v>
      </c>
      <c r="GU148" s="95"/>
      <c r="GV148" s="43">
        <f>GT148</f>
        <v>-0.19006153857473845</v>
      </c>
      <c r="GW148" s="40"/>
      <c r="GX148" s="150">
        <f>GV148</f>
        <v>-0.19006153857473845</v>
      </c>
      <c r="GY148" s="40"/>
      <c r="GZ148" s="43">
        <f>GX148</f>
        <v>-0.19006153857473845</v>
      </c>
      <c r="HA148" s="40"/>
      <c r="HB148" s="43">
        <f>GZ148</f>
        <v>-0.19006153857473845</v>
      </c>
      <c r="HC148" s="40"/>
      <c r="HD148" s="150">
        <f>HB148</f>
        <v>-0.19006153857473845</v>
      </c>
      <c r="HE148" s="40"/>
      <c r="HF148" s="43">
        <f>HD148</f>
        <v>-0.19006153857473845</v>
      </c>
      <c r="HG148" s="40"/>
      <c r="HH148" s="43">
        <f>HF148</f>
        <v>-0.19006153857473845</v>
      </c>
      <c r="HI148" s="40"/>
      <c r="HJ148" s="150">
        <f>HH148</f>
        <v>-0.19006153857473845</v>
      </c>
      <c r="HK148" s="40"/>
      <c r="HL148" s="43">
        <f>HJ148</f>
        <v>-0.19006153857473845</v>
      </c>
      <c r="HM148" s="40"/>
      <c r="HN148" s="43">
        <f>HL148</f>
        <v>-0.19006153857473845</v>
      </c>
      <c r="HO148" s="40"/>
      <c r="HP148" s="150">
        <f>HN148</f>
        <v>-0.19006153857473845</v>
      </c>
      <c r="HQ148" s="156"/>
      <c r="HR148" s="144"/>
      <c r="HS148" s="144"/>
      <c r="HT148" s="144"/>
      <c r="HU148" s="144"/>
      <c r="HV148" s="118"/>
      <c r="HW148" s="40"/>
      <c r="HX148" s="151">
        <f>HV150</f>
        <v>-6.0513849847945639E-2</v>
      </c>
      <c r="HY148" s="40"/>
      <c r="HZ148" s="43">
        <f>HX148</f>
        <v>-6.0513849847945639E-2</v>
      </c>
      <c r="IA148" s="40"/>
      <c r="IB148" s="150">
        <f>HZ148</f>
        <v>-6.0513849847945639E-2</v>
      </c>
      <c r="IC148" s="40"/>
      <c r="ID148" s="43">
        <f>IB148</f>
        <v>-6.0513849847945639E-2</v>
      </c>
      <c r="IE148" s="40"/>
      <c r="IF148" s="43">
        <f>ID148</f>
        <v>-6.0513849847945639E-2</v>
      </c>
      <c r="IG148" s="40"/>
      <c r="IH148" s="150">
        <f>IF148</f>
        <v>-6.0513849847945639E-2</v>
      </c>
      <c r="II148" s="40"/>
      <c r="IJ148" s="43">
        <f>IH148</f>
        <v>-6.0513849847945639E-2</v>
      </c>
      <c r="IK148" s="40"/>
      <c r="IL148" s="43">
        <f>IJ148</f>
        <v>-6.0513849847945639E-2</v>
      </c>
      <c r="IM148" s="40"/>
      <c r="IN148" s="150">
        <f>IL148</f>
        <v>-6.0513849847945639E-2</v>
      </c>
      <c r="IO148" s="40"/>
      <c r="IP148" s="43">
        <f>IN148</f>
        <v>-6.0513849847945639E-2</v>
      </c>
      <c r="IQ148" s="40"/>
      <c r="IR148" s="43">
        <f>IP148</f>
        <v>-6.0513849847945639E-2</v>
      </c>
      <c r="IS148" s="40"/>
      <c r="IT148" s="150">
        <f>IR148</f>
        <v>-6.0513849847945639E-2</v>
      </c>
      <c r="IV148" s="76"/>
      <c r="IW148" s="76"/>
      <c r="IX148" s="76"/>
      <c r="IY148" s="76"/>
      <c r="IZ148" s="118"/>
      <c r="JB148" s="76"/>
      <c r="JC148" s="76"/>
      <c r="JD148" s="76"/>
      <c r="JE148" s="76"/>
      <c r="JF148" s="118"/>
      <c r="JG148" s="179"/>
      <c r="JH148" s="76"/>
      <c r="JI148" s="76"/>
      <c r="JJ148" s="76"/>
      <c r="JK148" s="76"/>
      <c r="JL148" s="118"/>
      <c r="JN148" s="76"/>
      <c r="JO148" s="76"/>
      <c r="JP148" s="76"/>
      <c r="JQ148" s="76"/>
      <c r="JR148" s="118"/>
      <c r="JT148" s="76"/>
      <c r="JU148" s="76"/>
      <c r="JV148" s="76"/>
      <c r="JW148" s="76"/>
      <c r="JX148" s="118"/>
      <c r="JZ148" s="76"/>
      <c r="KA148" s="76"/>
      <c r="KB148" s="76"/>
      <c r="KC148" s="76"/>
      <c r="KD148" s="118"/>
      <c r="KF148" s="76"/>
      <c r="KG148" s="76"/>
      <c r="KH148" s="76"/>
      <c r="KI148" s="76"/>
      <c r="KJ148" s="118"/>
      <c r="KL148" s="76"/>
      <c r="KM148" s="76"/>
      <c r="KN148" s="76"/>
      <c r="KO148" s="76"/>
      <c r="KP148" s="118"/>
      <c r="KR148" s="76"/>
      <c r="KS148" s="76"/>
      <c r="KT148" s="76"/>
      <c r="KU148" s="76"/>
      <c r="KV148" s="118"/>
      <c r="KX148" s="76"/>
      <c r="KY148" s="76"/>
      <c r="KZ148" s="76"/>
      <c r="LA148" s="76"/>
      <c r="LB148" s="118"/>
      <c r="LD148" s="76"/>
      <c r="LE148" s="76"/>
      <c r="LF148" s="76"/>
      <c r="LG148" s="76"/>
      <c r="LH148" s="118"/>
      <c r="LJ148" s="76"/>
      <c r="LK148" s="76"/>
      <c r="LL148" s="76"/>
      <c r="LM148" s="76"/>
      <c r="LN148" s="118"/>
      <c r="LP148" s="76"/>
      <c r="LQ148" s="76"/>
      <c r="LR148" s="76"/>
      <c r="LS148" s="76"/>
      <c r="LT148" s="118"/>
      <c r="LV148" s="76"/>
      <c r="LW148" s="76"/>
      <c r="LX148" s="76"/>
      <c r="LY148" s="76"/>
      <c r="LZ148" s="118"/>
      <c r="MB148" s="76"/>
      <c r="MC148" s="76"/>
      <c r="MD148" s="76"/>
      <c r="ME148" s="76"/>
      <c r="MF148" s="118"/>
      <c r="MH148" s="76"/>
      <c r="MI148" s="76"/>
      <c r="MJ148" s="76"/>
      <c r="MK148" s="76"/>
      <c r="ML148" s="118"/>
      <c r="MN148" s="76"/>
      <c r="MO148" s="76"/>
      <c r="MP148" s="76"/>
      <c r="MQ148" s="76"/>
      <c r="MR148" s="76"/>
      <c r="MT148" s="76"/>
      <c r="MU148" s="76"/>
      <c r="MV148" s="76"/>
      <c r="MW148" s="76"/>
    </row>
    <row r="149" spans="190:361" hidden="1" x14ac:dyDescent="0.35">
      <c r="GR149" s="93">
        <f>'Actual Adjustment (SIV)'!DZ19</f>
        <v>-19199.826565281503</v>
      </c>
      <c r="GT149" s="33">
        <f>GR149-(GT$5*GT148)</f>
        <v>-18159.429703123384</v>
      </c>
      <c r="GV149" s="33">
        <f>GT149-(GV$5*GV148)</f>
        <v>-17251.315671813285</v>
      </c>
      <c r="GX149" s="82">
        <f>GV149-(GX$5*GX148)</f>
        <v>-16378.172963600937</v>
      </c>
      <c r="GZ149" s="33">
        <f>GX149-(GZ$5*GZ148)</f>
        <v>-15530.118378480454</v>
      </c>
      <c r="HB149" s="33">
        <f>GZ149-(HB$5*HB148)</f>
        <v>-14483.829608626518</v>
      </c>
      <c r="HD149" s="82">
        <f>HB149-(HD$5*HD148)</f>
        <v>-13445.143300315573</v>
      </c>
      <c r="HF149" s="33">
        <f>HD149-(HF$5*HF148)</f>
        <v>-12045.720191789773</v>
      </c>
      <c r="HH149" s="33">
        <f>HF149-(HH$5*HH148)</f>
        <v>-10368.237052329132</v>
      </c>
      <c r="HJ149" s="82">
        <f>HH149-(HJ$5*HJ148)</f>
        <v>-8917.3072668495788</v>
      </c>
      <c r="HL149" s="33">
        <f>HJ149-(HL$5*HL148)</f>
        <v>-7702.2438507412753</v>
      </c>
      <c r="HN149" s="33">
        <f>HL149-(HN$5*HN148)</f>
        <v>-6224.7054498612588</v>
      </c>
      <c r="HP149" s="82">
        <f>HN149-(HP$5*HP148)</f>
        <v>-4960.7962183392483</v>
      </c>
      <c r="HQ149" s="157"/>
      <c r="HR149" s="143">
        <f>HP149</f>
        <v>-4960.7962183392483</v>
      </c>
      <c r="HS149" s="143"/>
      <c r="HT149" s="143">
        <f>HR149</f>
        <v>-4960.7962183392483</v>
      </c>
      <c r="HU149" s="143"/>
      <c r="HV149" s="169">
        <f>HT149+HP129</f>
        <v>-4533.5766029083916</v>
      </c>
      <c r="HX149" s="33">
        <f>HV149-(HX$5*HX148)</f>
        <v>-4232.0360891160781</v>
      </c>
      <c r="HZ149" s="33">
        <f>HX149-(HZ$5*HZ148)</f>
        <v>-3842.5084376448522</v>
      </c>
      <c r="IB149" s="82">
        <f>HZ149-(IB$5*IB148)</f>
        <v>-3460.9081005037069</v>
      </c>
      <c r="ID149" s="33">
        <f>IB149-(ID$5*ID148)</f>
        <v>-2803.1830665063858</v>
      </c>
      <c r="IF149" s="33">
        <f>ID149-(IF$5*IF148)</f>
        <v>-2033.6889518399089</v>
      </c>
      <c r="IH149" s="82">
        <f>IF149-(IH$5*IH148)</f>
        <v>-1289.0055156110898</v>
      </c>
      <c r="IJ149" s="33">
        <f>IH149-(IJ$5*IJ148)</f>
        <v>-539.17840214519538</v>
      </c>
      <c r="IL149" s="33">
        <f>IJ149-(IL$5*IL148)</f>
        <v>257.42591725316106</v>
      </c>
      <c r="IN149" s="82">
        <f>IL149-(IN$5*IN148)</f>
        <v>908.61545546690411</v>
      </c>
      <c r="IP149" s="33">
        <f>IN149-(IP$5*IP148)</f>
        <v>1329.8523642584537</v>
      </c>
      <c r="IR149" s="33">
        <f>IP149-(IR$5*IR148)</f>
        <v>1733.9638535430347</v>
      </c>
      <c r="IT149" s="168">
        <f>IR149-(IT$5*IT148)</f>
        <v>2077.1984098805824</v>
      </c>
      <c r="IV149" s="53"/>
      <c r="IW149" s="51"/>
      <c r="IX149" s="53"/>
      <c r="IY149" s="51"/>
      <c r="IZ149" s="85"/>
      <c r="JB149" s="53"/>
      <c r="JC149" s="51"/>
      <c r="JD149" s="53"/>
      <c r="JE149" s="51"/>
      <c r="JF149" s="85"/>
      <c r="JG149" s="179"/>
      <c r="JH149" s="53"/>
      <c r="JI149" s="51"/>
      <c r="JJ149" s="53"/>
      <c r="JK149" s="51"/>
      <c r="JL149" s="85"/>
      <c r="JN149" s="53"/>
      <c r="JO149" s="51"/>
      <c r="JP149" s="53"/>
      <c r="JQ149" s="51"/>
      <c r="JR149" s="85"/>
      <c r="JT149" s="53"/>
      <c r="JU149" s="51"/>
      <c r="JV149" s="53"/>
      <c r="JW149" s="51"/>
      <c r="JX149" s="85"/>
      <c r="JZ149" s="53"/>
      <c r="KA149" s="51"/>
      <c r="KB149" s="53"/>
      <c r="KC149" s="51"/>
      <c r="KD149" s="85"/>
      <c r="KF149" s="53"/>
      <c r="KG149" s="51"/>
      <c r="KH149" s="53"/>
      <c r="KI149" s="51"/>
      <c r="KJ149" s="85"/>
      <c r="KL149" s="53"/>
      <c r="KM149" s="51"/>
      <c r="KN149" s="53"/>
      <c r="KO149" s="51"/>
      <c r="KP149" s="85"/>
      <c r="KR149" s="53"/>
      <c r="KS149" s="51"/>
      <c r="KT149" s="53"/>
      <c r="KU149" s="51"/>
      <c r="KV149" s="85"/>
      <c r="KX149" s="53"/>
      <c r="KY149" s="51"/>
      <c r="KZ149" s="53"/>
      <c r="LA149" s="51"/>
      <c r="LB149" s="85"/>
      <c r="LD149" s="53"/>
      <c r="LE149" s="51"/>
      <c r="LF149" s="53"/>
      <c r="LG149" s="51"/>
      <c r="LH149" s="85"/>
      <c r="LJ149" s="53"/>
      <c r="LK149" s="51"/>
      <c r="LL149" s="53"/>
      <c r="LM149" s="51"/>
      <c r="LN149" s="85"/>
      <c r="LP149" s="53"/>
      <c r="LQ149" s="51"/>
      <c r="LR149" s="53"/>
      <c r="LS149" s="51"/>
      <c r="LT149" s="85"/>
      <c r="LV149" s="53"/>
      <c r="LW149" s="51"/>
      <c r="LX149" s="53"/>
      <c r="LY149" s="51"/>
      <c r="LZ149" s="85"/>
      <c r="MB149" s="53"/>
      <c r="MC149" s="51"/>
      <c r="MD149" s="53"/>
      <c r="ME149" s="51"/>
      <c r="MF149" s="85"/>
      <c r="MH149" s="53"/>
      <c r="MI149" s="51"/>
      <c r="MJ149" s="53"/>
      <c r="MK149" s="51"/>
      <c r="ML149" s="85"/>
      <c r="MN149" s="53"/>
      <c r="MO149" s="51"/>
      <c r="MP149" s="53"/>
      <c r="MQ149" s="51"/>
      <c r="MR149" s="53"/>
      <c r="MT149" s="53"/>
      <c r="MU149" s="51"/>
      <c r="MV149" s="53"/>
      <c r="MW149" s="51"/>
    </row>
    <row r="150" spans="190:361" hidden="1" x14ac:dyDescent="0.35">
      <c r="GR150" s="81"/>
      <c r="GX150" s="81"/>
      <c r="HD150" s="81"/>
      <c r="HJ150" s="81"/>
      <c r="HP150" s="158"/>
      <c r="HV150" s="101">
        <f>(HV149/SUM(GT$5:HP$5))</f>
        <v>-6.0513849847945639E-2</v>
      </c>
      <c r="IB150" s="81"/>
      <c r="IH150" s="81"/>
      <c r="IN150" s="81"/>
      <c r="IT150" s="81"/>
      <c r="IZ150" s="81"/>
      <c r="JF150" s="81"/>
      <c r="JG150" s="179"/>
      <c r="JL150" s="81"/>
      <c r="JR150" s="81"/>
      <c r="JX150" s="81"/>
      <c r="KD150" s="81"/>
      <c r="KJ150" s="81"/>
      <c r="KP150" s="81"/>
      <c r="KV150" s="81"/>
      <c r="LB150" s="81"/>
      <c r="LH150" s="81"/>
      <c r="LN150" s="81"/>
      <c r="LT150" s="81"/>
      <c r="LZ150" s="81"/>
      <c r="MF150" s="81"/>
      <c r="ML150" s="81"/>
    </row>
    <row r="151" spans="190:361" hidden="1" x14ac:dyDescent="0.35">
      <c r="GX151" s="83"/>
      <c r="GY151" s="51"/>
      <c r="GZ151" s="76"/>
      <c r="HA151" s="51"/>
      <c r="HB151" s="76"/>
      <c r="HC151" s="76"/>
      <c r="HD151" s="118"/>
      <c r="HE151" s="76"/>
      <c r="HF151" s="76"/>
      <c r="HG151" s="76"/>
      <c r="HH151" s="76"/>
      <c r="HI151" s="76"/>
      <c r="HJ151" s="118"/>
      <c r="HK151" s="76"/>
      <c r="HL151" s="76"/>
      <c r="HM151" s="76"/>
      <c r="HN151" s="76"/>
      <c r="HO151" s="76"/>
      <c r="HP151" s="118"/>
      <c r="HQ151" s="76"/>
      <c r="HR151" s="76"/>
      <c r="HS151" s="76"/>
      <c r="HT151" s="76"/>
      <c r="HU151" s="76"/>
      <c r="HV151" s="118"/>
      <c r="HW151" s="156"/>
      <c r="HX151" s="144"/>
      <c r="HY151" s="144"/>
      <c r="HZ151" s="144"/>
      <c r="IA151" s="144"/>
      <c r="IB151" s="118"/>
      <c r="IC151" s="76"/>
      <c r="ID151" s="175" t="s">
        <v>130</v>
      </c>
      <c r="IE151" s="76"/>
      <c r="IF151" s="76"/>
      <c r="IG151" s="76"/>
      <c r="IH151" s="118"/>
      <c r="II151" s="76"/>
      <c r="IJ151" s="76"/>
      <c r="IK151" s="76"/>
      <c r="IL151" s="76"/>
      <c r="IM151" s="76"/>
      <c r="IN151" s="118"/>
      <c r="IO151" s="76"/>
      <c r="IP151" s="76"/>
      <c r="IQ151" s="76"/>
      <c r="IR151" s="76"/>
      <c r="IS151" s="76"/>
      <c r="IT151" s="118"/>
      <c r="IU151" s="76"/>
      <c r="IV151" s="76"/>
      <c r="IW151" s="76"/>
      <c r="IX151" s="76"/>
      <c r="IY151" s="76"/>
      <c r="IZ151" s="118"/>
      <c r="JA151" s="51"/>
      <c r="JB151" s="76"/>
      <c r="JC151" s="76"/>
      <c r="JD151" s="76"/>
      <c r="JE151" s="76"/>
      <c r="JF151" s="118"/>
      <c r="JG151" s="183"/>
      <c r="JH151" s="76"/>
      <c r="JI151" s="76"/>
      <c r="JJ151" s="76"/>
      <c r="JK151" s="76"/>
      <c r="JL151" s="118"/>
      <c r="JM151" s="51"/>
      <c r="JN151" s="76"/>
      <c r="JO151" s="76"/>
      <c r="JP151" s="76"/>
      <c r="JQ151" s="76"/>
      <c r="JR151" s="118"/>
      <c r="JS151" s="51"/>
      <c r="JT151" s="76"/>
      <c r="JU151" s="76"/>
      <c r="JV151" s="76"/>
      <c r="JW151" s="76"/>
      <c r="JX151" s="118"/>
      <c r="JY151" s="51"/>
      <c r="JZ151" s="76"/>
      <c r="KA151" s="76"/>
      <c r="KB151" s="76"/>
      <c r="KC151" s="76"/>
      <c r="KD151" s="118"/>
      <c r="KE151" s="51"/>
      <c r="KF151" s="76"/>
      <c r="KG151" s="76"/>
      <c r="KH151" s="76"/>
      <c r="KI151" s="76"/>
      <c r="KJ151" s="118"/>
      <c r="KK151" s="51"/>
      <c r="KL151" s="76"/>
      <c r="KM151" s="76"/>
      <c r="KN151" s="76"/>
      <c r="KO151" s="76"/>
      <c r="KP151" s="118"/>
      <c r="KQ151" s="51"/>
      <c r="KR151" s="76"/>
      <c r="KS151" s="76"/>
      <c r="KT151" s="76"/>
      <c r="KU151" s="76"/>
      <c r="KV151" s="118"/>
      <c r="KW151" s="51"/>
      <c r="KX151" s="76"/>
      <c r="KY151" s="76"/>
      <c r="KZ151" s="76"/>
      <c r="LA151" s="76"/>
      <c r="LB151" s="118"/>
      <c r="LC151" s="51"/>
      <c r="LD151" s="76"/>
      <c r="LE151" s="76"/>
      <c r="LF151" s="76"/>
      <c r="LG151" s="76"/>
      <c r="LH151" s="118"/>
      <c r="LI151" s="51"/>
      <c r="LJ151" s="76"/>
      <c r="LK151" s="76"/>
      <c r="LL151" s="76"/>
      <c r="LM151" s="76"/>
      <c r="LN151" s="118"/>
      <c r="LO151" s="51"/>
      <c r="LP151" s="76"/>
      <c r="LQ151" s="76"/>
      <c r="LR151" s="76"/>
      <c r="LS151" s="76"/>
      <c r="LT151" s="118"/>
      <c r="LU151" s="51"/>
      <c r="LV151" s="76"/>
      <c r="LW151" s="76"/>
      <c r="LX151" s="76"/>
      <c r="LY151" s="76"/>
      <c r="LZ151" s="118"/>
      <c r="MA151" s="51"/>
      <c r="MB151" s="76"/>
      <c r="MC151" s="76"/>
      <c r="MD151" s="76"/>
      <c r="ME151" s="76"/>
      <c r="MF151" s="118"/>
      <c r="MG151" s="51"/>
      <c r="MH151" s="76"/>
      <c r="MI151" s="76"/>
      <c r="MJ151" s="76"/>
      <c r="MK151" s="76"/>
      <c r="ML151" s="118"/>
      <c r="MM151" s="51"/>
      <c r="MN151" s="76"/>
      <c r="MO151" s="76"/>
      <c r="MP151" s="76"/>
      <c r="MQ151" s="76"/>
      <c r="MR151" s="76"/>
      <c r="MS151" s="51"/>
      <c r="MT151" s="76"/>
      <c r="MU151" s="76"/>
      <c r="MV151" s="76"/>
      <c r="MW151" s="76"/>
    </row>
    <row r="152" spans="190:361" hidden="1" x14ac:dyDescent="0.35">
      <c r="GX152" s="81"/>
      <c r="GZ152" s="66">
        <f>'Actual Adjustment (SIV)'!EF21</f>
        <v>-0.13937124008885932</v>
      </c>
      <c r="HA152" s="95"/>
      <c r="HB152" s="43">
        <f>GZ152</f>
        <v>-0.13937124008885932</v>
      </c>
      <c r="HC152" s="40"/>
      <c r="HD152" s="150">
        <f>HB152</f>
        <v>-0.13937124008885932</v>
      </c>
      <c r="HE152" s="40"/>
      <c r="HF152" s="43">
        <f>HD152</f>
        <v>-0.13937124008885932</v>
      </c>
      <c r="HG152" s="40"/>
      <c r="HH152" s="43">
        <f>HF152</f>
        <v>-0.13937124008885932</v>
      </c>
      <c r="HI152" s="40"/>
      <c r="HJ152" s="150">
        <f>HH152</f>
        <v>-0.13937124008885932</v>
      </c>
      <c r="HK152" s="40"/>
      <c r="HL152" s="43">
        <f>HJ152</f>
        <v>-0.13937124008885932</v>
      </c>
      <c r="HM152" s="40"/>
      <c r="HN152" s="43">
        <f>HL152</f>
        <v>-0.13937124008885932</v>
      </c>
      <c r="HO152" s="40"/>
      <c r="HP152" s="150">
        <f>HN152</f>
        <v>-0.13937124008885932</v>
      </c>
      <c r="HQ152" s="40"/>
      <c r="HR152" s="43">
        <f>HP152</f>
        <v>-0.13937124008885932</v>
      </c>
      <c r="HS152" s="40"/>
      <c r="HT152" s="43">
        <f>HR152</f>
        <v>-0.13937124008885932</v>
      </c>
      <c r="HU152" s="40"/>
      <c r="HV152" s="150">
        <f>HT152</f>
        <v>-0.13937124008885932</v>
      </c>
      <c r="HW152" s="156"/>
      <c r="HX152" s="144"/>
      <c r="HY152" s="144"/>
      <c r="HZ152" s="144"/>
      <c r="IA152" s="144"/>
      <c r="IB152" s="118"/>
      <c r="IC152" s="40"/>
      <c r="ID152" s="151">
        <v>-6.3899999999999998E-2</v>
      </c>
      <c r="IE152" s="40"/>
      <c r="IF152" s="43">
        <f>ID152</f>
        <v>-6.3899999999999998E-2</v>
      </c>
      <c r="IG152" s="40"/>
      <c r="IH152" s="150">
        <f>IF152</f>
        <v>-6.3899999999999998E-2</v>
      </c>
      <c r="II152" s="40"/>
      <c r="IJ152" s="43">
        <f>IH152</f>
        <v>-6.3899999999999998E-2</v>
      </c>
      <c r="IK152" s="40"/>
      <c r="IL152" s="43">
        <f>IJ152</f>
        <v>-6.3899999999999998E-2</v>
      </c>
      <c r="IM152" s="40"/>
      <c r="IN152" s="150">
        <f>IL152</f>
        <v>-6.3899999999999998E-2</v>
      </c>
      <c r="IO152" s="40"/>
      <c r="IP152" s="43">
        <f>IN152</f>
        <v>-6.3899999999999998E-2</v>
      </c>
      <c r="IQ152" s="40"/>
      <c r="IR152" s="43">
        <f>IP152</f>
        <v>-6.3899999999999998E-2</v>
      </c>
      <c r="IS152" s="40"/>
      <c r="IT152" s="150">
        <f>IR152</f>
        <v>-6.3899999999999998E-2</v>
      </c>
      <c r="IU152" s="40"/>
      <c r="IV152" s="43">
        <f>IT152</f>
        <v>-6.3899999999999998E-2</v>
      </c>
      <c r="IW152" s="40"/>
      <c r="IX152" s="43">
        <f>IV152</f>
        <v>-6.3899999999999998E-2</v>
      </c>
      <c r="IY152" s="40"/>
      <c r="IZ152" s="150">
        <f>IX152</f>
        <v>-6.3899999999999998E-2</v>
      </c>
      <c r="JA152" s="51"/>
      <c r="JB152" s="76"/>
      <c r="JC152" s="76"/>
      <c r="JD152" s="76"/>
      <c r="JE152" s="76"/>
      <c r="JF152" s="118"/>
      <c r="JG152" s="183"/>
      <c r="JH152" s="76"/>
      <c r="JI152" s="76"/>
      <c r="JJ152" s="76"/>
      <c r="JK152" s="76"/>
      <c r="JL152" s="118"/>
      <c r="JM152" s="51"/>
      <c r="JN152" s="76"/>
      <c r="JO152" s="76"/>
      <c r="JP152" s="76"/>
      <c r="JQ152" s="76"/>
      <c r="JR152" s="118"/>
      <c r="JS152" s="51"/>
      <c r="JT152" s="76"/>
      <c r="JU152" s="76"/>
      <c r="JV152" s="76"/>
      <c r="JW152" s="76"/>
      <c r="JX152" s="118"/>
      <c r="JY152" s="51"/>
      <c r="JZ152" s="76"/>
      <c r="KA152" s="76"/>
      <c r="KB152" s="76"/>
      <c r="KC152" s="76"/>
      <c r="KD152" s="118"/>
      <c r="KE152" s="51"/>
      <c r="KF152" s="76"/>
      <c r="KG152" s="76"/>
      <c r="KH152" s="76"/>
      <c r="KI152" s="76"/>
      <c r="KJ152" s="118"/>
      <c r="KK152" s="51"/>
      <c r="KL152" s="76"/>
      <c r="KM152" s="76"/>
      <c r="KN152" s="76"/>
      <c r="KO152" s="76"/>
      <c r="KP152" s="118"/>
      <c r="KQ152" s="51"/>
      <c r="KR152" s="76"/>
      <c r="KS152" s="76"/>
      <c r="KT152" s="76"/>
      <c r="KU152" s="76"/>
      <c r="KV152" s="118"/>
      <c r="KW152" s="51"/>
      <c r="KX152" s="76"/>
      <c r="KY152" s="76"/>
      <c r="KZ152" s="76"/>
      <c r="LA152" s="76"/>
      <c r="LB152" s="118"/>
      <c r="LC152" s="51"/>
      <c r="LD152" s="76"/>
      <c r="LE152" s="76"/>
      <c r="LF152" s="76"/>
      <c r="LG152" s="76"/>
      <c r="LH152" s="118"/>
      <c r="LI152" s="51"/>
      <c r="LJ152" s="76"/>
      <c r="LK152" s="76"/>
      <c r="LL152" s="76"/>
      <c r="LM152" s="76"/>
      <c r="LN152" s="118"/>
      <c r="LO152" s="51"/>
      <c r="LP152" s="76"/>
      <c r="LQ152" s="76"/>
      <c r="LR152" s="76"/>
      <c r="LS152" s="76"/>
      <c r="LT152" s="118"/>
      <c r="LU152" s="51"/>
      <c r="LV152" s="76"/>
      <c r="LW152" s="76"/>
      <c r="LX152" s="76"/>
      <c r="LY152" s="76"/>
      <c r="LZ152" s="118"/>
      <c r="MA152" s="51"/>
      <c r="MB152" s="76"/>
      <c r="MC152" s="76"/>
      <c r="MD152" s="76"/>
      <c r="ME152" s="76"/>
      <c r="MF152" s="118"/>
      <c r="MG152" s="51"/>
      <c r="MH152" s="76"/>
      <c r="MI152" s="76"/>
      <c r="MJ152" s="76"/>
      <c r="MK152" s="76"/>
      <c r="ML152" s="118"/>
      <c r="MM152" s="51"/>
      <c r="MN152" s="76"/>
      <c r="MO152" s="76"/>
      <c r="MP152" s="76"/>
      <c r="MQ152" s="76"/>
      <c r="MR152" s="76"/>
      <c r="MS152" s="51"/>
      <c r="MT152" s="76"/>
      <c r="MU152" s="76"/>
      <c r="MV152" s="76"/>
      <c r="MW152" s="76"/>
    </row>
    <row r="153" spans="190:361" hidden="1" x14ac:dyDescent="0.35">
      <c r="GX153" s="93">
        <f>'Actual Adjustment (SIV)'!EF19</f>
        <v>-13091.001210306466</v>
      </c>
      <c r="GZ153" s="33">
        <f>GX153-(GZ$5*GZ152)</f>
        <v>-12469.126737029976</v>
      </c>
      <c r="HB153" s="33">
        <f>GZ153-(HB$5*HB152)</f>
        <v>-11701.888060340805</v>
      </c>
      <c r="HD153" s="82">
        <f>HB153-(HD$5*HD152)</f>
        <v>-10940.224233255189</v>
      </c>
      <c r="HF153" s="33">
        <f>HD153-(HF$5*HF152)</f>
        <v>-9914.0337924809173</v>
      </c>
      <c r="HH153" s="33">
        <f>HF153-(HH$5*HH152)</f>
        <v>-8683.9432274566443</v>
      </c>
      <c r="HJ153" s="82">
        <f>HH153-(HJ$5*HJ152)</f>
        <v>-7619.983180618292</v>
      </c>
      <c r="HL153" s="33">
        <f>HJ153-(HL$5*HL152)</f>
        <v>-6728.9828427302145</v>
      </c>
      <c r="HN153" s="33">
        <f>HL153-(HN$5*HN152)</f>
        <v>-5645.5108222794224</v>
      </c>
      <c r="HP153" s="82">
        <f>HN153-(HP$5*HP152)</f>
        <v>-4718.6920756885083</v>
      </c>
      <c r="HQ153" s="179"/>
      <c r="HR153" s="33">
        <f>HP153-(HR$5*HR152)</f>
        <v>-4163.8551688947591</v>
      </c>
      <c r="HT153" s="33">
        <f>HR153-(HT$5*HT152)</f>
        <v>-3681.770049427395</v>
      </c>
      <c r="HV153" s="82">
        <f>HT153-(HV$5*HV152)</f>
        <v>-3304.9102162271192</v>
      </c>
      <c r="HW153" s="157"/>
      <c r="HX153" s="143">
        <f>HV153</f>
        <v>-3304.9102162271192</v>
      </c>
      <c r="HY153" s="143"/>
      <c r="HZ153" s="143">
        <f>HX153</f>
        <v>-3304.9102162271192</v>
      </c>
      <c r="IA153" s="143"/>
      <c r="IB153" s="169">
        <f>HZ153+HV133</f>
        <v>-4487.9198498924161</v>
      </c>
      <c r="ID153" s="33">
        <f>IB153-(ID$5*ID152)</f>
        <v>-3793.3907498924164</v>
      </c>
      <c r="IF153" s="33">
        <f>ID153-(IF$5*IF152)</f>
        <v>-2980.8383498924163</v>
      </c>
      <c r="IH153" s="82">
        <f>IF153-(IH$5*IH152)</f>
        <v>-2194.4849498924164</v>
      </c>
      <c r="IJ153" s="33">
        <f>IH153-(IJ$5*IJ152)</f>
        <v>-1402.7000498924162</v>
      </c>
      <c r="IL153" s="33">
        <f>IJ153-(IL$5*IL152)</f>
        <v>-561.52044989241631</v>
      </c>
      <c r="IN153" s="82">
        <f>IL153-(IN$5*IN152)</f>
        <v>126.10745010758365</v>
      </c>
      <c r="IP153" s="33">
        <f>IN153-(IP$5*IP152)</f>
        <v>570.91535010758366</v>
      </c>
      <c r="IR153" s="33">
        <f>IP153-(IR$5*IR152)</f>
        <v>997.63955010758366</v>
      </c>
      <c r="IT153" s="82">
        <f>IR153-(IT$5*IT152)</f>
        <v>1360.0803501075836</v>
      </c>
      <c r="IV153" s="33">
        <f>IT153-(IV$5*IV152)</f>
        <v>1798.1148501075836</v>
      </c>
      <c r="IX153" s="33">
        <f>IV153-(IX$5*IX152)</f>
        <v>2186.8057701075836</v>
      </c>
      <c r="IZ153" s="168">
        <f>IX153-(IZ$5*IZ152)</f>
        <v>2653.3588401075835</v>
      </c>
      <c r="JA153" s="51"/>
      <c r="JB153" s="53"/>
      <c r="JC153" s="51"/>
      <c r="JD153" s="53"/>
      <c r="JE153" s="51"/>
      <c r="JF153" s="85"/>
      <c r="JG153" s="183"/>
      <c r="JH153" s="53"/>
      <c r="JI153" s="51"/>
      <c r="JJ153" s="53"/>
      <c r="JK153" s="51"/>
      <c r="JL153" s="85"/>
      <c r="JM153" s="51"/>
      <c r="JN153" s="53"/>
      <c r="JO153" s="51"/>
      <c r="JP153" s="53"/>
      <c r="JQ153" s="51"/>
      <c r="JR153" s="85"/>
      <c r="JS153" s="51"/>
      <c r="JT153" s="53"/>
      <c r="JU153" s="51"/>
      <c r="JV153" s="53"/>
      <c r="JW153" s="51"/>
      <c r="JX153" s="85"/>
      <c r="JY153" s="51"/>
      <c r="JZ153" s="53"/>
      <c r="KA153" s="51"/>
      <c r="KB153" s="53"/>
      <c r="KC153" s="51"/>
      <c r="KD153" s="85"/>
      <c r="KE153" s="51"/>
      <c r="KF153" s="53"/>
      <c r="KG153" s="51"/>
      <c r="KH153" s="53"/>
      <c r="KI153" s="51"/>
      <c r="KJ153" s="85"/>
      <c r="KK153" s="51"/>
      <c r="KL153" s="53"/>
      <c r="KM153" s="51"/>
      <c r="KN153" s="53"/>
      <c r="KO153" s="51"/>
      <c r="KP153" s="85"/>
      <c r="KQ153" s="51"/>
      <c r="KR153" s="53"/>
      <c r="KS153" s="51"/>
      <c r="KT153" s="53"/>
      <c r="KU153" s="51"/>
      <c r="KV153" s="85"/>
      <c r="KW153" s="51"/>
      <c r="KX153" s="53"/>
      <c r="KY153" s="51"/>
      <c r="KZ153" s="53"/>
      <c r="LA153" s="51"/>
      <c r="LB153" s="85"/>
      <c r="LC153" s="51"/>
      <c r="LD153" s="53"/>
      <c r="LE153" s="51"/>
      <c r="LF153" s="53"/>
      <c r="LG153" s="51"/>
      <c r="LH153" s="85"/>
      <c r="LI153" s="51"/>
      <c r="LJ153" s="53"/>
      <c r="LK153" s="51"/>
      <c r="LL153" s="53"/>
      <c r="LM153" s="51"/>
      <c r="LN153" s="85"/>
      <c r="LO153" s="51"/>
      <c r="LP153" s="53"/>
      <c r="LQ153" s="51"/>
      <c r="LR153" s="53"/>
      <c r="LS153" s="51"/>
      <c r="LT153" s="85"/>
      <c r="LU153" s="51"/>
      <c r="LV153" s="53"/>
      <c r="LW153" s="51"/>
      <c r="LX153" s="53"/>
      <c r="LY153" s="51"/>
      <c r="LZ153" s="85"/>
      <c r="MA153" s="51"/>
      <c r="MB153" s="53"/>
      <c r="MC153" s="51"/>
      <c r="MD153" s="53"/>
      <c r="ME153" s="51"/>
      <c r="MF153" s="85"/>
      <c r="MG153" s="51"/>
      <c r="MH153" s="53"/>
      <c r="MI153" s="51"/>
      <c r="MJ153" s="53"/>
      <c r="MK153" s="51"/>
      <c r="ML153" s="85"/>
      <c r="MM153" s="51"/>
      <c r="MN153" s="53"/>
      <c r="MO153" s="51"/>
      <c r="MP153" s="53"/>
      <c r="MQ153" s="51"/>
      <c r="MR153" s="53"/>
      <c r="MS153" s="51"/>
      <c r="MT153" s="53"/>
      <c r="MU153" s="51"/>
      <c r="MV153" s="53"/>
      <c r="MW153" s="51"/>
    </row>
    <row r="154" spans="190:361" hidden="1" x14ac:dyDescent="0.35">
      <c r="GX154" s="81"/>
      <c r="HD154" s="81"/>
      <c r="HE154" s="179"/>
      <c r="HJ154" s="81"/>
      <c r="HK154" s="179"/>
      <c r="HP154" s="81"/>
      <c r="HQ154" s="179"/>
      <c r="HV154" s="158"/>
      <c r="HW154" s="179"/>
      <c r="IB154" s="101">
        <f>(IB153/SUM(GZ$5:HV$5))</f>
        <v>-6.3915914462407658E-2</v>
      </c>
      <c r="IH154" s="81"/>
      <c r="IN154" s="81"/>
      <c r="IO154" s="179"/>
      <c r="IT154" s="81"/>
      <c r="IU154" s="179"/>
      <c r="IZ154" s="81"/>
      <c r="JA154" s="179"/>
      <c r="JF154" s="81"/>
      <c r="JG154" s="183"/>
      <c r="JL154" s="81"/>
      <c r="JM154" s="51"/>
      <c r="JR154" s="81"/>
      <c r="JS154" s="51"/>
      <c r="JX154" s="81"/>
      <c r="JY154" s="51"/>
      <c r="KD154" s="81"/>
      <c r="KE154" s="51"/>
      <c r="KJ154" s="81"/>
      <c r="KK154" s="51"/>
      <c r="KP154" s="81"/>
      <c r="KQ154" s="51"/>
      <c r="KV154" s="81"/>
      <c r="KW154" s="51"/>
      <c r="LB154" s="81"/>
      <c r="LC154" s="51"/>
      <c r="LH154" s="81"/>
      <c r="LI154" s="51"/>
      <c r="LN154" s="81"/>
      <c r="LO154" s="51"/>
      <c r="LT154" s="81"/>
      <c r="LU154" s="51"/>
      <c r="LZ154" s="81"/>
      <c r="MA154" s="51"/>
      <c r="MF154" s="81"/>
      <c r="MG154" s="51"/>
      <c r="ML154" s="81"/>
      <c r="MM154" s="51"/>
      <c r="MS154" s="51"/>
    </row>
    <row r="155" spans="190:361" hidden="1" x14ac:dyDescent="0.35">
      <c r="HE155" s="179"/>
      <c r="HK155" s="179"/>
      <c r="HQ155" s="179"/>
      <c r="HW155" s="179"/>
      <c r="IB155" s="81"/>
      <c r="II155" s="179"/>
      <c r="IO155" s="179"/>
      <c r="IU155" s="179"/>
      <c r="JA155" s="179"/>
      <c r="JF155" s="81"/>
      <c r="JG155" s="179"/>
      <c r="JM155" s="179"/>
      <c r="JS155" s="179"/>
      <c r="JY155" s="179"/>
      <c r="KE155" s="179"/>
      <c r="KK155" s="179"/>
      <c r="KQ155" s="179"/>
      <c r="KW155" s="179"/>
      <c r="LC155" s="179"/>
      <c r="LI155" s="179"/>
      <c r="LO155" s="179"/>
      <c r="LU155" s="179"/>
      <c r="MA155" s="179"/>
      <c r="MG155" s="179"/>
      <c r="MM155" s="179"/>
      <c r="MS155" s="179"/>
    </row>
    <row r="156" spans="190:361" hidden="1" x14ac:dyDescent="0.35">
      <c r="HD156" s="81"/>
      <c r="HE156" s="179"/>
      <c r="HF156" s="66">
        <f>'Actual Adjustment (SIV)'!EL21</f>
        <v>0.40211153658516074</v>
      </c>
      <c r="HG156" s="95"/>
      <c r="HH156" s="43">
        <f>HF156</f>
        <v>0.40211153658516074</v>
      </c>
      <c r="HI156" s="40"/>
      <c r="HJ156" s="150">
        <f>HH156</f>
        <v>0.40211153658516074</v>
      </c>
      <c r="HK156" s="179"/>
      <c r="HL156" s="43">
        <f>HJ156</f>
        <v>0.40211153658516074</v>
      </c>
      <c r="HM156" s="40"/>
      <c r="HN156" s="43">
        <f>HL156</f>
        <v>0.40211153658516074</v>
      </c>
      <c r="HO156" s="40"/>
      <c r="HP156" s="150">
        <f>HN156</f>
        <v>0.40211153658516074</v>
      </c>
      <c r="HQ156" s="179"/>
      <c r="HR156" s="43">
        <f>HP156</f>
        <v>0.40211153658516074</v>
      </c>
      <c r="HS156" s="40"/>
      <c r="HT156" s="43">
        <f>HR156</f>
        <v>0.40211153658516074</v>
      </c>
      <c r="HU156" s="40"/>
      <c r="HV156" s="150">
        <f>HT156</f>
        <v>0.40211153658516074</v>
      </c>
      <c r="HW156" s="179"/>
      <c r="HX156" s="43">
        <f>HV156</f>
        <v>0.40211153658516074</v>
      </c>
      <c r="HY156" s="40"/>
      <c r="HZ156" s="43">
        <f>HX156</f>
        <v>0.40211153658516074</v>
      </c>
      <c r="IA156" s="40"/>
      <c r="IB156" s="150">
        <f>HZ156</f>
        <v>0.40211153658516074</v>
      </c>
      <c r="IC156" s="156"/>
      <c r="ID156" s="144"/>
      <c r="IE156" s="144"/>
      <c r="IF156" s="144"/>
      <c r="IG156" s="144"/>
      <c r="IH156" s="118"/>
      <c r="II156" s="179"/>
      <c r="IJ156" s="151">
        <v>5.1999999999999998E-3</v>
      </c>
      <c r="IK156" s="40"/>
      <c r="IL156" s="43">
        <f>IJ156</f>
        <v>5.1999999999999998E-3</v>
      </c>
      <c r="IM156" s="40"/>
      <c r="IN156" s="150">
        <f>IL156</f>
        <v>5.1999999999999998E-3</v>
      </c>
      <c r="IO156" s="179"/>
      <c r="IP156" s="43">
        <f>IN156</f>
        <v>5.1999999999999998E-3</v>
      </c>
      <c r="IQ156" s="40"/>
      <c r="IR156" s="43">
        <f>IP156</f>
        <v>5.1999999999999998E-3</v>
      </c>
      <c r="IS156" s="40"/>
      <c r="IT156" s="150">
        <f>IR156</f>
        <v>5.1999999999999998E-3</v>
      </c>
      <c r="IU156" s="179"/>
      <c r="IV156" s="43">
        <f>IT156</f>
        <v>5.1999999999999998E-3</v>
      </c>
      <c r="IW156" s="40"/>
      <c r="IX156" s="43">
        <f>IV156</f>
        <v>5.1999999999999998E-3</v>
      </c>
      <c r="IY156" s="40"/>
      <c r="IZ156" s="150">
        <f>IX156</f>
        <v>5.1999999999999998E-3</v>
      </c>
      <c r="JA156" s="179"/>
      <c r="JB156" s="43">
        <f>IZ156</f>
        <v>5.1999999999999998E-3</v>
      </c>
      <c r="JC156" s="40"/>
      <c r="JD156" s="43">
        <f>JB156</f>
        <v>5.1999999999999998E-3</v>
      </c>
      <c r="JE156" s="40"/>
      <c r="JF156" s="150">
        <f>JD156</f>
        <v>5.1999999999999998E-3</v>
      </c>
      <c r="JG156" s="179"/>
      <c r="JH156" s="76"/>
      <c r="JI156" s="76"/>
      <c r="JJ156" s="76"/>
      <c r="JK156" s="76"/>
      <c r="JL156" s="144"/>
      <c r="JM156" s="179"/>
      <c r="JN156" s="76"/>
      <c r="JO156" s="76"/>
      <c r="JP156" s="76"/>
      <c r="JQ156" s="76"/>
      <c r="JR156" s="144"/>
      <c r="JS156" s="179"/>
      <c r="JT156" s="76"/>
      <c r="JU156" s="76"/>
      <c r="JV156" s="76"/>
      <c r="JW156" s="76"/>
      <c r="JX156" s="144"/>
      <c r="JY156" s="179"/>
      <c r="JZ156" s="76"/>
      <c r="KA156" s="76"/>
      <c r="KB156" s="76"/>
      <c r="KC156" s="76"/>
      <c r="KD156" s="144"/>
      <c r="KE156" s="179"/>
      <c r="KF156" s="76"/>
      <c r="KG156" s="76"/>
      <c r="KH156" s="76"/>
      <c r="KI156" s="76"/>
      <c r="KJ156" s="144"/>
      <c r="KK156" s="179"/>
      <c r="KL156" s="76"/>
      <c r="KM156" s="76"/>
      <c r="KN156" s="76"/>
      <c r="KO156" s="76"/>
      <c r="KP156" s="144"/>
      <c r="KQ156" s="179"/>
      <c r="KR156" s="76"/>
      <c r="KS156" s="76"/>
      <c r="KT156" s="76"/>
      <c r="KU156" s="76"/>
      <c r="KV156" s="144"/>
      <c r="KW156" s="179"/>
      <c r="KX156" s="76"/>
      <c r="KY156" s="76"/>
      <c r="KZ156" s="76"/>
      <c r="LA156" s="76"/>
      <c r="LB156" s="144"/>
      <c r="LC156" s="179"/>
      <c r="LD156" s="76"/>
      <c r="LE156" s="76"/>
      <c r="LF156" s="76"/>
      <c r="LG156" s="76"/>
      <c r="LH156" s="144"/>
      <c r="LI156" s="179"/>
      <c r="LJ156" s="76"/>
      <c r="LK156" s="76"/>
      <c r="LL156" s="76"/>
      <c r="LM156" s="76"/>
      <c r="LN156" s="144"/>
      <c r="LO156" s="179"/>
      <c r="LP156" s="76"/>
      <c r="LQ156" s="76"/>
      <c r="LR156" s="76"/>
      <c r="LS156" s="76"/>
      <c r="LT156" s="144"/>
      <c r="LU156" s="179"/>
      <c r="LV156" s="76"/>
      <c r="LW156" s="76"/>
      <c r="LX156" s="76"/>
      <c r="LY156" s="76"/>
      <c r="LZ156" s="144"/>
      <c r="MA156" s="179"/>
      <c r="MB156" s="76"/>
      <c r="MC156" s="76"/>
      <c r="MD156" s="76"/>
      <c r="ME156" s="76"/>
      <c r="MF156" s="144"/>
      <c r="MG156" s="179"/>
      <c r="MH156" s="76"/>
      <c r="MI156" s="76"/>
      <c r="MJ156" s="76"/>
      <c r="MK156" s="76"/>
      <c r="ML156" s="144"/>
      <c r="MM156" s="179"/>
      <c r="MN156" s="76"/>
      <c r="MO156" s="76"/>
      <c r="MP156" s="76"/>
      <c r="MQ156" s="76"/>
      <c r="MR156" s="76"/>
      <c r="MS156" s="179"/>
      <c r="MT156" s="76"/>
      <c r="MU156" s="76"/>
      <c r="MV156" s="76"/>
      <c r="MW156" s="76"/>
    </row>
    <row r="157" spans="190:361" hidden="1" x14ac:dyDescent="0.35">
      <c r="HD157" s="93">
        <f>'Actual Adjustment (SIV)'!EL19</f>
        <v>35191.595347323513</v>
      </c>
      <c r="HE157" s="179"/>
      <c r="HF157" s="33">
        <f>HD157-(HF$5*HF156)</f>
        <v>32230.848103446973</v>
      </c>
      <c r="HH157" s="33">
        <f>HF157-(HH$5*HH156)</f>
        <v>28681.811681546344</v>
      </c>
      <c r="HJ157" s="82">
        <f>HH157-(HJ$5*HJ156)</f>
        <v>25612.092211255225</v>
      </c>
      <c r="HK157" s="179"/>
      <c r="HL157" s="33">
        <f>HJ157-(HL$5*HL156)</f>
        <v>23041.393157866292</v>
      </c>
      <c r="HN157" s="33">
        <f>HL157-(HN$5*HN156)</f>
        <v>19915.378072453252</v>
      </c>
      <c r="HP157" s="82">
        <f>HN157-(HP$5*HP156)</f>
        <v>17241.336354161933</v>
      </c>
      <c r="HQ157" s="179"/>
      <c r="HR157" s="33">
        <f>HP157-(HR$5*HR156)</f>
        <v>15640.530327016408</v>
      </c>
      <c r="HT157" s="33">
        <f>HR157-(HT$5*HT156)</f>
        <v>14249.626521968337</v>
      </c>
      <c r="HV157" s="82">
        <f>HT157-(HV$5*HV156)</f>
        <v>13162.316927042062</v>
      </c>
      <c r="HW157" s="179"/>
      <c r="HX157" s="33">
        <f>HV157-(HX$5*HX156)</f>
        <v>11158.595140238205</v>
      </c>
      <c r="HZ157" s="33">
        <f>HX157-(HZ$5*HZ156)</f>
        <v>8570.2031792395246</v>
      </c>
      <c r="IB157" s="82">
        <f>HZ157-(IB$5*IB156)</f>
        <v>6034.4878295335011</v>
      </c>
      <c r="IC157" s="157"/>
      <c r="ID157" s="143">
        <f>IB157</f>
        <v>6034.4878295335011</v>
      </c>
      <c r="IE157" s="143"/>
      <c r="IF157" s="143">
        <f>ID157</f>
        <v>6034.4878295335011</v>
      </c>
      <c r="IG157" s="143"/>
      <c r="IH157" s="169">
        <f>IF157+IB137</f>
        <v>377.34385714594373</v>
      </c>
      <c r="II157" s="179"/>
      <c r="IJ157" s="33">
        <f>IH157-(IJ$5*IJ156)</f>
        <v>312.91065714594373</v>
      </c>
      <c r="IL157" s="33">
        <f>IJ157-(IL$5*IL156)</f>
        <v>244.45785714594373</v>
      </c>
      <c r="IN157" s="82">
        <f>IL157-(IN$5*IN156)</f>
        <v>188.50065714594373</v>
      </c>
      <c r="IO157" s="179"/>
      <c r="IP157" s="33">
        <f>IN157-(IP$5*IP156)</f>
        <v>152.30345714594375</v>
      </c>
      <c r="IR157" s="33">
        <f>IP157-(IR$5*IR156)</f>
        <v>117.57785714594375</v>
      </c>
      <c r="IT157" s="82">
        <f>IR157-(IT$5*IT156)</f>
        <v>88.083457145943754</v>
      </c>
      <c r="IU157" s="179"/>
      <c r="IV157" s="33">
        <f>IT157-(IV$5*IV156)</f>
        <v>52.437457145943753</v>
      </c>
      <c r="IX157" s="33">
        <f>IV157-(IX$5*IX156)</f>
        <v>20.806897145943754</v>
      </c>
      <c r="IZ157" s="82">
        <f>IX157-(IZ$5*IZ156)</f>
        <v>-17.159862854056247</v>
      </c>
      <c r="JA157" s="179"/>
      <c r="JB157" s="33">
        <f>IZ157-(JB$5*JB156)</f>
        <v>-86.712982854056236</v>
      </c>
      <c r="JD157" s="33">
        <f>JB157-(JD$5*JD156)</f>
        <v>-159.04498285405623</v>
      </c>
      <c r="JF157" s="168">
        <f>JD157-(JF$5*JF156)</f>
        <v>-222.63058285405623</v>
      </c>
      <c r="JG157" s="179"/>
      <c r="JH157" s="53"/>
      <c r="JI157" s="51"/>
      <c r="JJ157" s="53"/>
      <c r="JK157" s="51"/>
      <c r="JL157" s="143"/>
      <c r="JM157" s="179"/>
      <c r="JN157" s="53"/>
      <c r="JO157" s="51"/>
      <c r="JP157" s="53"/>
      <c r="JQ157" s="51"/>
      <c r="JR157" s="143"/>
      <c r="JS157" s="179"/>
      <c r="JT157" s="53"/>
      <c r="JU157" s="51"/>
      <c r="JV157" s="53"/>
      <c r="JW157" s="51"/>
      <c r="JX157" s="143"/>
      <c r="JY157" s="179"/>
      <c r="JZ157" s="53"/>
      <c r="KA157" s="51"/>
      <c r="KB157" s="53"/>
      <c r="KC157" s="51"/>
      <c r="KD157" s="143"/>
      <c r="KE157" s="179"/>
      <c r="KF157" s="53"/>
      <c r="KG157" s="51"/>
      <c r="KH157" s="53"/>
      <c r="KI157" s="51"/>
      <c r="KJ157" s="143"/>
      <c r="KK157" s="179"/>
      <c r="KL157" s="53"/>
      <c r="KM157" s="51"/>
      <c r="KN157" s="53"/>
      <c r="KO157" s="51"/>
      <c r="KP157" s="143"/>
      <c r="KQ157" s="179"/>
      <c r="KR157" s="53"/>
      <c r="KS157" s="51"/>
      <c r="KT157" s="53"/>
      <c r="KU157" s="51"/>
      <c r="KV157" s="143"/>
      <c r="KW157" s="179"/>
      <c r="KX157" s="53"/>
      <c r="KY157" s="51"/>
      <c r="KZ157" s="53"/>
      <c r="LA157" s="51"/>
      <c r="LB157" s="143"/>
      <c r="LC157" s="179"/>
      <c r="LD157" s="53"/>
      <c r="LE157" s="51"/>
      <c r="LF157" s="53"/>
      <c r="LG157" s="51"/>
      <c r="LH157" s="143"/>
      <c r="LI157" s="179"/>
      <c r="LJ157" s="53"/>
      <c r="LK157" s="51"/>
      <c r="LL157" s="53"/>
      <c r="LM157" s="51"/>
      <c r="LN157" s="143"/>
      <c r="LO157" s="179"/>
      <c r="LP157" s="53"/>
      <c r="LQ157" s="51"/>
      <c r="LR157" s="53"/>
      <c r="LS157" s="51"/>
      <c r="LT157" s="143"/>
      <c r="LU157" s="179"/>
      <c r="LV157" s="53"/>
      <c r="LW157" s="51"/>
      <c r="LX157" s="53"/>
      <c r="LY157" s="51"/>
      <c r="LZ157" s="143"/>
      <c r="MA157" s="179"/>
      <c r="MB157" s="53"/>
      <c r="MC157" s="51"/>
      <c r="MD157" s="53"/>
      <c r="ME157" s="51"/>
      <c r="MF157" s="143"/>
      <c r="MG157" s="179"/>
      <c r="MH157" s="53"/>
      <c r="MI157" s="51"/>
      <c r="MJ157" s="53"/>
      <c r="MK157" s="51"/>
      <c r="ML157" s="143"/>
      <c r="MM157" s="179"/>
      <c r="MN157" s="53"/>
      <c r="MO157" s="51"/>
      <c r="MP157" s="53"/>
      <c r="MQ157" s="51"/>
      <c r="MR157" s="53"/>
      <c r="MS157" s="179"/>
      <c r="MT157" s="53"/>
      <c r="MU157" s="51"/>
      <c r="MV157" s="53"/>
      <c r="MW157" s="51"/>
    </row>
    <row r="158" spans="190:361" hidden="1" x14ac:dyDescent="0.35">
      <c r="HD158" s="81"/>
      <c r="HE158" s="179"/>
      <c r="HJ158" s="81"/>
      <c r="HK158" s="179"/>
      <c r="HP158" s="81"/>
      <c r="HQ158" s="179"/>
      <c r="HV158" s="81"/>
      <c r="HW158" s="179"/>
      <c r="IB158" s="158"/>
      <c r="IH158" s="101">
        <f>(IH157/SUM(HF$5:IB$5))</f>
        <v>5.2040250606253443E-3</v>
      </c>
      <c r="II158" s="179"/>
      <c r="IN158" s="81"/>
      <c r="IO158" s="179"/>
      <c r="IT158" s="81"/>
      <c r="IU158" s="179"/>
      <c r="IZ158" s="81"/>
      <c r="JA158" s="179"/>
      <c r="JF158" s="81"/>
      <c r="JG158" s="179"/>
      <c r="JH158" s="51"/>
      <c r="JI158" s="51"/>
      <c r="JJ158" s="51"/>
      <c r="JK158" s="51"/>
      <c r="JL158" s="110"/>
      <c r="JM158" s="179"/>
      <c r="JN158" s="51"/>
      <c r="JO158" s="51"/>
      <c r="JP158" s="51"/>
      <c r="JQ158" s="51"/>
      <c r="JR158" s="110"/>
      <c r="JS158" s="179"/>
      <c r="JT158" s="51"/>
      <c r="JU158" s="51"/>
      <c r="JV158" s="51"/>
      <c r="JW158" s="51"/>
      <c r="JX158" s="110"/>
      <c r="JY158" s="179"/>
      <c r="JZ158" s="51"/>
      <c r="KA158" s="51"/>
      <c r="KB158" s="51"/>
      <c r="KC158" s="51"/>
      <c r="KD158" s="110"/>
      <c r="KE158" s="179"/>
      <c r="KF158" s="51"/>
      <c r="KG158" s="51"/>
      <c r="KH158" s="51"/>
      <c r="KI158" s="51"/>
      <c r="KJ158" s="110"/>
      <c r="KK158" s="179"/>
      <c r="KL158" s="51"/>
      <c r="KM158" s="51"/>
      <c r="KN158" s="51"/>
      <c r="KO158" s="51"/>
      <c r="KP158" s="110"/>
      <c r="KQ158" s="179"/>
      <c r="KR158" s="51"/>
      <c r="KS158" s="51"/>
      <c r="KT158" s="51"/>
      <c r="KU158" s="51"/>
      <c r="KV158" s="110"/>
      <c r="KW158" s="179"/>
      <c r="KX158" s="51"/>
      <c r="KY158" s="51"/>
      <c r="KZ158" s="51"/>
      <c r="LA158" s="51"/>
      <c r="LB158" s="110"/>
      <c r="LC158" s="179"/>
      <c r="LD158" s="51"/>
      <c r="LE158" s="51"/>
      <c r="LF158" s="51"/>
      <c r="LG158" s="51"/>
      <c r="LH158" s="110"/>
      <c r="LI158" s="179"/>
      <c r="LJ158" s="51"/>
      <c r="LK158" s="51"/>
      <c r="LL158" s="51"/>
      <c r="LM158" s="51"/>
      <c r="LN158" s="110"/>
      <c r="LO158" s="179"/>
      <c r="LP158" s="51"/>
      <c r="LQ158" s="51"/>
      <c r="LR158" s="51"/>
      <c r="LS158" s="51"/>
      <c r="LT158" s="110"/>
      <c r="LU158" s="179"/>
      <c r="LV158" s="51"/>
      <c r="LW158" s="51"/>
      <c r="LX158" s="51"/>
      <c r="LY158" s="51"/>
      <c r="LZ158" s="110"/>
      <c r="MA158" s="179"/>
      <c r="MB158" s="51"/>
      <c r="MC158" s="51"/>
      <c r="MD158" s="51"/>
      <c r="ME158" s="51"/>
      <c r="MF158" s="110"/>
      <c r="MG158" s="179"/>
      <c r="MH158" s="51"/>
      <c r="MI158" s="51"/>
      <c r="MJ158" s="51"/>
      <c r="MK158" s="51"/>
      <c r="ML158" s="110"/>
      <c r="MM158" s="179"/>
      <c r="MN158" s="51"/>
      <c r="MO158" s="51"/>
      <c r="MP158" s="51"/>
      <c r="MQ158" s="51"/>
      <c r="MR158" s="51"/>
      <c r="MS158" s="179"/>
      <c r="MT158" s="51"/>
      <c r="MU158" s="51"/>
      <c r="MV158" s="51"/>
      <c r="MW158" s="51"/>
    </row>
    <row r="159" spans="190:361" hidden="1" x14ac:dyDescent="0.35">
      <c r="HE159" s="179"/>
      <c r="HK159" s="179"/>
      <c r="HQ159" s="179"/>
      <c r="HW159" s="179"/>
      <c r="IC159" s="179"/>
      <c r="IH159" s="81"/>
      <c r="II159" s="179"/>
      <c r="IO159" s="179"/>
      <c r="IU159" s="179"/>
      <c r="JA159" s="179"/>
      <c r="JF159" s="81"/>
      <c r="JG159" s="179"/>
      <c r="JM159" s="179"/>
      <c r="JS159" s="179"/>
      <c r="JY159" s="179"/>
      <c r="KE159" s="179"/>
      <c r="KK159" s="179"/>
      <c r="KQ159" s="179"/>
      <c r="KW159" s="179"/>
      <c r="LC159" s="179"/>
      <c r="LI159" s="179"/>
      <c r="LO159" s="179"/>
      <c r="LU159" s="179"/>
      <c r="MA159" s="179"/>
      <c r="MG159" s="179"/>
      <c r="MM159" s="179"/>
      <c r="MS159" s="179"/>
    </row>
    <row r="160" spans="190:361" hidden="1" x14ac:dyDescent="0.35">
      <c r="HE160" s="179"/>
      <c r="HJ160" s="81"/>
      <c r="HK160" s="179"/>
      <c r="HL160" s="66">
        <f>'Actual Adjustment (SIV)'!ER21</f>
        <v>7.9496641014769914E-2</v>
      </c>
      <c r="HM160" s="95"/>
      <c r="HN160" s="43">
        <f>HL160</f>
        <v>7.9496641014769914E-2</v>
      </c>
      <c r="HO160" s="40"/>
      <c r="HP160" s="150">
        <f>HN160</f>
        <v>7.9496641014769914E-2</v>
      </c>
      <c r="HQ160" s="179"/>
      <c r="HR160" s="43">
        <f>HP160</f>
        <v>7.9496641014769914E-2</v>
      </c>
      <c r="HS160" s="40"/>
      <c r="HT160" s="43">
        <f>HR160</f>
        <v>7.9496641014769914E-2</v>
      </c>
      <c r="HU160" s="40"/>
      <c r="HV160" s="150">
        <f>HT160</f>
        <v>7.9496641014769914E-2</v>
      </c>
      <c r="HW160" s="179"/>
      <c r="HX160" s="43">
        <f>HV160</f>
        <v>7.9496641014769914E-2</v>
      </c>
      <c r="HY160" s="40"/>
      <c r="HZ160" s="43">
        <f>HX160</f>
        <v>7.9496641014769914E-2</v>
      </c>
      <c r="IA160" s="40"/>
      <c r="IB160" s="150">
        <f>HZ160</f>
        <v>7.9496641014769914E-2</v>
      </c>
      <c r="IC160" s="179"/>
      <c r="ID160" s="43">
        <f>IB160</f>
        <v>7.9496641014769914E-2</v>
      </c>
      <c r="IE160" s="40"/>
      <c r="IF160" s="43">
        <f>ID160</f>
        <v>7.9496641014769914E-2</v>
      </c>
      <c r="IG160" s="40"/>
      <c r="IH160" s="150">
        <f>IF160</f>
        <v>7.9496641014769914E-2</v>
      </c>
      <c r="II160" s="156"/>
      <c r="IJ160" s="144"/>
      <c r="IK160" s="144"/>
      <c r="IL160" s="144"/>
      <c r="IM160" s="144"/>
      <c r="IN160" s="118"/>
      <c r="IO160" s="179"/>
      <c r="IP160" s="151">
        <v>-2.9999999999999997E-4</v>
      </c>
      <c r="IQ160" s="40"/>
      <c r="IR160" s="43">
        <f>IP160</f>
        <v>-2.9999999999999997E-4</v>
      </c>
      <c r="IS160" s="40"/>
      <c r="IT160" s="150">
        <f>IR160</f>
        <v>-2.9999999999999997E-4</v>
      </c>
      <c r="IU160" s="179"/>
      <c r="IV160" s="43">
        <f>IT160</f>
        <v>-2.9999999999999997E-4</v>
      </c>
      <c r="IW160" s="40"/>
      <c r="IX160" s="43">
        <f>IV160</f>
        <v>-2.9999999999999997E-4</v>
      </c>
      <c r="IY160" s="40"/>
      <c r="IZ160" s="150">
        <f>IX160</f>
        <v>-2.9999999999999997E-4</v>
      </c>
      <c r="JA160" s="179"/>
      <c r="JB160" s="43">
        <f>IZ160</f>
        <v>-2.9999999999999997E-4</v>
      </c>
      <c r="JC160" s="40"/>
      <c r="JD160" s="43">
        <f>JB160</f>
        <v>-2.9999999999999997E-4</v>
      </c>
      <c r="JE160" s="40"/>
      <c r="JF160" s="150">
        <f>JD160</f>
        <v>-2.9999999999999997E-4</v>
      </c>
      <c r="JG160" s="179"/>
      <c r="JH160" s="43">
        <f>JF160</f>
        <v>-2.9999999999999997E-4</v>
      </c>
      <c r="JI160" s="40"/>
      <c r="JJ160" s="43">
        <f>JH160</f>
        <v>-2.9999999999999997E-4</v>
      </c>
      <c r="JK160" s="40"/>
      <c r="JL160" s="154">
        <f>JJ160</f>
        <v>-2.9999999999999997E-4</v>
      </c>
      <c r="JM160" s="179"/>
      <c r="JN160" s="76"/>
      <c r="JO160" s="76"/>
      <c r="JP160" s="76"/>
      <c r="JQ160" s="76"/>
      <c r="JR160" s="144"/>
      <c r="JS160" s="179"/>
      <c r="JT160" s="76"/>
      <c r="JU160" s="76"/>
      <c r="JV160" s="76"/>
      <c r="JW160" s="76"/>
      <c r="JX160" s="144"/>
      <c r="JY160" s="179"/>
      <c r="JZ160" s="76"/>
      <c r="KA160" s="76"/>
      <c r="KB160" s="76"/>
      <c r="KC160" s="76"/>
      <c r="KD160" s="144"/>
      <c r="KE160" s="179"/>
      <c r="KF160" s="76"/>
      <c r="KG160" s="76"/>
      <c r="KH160" s="76"/>
      <c r="KI160" s="76"/>
      <c r="KJ160" s="144"/>
      <c r="KK160" s="179"/>
      <c r="KL160" s="76"/>
      <c r="KM160" s="76"/>
      <c r="KN160" s="76"/>
      <c r="KO160" s="76"/>
      <c r="KP160" s="144"/>
      <c r="KQ160" s="179"/>
      <c r="KR160" s="76"/>
      <c r="KS160" s="76"/>
      <c r="KT160" s="76"/>
      <c r="KU160" s="76"/>
      <c r="KV160" s="144"/>
      <c r="KW160" s="179"/>
      <c r="KX160" s="76"/>
      <c r="KY160" s="76"/>
      <c r="KZ160" s="76"/>
      <c r="LA160" s="76"/>
      <c r="LB160" s="144"/>
      <c r="LC160" s="179"/>
      <c r="LD160" s="76"/>
      <c r="LE160" s="76"/>
      <c r="LF160" s="76"/>
      <c r="LG160" s="76"/>
      <c r="LH160" s="144"/>
      <c r="LI160" s="179"/>
      <c r="LJ160" s="76"/>
      <c r="LK160" s="76"/>
      <c r="LL160" s="76"/>
      <c r="LM160" s="76"/>
      <c r="LN160" s="144"/>
      <c r="LO160" s="179"/>
      <c r="LP160" s="76"/>
      <c r="LQ160" s="76"/>
      <c r="LR160" s="76"/>
      <c r="LS160" s="76"/>
      <c r="LT160" s="144"/>
      <c r="LU160" s="179"/>
      <c r="LV160" s="76"/>
      <c r="LW160" s="76"/>
      <c r="LX160" s="76"/>
      <c r="LY160" s="76"/>
      <c r="LZ160" s="144"/>
      <c r="MA160" s="179"/>
      <c r="MB160" s="76"/>
      <c r="MC160" s="76"/>
      <c r="MD160" s="76"/>
      <c r="ME160" s="76"/>
      <c r="MF160" s="144"/>
      <c r="MG160" s="179"/>
      <c r="MH160" s="76"/>
      <c r="MI160" s="76"/>
      <c r="MJ160" s="76"/>
      <c r="MK160" s="76"/>
      <c r="ML160" s="144"/>
      <c r="MM160" s="179"/>
      <c r="MN160" s="76"/>
      <c r="MO160" s="76"/>
      <c r="MP160" s="76"/>
      <c r="MQ160" s="76"/>
      <c r="MR160" s="76"/>
      <c r="MS160" s="179"/>
      <c r="MT160" s="76"/>
      <c r="MU160" s="76"/>
      <c r="MV160" s="76"/>
      <c r="MW160" s="76"/>
    </row>
    <row r="161" spans="3:361" hidden="1" x14ac:dyDescent="0.35">
      <c r="C161" s="126"/>
      <c r="HE161" s="179"/>
      <c r="HJ161" s="93">
        <f>'Actual Adjustment (SIV)'!ER19</f>
        <v>6701.5668375451032</v>
      </c>
      <c r="HK161" s="179"/>
      <c r="HL161" s="33">
        <f>HJ161-(HL$5*HL160)</f>
        <v>6193.3448115376796</v>
      </c>
      <c r="HN161" s="33">
        <f>HL161-(HN$5*HN160)</f>
        <v>5575.3379242888586</v>
      </c>
      <c r="HP161" s="82">
        <f>HN161-(HP$5*HP160)</f>
        <v>5046.6852615406387</v>
      </c>
      <c r="HQ161" s="179"/>
      <c r="HR161" s="33">
        <f>HP161-(HR$5*HR160)</f>
        <v>4730.2091336608401</v>
      </c>
      <c r="HT161" s="33">
        <f>HR161-(HT$5*HT160)</f>
        <v>4455.230252390751</v>
      </c>
      <c r="HV161" s="82">
        <f>HT161-(HV$5*HV160)</f>
        <v>4240.2713350868135</v>
      </c>
      <c r="HW161" s="179"/>
      <c r="HX161" s="33">
        <f>HV161-(HX$5*HX160)</f>
        <v>3844.1395729102151</v>
      </c>
      <c r="HZ161" s="33">
        <f>HX161-(HZ$5*HZ160)</f>
        <v>3332.419694698141</v>
      </c>
      <c r="IB161" s="82">
        <f>HZ161-(IB$5*IB160)</f>
        <v>2831.1138764590019</v>
      </c>
      <c r="IC161" s="179"/>
      <c r="ID161" s="33">
        <f>IB161-(ID$5*ID160)</f>
        <v>1967.0648852694676</v>
      </c>
      <c r="IF161" s="33">
        <f>ID161-(IF$5*IF160)</f>
        <v>956.18559812565331</v>
      </c>
      <c r="IH161" s="82">
        <f>IF161-(IH$5*IH160)</f>
        <v>-22.100066202105268</v>
      </c>
      <c r="II161" s="157"/>
      <c r="IJ161" s="143">
        <f>IH161</f>
        <v>-22.100066202105268</v>
      </c>
      <c r="IK161" s="143"/>
      <c r="IL161" s="143">
        <f>IJ161</f>
        <v>-22.100066202105268</v>
      </c>
      <c r="IM161" s="143"/>
      <c r="IN161" s="169">
        <f>IL161+IH141</f>
        <v>-22.688290314962906</v>
      </c>
      <c r="IO161" s="179"/>
      <c r="IP161" s="33">
        <f>IN161-(IP$5*IP160)</f>
        <v>-20.599990314962906</v>
      </c>
      <c r="IR161" s="33">
        <f>IP161-(IR$5*IR160)</f>
        <v>-18.596590314962906</v>
      </c>
      <c r="IT161" s="82">
        <f>IR161-(IT$5*IT160)</f>
        <v>-16.894990314962907</v>
      </c>
      <c r="IU161" s="179"/>
      <c r="IV161" s="33">
        <f>IT161-(IV$5*IV160)</f>
        <v>-14.838490314962907</v>
      </c>
      <c r="IX161" s="33">
        <f>IV161-(IX$5*IX160)</f>
        <v>-13.013650314962907</v>
      </c>
      <c r="IZ161" s="82">
        <f>IX161-(IZ$5*IZ160)</f>
        <v>-10.823260314962909</v>
      </c>
      <c r="JA161" s="179"/>
      <c r="JB161" s="33">
        <f>IZ161-(JB$5*JB160)</f>
        <v>-6.8105803149629089</v>
      </c>
      <c r="JD161" s="33">
        <f>JB161-(JD$5*JD160)</f>
        <v>-2.6375803149629089</v>
      </c>
      <c r="JF161" s="82">
        <f>JD161-(JF$5*JF160)</f>
        <v>1.0308196850370908</v>
      </c>
      <c r="JG161" s="179"/>
      <c r="JH161" s="33">
        <f>JF161-(JH$5*JH160)</f>
        <v>5.4288196850370909</v>
      </c>
      <c r="JJ161" s="33">
        <f>JH161-(JJ$5*JJ160)</f>
        <v>9.2637196850370902</v>
      </c>
      <c r="JL161" s="186">
        <f>JJ161-(JL$5*JL160)</f>
        <v>12.05431968503709</v>
      </c>
      <c r="JM161" s="179"/>
      <c r="JN161" s="53"/>
      <c r="JO161" s="51"/>
      <c r="JP161" s="53"/>
      <c r="JQ161" s="51"/>
      <c r="JR161" s="143"/>
      <c r="JS161" s="179"/>
      <c r="JT161" s="53"/>
      <c r="JU161" s="51"/>
      <c r="JV161" s="53"/>
      <c r="JW161" s="51"/>
      <c r="JX161" s="143"/>
      <c r="JY161" s="179"/>
      <c r="JZ161" s="53"/>
      <c r="KA161" s="51"/>
      <c r="KB161" s="53"/>
      <c r="KC161" s="51"/>
      <c r="KD161" s="143"/>
      <c r="KE161" s="179"/>
      <c r="KF161" s="53"/>
      <c r="KG161" s="51"/>
      <c r="KH161" s="53"/>
      <c r="KI161" s="51"/>
      <c r="KJ161" s="143"/>
      <c r="KK161" s="179"/>
      <c r="KL161" s="53"/>
      <c r="KM161" s="51"/>
      <c r="KN161" s="53"/>
      <c r="KO161" s="51"/>
      <c r="KP161" s="143"/>
      <c r="KQ161" s="179"/>
      <c r="KR161" s="53"/>
      <c r="KS161" s="51"/>
      <c r="KT161" s="53"/>
      <c r="KU161" s="51"/>
      <c r="KV161" s="143"/>
      <c r="KW161" s="179"/>
      <c r="KX161" s="53"/>
      <c r="KY161" s="51"/>
      <c r="KZ161" s="53"/>
      <c r="LA161" s="51"/>
      <c r="LB161" s="143"/>
      <c r="LC161" s="179"/>
      <c r="LD161" s="53"/>
      <c r="LE161" s="51"/>
      <c r="LF161" s="53"/>
      <c r="LG161" s="51"/>
      <c r="LH161" s="143"/>
      <c r="LI161" s="179"/>
      <c r="LJ161" s="53"/>
      <c r="LK161" s="51"/>
      <c r="LL161" s="53"/>
      <c r="LM161" s="51"/>
      <c r="LN161" s="143"/>
      <c r="LO161" s="179"/>
      <c r="LP161" s="53"/>
      <c r="LQ161" s="51"/>
      <c r="LR161" s="53"/>
      <c r="LS161" s="51"/>
      <c r="LT161" s="143"/>
      <c r="LU161" s="179"/>
      <c r="LV161" s="53"/>
      <c r="LW161" s="51"/>
      <c r="LX161" s="53"/>
      <c r="LY161" s="51"/>
      <c r="LZ161" s="143"/>
      <c r="MA161" s="179"/>
      <c r="MB161" s="53"/>
      <c r="MC161" s="51"/>
      <c r="MD161" s="53"/>
      <c r="ME161" s="51"/>
      <c r="MF161" s="143"/>
      <c r="MG161" s="179"/>
      <c r="MH161" s="53"/>
      <c r="MI161" s="51"/>
      <c r="MJ161" s="53"/>
      <c r="MK161" s="51"/>
      <c r="ML161" s="143"/>
      <c r="MM161" s="179"/>
      <c r="MN161" s="53"/>
      <c r="MO161" s="51"/>
      <c r="MP161" s="53"/>
      <c r="MQ161" s="51"/>
      <c r="MR161" s="53"/>
      <c r="MS161" s="179"/>
      <c r="MT161" s="53"/>
      <c r="MU161" s="51"/>
      <c r="MV161" s="53"/>
      <c r="MW161" s="51"/>
    </row>
    <row r="162" spans="3:361" hidden="1" x14ac:dyDescent="0.35">
      <c r="C162" s="175"/>
      <c r="HJ162" s="81"/>
      <c r="HK162" s="179"/>
      <c r="HP162" s="81"/>
      <c r="HQ162" s="179"/>
      <c r="HV162" s="81"/>
      <c r="HW162" s="179"/>
      <c r="IB162" s="81"/>
      <c r="IC162" s="179"/>
      <c r="IH162" s="158"/>
      <c r="IN162" s="101">
        <f>(IN161/SUM(HL$5:IH$5))</f>
        <v>-2.6825285907638991E-4</v>
      </c>
      <c r="IO162" s="179"/>
      <c r="IT162" s="81"/>
      <c r="IU162" s="179"/>
      <c r="IZ162" s="81"/>
      <c r="JA162" s="179"/>
      <c r="JF162" s="81"/>
      <c r="JG162" s="179"/>
      <c r="JL162" s="10"/>
      <c r="JM162" s="179"/>
      <c r="JR162" s="10"/>
      <c r="JS162" s="179"/>
      <c r="JX162" s="10"/>
      <c r="JY162" s="179"/>
      <c r="KD162" s="10"/>
      <c r="KE162" s="179"/>
      <c r="KJ162" s="10"/>
      <c r="KK162" s="179"/>
      <c r="KP162" s="10"/>
      <c r="KQ162" s="179"/>
      <c r="KV162" s="10"/>
      <c r="KW162" s="179"/>
      <c r="LB162" s="10"/>
      <c r="LC162" s="179"/>
      <c r="LH162" s="10"/>
      <c r="LI162" s="179"/>
      <c r="LN162" s="10"/>
      <c r="LO162" s="179"/>
      <c r="LT162" s="10"/>
      <c r="LU162" s="179"/>
      <c r="LZ162" s="10"/>
      <c r="MA162" s="179"/>
      <c r="MF162" s="10"/>
      <c r="MG162" s="179"/>
      <c r="ML162" s="10"/>
      <c r="MM162" s="179"/>
      <c r="MS162" s="179"/>
    </row>
    <row r="163" spans="3:361" hidden="1" x14ac:dyDescent="0.35">
      <c r="C163" s="175"/>
      <c r="HQ163" s="179"/>
      <c r="HW163" s="179"/>
      <c r="IC163" s="179"/>
      <c r="II163" s="179"/>
      <c r="IO163" s="179"/>
      <c r="IU163" s="179"/>
      <c r="JA163" s="179"/>
      <c r="JF163" s="81"/>
      <c r="JG163" s="179"/>
      <c r="JM163" s="179"/>
      <c r="JS163" s="179"/>
      <c r="JY163" s="179"/>
      <c r="KE163" s="179"/>
      <c r="KK163" s="179"/>
      <c r="KQ163" s="179"/>
      <c r="KW163" s="179"/>
      <c r="LC163" s="179"/>
      <c r="LI163" s="179"/>
      <c r="LO163" s="179"/>
      <c r="LU163" s="179"/>
      <c r="MA163" s="179"/>
      <c r="MG163" s="179"/>
      <c r="MM163" s="179"/>
      <c r="MS163" s="179"/>
    </row>
    <row r="164" spans="3:361" hidden="1" x14ac:dyDescent="0.35">
      <c r="C164" s="175"/>
      <c r="HP164" s="81"/>
      <c r="HQ164" s="179"/>
      <c r="HR164" s="66">
        <f>'Actual Adjustment (SIV)'!EX21</f>
        <v>2.0796338738353237E-2</v>
      </c>
      <c r="HS164" s="95"/>
      <c r="HT164" s="43">
        <f>HR164</f>
        <v>2.0796338738353237E-2</v>
      </c>
      <c r="HU164" s="40"/>
      <c r="HV164" s="150">
        <f>HT164</f>
        <v>2.0796338738353237E-2</v>
      </c>
      <c r="HW164" s="179"/>
      <c r="HX164" s="43">
        <f>HV164</f>
        <v>2.0796338738353237E-2</v>
      </c>
      <c r="HY164" s="40"/>
      <c r="HZ164" s="43">
        <f>HX164</f>
        <v>2.0796338738353237E-2</v>
      </c>
      <c r="IA164" s="40"/>
      <c r="IB164" s="150">
        <f>HZ164</f>
        <v>2.0796338738353237E-2</v>
      </c>
      <c r="IC164" s="179"/>
      <c r="ID164" s="43">
        <f>IB164</f>
        <v>2.0796338738353237E-2</v>
      </c>
      <c r="IE164" s="40"/>
      <c r="IF164" s="43">
        <f>ID164</f>
        <v>2.0796338738353237E-2</v>
      </c>
      <c r="IG164" s="40"/>
      <c r="IH164" s="150">
        <f>IF164</f>
        <v>2.0796338738353237E-2</v>
      </c>
      <c r="II164" s="179"/>
      <c r="IJ164" s="43">
        <f>IH164</f>
        <v>2.0796338738353237E-2</v>
      </c>
      <c r="IK164" s="40"/>
      <c r="IL164" s="43">
        <f>IJ164</f>
        <v>2.0796338738353237E-2</v>
      </c>
      <c r="IM164" s="40"/>
      <c r="IN164" s="150">
        <f>IL164</f>
        <v>2.0796338738353237E-2</v>
      </c>
      <c r="IO164" s="156"/>
      <c r="IP164" s="144"/>
      <c r="IQ164" s="144"/>
      <c r="IR164" s="144"/>
      <c r="IS164" s="144"/>
      <c r="IT164" s="118"/>
      <c r="IU164" s="179"/>
      <c r="IV164" s="151">
        <v>-7.7000000000000002E-3</v>
      </c>
      <c r="IW164" s="40"/>
      <c r="IX164" s="43">
        <f>IV164</f>
        <v>-7.7000000000000002E-3</v>
      </c>
      <c r="IY164" s="40"/>
      <c r="IZ164" s="150">
        <f>IX164</f>
        <v>-7.7000000000000002E-3</v>
      </c>
      <c r="JA164" s="179"/>
      <c r="JB164" s="43">
        <f>IZ164</f>
        <v>-7.7000000000000002E-3</v>
      </c>
      <c r="JC164" s="40"/>
      <c r="JD164" s="43">
        <f>JB164</f>
        <v>-7.7000000000000002E-3</v>
      </c>
      <c r="JE164" s="40"/>
      <c r="JF164" s="150">
        <f>JD164</f>
        <v>-7.7000000000000002E-3</v>
      </c>
      <c r="JG164" s="179"/>
      <c r="JH164" s="43">
        <f>JF164</f>
        <v>-7.7000000000000002E-3</v>
      </c>
      <c r="JI164" s="40"/>
      <c r="JJ164" s="43">
        <f>JH164</f>
        <v>-7.7000000000000002E-3</v>
      </c>
      <c r="JK164" s="40"/>
      <c r="JL164" s="150">
        <f>JJ164</f>
        <v>-7.7000000000000002E-3</v>
      </c>
      <c r="JM164" s="179"/>
      <c r="JN164" s="43">
        <f>JL164</f>
        <v>-7.7000000000000002E-3</v>
      </c>
      <c r="JO164" s="40"/>
      <c r="JP164" s="43">
        <f>JN164</f>
        <v>-7.7000000000000002E-3</v>
      </c>
      <c r="JQ164" s="40"/>
      <c r="JR164" s="154">
        <f>JP164</f>
        <v>-7.7000000000000002E-3</v>
      </c>
      <c r="JS164" s="179"/>
      <c r="JT164" s="76"/>
      <c r="JU164" s="76"/>
      <c r="JV164" s="76"/>
      <c r="JW164" s="76"/>
      <c r="JX164" s="144"/>
      <c r="JY164" s="179"/>
      <c r="JZ164" s="76"/>
      <c r="KA164" s="76"/>
      <c r="KB164" s="76"/>
      <c r="KC164" s="76"/>
      <c r="KD164" s="144"/>
      <c r="KE164" s="179"/>
      <c r="KF164" s="76"/>
      <c r="KG164" s="76"/>
      <c r="KH164" s="76"/>
      <c r="KI164" s="76"/>
      <c r="KJ164" s="144"/>
      <c r="KK164" s="179"/>
      <c r="KL164" s="76"/>
      <c r="KM164" s="76"/>
      <c r="KN164" s="76"/>
      <c r="KO164" s="76"/>
      <c r="KP164" s="144"/>
      <c r="KQ164" s="179"/>
      <c r="KR164" s="76"/>
      <c r="KS164" s="76"/>
      <c r="KT164" s="76"/>
      <c r="KU164" s="76"/>
      <c r="KV164" s="144"/>
      <c r="KW164" s="179"/>
      <c r="KX164" s="76"/>
      <c r="KY164" s="76"/>
      <c r="KZ164" s="76"/>
      <c r="LA164" s="76"/>
      <c r="LB164" s="144"/>
      <c r="LC164" s="179"/>
      <c r="LD164" s="76"/>
      <c r="LE164" s="76"/>
      <c r="LF164" s="76"/>
      <c r="LG164" s="76"/>
      <c r="LH164" s="144"/>
      <c r="LI164" s="179"/>
      <c r="LJ164" s="76"/>
      <c r="LK164" s="76"/>
      <c r="LL164" s="76"/>
      <c r="LM164" s="76"/>
      <c r="LN164" s="144"/>
      <c r="LO164" s="179"/>
      <c r="LP164" s="76"/>
      <c r="LQ164" s="76"/>
      <c r="LR164" s="76"/>
      <c r="LS164" s="76"/>
      <c r="LT164" s="144"/>
      <c r="LU164" s="179"/>
      <c r="LV164" s="76"/>
      <c r="LW164" s="76"/>
      <c r="LX164" s="76"/>
      <c r="LY164" s="76"/>
      <c r="LZ164" s="144"/>
      <c r="MA164" s="179"/>
      <c r="MB164" s="76"/>
      <c r="MC164" s="76"/>
      <c r="MD164" s="76"/>
      <c r="ME164" s="76"/>
      <c r="MF164" s="144"/>
      <c r="MG164" s="179"/>
      <c r="MH164" s="76"/>
      <c r="MI164" s="76"/>
      <c r="MJ164" s="76"/>
      <c r="MK164" s="76"/>
      <c r="ML164" s="144"/>
      <c r="MM164" s="179"/>
      <c r="MN164" s="76"/>
      <c r="MO164" s="76"/>
      <c r="MP164" s="76"/>
      <c r="MQ164" s="76"/>
      <c r="MR164" s="76"/>
      <c r="MS164" s="179"/>
      <c r="MT164" s="76"/>
      <c r="MU164" s="76"/>
      <c r="MV164" s="76"/>
      <c r="MW164" s="76"/>
    </row>
    <row r="165" spans="3:361" hidden="1" x14ac:dyDescent="0.35">
      <c r="C165" s="126"/>
      <c r="HP165" s="93">
        <f>'Actual Adjustment (SIV)'!EX19</f>
        <v>1691.6573783326057</v>
      </c>
      <c r="HQ165" s="179"/>
      <c r="HR165" s="33">
        <f>HP165-(HR$5*HR164)</f>
        <v>1608.8671538152214</v>
      </c>
      <c r="HT165" s="33">
        <f>HR165-(HT$5*HT164)</f>
        <v>1536.9326181192575</v>
      </c>
      <c r="HV165" s="82">
        <f>HT165-(HV$5*HV164)</f>
        <v>1480.6993181707503</v>
      </c>
      <c r="HW165" s="179"/>
      <c r="HX165" s="33">
        <f>HV165-(HX$5*HX164)</f>
        <v>1377.0711622375361</v>
      </c>
      <c r="HZ165" s="33">
        <f>HX165-(HZ$5*HZ164)</f>
        <v>1243.2051297787564</v>
      </c>
      <c r="IB165" s="82">
        <f>HZ165-(IB$5*IB164)</f>
        <v>1112.0634176947008</v>
      </c>
      <c r="IC165" s="179"/>
      <c r="ID165" s="33">
        <f>IB165-(ID$5*ID164)</f>
        <v>886.02801194753943</v>
      </c>
      <c r="IF165" s="33">
        <f>ID165-(IF$5*IF164)</f>
        <v>621.58176855063971</v>
      </c>
      <c r="IH165" s="82">
        <f>IF165-(IH$5*IH164)</f>
        <v>365.6620240364648</v>
      </c>
      <c r="II165" s="179"/>
      <c r="IJ165" s="33">
        <f>IH165-(IJ$5*IJ164)</f>
        <v>107.97459072952984</v>
      </c>
      <c r="IL165" s="33">
        <f>IJ165-(IL$5*IL164)</f>
        <v>-165.78841242215219</v>
      </c>
      <c r="IN165" s="82">
        <f>IL165-(IN$5*IN164)</f>
        <v>-389.57781358557139</v>
      </c>
      <c r="IO165" s="157"/>
      <c r="IP165" s="143">
        <f>IN165</f>
        <v>-389.57781358557139</v>
      </c>
      <c r="IQ165" s="143"/>
      <c r="IR165" s="143">
        <f>IP165</f>
        <v>-389.57781358557139</v>
      </c>
      <c r="IS165" s="143"/>
      <c r="IT165" s="169">
        <f>IR165+IN145</f>
        <v>-772.65321039852233</v>
      </c>
      <c r="IU165" s="179"/>
      <c r="IV165" s="33">
        <f>IT165-(IV$5*IV164)</f>
        <v>-719.86971039852233</v>
      </c>
      <c r="IX165" s="33">
        <f>IV165-(IX$5*IX164)</f>
        <v>-673.03215039852228</v>
      </c>
      <c r="IZ165" s="82">
        <f>IX165-(IZ$5*IZ164)</f>
        <v>-616.81214039852227</v>
      </c>
      <c r="JA165" s="179"/>
      <c r="JB165" s="33">
        <f>IZ165-(JB$5*JB164)</f>
        <v>-513.82002039852227</v>
      </c>
      <c r="JD165" s="33">
        <f>JB165-(JD$5*JD164)</f>
        <v>-406.7130203985223</v>
      </c>
      <c r="JF165" s="82">
        <f>JD165-(JF$5*JF164)</f>
        <v>-312.55742039852231</v>
      </c>
      <c r="JG165" s="179"/>
      <c r="JH165" s="33">
        <f>JF165-(JH$5*JH164)</f>
        <v>-199.67542039852231</v>
      </c>
      <c r="JJ165" s="33">
        <f>JH165-(JJ$5*JJ164)</f>
        <v>-101.2463203985223</v>
      </c>
      <c r="JL165" s="82">
        <f>JJ165-(JL$5*JL164)</f>
        <v>-29.620920398522301</v>
      </c>
      <c r="JM165" s="179"/>
      <c r="JN165" s="33">
        <f>JL165-(JN$5*JN164)</f>
        <v>43.436679601477707</v>
      </c>
      <c r="JP165" s="33">
        <f>JN165-(JP$5*JP164)</f>
        <v>93.494379601477704</v>
      </c>
      <c r="JR165" s="186">
        <f>JP165-(JR$5*JR164)</f>
        <v>141.9196796014777</v>
      </c>
      <c r="JS165" s="179"/>
      <c r="JT165" s="53"/>
      <c r="JU165" s="51"/>
      <c r="JV165" s="53"/>
      <c r="JW165" s="51"/>
      <c r="JX165" s="143"/>
      <c r="JY165" s="179"/>
      <c r="JZ165" s="53"/>
      <c r="KA165" s="51"/>
      <c r="KB165" s="53"/>
      <c r="KC165" s="51"/>
      <c r="KD165" s="143"/>
      <c r="KE165" s="179"/>
      <c r="KF165" s="53"/>
      <c r="KG165" s="51"/>
      <c r="KH165" s="53"/>
      <c r="KI165" s="51"/>
      <c r="KJ165" s="143"/>
      <c r="KK165" s="179"/>
      <c r="KL165" s="53"/>
      <c r="KM165" s="51"/>
      <c r="KN165" s="53"/>
      <c r="KO165" s="51"/>
      <c r="KP165" s="143"/>
      <c r="KQ165" s="179"/>
      <c r="KR165" s="53"/>
      <c r="KS165" s="51"/>
      <c r="KT165" s="53"/>
      <c r="KU165" s="51"/>
      <c r="KV165" s="143"/>
      <c r="KW165" s="179"/>
      <c r="KX165" s="53"/>
      <c r="KY165" s="51"/>
      <c r="KZ165" s="53"/>
      <c r="LA165" s="51"/>
      <c r="LB165" s="143"/>
      <c r="LC165" s="179"/>
      <c r="LD165" s="53"/>
      <c r="LE165" s="51"/>
      <c r="LF165" s="53"/>
      <c r="LG165" s="51"/>
      <c r="LH165" s="143"/>
      <c r="LI165" s="179"/>
      <c r="LJ165" s="53"/>
      <c r="LK165" s="51"/>
      <c r="LL165" s="53"/>
      <c r="LM165" s="51"/>
      <c r="LN165" s="143"/>
      <c r="LO165" s="179"/>
      <c r="LP165" s="53"/>
      <c r="LQ165" s="51"/>
      <c r="LR165" s="53"/>
      <c r="LS165" s="51"/>
      <c r="LT165" s="143"/>
      <c r="LU165" s="179"/>
      <c r="LV165" s="53"/>
      <c r="LW165" s="51"/>
      <c r="LX165" s="53"/>
      <c r="LY165" s="51"/>
      <c r="LZ165" s="143"/>
      <c r="MA165" s="179"/>
      <c r="MB165" s="53"/>
      <c r="MC165" s="51"/>
      <c r="MD165" s="53"/>
      <c r="ME165" s="51"/>
      <c r="MF165" s="143"/>
      <c r="MG165" s="179"/>
      <c r="MH165" s="53"/>
      <c r="MI165" s="51"/>
      <c r="MJ165" s="53"/>
      <c r="MK165" s="51"/>
      <c r="ML165" s="143"/>
      <c r="MM165" s="179"/>
      <c r="MN165" s="53"/>
      <c r="MO165" s="51"/>
      <c r="MP165" s="53"/>
      <c r="MQ165" s="51"/>
      <c r="MR165" s="53"/>
      <c r="MS165" s="179"/>
      <c r="MT165" s="53"/>
      <c r="MU165" s="51"/>
      <c r="MV165" s="53"/>
      <c r="MW165" s="51"/>
    </row>
    <row r="166" spans="3:361" hidden="1" x14ac:dyDescent="0.35">
      <c r="C166" s="175"/>
      <c r="HP166" s="81"/>
      <c r="HQ166" s="179"/>
      <c r="HV166" s="81"/>
      <c r="HW166" s="179"/>
      <c r="IB166" s="81"/>
      <c r="IC166" s="179"/>
      <c r="IH166" s="81"/>
      <c r="II166" s="179"/>
      <c r="IN166" s="158"/>
      <c r="IT166" s="101">
        <f>(IT165/SUM(HR$5:IN$5))</f>
        <v>-7.720587251801336E-3</v>
      </c>
      <c r="IU166" s="179"/>
      <c r="IZ166" s="81"/>
      <c r="JA166" s="179"/>
      <c r="JF166" s="81"/>
      <c r="JG166" s="179"/>
      <c r="JL166" s="81"/>
      <c r="JM166" s="179"/>
      <c r="JR166" s="10"/>
      <c r="JS166" s="179"/>
      <c r="JX166" s="10"/>
      <c r="JY166" s="179"/>
      <c r="KD166" s="10"/>
      <c r="KE166" s="179"/>
      <c r="KJ166" s="10"/>
      <c r="KK166" s="179"/>
      <c r="KP166" s="10"/>
      <c r="KQ166" s="179"/>
      <c r="KV166" s="10"/>
      <c r="KW166" s="179"/>
      <c r="LB166" s="10"/>
      <c r="LC166" s="179"/>
      <c r="LH166" s="10"/>
      <c r="LI166" s="179"/>
      <c r="LN166" s="10"/>
      <c r="LO166" s="179"/>
      <c r="LT166" s="10"/>
      <c r="LU166" s="179"/>
      <c r="LZ166" s="10"/>
      <c r="MA166" s="179"/>
      <c r="MF166" s="10"/>
      <c r="MG166" s="179"/>
      <c r="ML166" s="10"/>
      <c r="MM166" s="179"/>
      <c r="MS166" s="179"/>
    </row>
    <row r="167" spans="3:361" hidden="1" x14ac:dyDescent="0.35">
      <c r="C167" s="175"/>
      <c r="HW167" s="179"/>
      <c r="IC167" s="179"/>
      <c r="II167" s="179"/>
      <c r="IO167" s="179"/>
      <c r="IU167" s="179"/>
      <c r="JA167" s="179"/>
      <c r="JF167" s="81"/>
      <c r="JG167" s="179"/>
      <c r="JM167" s="179"/>
      <c r="JS167" s="179"/>
      <c r="JY167" s="179"/>
      <c r="KE167" s="179"/>
      <c r="KK167" s="179"/>
      <c r="KQ167" s="179"/>
      <c r="KW167" s="179"/>
      <c r="LC167" s="179"/>
      <c r="LI167" s="179"/>
      <c r="LO167" s="179"/>
      <c r="LU167" s="179"/>
      <c r="MA167" s="179"/>
      <c r="MG167" s="179"/>
      <c r="MM167" s="179"/>
      <c r="MS167" s="179"/>
    </row>
    <row r="168" spans="3:361" hidden="1" x14ac:dyDescent="0.35">
      <c r="C168" s="175"/>
      <c r="HV168" s="81"/>
      <c r="HW168" s="179"/>
      <c r="HX168" s="66">
        <f>'Actual Adjustment (SIV)'!FD21</f>
        <v>3.9706477842062163E-3</v>
      </c>
      <c r="HY168" s="95"/>
      <c r="HZ168" s="43">
        <f>HX168</f>
        <v>3.9706477842062163E-3</v>
      </c>
      <c r="IA168" s="40"/>
      <c r="IB168" s="150">
        <f>HZ168</f>
        <v>3.9706477842062163E-3</v>
      </c>
      <c r="IC168" s="179"/>
      <c r="ID168" s="43">
        <f>IB168</f>
        <v>3.9706477842062163E-3</v>
      </c>
      <c r="IE168" s="40"/>
      <c r="IF168" s="43">
        <f>ID168</f>
        <v>3.9706477842062163E-3</v>
      </c>
      <c r="IG168" s="40"/>
      <c r="IH168" s="150">
        <f>IF168</f>
        <v>3.9706477842062163E-3</v>
      </c>
      <c r="II168" s="179"/>
      <c r="IJ168" s="43">
        <f>IH168</f>
        <v>3.9706477842062163E-3</v>
      </c>
      <c r="IK168" s="40"/>
      <c r="IL168" s="43">
        <f>IJ168</f>
        <v>3.9706477842062163E-3</v>
      </c>
      <c r="IM168" s="40"/>
      <c r="IN168" s="150">
        <f>IL168</f>
        <v>3.9706477842062163E-3</v>
      </c>
      <c r="IO168" s="179"/>
      <c r="IP168" s="43">
        <f>IN168</f>
        <v>3.9706477842062163E-3</v>
      </c>
      <c r="IQ168" s="40"/>
      <c r="IR168" s="43">
        <f>IP168</f>
        <v>3.9706477842062163E-3</v>
      </c>
      <c r="IS168" s="40"/>
      <c r="IT168" s="150">
        <f>IR168</f>
        <v>3.9706477842062163E-3</v>
      </c>
      <c r="IU168" s="156"/>
      <c r="IV168" s="144"/>
      <c r="IW168" s="144"/>
      <c r="IX168" s="144"/>
      <c r="IY168" s="144"/>
      <c r="IZ168" s="118"/>
      <c r="JA168" s="179"/>
      <c r="JB168" s="151">
        <v>1.78E-2</v>
      </c>
      <c r="JC168" s="40"/>
      <c r="JD168" s="43">
        <f>JB168</f>
        <v>1.78E-2</v>
      </c>
      <c r="JE168" s="40"/>
      <c r="JF168" s="150">
        <f>JD168</f>
        <v>1.78E-2</v>
      </c>
      <c r="JG168" s="179"/>
      <c r="JH168" s="43">
        <f>JF168</f>
        <v>1.78E-2</v>
      </c>
      <c r="JI168" s="40"/>
      <c r="JJ168" s="43">
        <f>JH168</f>
        <v>1.78E-2</v>
      </c>
      <c r="JK168" s="40"/>
      <c r="JL168" s="150">
        <f>JJ168</f>
        <v>1.78E-2</v>
      </c>
      <c r="JM168" s="179"/>
      <c r="JN168" s="43">
        <f>JL168</f>
        <v>1.78E-2</v>
      </c>
      <c r="JO168" s="40"/>
      <c r="JP168" s="43">
        <f>JN168</f>
        <v>1.78E-2</v>
      </c>
      <c r="JQ168" s="40"/>
      <c r="JR168" s="150">
        <f>JP168</f>
        <v>1.78E-2</v>
      </c>
      <c r="JS168" s="179"/>
      <c r="JT168" s="43">
        <f>JR168</f>
        <v>1.78E-2</v>
      </c>
      <c r="JU168" s="40"/>
      <c r="JV168" s="43">
        <f>JT168</f>
        <v>1.78E-2</v>
      </c>
      <c r="JW168" s="40"/>
      <c r="JX168" s="154">
        <f>JV168</f>
        <v>1.78E-2</v>
      </c>
      <c r="JY168" s="179"/>
      <c r="JZ168" s="76"/>
      <c r="KA168" s="76"/>
      <c r="KB168" s="76"/>
      <c r="KC168" s="76"/>
      <c r="KD168" s="144"/>
      <c r="KE168" s="179"/>
      <c r="KF168" s="76"/>
      <c r="KG168" s="76"/>
      <c r="KH168" s="76"/>
      <c r="KI168" s="76"/>
      <c r="KJ168" s="144"/>
      <c r="KK168" s="179"/>
      <c r="KL168" s="76"/>
      <c r="KM168" s="76"/>
      <c r="KN168" s="76"/>
      <c r="KO168" s="76"/>
      <c r="KP168" s="144"/>
      <c r="KQ168" s="179"/>
      <c r="KR168" s="76"/>
      <c r="KS168" s="76"/>
      <c r="KT168" s="76"/>
      <c r="KU168" s="76"/>
      <c r="KV168" s="144"/>
      <c r="KW168" s="179"/>
      <c r="KX168" s="76"/>
      <c r="KY168" s="76"/>
      <c r="KZ168" s="76"/>
      <c r="LA168" s="76"/>
      <c r="LB168" s="144"/>
      <c r="LC168" s="179"/>
      <c r="LD168" s="76"/>
      <c r="LE168" s="76"/>
      <c r="LF168" s="76"/>
      <c r="LG168" s="76"/>
      <c r="LH168" s="144"/>
      <c r="LI168" s="179"/>
      <c r="LJ168" s="76"/>
      <c r="LK168" s="76"/>
      <c r="LL168" s="76"/>
      <c r="LM168" s="76"/>
      <c r="LN168" s="144"/>
      <c r="LO168" s="179"/>
      <c r="LP168" s="76"/>
      <c r="LQ168" s="76"/>
      <c r="LR168" s="76"/>
      <c r="LS168" s="76"/>
      <c r="LT168" s="144"/>
      <c r="LU168" s="179"/>
      <c r="LV168" s="76"/>
      <c r="LW168" s="76"/>
      <c r="LX168" s="76"/>
      <c r="LY168" s="76"/>
      <c r="LZ168" s="144"/>
      <c r="MA168" s="179"/>
      <c r="MB168" s="76"/>
      <c r="MC168" s="76"/>
      <c r="MD168" s="76"/>
      <c r="ME168" s="76"/>
      <c r="MF168" s="144"/>
      <c r="MG168" s="179"/>
      <c r="MH168" s="76"/>
      <c r="MI168" s="76"/>
      <c r="MJ168" s="76"/>
      <c r="MK168" s="76"/>
      <c r="ML168" s="144"/>
      <c r="MM168" s="179"/>
      <c r="MN168" s="76"/>
      <c r="MO168" s="76"/>
      <c r="MP168" s="76"/>
      <c r="MQ168" s="76"/>
      <c r="MR168" s="76"/>
      <c r="MS168" s="179"/>
      <c r="MT168" s="76"/>
      <c r="MU168" s="76"/>
      <c r="MV168" s="76"/>
      <c r="MW168" s="76"/>
    </row>
    <row r="169" spans="3:361" hidden="1" x14ac:dyDescent="0.35">
      <c r="C169" s="126"/>
      <c r="HN169" s="24"/>
      <c r="HV169" s="93">
        <f>'Actual Adjustment (SIV)'!FD19</f>
        <v>297.47299069716132</v>
      </c>
      <c r="HW169" s="179"/>
      <c r="HX169" s="33">
        <f>HV169-(HX$5*HX168)</f>
        <v>277.68725278846176</v>
      </c>
      <c r="HZ169" s="33">
        <f>HX169-(HZ$5*HZ168)</f>
        <v>252.12819300152634</v>
      </c>
      <c r="IB169" s="82">
        <f>HZ169-(IB$5*IB168)</f>
        <v>227.08928807432193</v>
      </c>
      <c r="IC169" s="179"/>
      <c r="ID169" s="33">
        <f>IB169-(ID$5*ID168)</f>
        <v>183.93231730778456</v>
      </c>
      <c r="IF169" s="33">
        <f>ID169-(IF$5*IF168)</f>
        <v>133.4415600838183</v>
      </c>
      <c r="IH169" s="82">
        <f>IF169-(IH$5*IH168)</f>
        <v>84.578768451376604</v>
      </c>
      <c r="II169" s="179"/>
      <c r="IJ169" s="33">
        <f>IH169-(IJ$5*IJ168)</f>
        <v>35.378471757277374</v>
      </c>
      <c r="IL169" s="33">
        <f>IJ169-(IL$5*IL168)</f>
        <v>-16.891135674013256</v>
      </c>
      <c r="IN169" s="82">
        <f>IL169-(IN$5*IN168)</f>
        <v>-59.619276479856353</v>
      </c>
      <c r="IO169" s="179"/>
      <c r="IP169" s="33">
        <f>IN169-(IP$5*IP168)</f>
        <v>-87.25895570571582</v>
      </c>
      <c r="IR169" s="33">
        <f>IP169-(IR$5*IR168)</f>
        <v>-113.77494160864494</v>
      </c>
      <c r="IT169" s="82">
        <f>IR169-(IT$5*IT168)</f>
        <v>-136.29645584066259</v>
      </c>
      <c r="IU169" s="157"/>
      <c r="IV169" s="143">
        <f>IT169</f>
        <v>-136.29645584066259</v>
      </c>
      <c r="IW169" s="143"/>
      <c r="IX169" s="143">
        <f>IV169</f>
        <v>-136.29645584066259</v>
      </c>
      <c r="IY169" s="143"/>
      <c r="IZ169" s="169">
        <f>IX169+IT149</f>
        <v>1940.9019540399199</v>
      </c>
      <c r="JA169" s="179"/>
      <c r="JB169" s="33">
        <f>IZ169-(JB$5*JB168)</f>
        <v>1702.81627403992</v>
      </c>
      <c r="JD169" s="33">
        <f>JB169-(JD$5*JD168)</f>
        <v>1455.2182740399201</v>
      </c>
      <c r="JF169" s="82">
        <f>JD169-(JF$5*JF168)</f>
        <v>1237.55987403992</v>
      </c>
      <c r="JG169" s="179"/>
      <c r="JH169" s="33">
        <f>JF169-(JH$5*JH168)</f>
        <v>976.61187403992005</v>
      </c>
      <c r="JJ169" s="33">
        <f>JH169-(JJ$5*JJ168)</f>
        <v>749.07447403992001</v>
      </c>
      <c r="JL169" s="82">
        <f>JJ169-(JL$5*JL168)</f>
        <v>583.49887403992</v>
      </c>
      <c r="JM169" s="179"/>
      <c r="JN169" s="33">
        <f>JL169-(JN$5*JN168)</f>
        <v>414.61247403992002</v>
      </c>
      <c r="JP169" s="33">
        <f>JN169-(JP$5*JP168)</f>
        <v>298.89467403992001</v>
      </c>
      <c r="JR169" s="82">
        <f>JP169-(JR$5*JR168)</f>
        <v>186.95047403992001</v>
      </c>
      <c r="JS169" s="179"/>
      <c r="JT169" s="33">
        <f>JR169-(JT$5*JT168)</f>
        <v>63.68547403992001</v>
      </c>
      <c r="JV169" s="33">
        <f>JT169-(JV$5*JV168)</f>
        <v>-18.710725960079984</v>
      </c>
      <c r="JX169" s="186">
        <f>JV169-(JX$5*JX168)</f>
        <v>-119.63672596007999</v>
      </c>
      <c r="JY169" s="179"/>
      <c r="JZ169" s="53"/>
      <c r="KA169" s="51"/>
      <c r="KB169" s="53"/>
      <c r="KC169" s="51"/>
      <c r="KD169" s="143"/>
      <c r="KE169" s="179"/>
      <c r="KF169" s="53"/>
      <c r="KG169" s="51"/>
      <c r="KH169" s="53"/>
      <c r="KI169" s="51"/>
      <c r="KJ169" s="143"/>
      <c r="KK169" s="179"/>
      <c r="KL169" s="53"/>
      <c r="KM169" s="51"/>
      <c r="KN169" s="53"/>
      <c r="KO169" s="51"/>
      <c r="KP169" s="143"/>
      <c r="KQ169" s="179"/>
      <c r="KR169" s="53"/>
      <c r="KS169" s="51"/>
      <c r="KT169" s="53"/>
      <c r="KU169" s="51"/>
      <c r="KV169" s="143"/>
      <c r="KW169" s="179"/>
      <c r="KX169" s="53"/>
      <c r="KY169" s="51"/>
      <c r="KZ169" s="53"/>
      <c r="LA169" s="51"/>
      <c r="LB169" s="143"/>
      <c r="LC169" s="179"/>
      <c r="LD169" s="53"/>
      <c r="LE169" s="51"/>
      <c r="LF169" s="53"/>
      <c r="LG169" s="51"/>
      <c r="LH169" s="143"/>
      <c r="LI169" s="179"/>
      <c r="LJ169" s="53"/>
      <c r="LK169" s="51"/>
      <c r="LL169" s="53"/>
      <c r="LM169" s="51"/>
      <c r="LN169" s="143"/>
      <c r="LO169" s="179"/>
      <c r="LP169" s="53"/>
      <c r="LQ169" s="51"/>
      <c r="LR169" s="53"/>
      <c r="LS169" s="51"/>
      <c r="LT169" s="143"/>
      <c r="LU169" s="179"/>
      <c r="LV169" s="53"/>
      <c r="LW169" s="51"/>
      <c r="LX169" s="53"/>
      <c r="LY169" s="51"/>
      <c r="LZ169" s="143"/>
      <c r="MA169" s="179"/>
      <c r="MB169" s="53"/>
      <c r="MC169" s="51"/>
      <c r="MD169" s="53"/>
      <c r="ME169" s="51"/>
      <c r="MF169" s="143"/>
      <c r="MG169" s="179"/>
      <c r="MH169" s="53"/>
      <c r="MI169" s="51"/>
      <c r="MJ169" s="53"/>
      <c r="MK169" s="51"/>
      <c r="ML169" s="143"/>
      <c r="MM169" s="179"/>
      <c r="MN169" s="53"/>
      <c r="MO169" s="51"/>
      <c r="MP169" s="53"/>
      <c r="MQ169" s="51"/>
      <c r="MR169" s="53"/>
      <c r="MS169" s="179"/>
      <c r="MT169" s="53"/>
      <c r="MU169" s="51"/>
      <c r="MV169" s="53"/>
      <c r="MW169" s="51"/>
    </row>
    <row r="170" spans="3:361" x14ac:dyDescent="0.35">
      <c r="C170" s="175"/>
      <c r="HV170" s="81"/>
      <c r="HW170" s="179"/>
      <c r="IB170" s="81"/>
      <c r="IC170" s="179"/>
      <c r="IH170" s="81"/>
      <c r="II170" s="179"/>
      <c r="IN170" s="81"/>
      <c r="IO170" s="179"/>
      <c r="IT170" s="158"/>
      <c r="IZ170" s="101">
        <v>1.78E-2</v>
      </c>
      <c r="JA170" s="179"/>
      <c r="JB170" s="199" t="s">
        <v>127</v>
      </c>
      <c r="JF170" s="81"/>
      <c r="JG170" s="179"/>
      <c r="JL170" s="81"/>
      <c r="JM170" s="179"/>
      <c r="JR170" s="81"/>
      <c r="JS170" s="179"/>
      <c r="JX170" s="10"/>
      <c r="JY170" s="179"/>
      <c r="KD170" s="10"/>
      <c r="KE170" s="179"/>
      <c r="KJ170" s="10"/>
      <c r="KK170" s="179"/>
      <c r="KP170" s="10"/>
      <c r="KQ170" s="179"/>
      <c r="KV170" s="10"/>
      <c r="KW170" s="179"/>
      <c r="LB170" s="10"/>
      <c r="LC170" s="179"/>
      <c r="LH170" s="10"/>
      <c r="LI170" s="179"/>
      <c r="LN170" s="10"/>
      <c r="LO170" s="179"/>
      <c r="LT170" s="10"/>
      <c r="LU170" s="179"/>
      <c r="LZ170" s="10"/>
      <c r="MA170" s="179"/>
      <c r="MF170" s="10"/>
      <c r="MG170" s="179"/>
      <c r="ML170" s="10"/>
      <c r="MM170" s="179"/>
      <c r="MS170" s="179"/>
    </row>
    <row r="171" spans="3:361" x14ac:dyDescent="0.35">
      <c r="C171" s="175"/>
      <c r="HW171" s="179"/>
      <c r="IC171" s="179"/>
      <c r="ID171" s="175" t="s">
        <v>130</v>
      </c>
      <c r="II171" s="179"/>
      <c r="IO171" s="179"/>
      <c r="IU171" s="179"/>
      <c r="JA171" s="179"/>
      <c r="JF171" s="81"/>
      <c r="JG171" s="179"/>
      <c r="JM171" s="179"/>
      <c r="JS171" s="179"/>
      <c r="JY171" s="179"/>
      <c r="KE171" s="179"/>
      <c r="KK171" s="179"/>
      <c r="KQ171" s="179"/>
      <c r="KW171" s="179"/>
      <c r="LC171" s="179"/>
      <c r="LI171" s="179"/>
      <c r="LO171" s="179"/>
      <c r="LU171" s="179"/>
      <c r="MA171" s="179"/>
      <c r="MG171" s="179"/>
      <c r="MM171" s="179"/>
      <c r="MS171" s="179"/>
    </row>
    <row r="172" spans="3:361" x14ac:dyDescent="0.35">
      <c r="C172" s="175"/>
      <c r="HW172" s="179"/>
      <c r="IB172" s="81"/>
      <c r="IC172" s="179"/>
      <c r="ID172" s="66">
        <v>0.28889999999999999</v>
      </c>
      <c r="IE172" s="95"/>
      <c r="IF172" s="43">
        <f>ID172</f>
        <v>0.28889999999999999</v>
      </c>
      <c r="IG172" s="40"/>
      <c r="IH172" s="150">
        <f>IF172</f>
        <v>0.28889999999999999</v>
      </c>
      <c r="II172" s="179"/>
      <c r="IJ172" s="43">
        <f>IH172</f>
        <v>0.28889999999999999</v>
      </c>
      <c r="IK172" s="40"/>
      <c r="IL172" s="43">
        <f>IJ172</f>
        <v>0.28889999999999999</v>
      </c>
      <c r="IM172" s="40"/>
      <c r="IN172" s="150">
        <f>IL172</f>
        <v>0.28889999999999999</v>
      </c>
      <c r="IO172" s="179"/>
      <c r="IP172" s="43">
        <f>IN172</f>
        <v>0.28889999999999999</v>
      </c>
      <c r="IQ172" s="40"/>
      <c r="IR172" s="43">
        <f>IP172</f>
        <v>0.28889999999999999</v>
      </c>
      <c r="IS172" s="40"/>
      <c r="IT172" s="150">
        <f>IR172</f>
        <v>0.28889999999999999</v>
      </c>
      <c r="IU172" s="179"/>
      <c r="IV172" s="43">
        <f>IT172</f>
        <v>0.28889999999999999</v>
      </c>
      <c r="IW172" s="40"/>
      <c r="IX172" s="43">
        <f>IV172</f>
        <v>0.28889999999999999</v>
      </c>
      <c r="IY172" s="40"/>
      <c r="IZ172" s="150">
        <f>IX172</f>
        <v>0.28889999999999999</v>
      </c>
      <c r="JA172" s="156"/>
      <c r="JB172" s="144"/>
      <c r="JC172" s="144"/>
      <c r="JD172" s="144"/>
      <c r="JE172" s="144"/>
      <c r="JF172" s="118"/>
      <c r="JG172" s="179"/>
      <c r="JH172" s="151">
        <v>-8.3599999999999994E-2</v>
      </c>
      <c r="JI172" s="40"/>
      <c r="JJ172" s="43">
        <f>JH172</f>
        <v>-8.3599999999999994E-2</v>
      </c>
      <c r="JK172" s="40"/>
      <c r="JL172" s="150">
        <f>JJ172</f>
        <v>-8.3599999999999994E-2</v>
      </c>
      <c r="JM172" s="179"/>
      <c r="JN172" s="43">
        <f>JL172</f>
        <v>-8.3599999999999994E-2</v>
      </c>
      <c r="JO172" s="40"/>
      <c r="JP172" s="43">
        <f>JN172</f>
        <v>-8.3599999999999994E-2</v>
      </c>
      <c r="JQ172" s="40"/>
      <c r="JR172" s="150">
        <f>JP172</f>
        <v>-8.3599999999999994E-2</v>
      </c>
      <c r="JS172" s="179"/>
      <c r="JT172" s="43">
        <f>JR172</f>
        <v>-8.3599999999999994E-2</v>
      </c>
      <c r="JU172" s="40"/>
      <c r="JV172" s="43">
        <f>JT172</f>
        <v>-8.3599999999999994E-2</v>
      </c>
      <c r="JW172" s="40"/>
      <c r="JX172" s="150">
        <f>JV172</f>
        <v>-8.3599999999999994E-2</v>
      </c>
      <c r="JY172" s="179"/>
      <c r="JZ172" s="43">
        <f>JX172</f>
        <v>-8.3599999999999994E-2</v>
      </c>
      <c r="KA172" s="40"/>
      <c r="KB172" s="43">
        <f>JZ172</f>
        <v>-8.3599999999999994E-2</v>
      </c>
      <c r="KC172" s="40"/>
      <c r="KD172" s="154">
        <f>KB172</f>
        <v>-8.3599999999999994E-2</v>
      </c>
      <c r="KE172" s="179"/>
      <c r="KF172" s="76"/>
      <c r="KG172" s="76"/>
      <c r="KH172" s="76"/>
      <c r="KI172" s="76"/>
      <c r="KJ172" s="144"/>
      <c r="KK172" s="179"/>
      <c r="KL172" s="76"/>
      <c r="KM172" s="76"/>
      <c r="KN172" s="76"/>
      <c r="KO172" s="76"/>
      <c r="KP172" s="144"/>
      <c r="KQ172" s="179"/>
      <c r="KR172" s="76"/>
      <c r="KS172" s="76"/>
      <c r="KT172" s="76"/>
      <c r="KU172" s="76"/>
      <c r="KV172" s="144"/>
      <c r="KW172" s="179"/>
      <c r="KX172" s="76"/>
      <c r="KY172" s="76"/>
      <c r="KZ172" s="76"/>
      <c r="LA172" s="76"/>
      <c r="LB172" s="144"/>
      <c r="LC172" s="179"/>
      <c r="LD172" s="76"/>
      <c r="LE172" s="76"/>
      <c r="LF172" s="76"/>
      <c r="LG172" s="76"/>
      <c r="LH172" s="144"/>
      <c r="LI172" s="179"/>
      <c r="LJ172" s="76"/>
      <c r="LK172" s="76"/>
      <c r="LL172" s="76"/>
      <c r="LM172" s="76"/>
      <c r="LN172" s="144"/>
      <c r="LO172" s="179"/>
      <c r="LP172" s="76"/>
      <c r="LQ172" s="76"/>
      <c r="LR172" s="76"/>
      <c r="LS172" s="76"/>
      <c r="LT172" s="144"/>
      <c r="LU172" s="179"/>
      <c r="LV172" s="76"/>
      <c r="LW172" s="76"/>
      <c r="LX172" s="76"/>
      <c r="LY172" s="76"/>
      <c r="LZ172" s="144"/>
      <c r="MA172" s="179"/>
      <c r="MB172" s="76"/>
      <c r="MC172" s="76"/>
      <c r="MD172" s="76"/>
      <c r="ME172" s="76"/>
      <c r="MF172" s="144"/>
      <c r="MG172" s="179"/>
      <c r="MH172" s="76"/>
      <c r="MI172" s="76"/>
      <c r="MJ172" s="76"/>
      <c r="MK172" s="76"/>
      <c r="ML172" s="144"/>
      <c r="MM172" s="179"/>
      <c r="MN172" s="76"/>
      <c r="MO172" s="76"/>
      <c r="MP172" s="76"/>
      <c r="MQ172" s="76"/>
      <c r="MR172" s="76"/>
      <c r="MS172" s="179"/>
      <c r="MT172" s="76"/>
      <c r="MU172" s="76"/>
      <c r="MV172" s="76"/>
      <c r="MW172" s="76"/>
    </row>
    <row r="173" spans="3:361" x14ac:dyDescent="0.35">
      <c r="C173" s="126"/>
      <c r="HW173" s="179"/>
      <c r="IB173" s="93">
        <f>'Actual Adjustment (SIV)'!FJ19</f>
        <v>20284.008497550938</v>
      </c>
      <c r="IC173" s="179"/>
      <c r="ID173" s="33">
        <f>IB173-(ID$5*ID172)</f>
        <v>17143.954397550937</v>
      </c>
      <c r="IF173" s="33">
        <f>ID173-(IF$5*IF172)</f>
        <v>13470.301997550938</v>
      </c>
      <c r="IH173" s="82">
        <f>IF173-(IH$5*IH172)</f>
        <v>9915.0985975509375</v>
      </c>
      <c r="II173" s="179"/>
      <c r="IJ173" s="33">
        <f>IH173-(IJ$5*IJ172)</f>
        <v>6335.3386975509375</v>
      </c>
      <c r="IL173" s="33">
        <f>IJ173-(IL$5*IL172)</f>
        <v>2532.2590975509374</v>
      </c>
      <c r="IN173" s="82">
        <f>IL173-(IN$5*IN172)</f>
        <v>-576.59380244906242</v>
      </c>
      <c r="IO173" s="179"/>
      <c r="IP173" s="33">
        <f>IN173-(IP$5*IP172)</f>
        <v>-2587.6267024490626</v>
      </c>
      <c r="IR173" s="33">
        <f>IP173-(IR$5*IR172)</f>
        <v>-4516.9009024490624</v>
      </c>
      <c r="IT173" s="82">
        <f>IR173-(IT$5*IT172)</f>
        <v>-6155.5417024490625</v>
      </c>
      <c r="IU173" s="179"/>
      <c r="IV173" s="33">
        <f>IT173-(IV$5*IV172)</f>
        <v>-8135.9512024490623</v>
      </c>
      <c r="IX173" s="33">
        <f>IV173-(IX$5*IX172)</f>
        <v>-9893.2721224490615</v>
      </c>
      <c r="IZ173" s="82">
        <f>IX173-(IZ$5*IZ172)</f>
        <v>-12002.617692449061</v>
      </c>
      <c r="JA173" s="157"/>
      <c r="JB173" s="143">
        <f>IZ173</f>
        <v>-12002.617692449061</v>
      </c>
      <c r="JC173" s="143"/>
      <c r="JD173" s="143">
        <f>JB173</f>
        <v>-12002.617692449061</v>
      </c>
      <c r="JE173" s="143"/>
      <c r="JF173" s="169">
        <f>JD173+IZ153</f>
        <v>-9349.2588523414779</v>
      </c>
      <c r="JG173" s="179"/>
      <c r="JH173" s="33">
        <f>JF173-(JH$5*JH172)</f>
        <v>-8123.6828523414779</v>
      </c>
      <c r="JJ173" s="33">
        <f>JH173-(JJ$5*JJ172)</f>
        <v>-7055.0240523414777</v>
      </c>
      <c r="JL173" s="82">
        <f>JJ173-(JL$5*JL172)</f>
        <v>-6277.3768523414774</v>
      </c>
      <c r="JM173" s="179"/>
      <c r="JN173" s="33">
        <f>JL173-(JN$5*JN172)</f>
        <v>-5484.1800523414777</v>
      </c>
      <c r="JP173" s="33">
        <f>JN173-(JP$5*JP172)</f>
        <v>-4940.6964523414781</v>
      </c>
      <c r="JR173" s="82">
        <f>JP173-(JR$5*JR172)</f>
        <v>-4414.936052341478</v>
      </c>
      <c r="JS173" s="179"/>
      <c r="JT173" s="33">
        <f>JR173-(JT$5*JT172)</f>
        <v>-3836.0060523414782</v>
      </c>
      <c r="JV173" s="33">
        <f>JT173-(JV$5*JV172)</f>
        <v>-3449.0216523414783</v>
      </c>
      <c r="JX173" s="82">
        <f>JV173-(JX$5*JX172)</f>
        <v>-2975.0096523414786</v>
      </c>
      <c r="JY173" s="179"/>
      <c r="JZ173" s="33">
        <f>JX173-(JZ$5*JZ172)</f>
        <v>-2015.5993323414787</v>
      </c>
      <c r="KB173" s="33">
        <f>JZ173-(KB$5*KB172)</f>
        <v>-1090.9164523414788</v>
      </c>
      <c r="KD173" s="186">
        <f>KB173-(KD$5*KD172)</f>
        <v>-37.339092341478818</v>
      </c>
      <c r="KE173" s="179"/>
      <c r="KF173" s="53"/>
      <c r="KG173" s="51"/>
      <c r="KH173" s="53"/>
      <c r="KI173" s="51"/>
      <c r="KJ173" s="143"/>
      <c r="KK173" s="179"/>
      <c r="KL173" s="53"/>
      <c r="KM173" s="51"/>
      <c r="KN173" s="53"/>
      <c r="KO173" s="51"/>
      <c r="KP173" s="143"/>
      <c r="KQ173" s="179"/>
      <c r="KR173" s="53"/>
      <c r="KS173" s="51"/>
      <c r="KT173" s="53"/>
      <c r="KU173" s="51"/>
      <c r="KV173" s="143"/>
      <c r="KW173" s="179"/>
      <c r="KX173" s="53"/>
      <c r="KY173" s="51"/>
      <c r="KZ173" s="53"/>
      <c r="LA173" s="51"/>
      <c r="LB173" s="143"/>
      <c r="LC173" s="179"/>
      <c r="LD173" s="53"/>
      <c r="LE173" s="51"/>
      <c r="LF173" s="53"/>
      <c r="LG173" s="51"/>
      <c r="LH173" s="143"/>
      <c r="LI173" s="179"/>
      <c r="LJ173" s="53"/>
      <c r="LK173" s="51"/>
      <c r="LL173" s="53"/>
      <c r="LM173" s="51"/>
      <c r="LN173" s="143"/>
      <c r="LO173" s="179"/>
      <c r="LP173" s="53"/>
      <c r="LQ173" s="51"/>
      <c r="LR173" s="53"/>
      <c r="LS173" s="51"/>
      <c r="LT173" s="143"/>
      <c r="LU173" s="179"/>
      <c r="LV173" s="53"/>
      <c r="LW173" s="51"/>
      <c r="LX173" s="53"/>
      <c r="LY173" s="51"/>
      <c r="LZ173" s="143"/>
      <c r="MA173" s="179"/>
      <c r="MB173" s="53"/>
      <c r="MC173" s="51"/>
      <c r="MD173" s="53"/>
      <c r="ME173" s="51"/>
      <c r="MF173" s="143"/>
      <c r="MG173" s="179"/>
      <c r="MH173" s="53"/>
      <c r="MI173" s="51"/>
      <c r="MJ173" s="53"/>
      <c r="MK173" s="51"/>
      <c r="ML173" s="143"/>
      <c r="MM173" s="179"/>
      <c r="MN173" s="53"/>
      <c r="MO173" s="51"/>
      <c r="MP173" s="53"/>
      <c r="MQ173" s="51"/>
      <c r="MR173" s="53"/>
      <c r="MS173" s="179"/>
      <c r="MT173" s="53"/>
      <c r="MU173" s="51"/>
      <c r="MV173" s="53"/>
      <c r="MW173" s="51"/>
    </row>
    <row r="174" spans="3:361" x14ac:dyDescent="0.35">
      <c r="C174" s="175"/>
      <c r="HT174" s="24"/>
      <c r="IB174" s="81"/>
      <c r="IC174" s="179"/>
      <c r="IH174" s="81"/>
      <c r="II174" s="179"/>
      <c r="IN174" s="81"/>
      <c r="IO174" s="179"/>
      <c r="IT174" s="81"/>
      <c r="IU174" s="179"/>
      <c r="IZ174" s="158"/>
      <c r="JF174" s="101">
        <v>-8.3599999999999994E-2</v>
      </c>
      <c r="JG174" s="179"/>
      <c r="JH174" s="199" t="s">
        <v>127</v>
      </c>
      <c r="JL174" s="81"/>
      <c r="JM174" s="179"/>
      <c r="JR174" s="81"/>
      <c r="JS174" s="179"/>
      <c r="JX174" s="81"/>
      <c r="JY174" s="179"/>
      <c r="KD174" s="10"/>
      <c r="KE174" s="179"/>
      <c r="KJ174" s="10"/>
      <c r="KK174" s="179"/>
      <c r="KP174" s="10"/>
      <c r="KQ174" s="179"/>
      <c r="KV174" s="10"/>
      <c r="KW174" s="179"/>
      <c r="LB174" s="10"/>
      <c r="LC174" s="179"/>
      <c r="LH174" s="10"/>
      <c r="LI174" s="179"/>
      <c r="LN174" s="10"/>
      <c r="LO174" s="179"/>
      <c r="LT174" s="10"/>
      <c r="LU174" s="179"/>
      <c r="LZ174" s="10"/>
      <c r="MA174" s="179"/>
      <c r="MF174" s="10"/>
      <c r="MG174" s="179"/>
      <c r="ML174" s="10"/>
      <c r="MM174" s="179"/>
      <c r="MS174" s="179"/>
    </row>
    <row r="175" spans="3:361" x14ac:dyDescent="0.35">
      <c r="C175" s="175"/>
      <c r="IC175" s="179"/>
      <c r="II175" s="179"/>
      <c r="IO175" s="179"/>
      <c r="IU175" s="179"/>
      <c r="JA175" s="179"/>
      <c r="JF175" s="81"/>
      <c r="JG175" s="179"/>
      <c r="JM175" s="179"/>
      <c r="JS175" s="179"/>
      <c r="JY175" s="179"/>
      <c r="KE175" s="179"/>
      <c r="KK175" s="179"/>
      <c r="KQ175" s="179"/>
      <c r="KW175" s="179"/>
      <c r="LC175" s="179"/>
      <c r="LI175" s="179"/>
      <c r="LO175" s="179"/>
      <c r="LU175" s="179"/>
      <c r="MA175" s="179"/>
      <c r="MG175" s="179"/>
      <c r="MM175" s="179"/>
      <c r="MS175" s="179"/>
    </row>
    <row r="176" spans="3:361" x14ac:dyDescent="0.35">
      <c r="C176" s="175"/>
      <c r="IC176" s="179"/>
      <c r="IH176" s="81"/>
      <c r="II176" s="179"/>
      <c r="IJ176" s="66">
        <v>7.4399999999999994E-2</v>
      </c>
      <c r="IK176" s="95"/>
      <c r="IL176" s="43">
        <f>IJ176</f>
        <v>7.4399999999999994E-2</v>
      </c>
      <c r="IM176" s="40"/>
      <c r="IN176" s="150">
        <f>IL176</f>
        <v>7.4399999999999994E-2</v>
      </c>
      <c r="IO176" s="179"/>
      <c r="IP176" s="43">
        <f>IN176</f>
        <v>7.4399999999999994E-2</v>
      </c>
      <c r="IQ176" s="40"/>
      <c r="IR176" s="43">
        <f>IP176</f>
        <v>7.4399999999999994E-2</v>
      </c>
      <c r="IS176" s="40"/>
      <c r="IT176" s="150">
        <f>IR176</f>
        <v>7.4399999999999994E-2</v>
      </c>
      <c r="IU176" s="179"/>
      <c r="IV176" s="43">
        <f>IT176</f>
        <v>7.4399999999999994E-2</v>
      </c>
      <c r="IW176" s="40"/>
      <c r="IX176" s="43">
        <f>IV176</f>
        <v>7.4399999999999994E-2</v>
      </c>
      <c r="IY176" s="40"/>
      <c r="IZ176" s="150">
        <f>IX176</f>
        <v>7.4399999999999994E-2</v>
      </c>
      <c r="JA176" s="179"/>
      <c r="JB176" s="43">
        <f>IZ176</f>
        <v>7.4399999999999994E-2</v>
      </c>
      <c r="JC176" s="40"/>
      <c r="JD176" s="43">
        <f>JB176</f>
        <v>7.4399999999999994E-2</v>
      </c>
      <c r="JE176" s="40"/>
      <c r="JF176" s="150">
        <f>JD176</f>
        <v>7.4399999999999994E-2</v>
      </c>
      <c r="JG176" s="156"/>
      <c r="JH176" s="144"/>
      <c r="JI176" s="144"/>
      <c r="JJ176" s="144"/>
      <c r="JK176" s="144"/>
      <c r="JL176" s="118"/>
      <c r="JM176" s="179"/>
      <c r="JN176" s="151">
        <v>-2.9600000000000001E-2</v>
      </c>
      <c r="JO176" s="40"/>
      <c r="JP176" s="43">
        <f>JN176</f>
        <v>-2.9600000000000001E-2</v>
      </c>
      <c r="JQ176" s="40"/>
      <c r="JR176" s="150">
        <f>JP176</f>
        <v>-2.9600000000000001E-2</v>
      </c>
      <c r="JS176" s="179"/>
      <c r="JT176" s="43">
        <f>JR176</f>
        <v>-2.9600000000000001E-2</v>
      </c>
      <c r="JU176" s="40"/>
      <c r="JV176" s="43">
        <f>JT176</f>
        <v>-2.9600000000000001E-2</v>
      </c>
      <c r="JW176" s="40"/>
      <c r="JX176" s="150">
        <f>JV176</f>
        <v>-2.9600000000000001E-2</v>
      </c>
      <c r="JY176" s="179"/>
      <c r="JZ176" s="43">
        <f>JX176</f>
        <v>-2.9600000000000001E-2</v>
      </c>
      <c r="KA176" s="40"/>
      <c r="KB176" s="43">
        <f>JZ176</f>
        <v>-2.9600000000000001E-2</v>
      </c>
      <c r="KC176" s="40"/>
      <c r="KD176" s="150">
        <f>KB176</f>
        <v>-2.9600000000000001E-2</v>
      </c>
      <c r="KE176" s="179"/>
      <c r="KF176" s="43">
        <f>KD176</f>
        <v>-2.9600000000000001E-2</v>
      </c>
      <c r="KG176" s="40"/>
      <c r="KH176" s="43">
        <f>KF176</f>
        <v>-2.9600000000000001E-2</v>
      </c>
      <c r="KI176" s="40"/>
      <c r="KJ176" s="154">
        <f>KH176</f>
        <v>-2.9600000000000001E-2</v>
      </c>
      <c r="KK176" s="179"/>
      <c r="KL176" s="76"/>
      <c r="KM176" s="76"/>
      <c r="KN176" s="76"/>
      <c r="KO176" s="76"/>
      <c r="KP176" s="144"/>
      <c r="KQ176" s="179"/>
      <c r="KR176" s="76"/>
      <c r="KS176" s="76"/>
      <c r="KT176" s="76"/>
      <c r="KU176" s="76"/>
      <c r="KV176" s="144"/>
      <c r="KW176" s="179"/>
      <c r="KX176" s="76"/>
      <c r="KY176" s="76"/>
      <c r="KZ176" s="76"/>
      <c r="LA176" s="76"/>
      <c r="LB176" s="144"/>
      <c r="LC176" s="179"/>
      <c r="LD176" s="76"/>
      <c r="LE176" s="76"/>
      <c r="LF176" s="76"/>
      <c r="LG176" s="76"/>
      <c r="LH176" s="144"/>
      <c r="LI176" s="179"/>
      <c r="LJ176" s="76"/>
      <c r="LK176" s="76"/>
      <c r="LL176" s="76"/>
      <c r="LM176" s="76"/>
      <c r="LN176" s="144"/>
      <c r="LO176" s="179"/>
      <c r="LP176" s="76"/>
      <c r="LQ176" s="76"/>
      <c r="LR176" s="76"/>
      <c r="LS176" s="76"/>
      <c r="LT176" s="144"/>
      <c r="LU176" s="179"/>
      <c r="LV176" s="76"/>
      <c r="LW176" s="76"/>
      <c r="LX176" s="76"/>
      <c r="LY176" s="76"/>
      <c r="LZ176" s="144"/>
      <c r="MA176" s="179"/>
      <c r="MB176" s="76"/>
      <c r="MC176" s="76"/>
      <c r="MD176" s="76"/>
      <c r="ME176" s="76"/>
      <c r="MF176" s="144"/>
      <c r="MG176" s="179"/>
      <c r="MH176" s="76"/>
      <c r="MI176" s="76"/>
      <c r="MJ176" s="76"/>
      <c r="MK176" s="76"/>
      <c r="ML176" s="144"/>
      <c r="MM176" s="179"/>
      <c r="MN176" s="76"/>
      <c r="MO176" s="76"/>
      <c r="MP176" s="76"/>
      <c r="MQ176" s="76"/>
      <c r="MR176" s="76"/>
      <c r="MS176" s="179"/>
      <c r="MT176" s="76"/>
      <c r="MU176" s="76"/>
      <c r="MV176" s="76"/>
      <c r="MW176" s="76"/>
    </row>
    <row r="177" spans="3:361" x14ac:dyDescent="0.35">
      <c r="C177" s="126" t="s">
        <v>73</v>
      </c>
      <c r="IC177" s="179"/>
      <c r="IH177" s="93">
        <f>'Actual Adjustment (SIV)'!FP19</f>
        <v>5394.9676878866376</v>
      </c>
      <c r="II177" s="179"/>
      <c r="IJ177" s="33">
        <f>IH177-(IJ$5*IJ176)</f>
        <v>4473.0772878866374</v>
      </c>
      <c r="IL177" s="33">
        <f>IJ177-(IL$5*IL176)</f>
        <v>3493.6756878866372</v>
      </c>
      <c r="IN177" s="82">
        <f>IL177-(IN$5*IN176)</f>
        <v>2693.0572878866374</v>
      </c>
      <c r="IO177" s="179"/>
      <c r="IP177" s="33">
        <f>IN177-(IP$5*IP176)</f>
        <v>2175.1588878866373</v>
      </c>
      <c r="IR177" s="33">
        <f>IP177-(IR$5*IR176)</f>
        <v>1678.3156878866373</v>
      </c>
      <c r="IT177" s="82">
        <f>IR177-(IT$5*IT176)</f>
        <v>1256.3188878866374</v>
      </c>
      <c r="IU177" s="179"/>
      <c r="IV177" s="33">
        <f>IT177-(IV$5*IV176)</f>
        <v>746.30688788663747</v>
      </c>
      <c r="IX177" s="33">
        <f>IV177-(IX$5*IX176)</f>
        <v>293.74656788663748</v>
      </c>
      <c r="IZ177" s="82">
        <f>IX177-(IZ$5*IZ176)</f>
        <v>-249.47015211336253</v>
      </c>
      <c r="JA177" s="179"/>
      <c r="JB177" s="33">
        <f>IZ177-(JB$5*JB176)</f>
        <v>-1244.6147921133625</v>
      </c>
      <c r="JD177" s="33">
        <f>JB177-(JD$5*JD176)</f>
        <v>-2279.5187921133625</v>
      </c>
      <c r="JF177" s="82">
        <f>JD177-(JF$5*JF176)</f>
        <v>-3189.2819921133623</v>
      </c>
      <c r="JG177" s="157"/>
      <c r="JH177" s="143">
        <f>JF177</f>
        <v>-3189.2819921133623</v>
      </c>
      <c r="JI177" s="143"/>
      <c r="JJ177" s="143">
        <f>JH177</f>
        <v>-3189.2819921133623</v>
      </c>
      <c r="JK177" s="143"/>
      <c r="JL177" s="169">
        <f>JJ177+JF157</f>
        <v>-3411.9125749674185</v>
      </c>
      <c r="JM177" s="179"/>
      <c r="JN177" s="33">
        <f>JL177-(JN$5*JN176)</f>
        <v>-3131.0677749674187</v>
      </c>
      <c r="JP177" s="33">
        <f>JN177-(JP$5*JP176)</f>
        <v>-2938.6381749674188</v>
      </c>
      <c r="JR177" s="82">
        <f>JP177-(JR$5*JR176)</f>
        <v>-2752.4837749674189</v>
      </c>
      <c r="JS177" s="179"/>
      <c r="JT177" s="33">
        <f>JR177-(JT$5*JT176)</f>
        <v>-2547.5037749674188</v>
      </c>
      <c r="JV177" s="33">
        <f>JT177-(JV$5*JV176)</f>
        <v>-2410.4853749674189</v>
      </c>
      <c r="JX177" s="82">
        <f>JV177-(JX$5*JX176)</f>
        <v>-2242.653374967419</v>
      </c>
      <c r="JY177" s="179"/>
      <c r="JZ177" s="33">
        <f>JX177-(JZ$5*JZ176)</f>
        <v>-1902.9578549674191</v>
      </c>
      <c r="KB177" s="33">
        <f>JZ177-(KB$5*KB176)</f>
        <v>-1575.5581749674191</v>
      </c>
      <c r="KD177" s="82">
        <f>KB177-(KD$5*KD176)</f>
        <v>-1202.5212149674189</v>
      </c>
      <c r="KE177" s="179"/>
      <c r="KF177" s="33">
        <f>KD177-(KF$5*KF176)</f>
        <v>-872.71446296741897</v>
      </c>
      <c r="KH177" s="33">
        <f>KF177-(KH$5*KH176)</f>
        <v>-542.59927896741897</v>
      </c>
      <c r="KJ177" s="186">
        <f>KH177-(KJ$5*KJ176)</f>
        <v>-277.19857496741895</v>
      </c>
      <c r="KK177" s="179"/>
      <c r="KL177" s="53"/>
      <c r="KM177" s="51"/>
      <c r="KN177" s="53"/>
      <c r="KO177" s="51"/>
      <c r="KP177" s="143"/>
      <c r="KQ177" s="179"/>
      <c r="KR177" s="53"/>
      <c r="KS177" s="51"/>
      <c r="KT177" s="53"/>
      <c r="KU177" s="51"/>
      <c r="KV177" s="143"/>
      <c r="KW177" s="179"/>
      <c r="KX177" s="53"/>
      <c r="KY177" s="51"/>
      <c r="KZ177" s="53"/>
      <c r="LA177" s="51"/>
      <c r="LB177" s="143"/>
      <c r="LC177" s="179"/>
      <c r="LD177" s="53"/>
      <c r="LE177" s="51"/>
      <c r="LF177" s="53"/>
      <c r="LG177" s="51"/>
      <c r="LH177" s="143"/>
      <c r="LI177" s="179"/>
      <c r="LJ177" s="53"/>
      <c r="LK177" s="51"/>
      <c r="LL177" s="53"/>
      <c r="LM177" s="51"/>
      <c r="LN177" s="143"/>
      <c r="LO177" s="179"/>
      <c r="LP177" s="53"/>
      <c r="LQ177" s="51"/>
      <c r="LR177" s="53"/>
      <c r="LS177" s="51"/>
      <c r="LT177" s="143"/>
      <c r="LU177" s="179"/>
      <c r="LV177" s="53"/>
      <c r="LW177" s="51"/>
      <c r="LX177" s="53"/>
      <c r="LY177" s="51"/>
      <c r="LZ177" s="143"/>
      <c r="MA177" s="179"/>
      <c r="MB177" s="53"/>
      <c r="MC177" s="51"/>
      <c r="MD177" s="53"/>
      <c r="ME177" s="51"/>
      <c r="MF177" s="143"/>
      <c r="MG177" s="179"/>
      <c r="MH177" s="53"/>
      <c r="MI177" s="51"/>
      <c r="MJ177" s="53"/>
      <c r="MK177" s="51"/>
      <c r="ML177" s="143"/>
      <c r="MM177" s="179"/>
      <c r="MN177" s="53"/>
      <c r="MO177" s="51"/>
      <c r="MP177" s="53"/>
      <c r="MQ177" s="51"/>
      <c r="MR177" s="53"/>
      <c r="MS177" s="179"/>
      <c r="MT177" s="53"/>
      <c r="MU177" s="51"/>
      <c r="MV177" s="53"/>
      <c r="MW177" s="51"/>
    </row>
    <row r="178" spans="3:361" x14ac:dyDescent="0.35">
      <c r="C178" s="175"/>
      <c r="IH178" s="81"/>
      <c r="II178" s="179"/>
      <c r="IN178" s="81"/>
      <c r="IO178" s="179"/>
      <c r="IT178" s="81"/>
      <c r="IU178" s="179"/>
      <c r="IZ178" s="81"/>
      <c r="JA178" s="179"/>
      <c r="JF178" s="158"/>
      <c r="JG178" s="179"/>
      <c r="JL178" s="101">
        <v>-2.9600000000000001E-2</v>
      </c>
      <c r="JM178" s="179"/>
      <c r="JN178" s="127" t="s">
        <v>127</v>
      </c>
      <c r="JR178" s="81"/>
      <c r="JS178" s="179"/>
      <c r="JX178" s="81"/>
      <c r="JY178" s="179"/>
      <c r="KD178" s="81"/>
      <c r="KE178" s="179"/>
      <c r="KJ178" s="10"/>
      <c r="KK178" s="179"/>
      <c r="KP178" s="10"/>
      <c r="KQ178" s="179"/>
      <c r="KV178" s="10"/>
      <c r="KW178" s="179"/>
      <c r="LB178" s="10"/>
      <c r="LC178" s="179"/>
      <c r="LH178" s="10"/>
      <c r="LI178" s="179"/>
      <c r="LN178" s="10"/>
      <c r="LO178" s="179"/>
      <c r="LT178" s="10"/>
      <c r="LU178" s="179"/>
      <c r="LZ178" s="10"/>
      <c r="MA178" s="179"/>
      <c r="MF178" s="10"/>
      <c r="MG178" s="179"/>
      <c r="ML178" s="10"/>
      <c r="MM178" s="179"/>
      <c r="MS178" s="179"/>
    </row>
    <row r="179" spans="3:361" x14ac:dyDescent="0.35">
      <c r="C179" s="175"/>
      <c r="II179" s="179"/>
      <c r="IO179" s="179"/>
      <c r="IU179" s="179"/>
      <c r="JA179" s="179"/>
      <c r="JF179" s="81"/>
      <c r="JG179" s="179"/>
      <c r="JM179" s="179"/>
      <c r="JS179" s="179"/>
      <c r="JY179" s="179"/>
      <c r="KE179" s="179"/>
      <c r="KK179" s="179"/>
      <c r="KQ179" s="179"/>
      <c r="KW179" s="179"/>
      <c r="LC179" s="179"/>
      <c r="LI179" s="179"/>
      <c r="LO179" s="179"/>
      <c r="LU179" s="179"/>
      <c r="MA179" s="179"/>
      <c r="MG179" s="179"/>
      <c r="MM179" s="179"/>
      <c r="MS179" s="179"/>
    </row>
    <row r="180" spans="3:361" x14ac:dyDescent="0.35">
      <c r="C180" s="175"/>
      <c r="IN180" s="81"/>
      <c r="IO180" s="179"/>
      <c r="IP180" s="66">
        <v>5.5399999999999998E-2</v>
      </c>
      <c r="IQ180" s="95"/>
      <c r="IR180" s="43">
        <f>IP180</f>
        <v>5.5399999999999998E-2</v>
      </c>
      <c r="IS180" s="40"/>
      <c r="IT180" s="150">
        <f>IR180</f>
        <v>5.5399999999999998E-2</v>
      </c>
      <c r="IU180" s="179"/>
      <c r="IV180" s="43">
        <f>IT180</f>
        <v>5.5399999999999998E-2</v>
      </c>
      <c r="IW180" s="40"/>
      <c r="IX180" s="43">
        <f>IV180</f>
        <v>5.5399999999999998E-2</v>
      </c>
      <c r="IY180" s="40"/>
      <c r="IZ180" s="150">
        <f>IX180</f>
        <v>5.5399999999999998E-2</v>
      </c>
      <c r="JA180" s="179"/>
      <c r="JB180" s="43">
        <f>IZ180</f>
        <v>5.5399999999999998E-2</v>
      </c>
      <c r="JC180" s="40"/>
      <c r="JD180" s="43">
        <f>JB180</f>
        <v>5.5399999999999998E-2</v>
      </c>
      <c r="JE180" s="40"/>
      <c r="JF180" s="150">
        <f>JD180</f>
        <v>5.5399999999999998E-2</v>
      </c>
      <c r="JG180" s="179"/>
      <c r="JH180" s="43">
        <f>JF180</f>
        <v>5.5399999999999998E-2</v>
      </c>
      <c r="JI180" s="40"/>
      <c r="JJ180" s="43">
        <f>JH180</f>
        <v>5.5399999999999998E-2</v>
      </c>
      <c r="JK180" s="40"/>
      <c r="JL180" s="150">
        <f>JJ180</f>
        <v>5.5399999999999998E-2</v>
      </c>
      <c r="JM180" s="156"/>
      <c r="JN180" s="144"/>
      <c r="JO180" s="144"/>
      <c r="JP180" s="144"/>
      <c r="JQ180" s="144"/>
      <c r="JR180" s="118"/>
      <c r="JS180" s="179"/>
      <c r="JT180" s="151">
        <v>-1.2800000000000001E-2</v>
      </c>
      <c r="JU180" s="40"/>
      <c r="JV180" s="43">
        <f>JT180</f>
        <v>-1.2800000000000001E-2</v>
      </c>
      <c r="JW180" s="40"/>
      <c r="JX180" s="150">
        <f>JV180</f>
        <v>-1.2800000000000001E-2</v>
      </c>
      <c r="JY180" s="179"/>
      <c r="JZ180" s="43">
        <f>JX180</f>
        <v>-1.2800000000000001E-2</v>
      </c>
      <c r="KA180" s="40"/>
      <c r="KB180" s="43">
        <f>JZ180</f>
        <v>-1.2800000000000001E-2</v>
      </c>
      <c r="KC180" s="40"/>
      <c r="KD180" s="150">
        <f>KB180</f>
        <v>-1.2800000000000001E-2</v>
      </c>
      <c r="KE180" s="179"/>
      <c r="KF180" s="43">
        <f>KD180</f>
        <v>-1.2800000000000001E-2</v>
      </c>
      <c r="KG180" s="40"/>
      <c r="KH180" s="43">
        <f>KF180</f>
        <v>-1.2800000000000001E-2</v>
      </c>
      <c r="KI180" s="40"/>
      <c r="KJ180" s="150">
        <f>KH180</f>
        <v>-1.2800000000000001E-2</v>
      </c>
      <c r="KK180" s="179"/>
      <c r="KL180" s="43">
        <f>KJ180</f>
        <v>-1.2800000000000001E-2</v>
      </c>
      <c r="KM180" s="40"/>
      <c r="KN180" s="43">
        <f>KL180</f>
        <v>-1.2800000000000001E-2</v>
      </c>
      <c r="KO180" s="40"/>
      <c r="KP180" s="150">
        <f>KN180</f>
        <v>-1.2800000000000001E-2</v>
      </c>
      <c r="KR180" s="76"/>
      <c r="KS180" s="76"/>
      <c r="KT180" s="76"/>
      <c r="KU180" s="76"/>
      <c r="KV180" s="144"/>
      <c r="KW180" s="179"/>
      <c r="KX180" s="76"/>
      <c r="KY180" s="76"/>
      <c r="KZ180" s="76"/>
      <c r="LA180" s="76"/>
      <c r="LB180" s="144"/>
      <c r="LC180" s="179"/>
      <c r="LD180" s="76"/>
      <c r="LE180" s="76"/>
      <c r="LF180" s="76"/>
      <c r="LG180" s="76"/>
      <c r="LH180" s="144"/>
      <c r="LI180" s="179"/>
      <c r="LJ180" s="76"/>
      <c r="LK180" s="76"/>
      <c r="LL180" s="76"/>
      <c r="LM180" s="76"/>
      <c r="LN180" s="144"/>
      <c r="LO180" s="179"/>
      <c r="LP180" s="76"/>
      <c r="LQ180" s="76"/>
      <c r="LR180" s="76"/>
      <c r="LS180" s="76"/>
      <c r="LT180" s="144"/>
      <c r="LU180" s="179"/>
      <c r="LV180" s="76"/>
      <c r="LW180" s="76"/>
      <c r="LX180" s="76"/>
      <c r="LY180" s="76"/>
      <c r="LZ180" s="144"/>
      <c r="MA180" s="179"/>
      <c r="MB180" s="76"/>
      <c r="MC180" s="76"/>
      <c r="MD180" s="76"/>
      <c r="ME180" s="76"/>
      <c r="MF180" s="144"/>
      <c r="MG180" s="179"/>
      <c r="MH180" s="76"/>
      <c r="MI180" s="76"/>
      <c r="MJ180" s="76"/>
      <c r="MK180" s="76"/>
      <c r="ML180" s="144"/>
      <c r="MM180" s="179"/>
      <c r="MN180" s="76"/>
      <c r="MO180" s="76"/>
      <c r="MP180" s="76"/>
      <c r="MQ180" s="76"/>
      <c r="MR180" s="76"/>
      <c r="MS180" s="179"/>
      <c r="MT180" s="76"/>
      <c r="MU180" s="76"/>
      <c r="MV180" s="76"/>
      <c r="MW180" s="76"/>
    </row>
    <row r="181" spans="3:361" x14ac:dyDescent="0.35">
      <c r="C181" s="126" t="s">
        <v>73</v>
      </c>
      <c r="IN181" s="93">
        <f>'Actual Adjustment (SIV)'!FV19</f>
        <v>4688.7409065070278</v>
      </c>
      <c r="IO181" s="179"/>
      <c r="IP181" s="33">
        <f>IN181-(IP$5*IP180)</f>
        <v>4303.1015065070278</v>
      </c>
      <c r="IR181" s="33">
        <f>IP181-(IR$5*IR180)</f>
        <v>3933.1403065070281</v>
      </c>
      <c r="IT181" s="82">
        <f>IR181-(IT$5*IT180)</f>
        <v>3618.9115065070282</v>
      </c>
      <c r="IU181" s="179"/>
      <c r="IV181" s="33">
        <f>IT181-(IV$5*IV180)</f>
        <v>3239.1445065070284</v>
      </c>
      <c r="IX181" s="33">
        <f>IV181-(IX$5*IX180)</f>
        <v>2902.1573865070286</v>
      </c>
      <c r="IZ181" s="82">
        <f>IX181-(IZ$5*IZ180)</f>
        <v>2497.6653665070285</v>
      </c>
      <c r="JA181" s="179"/>
      <c r="JB181" s="33">
        <f>IZ181-(JB$5*JB180)</f>
        <v>1756.6571265070284</v>
      </c>
      <c r="JD181" s="33">
        <f>JB181-(JD$5*JD180)</f>
        <v>986.04312650702843</v>
      </c>
      <c r="JF181" s="82">
        <f>JD181-(JF$5*JF180)</f>
        <v>308.61192650702844</v>
      </c>
      <c r="JG181" s="179"/>
      <c r="JH181" s="33">
        <f>JF181-(JH$5*JH180)</f>
        <v>-503.55207349297154</v>
      </c>
      <c r="JJ181" s="33">
        <f>JH181-(JJ$5*JJ180)</f>
        <v>-1211.7302734929715</v>
      </c>
      <c r="JL181" s="82">
        <f>JJ181-(JL$5*JL180)</f>
        <v>-1727.0610734929714</v>
      </c>
      <c r="JM181" s="157"/>
      <c r="JN181" s="143">
        <f>JL181</f>
        <v>-1727.0610734929714</v>
      </c>
      <c r="JO181" s="143"/>
      <c r="JP181" s="143">
        <f>JN181</f>
        <v>-1727.0610734929714</v>
      </c>
      <c r="JQ181" s="143"/>
      <c r="JR181" s="169">
        <f>JP181+JL161</f>
        <v>-1715.0067538079343</v>
      </c>
      <c r="JS181" s="179"/>
      <c r="JT181" s="33">
        <f>JR181-(JT$5*JT180)</f>
        <v>-1626.3667538079342</v>
      </c>
      <c r="JV181" s="33">
        <f>JT181-(JV$5*JV180)</f>
        <v>-1567.1155538079342</v>
      </c>
      <c r="JX181" s="82">
        <f>JV181-(JX$5*JX180)</f>
        <v>-1494.5395538079342</v>
      </c>
      <c r="JY181" s="179"/>
      <c r="JZ181" s="33">
        <f>JX181-(JZ$5*JZ180)</f>
        <v>-1347.6441938079342</v>
      </c>
      <c r="KB181" s="33">
        <f>JZ181-(KB$5*KB180)</f>
        <v>-1206.0659538079342</v>
      </c>
      <c r="KD181" s="82">
        <f>KB181-(KD$5*KD180)</f>
        <v>-1044.7526738079341</v>
      </c>
      <c r="KE181" s="179"/>
      <c r="KF181" s="33">
        <f>KD181-(KF$5*KF180)</f>
        <v>-902.13353780793409</v>
      </c>
      <c r="KH181" s="33">
        <f>KF181-(KH$5*KH180)</f>
        <v>-759.38102580793407</v>
      </c>
      <c r="KJ181" s="82">
        <f>KH181-(KJ$5*KJ180)</f>
        <v>-644.61315380793405</v>
      </c>
      <c r="KK181" s="179"/>
      <c r="KL181" s="33">
        <f>KJ181-(KL$5*KL180)</f>
        <v>-555.96547380793402</v>
      </c>
      <c r="KN181" s="33">
        <f>KL181-(KN$5*KN180)</f>
        <v>-484.57219380793401</v>
      </c>
      <c r="KP181" s="168">
        <f>KN181-(KP$5*KP180)</f>
        <v>-419.75043380793403</v>
      </c>
      <c r="KR181" s="53"/>
      <c r="KS181" s="51"/>
      <c r="KT181" s="53"/>
      <c r="KU181" s="51"/>
      <c r="KV181" s="143"/>
      <c r="KW181" s="179"/>
      <c r="KX181" s="53"/>
      <c r="KY181" s="51"/>
      <c r="KZ181" s="53"/>
      <c r="LA181" s="51"/>
      <c r="LB181" s="143"/>
      <c r="LC181" s="179"/>
      <c r="LD181" s="53"/>
      <c r="LE181" s="51"/>
      <c r="LF181" s="53"/>
      <c r="LG181" s="51"/>
      <c r="LH181" s="143"/>
      <c r="LI181" s="179"/>
      <c r="LJ181" s="53"/>
      <c r="LK181" s="51"/>
      <c r="LL181" s="53"/>
      <c r="LM181" s="51"/>
      <c r="LN181" s="143"/>
      <c r="LO181" s="179"/>
      <c r="LP181" s="53"/>
      <c r="LQ181" s="51"/>
      <c r="LR181" s="53"/>
      <c r="LS181" s="51"/>
      <c r="LT181" s="143"/>
      <c r="LU181" s="179"/>
      <c r="LV181" s="53"/>
      <c r="LW181" s="51"/>
      <c r="LX181" s="53"/>
      <c r="LY181" s="51"/>
      <c r="LZ181" s="143"/>
      <c r="MA181" s="179"/>
      <c r="MB181" s="53"/>
      <c r="MC181" s="51"/>
      <c r="MD181" s="53"/>
      <c r="ME181" s="51"/>
      <c r="MF181" s="143"/>
      <c r="MG181" s="179"/>
      <c r="MH181" s="53"/>
      <c r="MI181" s="51"/>
      <c r="MJ181" s="53"/>
      <c r="MK181" s="51"/>
      <c r="ML181" s="143"/>
      <c r="MM181" s="179"/>
      <c r="MN181" s="53"/>
      <c r="MO181" s="51"/>
      <c r="MP181" s="53"/>
      <c r="MQ181" s="51"/>
      <c r="MR181" s="53"/>
      <c r="MS181" s="179"/>
      <c r="MT181" s="53"/>
      <c r="MU181" s="51"/>
      <c r="MV181" s="53"/>
      <c r="MW181" s="51"/>
    </row>
    <row r="182" spans="3:361" x14ac:dyDescent="0.35">
      <c r="C182" s="175"/>
      <c r="IN182" s="81"/>
      <c r="IO182" s="179"/>
      <c r="IT182" s="81"/>
      <c r="IU182" s="179"/>
      <c r="IZ182" s="81"/>
      <c r="JA182" s="179"/>
      <c r="JF182" s="81"/>
      <c r="JG182" s="179"/>
      <c r="JL182" s="158"/>
      <c r="JR182" s="101">
        <f>(JR181/SUM(IP$5:JL$5))</f>
        <v>-1.480896300371159E-2</v>
      </c>
      <c r="JS182" s="179"/>
      <c r="JT182" s="127" t="s">
        <v>127</v>
      </c>
      <c r="JX182" s="81"/>
      <c r="JY182" s="179"/>
      <c r="KD182" s="81"/>
      <c r="KE182" s="179"/>
      <c r="KJ182" s="81"/>
      <c r="KK182" s="179"/>
      <c r="KP182" s="10"/>
      <c r="KQ182" s="179"/>
      <c r="KV182" s="10"/>
      <c r="KW182" s="179"/>
      <c r="LB182" s="10"/>
      <c r="LC182" s="179"/>
      <c r="LH182" s="10"/>
      <c r="LI182" s="179"/>
      <c r="LN182" s="10"/>
      <c r="LO182" s="179"/>
      <c r="LT182" s="10"/>
      <c r="LU182" s="179"/>
      <c r="LZ182" s="10"/>
      <c r="MA182" s="179"/>
      <c r="MF182" s="10"/>
      <c r="MG182" s="179"/>
      <c r="ML182" s="10"/>
      <c r="MM182" s="179"/>
      <c r="MS182" s="179"/>
    </row>
    <row r="183" spans="3:361" x14ac:dyDescent="0.35">
      <c r="C183" s="175"/>
      <c r="IF183" s="24"/>
      <c r="IO183" s="179"/>
      <c r="IU183" s="179"/>
      <c r="JA183" s="179"/>
      <c r="JF183" s="81"/>
      <c r="JG183" s="179"/>
      <c r="JM183" s="179"/>
      <c r="JS183" s="179"/>
      <c r="JY183" s="179"/>
      <c r="JZ183" s="175" t="s">
        <v>155</v>
      </c>
      <c r="KE183" s="179"/>
      <c r="KK183" s="179"/>
      <c r="KQ183" s="179"/>
      <c r="KW183" s="179"/>
      <c r="LC183" s="179"/>
      <c r="LI183" s="179"/>
      <c r="LO183" s="179"/>
      <c r="LU183" s="179"/>
      <c r="MA183" s="179"/>
      <c r="MG183" s="179"/>
      <c r="MM183" s="179"/>
      <c r="MS183" s="179"/>
    </row>
    <row r="184" spans="3:361" x14ac:dyDescent="0.35">
      <c r="C184" s="175"/>
      <c r="IT184" s="81"/>
      <c r="IU184" s="179"/>
      <c r="IV184" s="66">
        <v>-0.44190000000000002</v>
      </c>
      <c r="IW184" s="95"/>
      <c r="IX184" s="43">
        <f>IV184</f>
        <v>-0.44190000000000002</v>
      </c>
      <c r="IY184" s="40"/>
      <c r="IZ184" s="150">
        <f>IX184</f>
        <v>-0.44190000000000002</v>
      </c>
      <c r="JA184" s="179"/>
      <c r="JB184" s="43">
        <f>IZ184</f>
        <v>-0.44190000000000002</v>
      </c>
      <c r="JC184" s="40"/>
      <c r="JD184" s="43">
        <f>JB184</f>
        <v>-0.44190000000000002</v>
      </c>
      <c r="JE184" s="40"/>
      <c r="JF184" s="150">
        <f>JD184</f>
        <v>-0.44190000000000002</v>
      </c>
      <c r="JG184" s="179"/>
      <c r="JH184" s="43">
        <f>JF184</f>
        <v>-0.44190000000000002</v>
      </c>
      <c r="JI184" s="40"/>
      <c r="JJ184" s="43">
        <f>JH184</f>
        <v>-0.44190000000000002</v>
      </c>
      <c r="JK184" s="40"/>
      <c r="JL184" s="150">
        <f>JJ184</f>
        <v>-0.44190000000000002</v>
      </c>
      <c r="JM184" s="179"/>
      <c r="JN184" s="43">
        <f>JL184</f>
        <v>-0.44190000000000002</v>
      </c>
      <c r="JO184" s="40"/>
      <c r="JP184" s="43">
        <f>JN184</f>
        <v>-0.44190000000000002</v>
      </c>
      <c r="JQ184" s="40"/>
      <c r="JR184" s="150">
        <f>JP184</f>
        <v>-0.44190000000000002</v>
      </c>
      <c r="JS184" s="156"/>
      <c r="JT184" s="144"/>
      <c r="JU184" s="144"/>
      <c r="JV184" s="144"/>
      <c r="JW184" s="144"/>
      <c r="JX184" s="118"/>
      <c r="JY184" s="179"/>
      <c r="JZ184" s="151">
        <v>4.7500000000000001E-2</v>
      </c>
      <c r="KA184" s="40"/>
      <c r="KB184" s="43">
        <f>JZ184</f>
        <v>4.7500000000000001E-2</v>
      </c>
      <c r="KC184" s="40"/>
      <c r="KD184" s="150">
        <f>KB184</f>
        <v>4.7500000000000001E-2</v>
      </c>
      <c r="KE184" s="179"/>
      <c r="KF184" s="43">
        <f>KD184</f>
        <v>4.7500000000000001E-2</v>
      </c>
      <c r="KG184" s="40"/>
      <c r="KH184" s="43">
        <f>KF184</f>
        <v>4.7500000000000001E-2</v>
      </c>
      <c r="KI184" s="40"/>
      <c r="KJ184" s="150">
        <f>KH184</f>
        <v>4.7500000000000001E-2</v>
      </c>
      <c r="KK184" s="179"/>
      <c r="KL184" s="43">
        <f>KJ184</f>
        <v>4.7500000000000001E-2</v>
      </c>
      <c r="KM184" s="40"/>
      <c r="KN184" s="43">
        <f>KL184</f>
        <v>4.7500000000000001E-2</v>
      </c>
      <c r="KO184" s="40"/>
      <c r="KP184" s="150">
        <f>KN184</f>
        <v>4.7500000000000001E-2</v>
      </c>
      <c r="KQ184" s="179"/>
      <c r="KR184" s="43">
        <f>KP184</f>
        <v>4.7500000000000001E-2</v>
      </c>
      <c r="KS184" s="40"/>
      <c r="KT184" s="43">
        <f>KR184</f>
        <v>4.7500000000000001E-2</v>
      </c>
      <c r="KU184" s="40"/>
      <c r="KV184" s="150">
        <f>KT184</f>
        <v>4.7500000000000001E-2</v>
      </c>
      <c r="KX184" s="76"/>
      <c r="KY184" s="76"/>
      <c r="KZ184" s="76"/>
      <c r="LA184" s="76"/>
      <c r="LB184" s="144"/>
      <c r="LC184" s="179"/>
      <c r="LD184" s="76"/>
      <c r="LE184" s="76"/>
      <c r="LF184" s="76"/>
      <c r="LG184" s="76"/>
      <c r="LH184" s="144"/>
      <c r="LI184" s="179"/>
      <c r="LJ184" s="76"/>
      <c r="LK184" s="76"/>
      <c r="LL184" s="76"/>
      <c r="LM184" s="76"/>
      <c r="LN184" s="144"/>
      <c r="LO184" s="179"/>
      <c r="LP184" s="76"/>
      <c r="LQ184" s="76"/>
      <c r="LR184" s="76"/>
      <c r="LS184" s="76"/>
      <c r="LT184" s="144"/>
      <c r="LU184" s="179"/>
      <c r="LV184" s="76"/>
      <c r="LW184" s="76"/>
      <c r="LX184" s="76"/>
      <c r="LY184" s="76"/>
      <c r="LZ184" s="144"/>
      <c r="MA184" s="179"/>
      <c r="MB184" s="76"/>
      <c r="MC184" s="76"/>
      <c r="MD184" s="76"/>
      <c r="ME184" s="76"/>
      <c r="MF184" s="144"/>
      <c r="MG184" s="179"/>
      <c r="MH184" s="76"/>
      <c r="MI184" s="76"/>
      <c r="MJ184" s="76"/>
      <c r="MK184" s="76"/>
      <c r="ML184" s="144"/>
      <c r="MM184" s="179"/>
      <c r="MN184" s="76"/>
      <c r="MO184" s="76"/>
      <c r="MP184" s="76"/>
      <c r="MQ184" s="76"/>
      <c r="MR184" s="76"/>
      <c r="MS184" s="179"/>
      <c r="MT184" s="76"/>
      <c r="MU184" s="76"/>
      <c r="MV184" s="76"/>
      <c r="MW184" s="76"/>
    </row>
    <row r="185" spans="3:361" x14ac:dyDescent="0.35">
      <c r="C185" s="126" t="s">
        <v>73</v>
      </c>
      <c r="IT185" s="93">
        <f>'Actual Adjustment (SIV)'!GB19</f>
        <v>-44221.1038480235</v>
      </c>
      <c r="IU185" s="179"/>
      <c r="IV185" s="33">
        <f>IT185-(IV$5*IV184)</f>
        <v>-41191.879348023504</v>
      </c>
      <c r="IX185" s="33">
        <f>IV185-(IX$5*IX184)</f>
        <v>-38503.890028023503</v>
      </c>
      <c r="IZ185" s="82">
        <f>IX185-(IZ$5*IZ184)</f>
        <v>-35277.445558023501</v>
      </c>
      <c r="JA185" s="179"/>
      <c r="JB185" s="33">
        <f>IZ185-(JB$5*JB184)</f>
        <v>-29366.767918023499</v>
      </c>
      <c r="JD185" s="33">
        <f>JB185-(JD$5*JD184)</f>
        <v>-23219.938918023498</v>
      </c>
      <c r="JF185" s="82">
        <f>JD185-(JF$5*JF184)</f>
        <v>-17816.385718023499</v>
      </c>
      <c r="JG185" s="179"/>
      <c r="JH185" s="33">
        <f>JF185-(JH$5*JH184)</f>
        <v>-11338.131718023498</v>
      </c>
      <c r="JJ185" s="33">
        <f>JH185-(JJ$5*JJ184)</f>
        <v>-5689.324018023498</v>
      </c>
      <c r="JL185" s="82">
        <f>JJ185-(JL$5*JL184)</f>
        <v>-1578.7702180234974</v>
      </c>
      <c r="JM185" s="179"/>
      <c r="JN185" s="33">
        <f>JL185-(JN$5*JN184)</f>
        <v>2613.9769819765024</v>
      </c>
      <c r="JP185" s="33">
        <f>JN185-(JP$5*JP184)</f>
        <v>5486.7688819765026</v>
      </c>
      <c r="JR185" s="82">
        <f>JP185-(JR$5*JR184)</f>
        <v>8265.8779819765023</v>
      </c>
      <c r="JS185" s="157"/>
      <c r="JT185" s="143">
        <f>JR185</f>
        <v>8265.8779819765023</v>
      </c>
      <c r="JU185" s="143"/>
      <c r="JV185" s="143">
        <f>JT185</f>
        <v>8265.8779819765023</v>
      </c>
      <c r="JW185" s="143"/>
      <c r="JX185" s="169">
        <f>JV185+JR165</f>
        <v>8407.7976615779808</v>
      </c>
      <c r="JY185" s="179"/>
      <c r="JZ185" s="33">
        <f>JX185-(JZ$5*JZ184)</f>
        <v>7862.678161577981</v>
      </c>
      <c r="KB185" s="33">
        <f>JZ185-(KB$5*KB184)</f>
        <v>7337.2901615779811</v>
      </c>
      <c r="KD185" s="82">
        <f>KB185-(KD$5*KD184)</f>
        <v>6738.6666615779814</v>
      </c>
      <c r="KE185" s="179"/>
      <c r="KF185" s="33">
        <f>KD185-(KF$5*KF184)</f>
        <v>6209.4159615779818</v>
      </c>
      <c r="KH185" s="33">
        <f>KF185-(KH$5*KH184)</f>
        <v>5679.6703115779819</v>
      </c>
      <c r="KJ185" s="82">
        <f>KH185-(KJ$5*KJ184)</f>
        <v>5253.7739115779823</v>
      </c>
      <c r="KK185" s="179"/>
      <c r="KL185" s="33">
        <f>KJ185-(KL$5*KL184)</f>
        <v>4924.8079115779819</v>
      </c>
      <c r="KN185" s="33">
        <f>KL185-(KN$5*KN184)</f>
        <v>4659.8719115779822</v>
      </c>
      <c r="KP185" s="82">
        <f>KN185-(KP$5*KP184)</f>
        <v>4419.3224115779822</v>
      </c>
      <c r="KQ185" s="179"/>
      <c r="KR185" s="33">
        <f>KP185-(KR$5*KR184)</f>
        <v>4149.7789115779824</v>
      </c>
      <c r="KT185" s="33">
        <f>KR185-(KT$5*KT184)</f>
        <v>3881.7288115779825</v>
      </c>
      <c r="KV185" s="168">
        <f>KT185-(KV$5*KV184)</f>
        <v>3571.2564615779825</v>
      </c>
      <c r="KX185" s="53"/>
      <c r="KY185" s="51"/>
      <c r="KZ185" s="53"/>
      <c r="LA185" s="51"/>
      <c r="LB185" s="143"/>
      <c r="LC185" s="179"/>
      <c r="LD185" s="53"/>
      <c r="LE185" s="51"/>
      <c r="LF185" s="53"/>
      <c r="LG185" s="51"/>
      <c r="LH185" s="143"/>
      <c r="LI185" s="179"/>
      <c r="LJ185" s="53"/>
      <c r="LK185" s="51"/>
      <c r="LL185" s="53"/>
      <c r="LM185" s="51"/>
      <c r="LN185" s="143"/>
      <c r="LO185" s="179"/>
      <c r="LP185" s="53"/>
      <c r="LQ185" s="51"/>
      <c r="LR185" s="53"/>
      <c r="LS185" s="51"/>
      <c r="LT185" s="143"/>
      <c r="LU185" s="179"/>
      <c r="LV185" s="53"/>
      <c r="LW185" s="51"/>
      <c r="LX185" s="53"/>
      <c r="LY185" s="51"/>
      <c r="LZ185" s="143"/>
      <c r="MA185" s="179"/>
      <c r="MB185" s="53"/>
      <c r="MC185" s="51"/>
      <c r="MD185" s="53"/>
      <c r="ME185" s="51"/>
      <c r="MF185" s="143"/>
      <c r="MG185" s="179"/>
      <c r="MH185" s="53"/>
      <c r="MI185" s="51"/>
      <c r="MJ185" s="53"/>
      <c r="MK185" s="51"/>
      <c r="ML185" s="143"/>
      <c r="MM185" s="179"/>
      <c r="MN185" s="53"/>
      <c r="MO185" s="51"/>
      <c r="MP185" s="53"/>
      <c r="MQ185" s="51"/>
      <c r="MR185" s="53"/>
      <c r="MS185" s="179"/>
      <c r="MT185" s="53"/>
      <c r="MU185" s="51"/>
      <c r="MV185" s="53"/>
      <c r="MW185" s="51"/>
    </row>
    <row r="186" spans="3:361" x14ac:dyDescent="0.35">
      <c r="C186" s="175"/>
      <c r="IT186" s="81"/>
      <c r="IU186" s="179"/>
      <c r="IZ186" s="81"/>
      <c r="JA186" s="179"/>
      <c r="JF186" s="81"/>
      <c r="JG186" s="179"/>
      <c r="JL186" s="81"/>
      <c r="JM186" s="179"/>
      <c r="JR186" s="158"/>
      <c r="JX186" s="101">
        <f>(JX185/SUM(IV$5:JR$5))</f>
        <v>7.0787186786337455E-2</v>
      </c>
      <c r="JY186" s="179"/>
      <c r="JZ186" s="127" t="s">
        <v>126</v>
      </c>
      <c r="KD186" s="81"/>
      <c r="KE186" s="179"/>
      <c r="KJ186" s="81"/>
      <c r="KK186" s="179"/>
      <c r="KP186" s="81"/>
      <c r="KQ186" s="179"/>
      <c r="KV186" s="10"/>
      <c r="KW186" s="179"/>
      <c r="LB186" s="10"/>
      <c r="LC186" s="179"/>
      <c r="LH186" s="10"/>
      <c r="LI186" s="179"/>
      <c r="LN186" s="10"/>
      <c r="LO186" s="179"/>
      <c r="LT186" s="10"/>
      <c r="LU186" s="179"/>
      <c r="LZ186" s="10"/>
      <c r="MA186" s="179"/>
      <c r="MF186" s="10"/>
      <c r="MG186" s="179"/>
      <c r="ML186" s="10"/>
      <c r="MM186" s="179"/>
      <c r="MS186" s="179"/>
    </row>
    <row r="187" spans="3:361" x14ac:dyDescent="0.35">
      <c r="C187" s="175"/>
      <c r="IU187" s="179"/>
      <c r="JA187" s="179"/>
      <c r="JF187" s="81"/>
      <c r="JG187" s="179"/>
      <c r="JM187" s="179"/>
      <c r="JS187" s="179"/>
      <c r="JY187" s="179"/>
      <c r="KE187" s="179"/>
      <c r="KK187" s="179"/>
      <c r="KQ187" s="179"/>
      <c r="KW187" s="179"/>
      <c r="LC187" s="179"/>
      <c r="LI187" s="179"/>
      <c r="LO187" s="179"/>
      <c r="LU187" s="179"/>
      <c r="MA187" s="179"/>
      <c r="MG187" s="179"/>
      <c r="MM187" s="179"/>
      <c r="MS187" s="179"/>
    </row>
    <row r="188" spans="3:361" x14ac:dyDescent="0.35">
      <c r="C188" s="175"/>
      <c r="IZ188" s="81"/>
      <c r="JA188" s="179"/>
      <c r="JB188" s="66">
        <v>-9.8699999999999996E-2</v>
      </c>
      <c r="JC188" s="95"/>
      <c r="JD188" s="43">
        <f>JB188</f>
        <v>-9.8699999999999996E-2</v>
      </c>
      <c r="JE188" s="40"/>
      <c r="JF188" s="150">
        <f>JD188</f>
        <v>-9.8699999999999996E-2</v>
      </c>
      <c r="JG188" s="179"/>
      <c r="JH188" s="43">
        <f>JF188</f>
        <v>-9.8699999999999996E-2</v>
      </c>
      <c r="JI188" s="40"/>
      <c r="JJ188" s="43">
        <f>JH188</f>
        <v>-9.8699999999999996E-2</v>
      </c>
      <c r="JK188" s="40"/>
      <c r="JL188" s="150">
        <f>JJ188</f>
        <v>-9.8699999999999996E-2</v>
      </c>
      <c r="JM188" s="179"/>
      <c r="JN188" s="43">
        <f>JL188</f>
        <v>-9.8699999999999996E-2</v>
      </c>
      <c r="JO188" s="40"/>
      <c r="JP188" s="43">
        <f>JN188</f>
        <v>-9.8699999999999996E-2</v>
      </c>
      <c r="JQ188" s="40"/>
      <c r="JR188" s="150">
        <f>JP188</f>
        <v>-9.8699999999999996E-2</v>
      </c>
      <c r="JS188" s="179"/>
      <c r="JT188" s="43">
        <f>JR188</f>
        <v>-9.8699999999999996E-2</v>
      </c>
      <c r="JU188" s="40"/>
      <c r="JV188" s="43">
        <f>JT188</f>
        <v>-9.8699999999999996E-2</v>
      </c>
      <c r="JW188" s="40"/>
      <c r="JX188" s="150">
        <f>JV188</f>
        <v>-9.8699999999999996E-2</v>
      </c>
      <c r="JY188" s="156"/>
      <c r="JZ188" s="144"/>
      <c r="KA188" s="144"/>
      <c r="KB188" s="144"/>
      <c r="KC188" s="144"/>
      <c r="KD188" s="118"/>
      <c r="KE188" s="179"/>
      <c r="KF188" s="151">
        <f>KD190</f>
        <v>0</v>
      </c>
      <c r="KG188" s="40"/>
      <c r="KH188" s="43">
        <f>KF188</f>
        <v>0</v>
      </c>
      <c r="KI188" s="40"/>
      <c r="KJ188" s="150">
        <f>KH188</f>
        <v>0</v>
      </c>
      <c r="KK188" s="179"/>
      <c r="KL188" s="43">
        <f>KJ188</f>
        <v>0</v>
      </c>
      <c r="KM188" s="40"/>
      <c r="KN188" s="43">
        <f>KL188</f>
        <v>0</v>
      </c>
      <c r="KO188" s="40"/>
      <c r="KP188" s="150">
        <f>KN188</f>
        <v>0</v>
      </c>
      <c r="KQ188" s="179"/>
      <c r="KR188" s="43">
        <f>KP188</f>
        <v>0</v>
      </c>
      <c r="KS188" s="40"/>
      <c r="KT188" s="43">
        <f>KR188</f>
        <v>0</v>
      </c>
      <c r="KU188" s="40"/>
      <c r="KV188" s="150">
        <f>KT188</f>
        <v>0</v>
      </c>
      <c r="KW188" s="179"/>
      <c r="KX188" s="43">
        <f>KV188</f>
        <v>0</v>
      </c>
      <c r="KY188" s="40"/>
      <c r="KZ188" s="43">
        <f>KX188</f>
        <v>0</v>
      </c>
      <c r="LA188" s="40"/>
      <c r="LB188" s="150">
        <f>KZ188</f>
        <v>0</v>
      </c>
      <c r="LD188" s="76"/>
      <c r="LE188" s="76"/>
      <c r="LF188" s="76"/>
      <c r="LG188" s="76"/>
      <c r="LH188" s="144"/>
      <c r="LI188" s="179"/>
      <c r="LJ188" s="76"/>
      <c r="LK188" s="76"/>
      <c r="LL188" s="76"/>
      <c r="LM188" s="76"/>
      <c r="LN188" s="144"/>
      <c r="LO188" s="179"/>
      <c r="LP188" s="76"/>
      <c r="LQ188" s="76"/>
      <c r="LR188" s="76"/>
      <c r="LS188" s="76"/>
      <c r="LT188" s="144"/>
      <c r="LU188" s="179"/>
      <c r="LV188" s="76"/>
      <c r="LW188" s="76"/>
      <c r="LX188" s="76"/>
      <c r="LY188" s="76"/>
      <c r="LZ188" s="144"/>
      <c r="MA188" s="179"/>
      <c r="MB188" s="76"/>
      <c r="MC188" s="76"/>
      <c r="MD188" s="76"/>
      <c r="ME188" s="76"/>
      <c r="MF188" s="144"/>
      <c r="MG188" s="179"/>
      <c r="MH188" s="76"/>
      <c r="MI188" s="76"/>
      <c r="MJ188" s="76"/>
      <c r="MK188" s="76"/>
      <c r="ML188" s="144"/>
      <c r="MM188" s="179"/>
      <c r="MN188" s="76"/>
      <c r="MO188" s="76"/>
      <c r="MP188" s="76"/>
      <c r="MQ188" s="76"/>
      <c r="MR188" s="76"/>
      <c r="MS188" s="179"/>
      <c r="MT188" s="76"/>
      <c r="MU188" s="76"/>
      <c r="MV188" s="76"/>
      <c r="MW188" s="76"/>
    </row>
    <row r="189" spans="3:361" x14ac:dyDescent="0.35">
      <c r="C189" s="25" t="s">
        <v>74</v>
      </c>
      <c r="IZ189" s="93">
        <f>'Actual Adjustment (SIV)'!GH19</f>
        <v>-12054.168798109591</v>
      </c>
      <c r="JA189" s="179"/>
      <c r="JB189" s="33">
        <f>IZ189-(JB$5*JB188)</f>
        <v>-10733.997078109591</v>
      </c>
      <c r="JD189" s="33">
        <f>JB189-(JD$5*JD188)</f>
        <v>-9361.0800781095913</v>
      </c>
      <c r="JF189" s="82">
        <f>JD189-(JF$5*JF188)</f>
        <v>-8154.1764781095917</v>
      </c>
      <c r="JG189" s="179"/>
      <c r="JH189" s="33">
        <f>JF189-(JH$5*JH188)</f>
        <v>-6707.2344781095917</v>
      </c>
      <c r="JJ189" s="33">
        <f>JH189-(JJ$5*JJ188)</f>
        <v>-5445.5523781095917</v>
      </c>
      <c r="JL189" s="82">
        <f>JJ189-(JL$5*JL188)</f>
        <v>-4527.4449781095918</v>
      </c>
      <c r="JM189" s="179"/>
      <c r="JN189" s="33">
        <f>JL189-(JN$5*JN188)</f>
        <v>-3590.9793781095918</v>
      </c>
      <c r="JP189" s="33">
        <f>JN189-(JP$5*JP188)</f>
        <v>-2949.3306781095916</v>
      </c>
      <c r="JR189" s="82">
        <f>JP189-(JR$5*JR188)</f>
        <v>-2328.6063781095918</v>
      </c>
      <c r="JS189" s="179"/>
      <c r="JT189" s="33">
        <f>JR189-(JT$5*JT188)</f>
        <v>-1645.1088781095918</v>
      </c>
      <c r="JV189" s="33">
        <f>JT189-(JV$5*JV188)</f>
        <v>-1188.2265781095919</v>
      </c>
      <c r="JX189" s="82">
        <f>JV189-(JX$5*JX188)</f>
        <v>-628.59757810959184</v>
      </c>
      <c r="JY189" s="157"/>
      <c r="JZ189" s="143">
        <f>JX189</f>
        <v>-628.59757810959184</v>
      </c>
      <c r="KA189" s="143"/>
      <c r="KB189" s="143">
        <f>JZ189</f>
        <v>-628.59757810959184</v>
      </c>
      <c r="KC189" s="143"/>
      <c r="KD189" s="169">
        <f>KB189+JX169</f>
        <v>-748.23430406967179</v>
      </c>
      <c r="KE189" s="179"/>
      <c r="KF189" s="33">
        <f>KD189-(KF$5*KF188)</f>
        <v>-748.23430406967179</v>
      </c>
      <c r="KH189" s="33">
        <f>KF189-(KH$5*KH188)</f>
        <v>-748.23430406967179</v>
      </c>
      <c r="KJ189" s="82">
        <f>KH189-(KJ$5*KJ188)</f>
        <v>-748.23430406967179</v>
      </c>
      <c r="KK189" s="179"/>
      <c r="KL189" s="33">
        <f>KJ189-(KL$5*KL188)</f>
        <v>-748.23430406967179</v>
      </c>
      <c r="KN189" s="33">
        <f>KL189-(KN$5*KN188)</f>
        <v>-748.23430406967179</v>
      </c>
      <c r="KP189" s="82">
        <f>KN189-(KP$5*KP188)</f>
        <v>-748.23430406967179</v>
      </c>
      <c r="KQ189" s="179"/>
      <c r="KR189" s="33">
        <f>KP189-(KR$5*KR188)</f>
        <v>-748.23430406967179</v>
      </c>
      <c r="KT189" s="33">
        <f>KR189-(KT$5*KT188)</f>
        <v>-748.23430406967179</v>
      </c>
      <c r="KV189" s="82">
        <f>KT189-(KV$5*KV188)</f>
        <v>-748.23430406967179</v>
      </c>
      <c r="KW189" s="179"/>
      <c r="KX189" s="33">
        <f>KV189-(KX$5*KX188)</f>
        <v>-748.23430406967179</v>
      </c>
      <c r="KZ189" s="33">
        <f>KX189-(KZ$5*KZ188)</f>
        <v>-748.23430406967179</v>
      </c>
      <c r="LB189" s="168">
        <f>KZ189-(LB$5*LB188)</f>
        <v>-748.23430406967179</v>
      </c>
      <c r="LD189" s="53"/>
      <c r="LE189" s="51"/>
      <c r="LF189" s="53"/>
      <c r="LG189" s="51"/>
      <c r="LH189" s="143"/>
      <c r="LI189" s="179"/>
      <c r="LJ189" s="53"/>
      <c r="LK189" s="51"/>
      <c r="LL189" s="53"/>
      <c r="LM189" s="51"/>
      <c r="LN189" s="143"/>
      <c r="LO189" s="179"/>
      <c r="LP189" s="53"/>
      <c r="LQ189" s="51"/>
      <c r="LR189" s="53"/>
      <c r="LS189" s="51"/>
      <c r="LT189" s="143"/>
      <c r="LU189" s="179"/>
      <c r="LV189" s="53"/>
      <c r="LW189" s="51"/>
      <c r="LX189" s="53"/>
      <c r="LY189" s="51"/>
      <c r="LZ189" s="143"/>
      <c r="MA189" s="179"/>
      <c r="MB189" s="53"/>
      <c r="MC189" s="51"/>
      <c r="MD189" s="53"/>
      <c r="ME189" s="51"/>
      <c r="MF189" s="143"/>
      <c r="MG189" s="179"/>
      <c r="MH189" s="53"/>
      <c r="MI189" s="51"/>
      <c r="MJ189" s="53"/>
      <c r="MK189" s="51"/>
      <c r="ML189" s="143"/>
      <c r="MM189" s="179"/>
      <c r="MN189" s="53"/>
      <c r="MO189" s="51"/>
      <c r="MP189" s="53"/>
      <c r="MQ189" s="51"/>
      <c r="MR189" s="53"/>
      <c r="MS189" s="179"/>
      <c r="MT189" s="53"/>
      <c r="MU189" s="51"/>
      <c r="MV189" s="53"/>
      <c r="MW189" s="51"/>
    </row>
    <row r="190" spans="3:361" x14ac:dyDescent="0.35">
      <c r="C190" s="175"/>
      <c r="IZ190" s="81"/>
      <c r="JA190" s="179"/>
      <c r="JF190" s="81"/>
      <c r="JG190" s="179"/>
      <c r="JL190" s="81"/>
      <c r="JM190" s="179"/>
      <c r="JR190" s="81"/>
      <c r="JS190" s="179"/>
      <c r="JX190" s="158"/>
      <c r="KD190" s="101">
        <v>0</v>
      </c>
      <c r="KE190" s="179"/>
      <c r="KF190" s="127" t="s">
        <v>124</v>
      </c>
      <c r="KJ190" s="81"/>
      <c r="KK190" s="179"/>
      <c r="KP190" s="81"/>
      <c r="KQ190" s="179"/>
      <c r="KV190" s="81"/>
      <c r="KW190" s="179"/>
      <c r="LB190" s="10"/>
      <c r="LC190" s="179"/>
      <c r="LH190" s="10"/>
      <c r="LI190" s="179"/>
      <c r="LN190" s="10"/>
      <c r="LO190" s="179"/>
      <c r="LT190" s="10"/>
      <c r="LU190" s="179"/>
      <c r="LZ190" s="10"/>
      <c r="MA190" s="179"/>
      <c r="MF190" s="10"/>
      <c r="MG190" s="179"/>
      <c r="ML190" s="10"/>
      <c r="MM190" s="179"/>
      <c r="MS190" s="179"/>
    </row>
    <row r="191" spans="3:361" x14ac:dyDescent="0.35">
      <c r="C191" s="10"/>
      <c r="JF191" s="81"/>
      <c r="JG191" s="179"/>
      <c r="JM191" s="179"/>
      <c r="JS191" s="179"/>
      <c r="JY191" s="179"/>
      <c r="KE191" s="179"/>
      <c r="KK191" s="179"/>
      <c r="KQ191" s="179"/>
      <c r="KW191" s="179"/>
      <c r="LC191" s="179"/>
      <c r="LI191" s="179"/>
      <c r="LO191" s="179"/>
      <c r="LU191" s="179"/>
      <c r="MA191" s="179"/>
      <c r="MG191" s="179"/>
      <c r="MM191" s="179"/>
      <c r="MS191" s="179"/>
    </row>
    <row r="192" spans="3:361" x14ac:dyDescent="0.35">
      <c r="C192" s="10"/>
      <c r="JF192" s="81"/>
      <c r="JG192" s="179"/>
      <c r="JH192" s="66">
        <v>0.1235</v>
      </c>
      <c r="JI192" s="95"/>
      <c r="JJ192" s="43">
        <f>JH192</f>
        <v>0.1235</v>
      </c>
      <c r="JK192" s="40"/>
      <c r="JL192" s="150">
        <f>JJ192</f>
        <v>0.1235</v>
      </c>
      <c r="JM192" s="179"/>
      <c r="JN192" s="43">
        <f>JL192</f>
        <v>0.1235</v>
      </c>
      <c r="JO192" s="40"/>
      <c r="JP192" s="43">
        <f>JN192</f>
        <v>0.1235</v>
      </c>
      <c r="JQ192" s="40"/>
      <c r="JR192" s="150">
        <f>JP192</f>
        <v>0.1235</v>
      </c>
      <c r="JS192" s="179"/>
      <c r="JT192" s="43">
        <f>JR192</f>
        <v>0.1235</v>
      </c>
      <c r="JU192" s="40"/>
      <c r="JV192" s="43">
        <f>JT192</f>
        <v>0.1235</v>
      </c>
      <c r="JW192" s="40"/>
      <c r="JX192" s="150">
        <f>JV192</f>
        <v>0.1235</v>
      </c>
      <c r="JY192" s="179"/>
      <c r="JZ192" s="43">
        <f>JX192</f>
        <v>0.1235</v>
      </c>
      <c r="KA192" s="40"/>
      <c r="KB192" s="43">
        <f>JZ192</f>
        <v>0.1235</v>
      </c>
      <c r="KC192" s="40"/>
      <c r="KD192" s="150">
        <f>KB192</f>
        <v>0.1235</v>
      </c>
      <c r="KE192" s="156"/>
      <c r="KF192" s="144"/>
      <c r="KG192" s="144"/>
      <c r="KH192" s="144"/>
      <c r="KI192" s="144"/>
      <c r="KJ192" s="118"/>
      <c r="KK192" s="179"/>
      <c r="KL192" s="151">
        <f>KJ194</f>
        <v>5.2750225391356997E-4</v>
      </c>
      <c r="KM192" s="40"/>
      <c r="KN192" s="43">
        <f>KL192</f>
        <v>5.2750225391356997E-4</v>
      </c>
      <c r="KO192" s="40"/>
      <c r="KP192" s="150">
        <f>KN192</f>
        <v>5.2750225391356997E-4</v>
      </c>
      <c r="KQ192" s="179"/>
      <c r="KR192" s="43">
        <f>KP192</f>
        <v>5.2750225391356997E-4</v>
      </c>
      <c r="KS192" s="40"/>
      <c r="KT192" s="43">
        <f>KR192</f>
        <v>5.2750225391356997E-4</v>
      </c>
      <c r="KU192" s="40"/>
      <c r="KV192" s="150">
        <f>KT192</f>
        <v>5.2750225391356997E-4</v>
      </c>
      <c r="KW192" s="179"/>
      <c r="KX192" s="43">
        <f>KV192</f>
        <v>5.2750225391356997E-4</v>
      </c>
      <c r="KY192" s="40"/>
      <c r="KZ192" s="43">
        <f>KX192</f>
        <v>5.2750225391356997E-4</v>
      </c>
      <c r="LA192" s="40"/>
      <c r="LB192" s="150">
        <f>KZ192</f>
        <v>5.2750225391356997E-4</v>
      </c>
      <c r="LC192" s="179"/>
      <c r="LD192" s="43">
        <f>LB192</f>
        <v>5.2750225391356997E-4</v>
      </c>
      <c r="LE192" s="40"/>
      <c r="LF192" s="43">
        <f>LD192</f>
        <v>5.2750225391356997E-4</v>
      </c>
      <c r="LG192" s="40"/>
      <c r="LH192" s="150">
        <f>LF192</f>
        <v>5.2750225391356997E-4</v>
      </c>
      <c r="LJ192" s="76"/>
      <c r="LK192" s="76"/>
      <c r="LL192" s="76"/>
      <c r="LM192" s="76"/>
      <c r="LN192" s="144"/>
      <c r="LO192" s="179"/>
      <c r="LP192" s="76"/>
      <c r="LQ192" s="76"/>
      <c r="LR192" s="76"/>
      <c r="LS192" s="76"/>
      <c r="LT192" s="144"/>
      <c r="LU192" s="179"/>
      <c r="LV192" s="76"/>
      <c r="LW192" s="76"/>
      <c r="LX192" s="76"/>
      <c r="LY192" s="76"/>
      <c r="LZ192" s="144"/>
      <c r="MA192" s="179"/>
      <c r="MB192" s="76"/>
      <c r="MC192" s="76"/>
      <c r="MD192" s="76"/>
      <c r="ME192" s="76"/>
      <c r="MF192" s="144"/>
      <c r="MG192" s="179"/>
      <c r="MH192" s="76"/>
      <c r="MI192" s="76"/>
      <c r="MJ192" s="76"/>
      <c r="MK192" s="76"/>
      <c r="ML192" s="144"/>
      <c r="MM192" s="179"/>
      <c r="MN192" s="76"/>
      <c r="MO192" s="76"/>
      <c r="MP192" s="76"/>
      <c r="MQ192" s="76"/>
      <c r="MR192" s="76"/>
      <c r="MS192" s="179"/>
      <c r="MT192" s="76"/>
      <c r="MU192" s="76"/>
      <c r="MV192" s="76"/>
      <c r="MW192" s="76"/>
    </row>
    <row r="193" spans="3:361" x14ac:dyDescent="0.35">
      <c r="C193" s="25" t="s">
        <v>75</v>
      </c>
      <c r="JF193" s="93">
        <f>'Actual Adjustment (SIV)'!GN19</f>
        <v>13808.421170838108</v>
      </c>
      <c r="JG193" s="179"/>
      <c r="JH193" s="33">
        <f>JF193-(JH$5*JH192)</f>
        <v>11997.911170838108</v>
      </c>
      <c r="JJ193" s="33">
        <f>JH193-(JJ$5*JJ192)</f>
        <v>10419.210670838107</v>
      </c>
      <c r="JL193" s="82">
        <f>JJ193-(JL$5*JL192)</f>
        <v>9270.4136708381066</v>
      </c>
      <c r="JM193" s="179"/>
      <c r="JN193" s="33">
        <f>JL193-(JN$5*JN192)</f>
        <v>8098.6456708381065</v>
      </c>
      <c r="JP193" s="33">
        <f>JN193-(JP$5*JP192)</f>
        <v>7295.7721708381068</v>
      </c>
      <c r="JR193" s="82">
        <f>JP193-(JR$5*JR192)</f>
        <v>6519.0806708381069</v>
      </c>
      <c r="JS193" s="179"/>
      <c r="JT193" s="33">
        <f>JR193-(JT$5*JT192)</f>
        <v>5663.8431708381067</v>
      </c>
      <c r="JV193" s="33">
        <f>JT193-(JV$5*JV192)</f>
        <v>5092.1616708381071</v>
      </c>
      <c r="JX193" s="82">
        <f>JV193-(JX$5*JX192)</f>
        <v>4391.9166708381072</v>
      </c>
      <c r="JY193" s="179"/>
      <c r="JZ193" s="33">
        <f>JX193-(JZ$5*JZ192)</f>
        <v>2974.6059708381072</v>
      </c>
      <c r="KB193" s="33">
        <f>JZ193-(KB$5*KB192)</f>
        <v>1608.5971708381073</v>
      </c>
      <c r="KD193" s="82">
        <f>KB193-(KD$5*KD192)</f>
        <v>52.176070838107307</v>
      </c>
      <c r="KE193" s="157"/>
      <c r="KF193" s="143">
        <f>KD193</f>
        <v>52.176070838107307</v>
      </c>
      <c r="KG193" s="143"/>
      <c r="KH193" s="143">
        <f>KF193</f>
        <v>52.176070838107307</v>
      </c>
      <c r="KI193" s="143"/>
      <c r="KJ193" s="169">
        <f>KH193+KH173</f>
        <v>52.176070838107307</v>
      </c>
      <c r="KK193" s="179"/>
      <c r="KL193" s="33">
        <f>KJ193-(KL$5*KL192)</f>
        <v>48.522801228403488</v>
      </c>
      <c r="KN193" s="33">
        <f>KL193-(KN$5*KN192)</f>
        <v>45.580604656975162</v>
      </c>
      <c r="KP193" s="82">
        <f>KN193-(KP$5*KP192)</f>
        <v>42.909227742706058</v>
      </c>
      <c r="KQ193" s="179"/>
      <c r="KR193" s="33">
        <f>KP193-(KR$5*KR192)</f>
        <v>39.915863452648111</v>
      </c>
      <c r="KT193" s="33">
        <f>KR193-(KT$5*KT192)</f>
        <v>36.939083833453211</v>
      </c>
      <c r="KV193" s="82">
        <f>KT193-(KV$5*KV192)</f>
        <v>33.491191951288101</v>
      </c>
      <c r="KW193" s="179"/>
      <c r="KX193" s="33">
        <f>KV193-(KX$5*KX192)</f>
        <v>28.025762198579759</v>
      </c>
      <c r="KZ193" s="33">
        <f>KX193-(KZ$5*KZ192)</f>
        <v>22.375601156550886</v>
      </c>
      <c r="LB193" s="82">
        <f>KZ193-(LB$5*LB192)</f>
        <v>16.490195209366718</v>
      </c>
      <c r="LC193" s="179"/>
      <c r="LD193" s="33">
        <f>LB193-(LD$5*LD192)</f>
        <v>10.612701795991253</v>
      </c>
      <c r="LF193" s="33">
        <f>LD193-(LF$5*LF192)</f>
        <v>4.7297118091300074</v>
      </c>
      <c r="LH193" s="168">
        <f>LF193-(LH$5*LH192)</f>
        <v>0</v>
      </c>
      <c r="LJ193" s="53"/>
      <c r="LK193" s="51"/>
      <c r="LL193" s="53"/>
      <c r="LM193" s="51"/>
      <c r="LN193" s="143"/>
      <c r="LO193" s="179"/>
      <c r="LP193" s="53"/>
      <c r="LQ193" s="51"/>
      <c r="LR193" s="53"/>
      <c r="LS193" s="51"/>
      <c r="LT193" s="143"/>
      <c r="LU193" s="179"/>
      <c r="LV193" s="53"/>
      <c r="LW193" s="51"/>
      <c r="LX193" s="53"/>
      <c r="LY193" s="51"/>
      <c r="LZ193" s="143"/>
      <c r="MA193" s="179"/>
      <c r="MB193" s="53"/>
      <c r="MC193" s="51"/>
      <c r="MD193" s="53"/>
      <c r="ME193" s="51"/>
      <c r="MF193" s="143"/>
      <c r="MG193" s="179"/>
      <c r="MH193" s="53"/>
      <c r="MI193" s="51"/>
      <c r="MJ193" s="53"/>
      <c r="MK193" s="51"/>
      <c r="ML193" s="143"/>
      <c r="MM193" s="179"/>
      <c r="MN193" s="53"/>
      <c r="MO193" s="51"/>
      <c r="MP193" s="53"/>
      <c r="MQ193" s="51"/>
      <c r="MR193" s="53"/>
      <c r="MS193" s="179"/>
      <c r="MT193" s="53"/>
      <c r="MU193" s="51"/>
      <c r="MV193" s="53"/>
      <c r="MW193" s="51"/>
    </row>
    <row r="194" spans="3:361" x14ac:dyDescent="0.35">
      <c r="C194" s="175"/>
      <c r="JF194" s="81"/>
      <c r="JG194" s="179"/>
      <c r="JL194" s="81"/>
      <c r="JM194" s="179"/>
      <c r="JR194" s="81"/>
      <c r="JS194" s="179"/>
      <c r="JX194" s="81"/>
      <c r="JY194" s="179"/>
      <c r="KD194" s="158"/>
      <c r="KF194" s="127"/>
      <c r="KJ194" s="101">
        <f>(KJ193/SUM(KL$5:LH$5))</f>
        <v>5.2750225391356997E-4</v>
      </c>
      <c r="KK194" s="179"/>
      <c r="KL194" s="127" t="s">
        <v>124</v>
      </c>
      <c r="KP194" s="81"/>
      <c r="KQ194" s="179"/>
      <c r="KV194" s="81"/>
      <c r="KW194" s="179"/>
      <c r="LB194" s="81"/>
      <c r="LC194" s="179"/>
      <c r="LH194" s="10"/>
      <c r="LI194" s="179"/>
      <c r="LN194" s="10"/>
      <c r="LO194" s="179"/>
      <c r="LT194" s="10"/>
      <c r="LU194" s="179"/>
      <c r="LZ194" s="10"/>
      <c r="MA194" s="179"/>
      <c r="MF194" s="10"/>
      <c r="MG194" s="179"/>
      <c r="ML194" s="10"/>
      <c r="MM194" s="179"/>
      <c r="MS194" s="179"/>
    </row>
    <row r="195" spans="3:361" x14ac:dyDescent="0.35">
      <c r="C195" s="175"/>
      <c r="JM195" s="179"/>
      <c r="JS195" s="179"/>
      <c r="JY195" s="179"/>
      <c r="KE195" s="179"/>
      <c r="KK195" s="179"/>
      <c r="KQ195" s="179"/>
      <c r="KW195" s="179"/>
      <c r="LC195" s="179"/>
      <c r="LI195" s="179"/>
      <c r="LO195" s="179"/>
      <c r="LU195" s="179"/>
      <c r="MA195" s="179"/>
      <c r="MG195" s="179"/>
      <c r="MM195" s="179"/>
      <c r="MS195" s="179"/>
    </row>
    <row r="196" spans="3:361" x14ac:dyDescent="0.35">
      <c r="C196" s="175"/>
      <c r="JL196" s="81"/>
      <c r="JM196" s="179"/>
      <c r="JN196" s="66">
        <v>0.9224</v>
      </c>
      <c r="JO196" s="95"/>
      <c r="JP196" s="43">
        <f>JN196</f>
        <v>0.9224</v>
      </c>
      <c r="JQ196" s="40"/>
      <c r="JR196" s="150">
        <f>JP196</f>
        <v>0.9224</v>
      </c>
      <c r="JS196" s="179"/>
      <c r="JT196" s="43">
        <f>JR196</f>
        <v>0.9224</v>
      </c>
      <c r="JU196" s="40"/>
      <c r="JV196" s="43">
        <f>JT196</f>
        <v>0.9224</v>
      </c>
      <c r="JW196" s="40"/>
      <c r="JX196" s="150">
        <f>JV196</f>
        <v>0.9224</v>
      </c>
      <c r="JY196" s="179"/>
      <c r="JZ196" s="43">
        <f>JX196</f>
        <v>0.9224</v>
      </c>
      <c r="KA196" s="40"/>
      <c r="KB196" s="43">
        <f>JZ196</f>
        <v>0.9224</v>
      </c>
      <c r="KC196" s="40"/>
      <c r="KD196" s="150">
        <f>KB196</f>
        <v>0.9224</v>
      </c>
      <c r="KE196" s="179"/>
      <c r="KF196" s="43">
        <f>KD196</f>
        <v>0.9224</v>
      </c>
      <c r="KG196" s="40"/>
      <c r="KH196" s="43">
        <f>KF196</f>
        <v>0.9224</v>
      </c>
      <c r="KI196" s="40"/>
      <c r="KJ196" s="150">
        <f>KH196</f>
        <v>0.9224</v>
      </c>
      <c r="KK196" s="156"/>
      <c r="KL196" s="144"/>
      <c r="KM196" s="144"/>
      <c r="KN196" s="144"/>
      <c r="KO196" s="144"/>
      <c r="KP196" s="118"/>
      <c r="KQ196" s="179"/>
      <c r="KR196" s="151">
        <f>KP198</f>
        <v>8.5550143581165417E-2</v>
      </c>
      <c r="KS196" s="40"/>
      <c r="KT196" s="43">
        <f>KR196</f>
        <v>8.5550143581165417E-2</v>
      </c>
      <c r="KU196" s="40"/>
      <c r="KV196" s="150">
        <f>KT196</f>
        <v>8.5550143581165417E-2</v>
      </c>
      <c r="KW196" s="179"/>
      <c r="KX196" s="43">
        <f>KV196</f>
        <v>8.5550143581165417E-2</v>
      </c>
      <c r="KY196" s="40"/>
      <c r="KZ196" s="43">
        <f>KX196</f>
        <v>8.5550143581165417E-2</v>
      </c>
      <c r="LA196" s="40"/>
      <c r="LB196" s="150">
        <f>KZ196</f>
        <v>8.5550143581165417E-2</v>
      </c>
      <c r="LC196" s="179"/>
      <c r="LD196" s="43">
        <f>LB196</f>
        <v>8.5550143581165417E-2</v>
      </c>
      <c r="LE196" s="40"/>
      <c r="LF196" s="43">
        <f>LD196</f>
        <v>8.5550143581165417E-2</v>
      </c>
      <c r="LG196" s="40"/>
      <c r="LH196" s="150">
        <f>LF196</f>
        <v>8.5550143581165417E-2</v>
      </c>
      <c r="LI196" s="179"/>
      <c r="LJ196" s="43">
        <f>LH196</f>
        <v>8.5550143581165417E-2</v>
      </c>
      <c r="LK196" s="40"/>
      <c r="LL196" s="43">
        <f>LJ196</f>
        <v>8.5550143581165417E-2</v>
      </c>
      <c r="LM196" s="40"/>
      <c r="LN196" s="150">
        <f>LL196</f>
        <v>8.5550143581165417E-2</v>
      </c>
      <c r="LT196" s="10"/>
      <c r="LU196" s="179"/>
      <c r="LZ196" s="10"/>
      <c r="MA196" s="179"/>
      <c r="MF196" s="10"/>
      <c r="MG196" s="179"/>
      <c r="ML196" s="10"/>
      <c r="MM196" s="179"/>
      <c r="MS196" s="179"/>
    </row>
    <row r="197" spans="3:361" ht="13.15" x14ac:dyDescent="0.4">
      <c r="C197" s="26" t="s">
        <v>72</v>
      </c>
      <c r="JL197" s="93">
        <f>'Actual Adjustment (SIV)'!GT19</f>
        <v>106423.56273480447</v>
      </c>
      <c r="JM197" s="179"/>
      <c r="JN197" s="33">
        <f>JL197-(JN$5*JN196)</f>
        <v>97671.831534804471</v>
      </c>
      <c r="JP197" s="33">
        <f>JN197-(JP$5*JP196)</f>
        <v>91675.309134804469</v>
      </c>
      <c r="JR197" s="82">
        <f>JP197-(JR$5*JR196)</f>
        <v>85874.335534804472</v>
      </c>
      <c r="JS197" s="179"/>
      <c r="JT197" s="33">
        <f>JR197-(JT$5*JT196)</f>
        <v>79486.715534804476</v>
      </c>
      <c r="JV197" s="33">
        <f>JT197-(JV$5*JV196)</f>
        <v>75216.925934804472</v>
      </c>
      <c r="JX197" s="82">
        <f>JV197-(JX$5*JX196)</f>
        <v>69986.917934804471</v>
      </c>
      <c r="JY197" s="179"/>
      <c r="JZ197" s="33">
        <f>JX197-(JZ$5*JZ196)</f>
        <v>59401.271054804471</v>
      </c>
      <c r="KB197" s="33">
        <f>JZ197-(KB$5*KB196)</f>
        <v>49198.789134804472</v>
      </c>
      <c r="KD197" s="82">
        <f>KB197-(KD$5*KD196)</f>
        <v>37574.150894804472</v>
      </c>
      <c r="KE197" s="179"/>
      <c r="KF197" s="33">
        <f>KD197-(KF$5*KF196)</f>
        <v>27296.659406804472</v>
      </c>
      <c r="KH197" s="33">
        <f>KF197-(KH$5*KH196)</f>
        <v>17009.556510804476</v>
      </c>
      <c r="KJ197" s="82">
        <f>KH197-(KJ$5*KJ196)</f>
        <v>8739.096734804476</v>
      </c>
      <c r="KK197" s="157"/>
      <c r="KL197" s="143">
        <f>KJ197</f>
        <v>8739.096734804476</v>
      </c>
      <c r="KM197" s="143"/>
      <c r="KN197" s="143">
        <f>KL197</f>
        <v>8739.096734804476</v>
      </c>
      <c r="KO197" s="143"/>
      <c r="KP197" s="169">
        <f>KN197+KJ177</f>
        <v>8461.8981598370574</v>
      </c>
      <c r="KQ197" s="179"/>
      <c r="KR197" s="33">
        <f>KP197-(KR$5*KR196)</f>
        <v>7976.435315071376</v>
      </c>
      <c r="KT197" s="33">
        <f>KR197-(KT$5*KT196)</f>
        <v>7493.6621668198868</v>
      </c>
      <c r="KV197" s="82">
        <f>KT197-(KV$5*KV196)</f>
        <v>6934.4841853360585</v>
      </c>
      <c r="KW197" s="179"/>
      <c r="KX197" s="33">
        <f>KV197-(KX$5*KX196)</f>
        <v>6048.1025696973466</v>
      </c>
      <c r="KZ197" s="33">
        <f>KX197-(KZ$5*KZ196)</f>
        <v>5131.7612937765107</v>
      </c>
      <c r="LB197" s="82">
        <f>KZ197-(LB$5*LB196)</f>
        <v>4177.2680758242186</v>
      </c>
      <c r="LC197" s="179"/>
      <c r="LD197" s="33">
        <f>LB197-(LD$5*LD196)</f>
        <v>3224.0581100256441</v>
      </c>
      <c r="LF197" s="33">
        <f>LD197-(LF$5*LF196)</f>
        <v>2269.9567117309534</v>
      </c>
      <c r="LH197" s="82">
        <f>LF197-(LH$5*LH196)</f>
        <v>1502.8935923477648</v>
      </c>
      <c r="LI197" s="179"/>
      <c r="LJ197" s="33">
        <f>LH197-(LJ$5*LJ196)</f>
        <v>910.40751796204552</v>
      </c>
      <c r="LL197" s="33">
        <f>LJ197-(LL$5*LL196)</f>
        <v>433.24303712373728</v>
      </c>
      <c r="LN197" s="168">
        <f>LL197-(LN$5*LN196)</f>
        <v>-6.2527760746888816E-13</v>
      </c>
      <c r="LU197" s="179"/>
      <c r="MA197" s="179"/>
      <c r="MG197" s="179"/>
      <c r="MM197" s="179"/>
      <c r="MS197" s="179"/>
    </row>
    <row r="198" spans="3:361" x14ac:dyDescent="0.35">
      <c r="C198" s="175"/>
      <c r="JL198" s="81"/>
      <c r="JM198" s="179"/>
      <c r="JR198" s="81"/>
      <c r="JS198" s="179"/>
      <c r="JX198" s="81"/>
      <c r="JY198" s="179"/>
      <c r="KD198" s="81"/>
      <c r="KE198" s="179"/>
      <c r="KJ198" s="158"/>
      <c r="KP198" s="101">
        <f>(KP197/SUM(KR$5:LN$5))</f>
        <v>8.5550143581165417E-2</v>
      </c>
      <c r="KQ198" s="179"/>
      <c r="KR198" s="127" t="s">
        <v>123</v>
      </c>
      <c r="KV198" s="81"/>
      <c r="KW198" s="179"/>
      <c r="LB198" s="81"/>
      <c r="LC198" s="179"/>
      <c r="LH198" s="81"/>
      <c r="LI198" s="179"/>
      <c r="LN198" s="10"/>
      <c r="LO198" s="179"/>
      <c r="LT198" s="10"/>
      <c r="LU198" s="179"/>
      <c r="LZ198" s="10"/>
      <c r="MA198" s="179"/>
      <c r="MF198" s="10"/>
      <c r="MG198" s="179"/>
      <c r="ML198" s="10"/>
      <c r="MM198" s="179"/>
      <c r="MS198" s="179"/>
    </row>
    <row r="199" spans="3:361" x14ac:dyDescent="0.35">
      <c r="C199" s="175"/>
      <c r="JM199" s="179"/>
      <c r="JS199" s="179"/>
      <c r="JY199" s="179"/>
      <c r="KE199" s="179"/>
      <c r="KK199" s="179"/>
      <c r="KL199" s="175" t="s">
        <v>174</v>
      </c>
      <c r="KQ199" s="179"/>
      <c r="KW199" s="179"/>
      <c r="LC199" s="179"/>
      <c r="LI199" s="179"/>
      <c r="LO199" s="179"/>
      <c r="LU199" s="179"/>
      <c r="MA199" s="179"/>
      <c r="MG199" s="179"/>
      <c r="MM199" s="179"/>
      <c r="MS199" s="179"/>
    </row>
    <row r="200" spans="3:361" x14ac:dyDescent="0.35">
      <c r="C200" s="175"/>
      <c r="JR200" s="81"/>
      <c r="JS200" s="179"/>
      <c r="JT200" s="66">
        <v>0.38279999999999997</v>
      </c>
      <c r="JU200" s="95"/>
      <c r="JV200" s="43">
        <f>JT200</f>
        <v>0.38279999999999997</v>
      </c>
      <c r="JW200" s="40"/>
      <c r="JX200" s="150">
        <f>JV200</f>
        <v>0.38279999999999997</v>
      </c>
      <c r="JY200" s="179"/>
      <c r="JZ200" s="43">
        <f>JX200</f>
        <v>0.38279999999999997</v>
      </c>
      <c r="KA200" s="40"/>
      <c r="KB200" s="43">
        <f>JZ200</f>
        <v>0.38279999999999997</v>
      </c>
      <c r="KC200" s="40"/>
      <c r="KD200" s="150">
        <f>KB200</f>
        <v>0.38279999999999997</v>
      </c>
      <c r="KE200" s="179"/>
      <c r="KF200" s="43">
        <f>KD200</f>
        <v>0.38279999999999997</v>
      </c>
      <c r="KG200" s="40"/>
      <c r="KH200" s="43">
        <f>KF200</f>
        <v>0.38279999999999997</v>
      </c>
      <c r="KI200" s="40"/>
      <c r="KJ200" s="150">
        <f>KH200</f>
        <v>0.38279999999999997</v>
      </c>
      <c r="KK200" s="179"/>
      <c r="KL200" s="43">
        <v>0.46329999999999999</v>
      </c>
      <c r="KM200" s="40"/>
      <c r="KN200" s="43">
        <f>KL200</f>
        <v>0.46329999999999999</v>
      </c>
      <c r="KO200" s="40"/>
      <c r="KP200" s="150">
        <f>KN200</f>
        <v>0.46329999999999999</v>
      </c>
      <c r="KQ200" s="156"/>
      <c r="KR200" s="175" t="s">
        <v>152</v>
      </c>
      <c r="KS200" s="144"/>
      <c r="KT200" s="144"/>
      <c r="KU200" s="144"/>
      <c r="KV200" s="118"/>
      <c r="KW200" s="179"/>
      <c r="KX200" s="43">
        <f>KV202</f>
        <v>3.6445846227926619E-2</v>
      </c>
      <c r="KY200" s="40"/>
      <c r="KZ200" s="43">
        <f>KX200</f>
        <v>3.6445846227926619E-2</v>
      </c>
      <c r="LA200" s="40"/>
      <c r="LB200" s="150">
        <f>KZ200</f>
        <v>3.6445846227926619E-2</v>
      </c>
      <c r="LC200" s="179"/>
      <c r="LD200" s="43">
        <f>LB200</f>
        <v>3.6445846227926619E-2</v>
      </c>
      <c r="LE200" s="40"/>
      <c r="LF200" s="43">
        <f>LD200</f>
        <v>3.6445846227926619E-2</v>
      </c>
      <c r="LG200" s="40"/>
      <c r="LH200" s="150">
        <f>LF200</f>
        <v>3.6445846227926619E-2</v>
      </c>
      <c r="LI200" s="179"/>
      <c r="LJ200" s="43">
        <f>LH200</f>
        <v>3.6445846227926619E-2</v>
      </c>
      <c r="LK200" s="40"/>
      <c r="LL200" s="43">
        <f>LJ200</f>
        <v>3.6445846227926619E-2</v>
      </c>
      <c r="LM200" s="40"/>
      <c r="LN200" s="150">
        <f>LL200</f>
        <v>3.6445846227926619E-2</v>
      </c>
      <c r="LO200" s="179"/>
      <c r="LP200" s="43">
        <f>LN200</f>
        <v>3.6445846227926619E-2</v>
      </c>
      <c r="LQ200" s="40"/>
      <c r="LR200" s="43">
        <f>LP200</f>
        <v>3.6445846227926619E-2</v>
      </c>
      <c r="LS200" s="40"/>
      <c r="LT200" s="150">
        <f>LR200</f>
        <v>3.6445846227926619E-2</v>
      </c>
      <c r="LV200" s="76"/>
      <c r="LW200" s="76"/>
      <c r="LX200" s="76"/>
      <c r="LY200" s="76"/>
      <c r="LZ200" s="118"/>
      <c r="MB200" s="76"/>
      <c r="MC200" s="76"/>
      <c r="MD200" s="76"/>
      <c r="ME200" s="76"/>
      <c r="MF200" s="118"/>
      <c r="MH200" s="76"/>
      <c r="MI200" s="76"/>
      <c r="MJ200" s="76"/>
      <c r="MK200" s="76"/>
      <c r="ML200" s="118"/>
      <c r="MN200" s="76"/>
      <c r="MO200" s="76"/>
      <c r="MP200" s="76"/>
      <c r="MQ200" s="76"/>
      <c r="MR200" s="76"/>
      <c r="MS200" s="179"/>
      <c r="MT200" s="76"/>
      <c r="MU200" s="76"/>
      <c r="MV200" s="76"/>
      <c r="MW200" s="76"/>
    </row>
    <row r="201" spans="3:361" x14ac:dyDescent="0.35">
      <c r="C201" s="25"/>
      <c r="JR201" s="93">
        <f>'Actual Adjustment (SIV)'!GZ19</f>
        <v>44175.10095973227</v>
      </c>
      <c r="JS201" s="179"/>
      <c r="JT201" s="33">
        <f>JR201-(JT$5*JT200)</f>
        <v>41524.210959732271</v>
      </c>
      <c r="JV201" s="33">
        <f>JT201-(JV$5*JV200)</f>
        <v>39752.229759732269</v>
      </c>
      <c r="JX201" s="82">
        <f>JV201-(JX$5*JX200)</f>
        <v>37581.753759732266</v>
      </c>
      <c r="JY201" s="179"/>
      <c r="JZ201" s="33">
        <f>JX201-(JZ$5*JZ200)</f>
        <v>33188.664399732268</v>
      </c>
      <c r="KB201" s="33">
        <f>JZ201-(KB$5*KB200)</f>
        <v>28954.59015973227</v>
      </c>
      <c r="KD201" s="82">
        <f>KB201-(KD$5*KD200)</f>
        <v>24130.314879732272</v>
      </c>
      <c r="KE201" s="179"/>
      <c r="KF201" s="33">
        <f>KD201-(KF$5*KF200)</f>
        <v>19865.111343732271</v>
      </c>
      <c r="KH201" s="33">
        <f>KF201-(KH$5*KH200)</f>
        <v>15595.919031732272</v>
      </c>
      <c r="KJ201" s="82">
        <f>KH201-(KJ$5*KJ200)</f>
        <v>12163.642359732272</v>
      </c>
      <c r="KK201" s="179"/>
      <c r="KL201" s="33">
        <f>KJ201-(KL$5*KL200)</f>
        <v>8955.0118797322721</v>
      </c>
      <c r="KN201" s="33">
        <f>KL201-(KN$5*KN200)</f>
        <v>6370.9097997322715</v>
      </c>
      <c r="KP201" s="82">
        <f>KN201-(KP$5*KP200)</f>
        <v>4024.6659397322715</v>
      </c>
      <c r="KQ201" s="157"/>
      <c r="KR201" s="143">
        <f>KP201</f>
        <v>4024.6659397322715</v>
      </c>
      <c r="KS201" s="143"/>
      <c r="KT201" s="143">
        <f>KR201</f>
        <v>4024.6659397322715</v>
      </c>
      <c r="KU201" s="143"/>
      <c r="KV201" s="169">
        <f>KT201+KP181</f>
        <v>3604.9155059243376</v>
      </c>
      <c r="KW201" s="179"/>
      <c r="KX201" s="33">
        <f>KV201-(KX$5*KX200)</f>
        <v>3227.301550990639</v>
      </c>
      <c r="KZ201" s="33">
        <f>KX201-(KZ$5*KZ200)</f>
        <v>2836.9242607079204</v>
      </c>
      <c r="LB201" s="82">
        <f>KZ201-(LB$5*LB200)</f>
        <v>2430.2935808413959</v>
      </c>
      <c r="LC201" s="179"/>
      <c r="LD201" s="33">
        <f>LB201-(LD$5*LD200)</f>
        <v>2024.2095886682901</v>
      </c>
      <c r="LF201" s="33">
        <f>LD201-(LF$5*LF200)</f>
        <v>1617.7458307774893</v>
      </c>
      <c r="LH201" s="82">
        <f>LF201-(LH$5*LH200)</f>
        <v>1290.9636264948047</v>
      </c>
      <c r="LI201" s="179"/>
      <c r="LJ201" s="33">
        <f>LH201-(LJ$5*LJ200)</f>
        <v>1038.554273858676</v>
      </c>
      <c r="LL201" s="33">
        <f>LJ201-(LL$5*LL200)</f>
        <v>835.27392193779247</v>
      </c>
      <c r="LN201" s="82">
        <f>LL201-(LN$5*LN200)</f>
        <v>650.70486747032646</v>
      </c>
      <c r="LO201" s="179"/>
      <c r="LP201" s="33">
        <f>LN201-(LP$5*LP200)</f>
        <v>443.88926846533406</v>
      </c>
      <c r="LR201" s="33">
        <f>LP201-(LR$5*LR200)</f>
        <v>238.21952686574767</v>
      </c>
      <c r="LT201" s="168">
        <f>LR201-(LT$5*LT200)</f>
        <v>0</v>
      </c>
      <c r="LV201" s="53"/>
      <c r="LW201" s="51"/>
      <c r="LX201" s="53"/>
      <c r="LY201" s="51"/>
      <c r="LZ201" s="85"/>
      <c r="MB201" s="53"/>
      <c r="MC201" s="51"/>
      <c r="MD201" s="53"/>
      <c r="ME201" s="51"/>
      <c r="MF201" s="85"/>
      <c r="MH201" s="53"/>
      <c r="MI201" s="51"/>
      <c r="MJ201" s="53"/>
      <c r="MK201" s="51"/>
      <c r="ML201" s="85"/>
      <c r="MN201" s="53"/>
      <c r="MO201" s="51"/>
      <c r="MP201" s="53"/>
      <c r="MQ201" s="51"/>
      <c r="MR201" s="53"/>
      <c r="MS201" s="179"/>
      <c r="MT201" s="53"/>
      <c r="MU201" s="51"/>
      <c r="MV201" s="53"/>
      <c r="MW201" s="51"/>
    </row>
    <row r="202" spans="3:361" x14ac:dyDescent="0.35">
      <c r="C202" s="25"/>
      <c r="JR202" s="81"/>
      <c r="JS202" s="179"/>
      <c r="JX202" s="81"/>
      <c r="JY202" s="179"/>
      <c r="KD202" s="81"/>
      <c r="KE202" s="179"/>
      <c r="KJ202" s="81"/>
      <c r="KK202" s="179"/>
      <c r="KP202" s="158"/>
      <c r="KV202" s="101">
        <f>(KV201/SUM(KX$5:LT$5))</f>
        <v>3.6445846227926619E-2</v>
      </c>
      <c r="KW202" s="179"/>
      <c r="KX202" s="175" t="s">
        <v>125</v>
      </c>
      <c r="LB202" s="81"/>
      <c r="LC202" s="179"/>
      <c r="LH202" s="81"/>
      <c r="LI202" s="179"/>
      <c r="LN202" s="81"/>
      <c r="LO202" s="179"/>
      <c r="LT202" s="81"/>
      <c r="LZ202" s="81"/>
      <c r="MF202" s="81"/>
      <c r="ML202" s="81"/>
      <c r="MS202" s="179"/>
    </row>
    <row r="203" spans="3:361" x14ac:dyDescent="0.35">
      <c r="C203" s="175"/>
      <c r="JS203" s="179"/>
      <c r="JY203" s="179"/>
      <c r="KE203" s="179"/>
      <c r="KK203" s="179"/>
      <c r="KL203" s="175" t="s">
        <v>174</v>
      </c>
      <c r="KQ203" s="179"/>
      <c r="KW203" s="179"/>
      <c r="LC203" s="179"/>
      <c r="LI203" s="179"/>
      <c r="LO203" s="179"/>
      <c r="LT203" s="81"/>
      <c r="LZ203" s="81"/>
      <c r="MF203" s="81"/>
      <c r="ML203" s="81"/>
      <c r="MS203" s="179"/>
    </row>
    <row r="204" spans="3:361" x14ac:dyDescent="0.35">
      <c r="C204" s="175"/>
      <c r="JX204" s="81"/>
      <c r="JY204" s="179"/>
      <c r="JZ204" s="66">
        <v>-0.39950000000000002</v>
      </c>
      <c r="KA204" s="95"/>
      <c r="KB204" s="43">
        <f>JZ204</f>
        <v>-0.39950000000000002</v>
      </c>
      <c r="KC204" s="40"/>
      <c r="KD204" s="150">
        <f>KB204</f>
        <v>-0.39950000000000002</v>
      </c>
      <c r="KE204" s="179"/>
      <c r="KF204" s="43">
        <f>KD204</f>
        <v>-0.39950000000000002</v>
      </c>
      <c r="KG204" s="40"/>
      <c r="KH204" s="43">
        <f>KF204</f>
        <v>-0.39950000000000002</v>
      </c>
      <c r="KI204" s="40"/>
      <c r="KJ204" s="150">
        <f>KH204</f>
        <v>-0.39950000000000002</v>
      </c>
      <c r="KK204" s="179"/>
      <c r="KL204" s="43">
        <v>-0.13880000000000001</v>
      </c>
      <c r="KM204" s="40"/>
      <c r="KN204" s="43">
        <f>KL204</f>
        <v>-0.13880000000000001</v>
      </c>
      <c r="KO204" s="40"/>
      <c r="KP204" s="150">
        <f>KN204</f>
        <v>-0.13880000000000001</v>
      </c>
      <c r="KQ204" s="179"/>
      <c r="KR204" s="43">
        <f>KP204</f>
        <v>-0.13880000000000001</v>
      </c>
      <c r="KS204" s="40"/>
      <c r="KT204" s="43">
        <f>KR204</f>
        <v>-0.13880000000000001</v>
      </c>
      <c r="KU204" s="40"/>
      <c r="KV204" s="150">
        <f>KT204</f>
        <v>-0.13880000000000001</v>
      </c>
      <c r="KW204" s="156"/>
      <c r="KY204" s="144"/>
      <c r="KZ204" s="144"/>
      <c r="LA204" s="144"/>
      <c r="LB204" s="118"/>
      <c r="LC204" s="179"/>
      <c r="LD204" s="43">
        <f>LB206</f>
        <v>0.21592595381724505</v>
      </c>
      <c r="LE204" s="40"/>
      <c r="LF204" s="43">
        <f>LD204</f>
        <v>0.21592595381724505</v>
      </c>
      <c r="LG204" s="40"/>
      <c r="LH204" s="150">
        <f>LF204</f>
        <v>0.21592595381724505</v>
      </c>
      <c r="LI204" s="179"/>
      <c r="LJ204" s="43">
        <f>LH204</f>
        <v>0.21592595381724505</v>
      </c>
      <c r="LK204" s="40"/>
      <c r="LL204" s="43">
        <f>LJ204</f>
        <v>0.21592595381724505</v>
      </c>
      <c r="LM204" s="40"/>
      <c r="LN204" s="150">
        <f>LL204</f>
        <v>0.21592595381724505</v>
      </c>
      <c r="LO204" s="179"/>
      <c r="LP204" s="43">
        <f>LN204</f>
        <v>0.21592595381724505</v>
      </c>
      <c r="LQ204" s="40"/>
      <c r="LR204" s="43">
        <f>LP204</f>
        <v>0.21592595381724505</v>
      </c>
      <c r="LS204" s="40"/>
      <c r="LT204" s="150">
        <f>LR204</f>
        <v>0.21592595381724505</v>
      </c>
      <c r="LU204" s="179"/>
      <c r="LV204" s="43">
        <f>LT204</f>
        <v>0.21592595381724505</v>
      </c>
      <c r="LW204" s="40"/>
      <c r="LX204" s="43">
        <f>LV204</f>
        <v>0.21592595381724505</v>
      </c>
      <c r="LY204" s="40"/>
      <c r="LZ204" s="150">
        <f>LX204</f>
        <v>0.21592595381724505</v>
      </c>
      <c r="MB204" s="76"/>
      <c r="MC204" s="76"/>
      <c r="MD204" s="76"/>
      <c r="ME204" s="76"/>
      <c r="MF204" s="118"/>
      <c r="MH204" s="76"/>
      <c r="MI204" s="76"/>
      <c r="MJ204" s="76"/>
      <c r="MK204" s="76"/>
      <c r="ML204" s="118"/>
      <c r="MN204" s="76"/>
      <c r="MO204" s="76"/>
      <c r="MP204" s="76"/>
      <c r="MQ204" s="76"/>
      <c r="MR204" s="76"/>
      <c r="MS204" s="179"/>
      <c r="MT204" s="76"/>
      <c r="MU204" s="76"/>
      <c r="MV204" s="76"/>
      <c r="MW204" s="76"/>
    </row>
    <row r="205" spans="3:361" x14ac:dyDescent="0.35">
      <c r="C205" s="25" t="s">
        <v>59</v>
      </c>
      <c r="JX205" s="93">
        <f>'Actual Adjustment (SIV)'!HF19</f>
        <v>-13657.17637102632</v>
      </c>
      <c r="JY205" s="179"/>
      <c r="JZ205" s="33">
        <f>JX205-(JZ$5*JZ204)</f>
        <v>-9072.4344710263194</v>
      </c>
      <c r="KB205" s="33">
        <f>JZ205-(KB$5*KB204)</f>
        <v>-4653.6448710263194</v>
      </c>
      <c r="KD205" s="82">
        <f>KB205-(KD$5*KD204)</f>
        <v>381.09382897368141</v>
      </c>
      <c r="KE205" s="179"/>
      <c r="KF205" s="33">
        <f>KD205-(KF$5*KF204)</f>
        <v>4832.3707689736812</v>
      </c>
      <c r="KH205" s="33">
        <f>KF205-(KH$5*KH204)</f>
        <v>9287.8104989736821</v>
      </c>
      <c r="KJ205" s="82">
        <f>KH205-(KJ$5*KJ204)</f>
        <v>12869.823378973682</v>
      </c>
      <c r="KK205" s="179"/>
      <c r="KL205" s="33">
        <f>KJ205-(KL$5*KL204)</f>
        <v>13831.096658973682</v>
      </c>
      <c r="KN205" s="33">
        <f>KL205-(KN$5*KN204)</f>
        <v>14605.267538973681</v>
      </c>
      <c r="KP205" s="82">
        <f>KN205-(KP$5*KP204)</f>
        <v>15308.178498973681</v>
      </c>
      <c r="KQ205" s="179"/>
      <c r="KR205" s="33">
        <f>KP205-(KR$5*KR204)</f>
        <v>16095.812978973681</v>
      </c>
      <c r="KT205" s="33">
        <f>KR205-(KT$5*KT204)</f>
        <v>16879.08358697368</v>
      </c>
      <c r="KV205" s="82">
        <f>KT205-(KV$5*KV204)</f>
        <v>17786.316474973679</v>
      </c>
      <c r="KW205" s="157"/>
      <c r="KX205" s="143">
        <f>KV205</f>
        <v>17786.316474973679</v>
      </c>
      <c r="KY205" s="143"/>
      <c r="KZ205" s="143">
        <f>KX205</f>
        <v>17786.316474973679</v>
      </c>
      <c r="LA205" s="143"/>
      <c r="LB205" s="169">
        <f>KZ205+KV185</f>
        <v>21357.57293655166</v>
      </c>
      <c r="LC205" s="179"/>
      <c r="LD205" s="33">
        <f>LB205-(LD$5*LD204)</f>
        <v>18951.700048005456</v>
      </c>
      <c r="LF205" s="33">
        <f>LD205-(LF$5*LF204)</f>
        <v>16543.577211020478</v>
      </c>
      <c r="LH205" s="82">
        <f>LF205-(LH$5*LH204)</f>
        <v>14607.533286866143</v>
      </c>
      <c r="LI205" s="179"/>
      <c r="LJ205" s="33">
        <f>LH205-(LJ$5*LJ204)</f>
        <v>13112.116501109431</v>
      </c>
      <c r="LL205" s="33">
        <f>LJ205-(LL$5*LL204)</f>
        <v>11907.767901098365</v>
      </c>
      <c r="LN205" s="82">
        <f>LL205-(LN$5*LN204)</f>
        <v>10814.275685777073</v>
      </c>
      <c r="LO205" s="179"/>
      <c r="LP205" s="33">
        <f>LN205-(LP$5*LP204)</f>
        <v>9588.9822682457343</v>
      </c>
      <c r="LR205" s="33">
        <f>LP205-(LR$5*LR204)</f>
        <v>8370.4775627024101</v>
      </c>
      <c r="LT205" s="82">
        <f>LR205-(LT$5*LT204)</f>
        <v>6959.1293878049037</v>
      </c>
      <c r="LU205" s="179"/>
      <c r="LV205" s="33">
        <f>LT205-(LV$5*LV204)</f>
        <v>4721.9292173425802</v>
      </c>
      <c r="LX205" s="33">
        <f>LV205-(LX$5*LX204)</f>
        <v>2409.1117778534576</v>
      </c>
      <c r="LZ205" s="168">
        <f>LX205-(LZ$5*LZ204)</f>
        <v>0</v>
      </c>
      <c r="MB205" s="53"/>
      <c r="MC205" s="51"/>
      <c r="MD205" s="53"/>
      <c r="ME205" s="51"/>
      <c r="MF205" s="85"/>
      <c r="MH205" s="53"/>
      <c r="MI205" s="51"/>
      <c r="MJ205" s="53"/>
      <c r="MK205" s="51"/>
      <c r="ML205" s="85"/>
      <c r="MN205" s="53"/>
      <c r="MO205" s="51"/>
      <c r="MP205" s="53"/>
      <c r="MQ205" s="51"/>
      <c r="MR205" s="53"/>
      <c r="MS205" s="179"/>
      <c r="MT205" s="53"/>
      <c r="MU205" s="51"/>
      <c r="MV205" s="53"/>
      <c r="MW205" s="51"/>
    </row>
    <row r="206" spans="3:361" x14ac:dyDescent="0.35">
      <c r="C206" s="25"/>
      <c r="JX206" s="81"/>
      <c r="JY206" s="179"/>
      <c r="JZ206" s="262"/>
      <c r="KD206" s="81"/>
      <c r="KE206" s="179"/>
      <c r="KF206" s="40"/>
      <c r="KJ206" s="81"/>
      <c r="KK206" s="179"/>
      <c r="KP206" s="81"/>
      <c r="KQ206" s="179"/>
      <c r="KV206" s="158"/>
      <c r="LB206" s="101">
        <f>(LB205/SUM(LD$5:LZ$5))</f>
        <v>0.21592595381724505</v>
      </c>
      <c r="LC206" s="179"/>
      <c r="LH206" s="81"/>
      <c r="LI206" s="179"/>
      <c r="LN206" s="81"/>
      <c r="LO206" s="179"/>
      <c r="LT206" s="81"/>
      <c r="LU206" s="179"/>
      <c r="LZ206" s="81"/>
      <c r="MF206" s="81"/>
      <c r="ML206" s="81"/>
      <c r="MS206" s="179"/>
    </row>
    <row r="207" spans="3:361" x14ac:dyDescent="0.35">
      <c r="C207" s="175"/>
      <c r="JY207" s="179"/>
      <c r="JZ207" s="262"/>
      <c r="KE207" s="179"/>
      <c r="KK207" s="179"/>
      <c r="KQ207" s="179"/>
      <c r="KW207" s="179"/>
      <c r="LC207" s="179"/>
      <c r="LI207" s="179"/>
      <c r="LO207" s="179"/>
      <c r="LU207" s="179"/>
      <c r="LZ207" s="81"/>
      <c r="MF207" s="81"/>
      <c r="ML207" s="81"/>
      <c r="MS207" s="179"/>
    </row>
    <row r="208" spans="3:361" x14ac:dyDescent="0.35">
      <c r="C208" s="175"/>
      <c r="KD208" s="81"/>
      <c r="KE208" s="179"/>
      <c r="KF208" s="66">
        <v>0</v>
      </c>
      <c r="KG208" s="95"/>
      <c r="KH208" s="43">
        <f>KF208</f>
        <v>0</v>
      </c>
      <c r="KI208" s="40"/>
      <c r="KJ208" s="150">
        <f>KH208</f>
        <v>0</v>
      </c>
      <c r="KK208" s="179"/>
      <c r="KL208" s="43">
        <f>KJ208</f>
        <v>0</v>
      </c>
      <c r="KM208" s="40"/>
      <c r="KN208" s="43">
        <f>KL208</f>
        <v>0</v>
      </c>
      <c r="KO208" s="40"/>
      <c r="KP208" s="150">
        <f>KN208</f>
        <v>0</v>
      </c>
      <c r="KQ208" s="179"/>
      <c r="KR208" s="43">
        <f>KP208</f>
        <v>0</v>
      </c>
      <c r="KS208" s="40"/>
      <c r="KT208" s="43">
        <f>KR208</f>
        <v>0</v>
      </c>
      <c r="KU208" s="40"/>
      <c r="KV208" s="150">
        <f>KT208</f>
        <v>0</v>
      </c>
      <c r="KW208" s="179"/>
      <c r="KX208" s="43">
        <f>KV208</f>
        <v>0</v>
      </c>
      <c r="KY208" s="40"/>
      <c r="KZ208" s="43">
        <f>KX208</f>
        <v>0</v>
      </c>
      <c r="LA208" s="40"/>
      <c r="LB208" s="150">
        <f>KZ208</f>
        <v>0</v>
      </c>
      <c r="LC208" s="156"/>
      <c r="LD208" s="144"/>
      <c r="LE208" s="144"/>
      <c r="LF208" s="144"/>
      <c r="LG208" s="144"/>
      <c r="LH208" s="118"/>
      <c r="LI208" s="179"/>
      <c r="LJ208" s="43">
        <f>LH210</f>
        <v>-7.5646800441694778E-3</v>
      </c>
      <c r="LK208" s="40"/>
      <c r="LL208" s="43">
        <f>LJ208</f>
        <v>-7.5646800441694778E-3</v>
      </c>
      <c r="LM208" s="40"/>
      <c r="LN208" s="150">
        <f>LL208</f>
        <v>-7.5646800441694778E-3</v>
      </c>
      <c r="LO208" s="179"/>
      <c r="LP208" s="43">
        <f>LN208</f>
        <v>-7.5646800441694778E-3</v>
      </c>
      <c r="LQ208" s="40"/>
      <c r="LR208" s="43">
        <f>LP208</f>
        <v>-7.5646800441694778E-3</v>
      </c>
      <c r="LS208" s="40"/>
      <c r="LT208" s="150">
        <f>LR208</f>
        <v>-7.5646800441694778E-3</v>
      </c>
      <c r="LU208" s="179"/>
      <c r="LV208" s="43">
        <f>LT208</f>
        <v>-7.5646800441694778E-3</v>
      </c>
      <c r="LW208" s="40"/>
      <c r="LX208" s="43">
        <f>LV208</f>
        <v>-7.5646800441694778E-3</v>
      </c>
      <c r="LY208" s="40"/>
      <c r="LZ208" s="150">
        <f>LX208</f>
        <v>-7.5646800441694778E-3</v>
      </c>
      <c r="MA208" s="179"/>
      <c r="MB208" s="43">
        <f>LZ208</f>
        <v>-7.5646800441694778E-3</v>
      </c>
      <c r="MC208" s="40"/>
      <c r="MD208" s="43">
        <f>MB208</f>
        <v>-7.5646800441694778E-3</v>
      </c>
      <c r="ME208" s="40"/>
      <c r="MF208" s="150">
        <f>MD208</f>
        <v>-7.5646800441694778E-3</v>
      </c>
      <c r="MH208" s="76"/>
      <c r="MI208" s="51"/>
      <c r="MJ208" s="53"/>
      <c r="MK208" s="51"/>
      <c r="ML208" s="85"/>
      <c r="MN208" s="53"/>
      <c r="MO208" s="51"/>
      <c r="MP208" s="53"/>
      <c r="MQ208" s="51"/>
      <c r="MR208" s="53"/>
      <c r="MS208" s="179"/>
      <c r="MT208" s="53"/>
      <c r="MU208" s="51"/>
      <c r="MV208" s="53"/>
      <c r="MW208" s="51"/>
    </row>
    <row r="209" spans="3:361" x14ac:dyDescent="0.35">
      <c r="C209" s="25" t="s">
        <v>58</v>
      </c>
      <c r="KD209" s="93"/>
      <c r="KE209" s="179"/>
      <c r="KF209" s="33">
        <f>KD209-(KF$5*KF208)</f>
        <v>0</v>
      </c>
      <c r="KH209" s="33">
        <f>KF209-(KH$5*KH208)</f>
        <v>0</v>
      </c>
      <c r="KJ209" s="82">
        <f>KH209-(KJ$5*KJ208)</f>
        <v>0</v>
      </c>
      <c r="KK209" s="179"/>
      <c r="KL209" s="33">
        <f>KJ209-(KL$5*KL208)</f>
        <v>0</v>
      </c>
      <c r="KN209" s="33">
        <f>KL209-(KN$5*KN208)</f>
        <v>0</v>
      </c>
      <c r="KP209" s="82">
        <f>KN209-(KP$5*KP208)</f>
        <v>0</v>
      </c>
      <c r="KQ209" s="179"/>
      <c r="KR209" s="33">
        <f>KP209-(KR$5*KR208)</f>
        <v>0</v>
      </c>
      <c r="KT209" s="33">
        <f>KR209-(KT$5*KT208)</f>
        <v>0</v>
      </c>
      <c r="KV209" s="82">
        <f>KT209-(KV$5*KV208)</f>
        <v>0</v>
      </c>
      <c r="KW209" s="179"/>
      <c r="KX209" s="33">
        <f>KV209-(KX$5*KX208)</f>
        <v>0</v>
      </c>
      <c r="KZ209" s="33">
        <f>KX209-(KZ$5*KZ208)</f>
        <v>0</v>
      </c>
      <c r="LB209" s="82">
        <f>KZ209-(LB$5*LB208)</f>
        <v>0</v>
      </c>
      <c r="LC209" s="157"/>
      <c r="LD209" s="143">
        <f>LB209</f>
        <v>0</v>
      </c>
      <c r="LE209" s="143"/>
      <c r="LF209" s="143">
        <f>LD209</f>
        <v>0</v>
      </c>
      <c r="LG209" s="143"/>
      <c r="LH209" s="169">
        <f>LF209+LB189</f>
        <v>-748.23430406967179</v>
      </c>
      <c r="LI209" s="179"/>
      <c r="LJ209" s="33">
        <f>LH209-(LJ$5*LJ208)</f>
        <v>-695.84435595577168</v>
      </c>
      <c r="LL209" s="33">
        <f>LJ209-(LL$5*LL208)</f>
        <v>-653.651596541412</v>
      </c>
      <c r="LN209" s="82">
        <f>LL209-(LN$5*LN208)</f>
        <v>-615.34254386172893</v>
      </c>
      <c r="LO209" s="179"/>
      <c r="LP209" s="33">
        <f>LN209-(LP$5*LP208)</f>
        <v>-572.41601048308485</v>
      </c>
      <c r="LR209" s="33">
        <f>LP209-(LR$5*LR208)</f>
        <v>-529.72731064502943</v>
      </c>
      <c r="LT209" s="82">
        <f>LR209-(LT$5*LT208)</f>
        <v>-480.28259505952622</v>
      </c>
      <c r="LU209" s="179"/>
      <c r="LV209" s="33">
        <f>LT209-(LV$5*LV208)</f>
        <v>-401.90524770908803</v>
      </c>
      <c r="LX209" s="33">
        <f>LV209-(LX$5*LX208)</f>
        <v>-320.87874940718166</v>
      </c>
      <c r="LZ209" s="82">
        <f>LX209-(LZ$5*LZ208)</f>
        <v>-236.4787063927775</v>
      </c>
      <c r="MA209" s="179"/>
      <c r="MB209" s="33">
        <f>LZ209-(MB$5*MB208)</f>
        <v>-152.1921335790359</v>
      </c>
      <c r="MD209" s="33">
        <f>MB209-(MD$5*MD208)</f>
        <v>-67.826736799234041</v>
      </c>
      <c r="MF209" s="168">
        <f>MD209-(MF$5*MF208)</f>
        <v>0</v>
      </c>
      <c r="MH209" s="53"/>
      <c r="ML209" s="81"/>
      <c r="MS209" s="179"/>
    </row>
    <row r="210" spans="3:361" x14ac:dyDescent="0.35">
      <c r="C210" s="25"/>
      <c r="KD210" s="81"/>
      <c r="KE210" s="179"/>
      <c r="KJ210" s="81"/>
      <c r="KK210" s="179"/>
      <c r="KP210" s="81"/>
      <c r="KQ210" s="179"/>
      <c r="KV210" s="81"/>
      <c r="KW210" s="179"/>
      <c r="LB210" s="158"/>
      <c r="LH210" s="101">
        <f>(LH209/SUM(LJ$5:MF$5))</f>
        <v>-7.5646800441694778E-3</v>
      </c>
      <c r="LI210" s="179"/>
      <c r="LN210" s="81"/>
      <c r="LO210" s="179"/>
      <c r="LT210" s="81"/>
      <c r="LU210" s="179"/>
      <c r="LZ210" s="81"/>
      <c r="MA210" s="179"/>
      <c r="MF210" s="81"/>
      <c r="ML210" s="81"/>
      <c r="MS210" s="179"/>
    </row>
    <row r="211" spans="3:361" x14ac:dyDescent="0.35">
      <c r="C211" s="175"/>
      <c r="KK211" s="179"/>
      <c r="KQ211" s="179"/>
      <c r="KW211" s="179"/>
      <c r="LC211" s="179"/>
      <c r="LI211" s="179"/>
      <c r="LO211" s="179"/>
      <c r="LU211" s="179"/>
      <c r="MA211" s="179"/>
      <c r="MF211" s="81"/>
      <c r="ML211" s="81"/>
      <c r="MS211" s="179"/>
    </row>
    <row r="212" spans="3:361" x14ac:dyDescent="0.35">
      <c r="C212" s="175"/>
      <c r="KJ212" s="81"/>
      <c r="KK212" s="179"/>
      <c r="KL212" s="66">
        <v>0.24979999999999999</v>
      </c>
      <c r="KM212" s="95"/>
      <c r="KN212" s="43">
        <f>KL212</f>
        <v>0.24979999999999999</v>
      </c>
      <c r="KO212" s="40"/>
      <c r="KP212" s="150">
        <f>KN212</f>
        <v>0.24979999999999999</v>
      </c>
      <c r="KQ212" s="179"/>
      <c r="KR212" s="43">
        <f>KP212</f>
        <v>0.24979999999999999</v>
      </c>
      <c r="KS212" s="40"/>
      <c r="KT212" s="43">
        <f>KR212</f>
        <v>0.24979999999999999</v>
      </c>
      <c r="KU212" s="40"/>
      <c r="KV212" s="150">
        <f>KT212</f>
        <v>0.24979999999999999</v>
      </c>
      <c r="KW212" s="179"/>
      <c r="KX212" s="43">
        <f>KV212</f>
        <v>0.24979999999999999</v>
      </c>
      <c r="KY212" s="40"/>
      <c r="KZ212" s="43">
        <f>KX212</f>
        <v>0.24979999999999999</v>
      </c>
      <c r="LA212" s="40"/>
      <c r="LB212" s="150">
        <f>KZ212</f>
        <v>0.24979999999999999</v>
      </c>
      <c r="LC212" s="179"/>
      <c r="LD212" s="43">
        <f>LB212</f>
        <v>0.24979999999999999</v>
      </c>
      <c r="LE212" s="40"/>
      <c r="LF212" s="43">
        <f>LD212</f>
        <v>0.24979999999999999</v>
      </c>
      <c r="LG212" s="40"/>
      <c r="LH212" s="150">
        <f>LF212</f>
        <v>0.24979999999999999</v>
      </c>
      <c r="LI212" s="156"/>
      <c r="LJ212" s="144"/>
      <c r="LK212" s="144"/>
      <c r="LL212" s="144"/>
      <c r="LM212" s="144"/>
      <c r="LN212" s="118"/>
      <c r="LO212" s="179"/>
      <c r="LP212" s="43">
        <f>LN214</f>
        <v>0.40904922564652924</v>
      </c>
      <c r="LQ212" s="40"/>
      <c r="LR212" s="43">
        <f>LP212</f>
        <v>0.40904922564652924</v>
      </c>
      <c r="LS212" s="40"/>
      <c r="LT212" s="150">
        <f>LR212</f>
        <v>0.40904922564652924</v>
      </c>
      <c r="LU212" s="179"/>
      <c r="LV212" s="43">
        <f>LT212</f>
        <v>0.40904922564652924</v>
      </c>
      <c r="LW212" s="40"/>
      <c r="LX212" s="43">
        <f>LV212</f>
        <v>0.40904922564652924</v>
      </c>
      <c r="LY212" s="40"/>
      <c r="LZ212" s="150">
        <f>LX212</f>
        <v>0.40904922564652924</v>
      </c>
      <c r="MA212" s="179"/>
      <c r="MB212" s="43">
        <f>LZ212</f>
        <v>0.40904922564652924</v>
      </c>
      <c r="MC212" s="40"/>
      <c r="MD212" s="43">
        <f>MB212</f>
        <v>0.40904922564652924</v>
      </c>
      <c r="ME212" s="40"/>
      <c r="MF212" s="150">
        <f>MD212</f>
        <v>0.40904922564652924</v>
      </c>
      <c r="MG212" s="179"/>
      <c r="MH212" s="43">
        <f>MF212</f>
        <v>0.40904922564652924</v>
      </c>
      <c r="MI212" s="40"/>
      <c r="MJ212" s="43">
        <f>MH212</f>
        <v>0.40904922564652924</v>
      </c>
      <c r="MK212" s="40"/>
      <c r="ML212" s="150">
        <f>MJ212</f>
        <v>0.40904922564652924</v>
      </c>
      <c r="MN212" s="76"/>
      <c r="MO212" s="40"/>
      <c r="MP212" s="76"/>
      <c r="MQ212" s="40"/>
      <c r="MR212" s="76"/>
      <c r="MS212" s="179"/>
      <c r="MT212" s="76"/>
      <c r="MU212" s="40"/>
      <c r="MV212" s="76"/>
      <c r="MW212" s="40"/>
    </row>
    <row r="213" spans="3:361" x14ac:dyDescent="0.35">
      <c r="C213" s="25" t="s">
        <v>57</v>
      </c>
      <c r="KJ213" s="93">
        <f>'Actual Adjustment (SIV)'!HR19</f>
        <v>65167.804713490215</v>
      </c>
      <c r="KK213" s="179"/>
      <c r="KL213" s="33">
        <f>KJ213-(KL$5*KL212)</f>
        <v>63437.789833490213</v>
      </c>
      <c r="KN213" s="33">
        <f>KL213-(KN$5*KN212)</f>
        <v>62044.505353490211</v>
      </c>
      <c r="KP213" s="82">
        <f>KN213-(KP$5*KP212)</f>
        <v>60779.468193490211</v>
      </c>
      <c r="KQ213" s="179"/>
      <c r="KR213" s="33">
        <f>KP213-(KR$5*KR212)</f>
        <v>59361.953113490214</v>
      </c>
      <c r="KT213" s="33">
        <f>KR213-(KT$5*KT212)</f>
        <v>57952.291745490213</v>
      </c>
      <c r="KV213" s="82">
        <f>KT213-(KV$5*KV212)</f>
        <v>56319.533997490216</v>
      </c>
      <c r="KW213" s="179"/>
      <c r="KX213" s="33">
        <f>KV213-(KX$5*KX212)</f>
        <v>53731.366189490218</v>
      </c>
      <c r="KZ213" s="33">
        <f>KX213-(KZ$5*KZ212)</f>
        <v>51055.718421490215</v>
      </c>
      <c r="LB213" s="82">
        <f>KZ213-(LB$5*LB212)</f>
        <v>48268.669845490214</v>
      </c>
      <c r="LC213" s="179"/>
      <c r="LD213" s="33">
        <f>LB213-(LD$5*LD212)</f>
        <v>45485.368269490216</v>
      </c>
      <c r="LF213" s="33">
        <f>LD213-(LF$5*LF212)</f>
        <v>42699.463777490215</v>
      </c>
      <c r="LH213" s="82">
        <f>LF213-(LH$5*LH212)</f>
        <v>40459.697025490212</v>
      </c>
      <c r="LI213" s="157"/>
      <c r="LJ213" s="143">
        <f>LH213</f>
        <v>40459.697025490212</v>
      </c>
      <c r="LK213" s="143"/>
      <c r="LL213" s="143">
        <f>LJ213</f>
        <v>40459.697025490212</v>
      </c>
      <c r="LM213" s="143"/>
      <c r="LN213" s="169">
        <f>LL213+LH193</f>
        <v>40459.697025490212</v>
      </c>
      <c r="LO213" s="179"/>
      <c r="LP213" s="33">
        <f>LN213-(LP$5*LP212)</f>
        <v>38138.506289636418</v>
      </c>
      <c r="LR213" s="33">
        <f>LP213-(LR$5*LR212)</f>
        <v>35830.176061436949</v>
      </c>
      <c r="LT213" s="82">
        <f>LR213-(LT$5*LT212)</f>
        <v>33156.523969812566</v>
      </c>
      <c r="LU213" s="179"/>
      <c r="LV213" s="33">
        <f>LT213-(LV$5*LV212)</f>
        <v>28918.381304857903</v>
      </c>
      <c r="LX213" s="33">
        <f>LV213-(LX$5*LX212)</f>
        <v>24536.989601081827</v>
      </c>
      <c r="LZ213" s="82">
        <f>LX213-(LZ$5*LZ212)</f>
        <v>19973.178304636422</v>
      </c>
      <c r="MA213" s="179"/>
      <c r="MB213" s="33">
        <f>LZ213-(MB$5*MB212)</f>
        <v>15415.502746575716</v>
      </c>
      <c r="MD213" s="33">
        <f>MB213-(MD$5*MD212)</f>
        <v>10853.564895583773</v>
      </c>
      <c r="MF213" s="82">
        <f>MD213-(MF$5*MF212)</f>
        <v>7185.9313666228372</v>
      </c>
      <c r="MG213" s="179"/>
      <c r="MH213" s="33">
        <f>MF213-(MH$5*MH212)</f>
        <v>4353.0200494852343</v>
      </c>
      <c r="MJ213" s="33">
        <f>MH213-(MJ$5*MJ212)</f>
        <v>2071.5070885191526</v>
      </c>
      <c r="ML213" s="168">
        <f>MJ213-(ML$5*ML212)</f>
        <v>0</v>
      </c>
      <c r="MN213" s="53"/>
      <c r="MP213" s="53"/>
      <c r="MR213" s="53"/>
      <c r="MS213" s="179"/>
      <c r="MT213" s="53"/>
      <c r="MV213" s="53"/>
    </row>
    <row r="214" spans="3:361" x14ac:dyDescent="0.35">
      <c r="C214" s="175"/>
      <c r="KJ214" s="81"/>
      <c r="KK214" s="179"/>
      <c r="KP214" s="81"/>
      <c r="KQ214" s="179"/>
      <c r="KV214" s="81"/>
      <c r="KW214" s="179"/>
      <c r="LB214" s="81"/>
      <c r="LC214" s="179"/>
      <c r="LH214" s="158"/>
      <c r="LN214" s="101">
        <f>(LN213/SUM(LP$5:ML$5))</f>
        <v>0.40904922564652924</v>
      </c>
      <c r="LO214" s="179"/>
      <c r="LT214" s="81"/>
      <c r="LU214" s="179"/>
      <c r="LZ214" s="81"/>
      <c r="MA214" s="179"/>
      <c r="MF214" s="81"/>
      <c r="MG214" s="179"/>
      <c r="ML214" s="81"/>
      <c r="MS214" s="179"/>
    </row>
    <row r="215" spans="3:361" s="175" customFormat="1" x14ac:dyDescent="0.35">
      <c r="KJ215" s="10"/>
      <c r="KK215" s="10"/>
      <c r="KP215" s="81"/>
      <c r="KQ215" s="179"/>
      <c r="KV215" s="81"/>
      <c r="KW215" s="179"/>
      <c r="LB215" s="81"/>
      <c r="LC215" s="179"/>
      <c r="LH215" s="158"/>
      <c r="LN215" s="268"/>
      <c r="LO215" s="179"/>
      <c r="LT215" s="81"/>
      <c r="LU215" s="179"/>
      <c r="LZ215" s="81"/>
      <c r="MA215" s="179"/>
      <c r="MF215" s="81"/>
      <c r="MG215" s="179"/>
      <c r="ML215" s="81"/>
      <c r="MS215" s="10"/>
    </row>
    <row r="216" spans="3:361" x14ac:dyDescent="0.35">
      <c r="C216" s="175"/>
      <c r="KP216" s="81"/>
      <c r="KQ216" s="179"/>
      <c r="KR216" s="66">
        <f>'Actual Adjustment (SIV)'!HX21</f>
        <v>0.35716851610626471</v>
      </c>
      <c r="KS216" s="95"/>
      <c r="KT216" s="43">
        <f>KR216</f>
        <v>0.35716851610626471</v>
      </c>
      <c r="KU216" s="40"/>
      <c r="KV216" s="150">
        <f>KT216</f>
        <v>0.35716851610626471</v>
      </c>
      <c r="KW216" s="179"/>
      <c r="KX216" s="43">
        <f>KV216</f>
        <v>0.35716851610626471</v>
      </c>
      <c r="KY216" s="40"/>
      <c r="KZ216" s="43">
        <f>KX216</f>
        <v>0.35716851610626471</v>
      </c>
      <c r="LA216" s="40"/>
      <c r="LB216" s="150">
        <f>KZ216</f>
        <v>0.35716851610626471</v>
      </c>
      <c r="LC216" s="179"/>
      <c r="LD216" s="43">
        <f>LB216</f>
        <v>0.35716851610626471</v>
      </c>
      <c r="LE216" s="40"/>
      <c r="LF216" s="43">
        <f>LD216</f>
        <v>0.35716851610626471</v>
      </c>
      <c r="LG216" s="40"/>
      <c r="LH216" s="150">
        <f>LF216</f>
        <v>0.35716851610626471</v>
      </c>
      <c r="LI216" s="179"/>
      <c r="LJ216" s="43">
        <f>LH216</f>
        <v>0.35716851610626471</v>
      </c>
      <c r="LK216" s="40"/>
      <c r="LL216" s="43">
        <f>LJ216</f>
        <v>0.35716851610626471</v>
      </c>
      <c r="LM216" s="40"/>
      <c r="LN216" s="150">
        <f>LL216</f>
        <v>0.35716851610626471</v>
      </c>
      <c r="LO216" s="156"/>
      <c r="LP216" s="144"/>
      <c r="LQ216" s="144"/>
      <c r="LR216" s="144"/>
      <c r="LS216" s="144"/>
      <c r="LT216" s="118"/>
      <c r="LU216" s="179"/>
      <c r="LV216" s="43">
        <f>LT218</f>
        <v>2.4537505087497734E-6</v>
      </c>
      <c r="LW216" s="40"/>
      <c r="LX216" s="43">
        <f>LV216</f>
        <v>2.4537505087497734E-6</v>
      </c>
      <c r="LY216" s="40"/>
      <c r="LZ216" s="150">
        <f>LX216</f>
        <v>2.4537505087497734E-6</v>
      </c>
      <c r="MA216" s="179"/>
      <c r="MB216" s="43">
        <f>LZ216</f>
        <v>2.4537505087497734E-6</v>
      </c>
      <c r="MC216" s="40"/>
      <c r="MD216" s="43">
        <f>MB216</f>
        <v>2.4537505087497734E-6</v>
      </c>
      <c r="ME216" s="40"/>
      <c r="MF216" s="150">
        <f>MD216</f>
        <v>2.4537505087497734E-6</v>
      </c>
      <c r="MG216" s="179"/>
      <c r="MH216" s="43">
        <f>MF216</f>
        <v>2.4537505087497734E-6</v>
      </c>
      <c r="MI216" s="40"/>
      <c r="MJ216" s="43">
        <f>MH216</f>
        <v>2.4537505087497734E-6</v>
      </c>
      <c r="MK216" s="40"/>
      <c r="ML216" s="150">
        <f>MJ216</f>
        <v>2.4537505087497734E-6</v>
      </c>
      <c r="MM216" s="179"/>
      <c r="MN216" s="43">
        <f>ML216</f>
        <v>2.4537505087497734E-6</v>
      </c>
      <c r="MO216" s="40"/>
      <c r="MP216" s="43">
        <f>MN216</f>
        <v>2.4537505087497734E-6</v>
      </c>
      <c r="MQ216" s="40"/>
      <c r="MR216" s="150">
        <f>MP216</f>
        <v>2.4537505087497734E-6</v>
      </c>
    </row>
    <row r="217" spans="3:361" ht="13.15" x14ac:dyDescent="0.4">
      <c r="C217" s="26" t="s">
        <v>85</v>
      </c>
      <c r="KP217" s="93">
        <f>'Actual Adjustment (SIV)'!HX19</f>
        <v>35328.252265102856</v>
      </c>
      <c r="KQ217" s="179"/>
      <c r="KR217" s="33">
        <f>KP217-(KR$5*KR216)</f>
        <v>33301.463803606246</v>
      </c>
      <c r="KT217" s="33">
        <f>KR217-(KT$5*KT216)</f>
        <v>31285.904720256018</v>
      </c>
      <c r="KV217" s="82">
        <f>KT217-(KV$5*KV216)</f>
        <v>28951.358435171285</v>
      </c>
      <c r="KW217" s="179"/>
      <c r="KX217" s="33">
        <f>KV217-(KX$5*KX216)</f>
        <v>25250.749726534919</v>
      </c>
      <c r="KZ217" s="33">
        <f>KX217-(KZ$5*KZ216)</f>
        <v>21425.06060355814</v>
      </c>
      <c r="LB217" s="82">
        <f>KZ217-(LB$5*LB216)</f>
        <v>17440.088609138613</v>
      </c>
      <c r="LC217" s="179"/>
      <c r="LD217" s="33">
        <f>LB217-(LD$5*LD216)</f>
        <v>13460.47414246068</v>
      </c>
      <c r="LF217" s="33">
        <f>LD217-(LF$5*LF216)</f>
        <v>9477.1379798449198</v>
      </c>
      <c r="LH217" s="82">
        <f>LF217-(LH$5*LH216)</f>
        <v>6274.6793439922849</v>
      </c>
      <c r="LI217" s="179"/>
      <c r="LJ217" s="33">
        <f>LH217-(LJ$5*LJ216)</f>
        <v>3801.0730688467379</v>
      </c>
      <c r="LL217" s="33">
        <f>LJ217-(LL$5*LL216)</f>
        <v>1808.9299534124357</v>
      </c>
      <c r="LN217" s="82">
        <f>LL217-(LN$5*LN216)</f>
        <v>0.15715414709006836</v>
      </c>
      <c r="LO217" s="157"/>
      <c r="LP217" s="143">
        <f>LN217</f>
        <v>0.15715414709006836</v>
      </c>
      <c r="LQ217" s="143"/>
      <c r="LR217" s="143">
        <f>LP217</f>
        <v>0.15715414709006836</v>
      </c>
      <c r="LS217" s="143"/>
      <c r="LT217" s="169">
        <f>LR217+LN196</f>
        <v>0.24270429067123378</v>
      </c>
      <c r="LU217" s="179"/>
      <c r="LV217" s="33">
        <f>LT217-(LV$5*LV216)</f>
        <v>0.21728107980009773</v>
      </c>
      <c r="LX217" s="33">
        <f>LV217-(LX$5*LX216)</f>
        <v>0.1909985655007975</v>
      </c>
      <c r="LZ217" s="82">
        <f>LX217-(LZ$5*LZ216)</f>
        <v>0.16362177662461522</v>
      </c>
      <c r="MA217" s="179"/>
      <c r="MB217" s="33">
        <f>LZ217-(MB$5*MB216)</f>
        <v>0.13628179400606419</v>
      </c>
      <c r="MD217" s="33">
        <f>MB217-(MD$5*MD216)</f>
        <v>0.108916243307212</v>
      </c>
      <c r="MF217" s="82">
        <f>MD217-(MF$5*MF216)</f>
        <v>8.6915327345639434E-2</v>
      </c>
      <c r="MG217" s="179"/>
      <c r="MH217" s="33">
        <f>MF217-(MH$5*MH216)</f>
        <v>6.9921632822242008E-2</v>
      </c>
      <c r="MJ217" s="33">
        <f>MH217-(MJ$5*MJ216)</f>
        <v>5.6235593984639273E-2</v>
      </c>
      <c r="ML217" s="82">
        <f>MJ217-(ML$5*ML216)</f>
        <v>4.380931065822867E-2</v>
      </c>
      <c r="MM217" s="179"/>
      <c r="MN217" s="33">
        <f>ML217-(MN$5*MN216)</f>
        <v>2.9885258021277207E-2</v>
      </c>
      <c r="MP217" s="33">
        <f>MN217-(MP$5*MP216)</f>
        <v>1.6038351300320837E-2</v>
      </c>
      <c r="MR217" s="168">
        <f>MP217-(MR$5*MR216)</f>
        <v>4.163336342344337E-17</v>
      </c>
    </row>
    <row r="218" spans="3:361" x14ac:dyDescent="0.35">
      <c r="KP218" s="81"/>
      <c r="KQ218" s="179"/>
      <c r="KV218" s="81"/>
      <c r="KW218" s="179"/>
      <c r="LB218" s="81"/>
      <c r="LC218" s="179"/>
      <c r="LH218" s="81"/>
      <c r="LI218" s="179"/>
      <c r="LN218" s="158"/>
      <c r="LT218" s="101">
        <f>(LT217/SUM(LV$5:MR$5))</f>
        <v>2.4537505087497734E-6</v>
      </c>
      <c r="LU218" s="179"/>
      <c r="LZ218" s="81"/>
      <c r="MA218" s="179"/>
      <c r="MF218" s="81"/>
      <c r="MG218" s="179"/>
      <c r="ML218" s="81"/>
      <c r="MM218" s="179"/>
      <c r="MR218" s="81"/>
    </row>
  </sheetData>
  <pageMargins left="0.5" right="0.5" top="1" bottom="1" header="0.5" footer="0.5"/>
  <pageSetup scale="47" fitToWidth="2" orientation="landscape" r:id="rId1"/>
  <headerFooter>
    <oddHeader>&amp;C&amp;"Arial,Bold"Schedule V&amp;"Arial,Regular"
Balance Adjustment&amp;R&amp;"Arial,Bold"Navitas KY NG, LLC</oddHeader>
    <oddFooter>&amp;C&amp;A&amp;R&amp;D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2FDF3-0611-4343-AA5F-BE13F9FA86E1}">
  <dimension ref="A1:UG219"/>
  <sheetViews>
    <sheetView zoomScale="75" zoomScaleNormal="75" workbookViewId="0">
      <pane xSplit="5" ySplit="6" topLeftCell="F198" activePane="bottomRight" state="frozen"/>
      <selection pane="topRight" activeCell="F1" sqref="F1"/>
      <selection pane="bottomLeft" activeCell="A7" sqref="A7"/>
      <selection pane="bottomRight" activeCell="KR229" sqref="KR229"/>
    </sheetView>
  </sheetViews>
  <sheetFormatPr defaultColWidth="9" defaultRowHeight="12.75" x14ac:dyDescent="0.35"/>
  <cols>
    <col min="1" max="2" width="1.73046875" style="175" customWidth="1"/>
    <col min="3" max="3" width="20.73046875" style="175" customWidth="1"/>
    <col min="4" max="5" width="1.73046875" style="175" customWidth="1"/>
    <col min="6" max="6" width="1.3984375" style="175" customWidth="1"/>
    <col min="7" max="156" width="1.3984375" style="175" hidden="1" customWidth="1"/>
    <col min="157" max="157" width="1.265625" style="175" hidden="1" customWidth="1"/>
    <col min="158" max="298" width="1.3984375" style="175" hidden="1" customWidth="1"/>
    <col min="299" max="299" width="1.3984375" style="175" customWidth="1"/>
    <col min="300" max="300" width="11.59765625" style="175" customWidth="1"/>
    <col min="301" max="301" width="1.3984375" style="175" customWidth="1"/>
    <col min="302" max="302" width="11.59765625" style="175" customWidth="1"/>
    <col min="303" max="303" width="1.3984375" style="175" customWidth="1"/>
    <col min="304" max="304" width="11.59765625" style="175" customWidth="1"/>
    <col min="305" max="305" width="1.3984375" style="175" customWidth="1"/>
    <col min="306" max="306" width="11.59765625" style="175" customWidth="1"/>
    <col min="307" max="307" width="1.3984375" style="175" customWidth="1"/>
    <col min="308" max="308" width="11.59765625" style="175" customWidth="1"/>
    <col min="309" max="309" width="1.3984375" style="175" customWidth="1"/>
    <col min="310" max="310" width="11.59765625" style="175" customWidth="1"/>
    <col min="311" max="311" width="1.3984375" style="175" customWidth="1"/>
    <col min="312" max="312" width="11.59765625" style="175" customWidth="1"/>
    <col min="313" max="313" width="1.3984375" style="175" customWidth="1"/>
    <col min="314" max="314" width="11.59765625" style="175" customWidth="1"/>
    <col min="315" max="315" width="1.3984375" style="175" customWidth="1"/>
    <col min="316" max="316" width="11.59765625" style="175" customWidth="1"/>
    <col min="317" max="317" width="1.3984375" style="175" customWidth="1"/>
    <col min="318" max="318" width="11.59765625" style="175" customWidth="1"/>
    <col min="319" max="319" width="1.3984375" style="175" customWidth="1"/>
    <col min="320" max="320" width="11.59765625" style="175" customWidth="1"/>
    <col min="321" max="321" width="1.3984375" style="175" customWidth="1"/>
    <col min="322" max="322" width="11.59765625" style="175" customWidth="1"/>
    <col min="323" max="323" width="1.3984375" style="175" customWidth="1"/>
    <col min="324" max="324" width="11.59765625" style="175" customWidth="1"/>
    <col min="325" max="325" width="1.3984375" style="175" customWidth="1"/>
    <col min="326" max="326" width="11.59765625" style="175" customWidth="1"/>
    <col min="327" max="327" width="1.3984375" style="175" customWidth="1"/>
    <col min="328" max="328" width="11.59765625" style="175" customWidth="1"/>
    <col min="329" max="329" width="1.3984375" style="175" customWidth="1"/>
    <col min="330" max="330" width="11.59765625" style="175" customWidth="1"/>
    <col min="331" max="331" width="1.3984375" style="175" customWidth="1"/>
    <col min="332" max="332" width="11.59765625" style="175" customWidth="1"/>
    <col min="333" max="333" width="1.3984375" style="175" customWidth="1"/>
    <col min="334" max="334" width="11.59765625" style="175" customWidth="1"/>
    <col min="335" max="335" width="1.3984375" style="175" customWidth="1"/>
    <col min="336" max="336" width="11.59765625" style="175" customWidth="1"/>
    <col min="337" max="337" width="1.3984375" style="175" customWidth="1"/>
    <col min="338" max="338" width="11.59765625" style="175" customWidth="1"/>
    <col min="339" max="339" width="1.3984375" style="175" customWidth="1"/>
    <col min="340" max="340" width="11.59765625" style="175" customWidth="1"/>
    <col min="341" max="341" width="1.3984375" style="175" customWidth="1"/>
    <col min="342" max="342" width="11.59765625" style="175" customWidth="1"/>
    <col min="343" max="343" width="1.3984375" style="175" customWidth="1"/>
    <col min="344" max="344" width="11.59765625" style="175" customWidth="1"/>
    <col min="345" max="345" width="1.3984375" style="175" customWidth="1"/>
    <col min="346" max="346" width="11.59765625" style="175" customWidth="1"/>
    <col min="347" max="347" width="1.3984375" style="175" customWidth="1"/>
    <col min="348" max="348" width="11.59765625" style="175" customWidth="1"/>
    <col min="349" max="349" width="1.3984375" style="175" customWidth="1"/>
    <col min="350" max="350" width="11.59765625" style="175" customWidth="1"/>
    <col min="351" max="351" width="1.3984375" style="175" customWidth="1"/>
    <col min="352" max="352" width="11.59765625" style="175" customWidth="1"/>
    <col min="353" max="353" width="1.3984375" style="175" customWidth="1"/>
    <col min="354" max="354" width="11.59765625" style="175" customWidth="1"/>
    <col min="355" max="355" width="1.3984375" style="175" customWidth="1"/>
    <col min="356" max="356" width="11.59765625" style="175" customWidth="1"/>
    <col min="357" max="357" width="1.3984375" style="175" customWidth="1"/>
    <col min="358" max="358" width="11.59765625" style="175" customWidth="1"/>
    <col min="359" max="359" width="1.3984375" style="175" customWidth="1"/>
    <col min="360" max="360" width="11.59765625" style="175" customWidth="1"/>
    <col min="361" max="361" width="1.3984375" style="175" customWidth="1"/>
    <col min="362" max="362" width="11.59765625" style="175" customWidth="1"/>
    <col min="363" max="363" width="1.3984375" style="175" customWidth="1"/>
    <col min="364" max="364" width="11.59765625" style="175" customWidth="1"/>
    <col min="365" max="365" width="1.3984375" style="175" customWidth="1"/>
    <col min="366" max="366" width="11.59765625" style="175" customWidth="1"/>
    <col min="367" max="367" width="1.3984375" style="175" customWidth="1"/>
    <col min="368" max="368" width="11.59765625" style="175" customWidth="1"/>
    <col min="369" max="369" width="1.3984375" style="175" customWidth="1"/>
    <col min="370" max="370" width="11.59765625" style="175" customWidth="1"/>
    <col min="371" max="371" width="1.3984375" style="175" customWidth="1"/>
    <col min="372" max="372" width="11.59765625" style="175" customWidth="1"/>
    <col min="373" max="373" width="1.3984375" style="175" customWidth="1"/>
    <col min="374" max="374" width="11.59765625" style="175" customWidth="1"/>
    <col min="375" max="375" width="1.3984375" style="175" customWidth="1"/>
    <col min="376" max="376" width="11.59765625" style="175" customWidth="1"/>
    <col min="377" max="377" width="1.3984375" style="175" customWidth="1"/>
    <col min="378" max="378" width="11.59765625" style="175" customWidth="1"/>
    <col min="379" max="379" width="1.3984375" style="175" customWidth="1"/>
    <col min="380" max="380" width="11.59765625" style="175" customWidth="1"/>
    <col min="381" max="381" width="1.3984375" style="175" customWidth="1"/>
    <col min="382" max="382" width="11.59765625" style="175" customWidth="1"/>
    <col min="383" max="383" width="1.3984375" style="175" customWidth="1"/>
    <col min="384" max="384" width="11.59765625" style="175" customWidth="1"/>
    <col min="385" max="385" width="1.3984375" style="175" customWidth="1"/>
    <col min="386" max="386" width="11.59765625" style="175" customWidth="1"/>
    <col min="387" max="387" width="1.3984375" style="175" customWidth="1"/>
    <col min="388" max="388" width="11.59765625" style="175" customWidth="1"/>
    <col min="389" max="389" width="1.3984375" style="175" customWidth="1"/>
    <col min="390" max="390" width="11.59765625" style="175" customWidth="1"/>
    <col min="391" max="391" width="1.3984375" style="175" customWidth="1"/>
    <col min="392" max="392" width="11.59765625" style="175" customWidth="1"/>
    <col min="393" max="393" width="1.3984375" style="175" customWidth="1"/>
    <col min="394" max="394" width="11.59765625" style="175" customWidth="1"/>
    <col min="395" max="395" width="1.3984375" style="175" customWidth="1"/>
    <col min="396" max="396" width="11.59765625" style="175" customWidth="1"/>
    <col min="397" max="397" width="1.3984375" style="175" customWidth="1"/>
    <col min="398" max="398" width="11.59765625" style="175" customWidth="1"/>
    <col min="399" max="399" width="1.3984375" style="175" customWidth="1"/>
    <col min="400" max="400" width="11.59765625" style="175" customWidth="1"/>
    <col min="401" max="401" width="1.3984375" style="175" customWidth="1"/>
    <col min="402" max="402" width="11.59765625" style="175" customWidth="1"/>
    <col min="403" max="403" width="1.3984375" style="175" customWidth="1"/>
    <col min="404" max="404" width="11.59765625" style="175" customWidth="1"/>
    <col min="405" max="405" width="1.3984375" style="175" customWidth="1"/>
    <col min="406" max="406" width="11.59765625" style="175" customWidth="1"/>
    <col min="407" max="407" width="1.3984375" style="175" customWidth="1"/>
    <col min="408" max="408" width="11.59765625" style="175" customWidth="1"/>
    <col min="409" max="409" width="1.3984375" style="175" customWidth="1"/>
    <col min="410" max="410" width="11.59765625" style="175" customWidth="1"/>
    <col min="411" max="411" width="1.3984375" style="175" customWidth="1"/>
    <col min="412" max="412" width="11.59765625" style="175" customWidth="1"/>
    <col min="413" max="413" width="1.3984375" style="175" customWidth="1"/>
    <col min="414" max="414" width="11.59765625" style="175" customWidth="1"/>
    <col min="415" max="415" width="1.3984375" style="175" customWidth="1"/>
    <col min="416" max="416" width="11.59765625" style="175" customWidth="1"/>
    <col min="417" max="417" width="1.3984375" style="175" customWidth="1"/>
    <col min="418" max="418" width="11.59765625" style="175" customWidth="1"/>
    <col min="419" max="419" width="1.3984375" style="175" customWidth="1"/>
    <col min="420" max="420" width="11.59765625" style="175" customWidth="1"/>
    <col min="421" max="421" width="1.3984375" style="175" customWidth="1"/>
    <col min="422" max="422" width="11.59765625" style="175" customWidth="1"/>
    <col min="423" max="423" width="1.3984375" style="175" customWidth="1"/>
    <col min="424" max="424" width="11.59765625" style="175" customWidth="1"/>
    <col min="425" max="425" width="1.3984375" style="175" customWidth="1"/>
    <col min="426" max="426" width="11.59765625" style="175" customWidth="1"/>
    <col min="427" max="427" width="1.3984375" style="175" customWidth="1"/>
    <col min="428" max="428" width="11.59765625" style="175" customWidth="1"/>
    <col min="429" max="429" width="1.3984375" style="175" customWidth="1"/>
    <col min="430" max="430" width="11.59765625" style="175" customWidth="1"/>
    <col min="431" max="431" width="1.3984375" style="175" customWidth="1"/>
    <col min="432" max="432" width="11.59765625" style="175" customWidth="1"/>
    <col min="433" max="433" width="1.3984375" style="175" customWidth="1"/>
    <col min="434" max="434" width="11.59765625" style="175" customWidth="1"/>
    <col min="435" max="435" width="1.3984375" style="175" customWidth="1"/>
    <col min="436" max="436" width="11.59765625" style="175" customWidth="1"/>
    <col min="437" max="437" width="1.3984375" style="175" customWidth="1"/>
    <col min="438" max="438" width="11.59765625" style="175" customWidth="1"/>
    <col min="439" max="439" width="1.3984375" style="175" customWidth="1"/>
    <col min="440" max="440" width="11.59765625" style="175" customWidth="1"/>
    <col min="441" max="441" width="1.3984375" style="175" customWidth="1"/>
    <col min="442" max="442" width="11.59765625" style="175" customWidth="1"/>
    <col min="443" max="443" width="1.3984375" style="175" customWidth="1"/>
    <col min="444" max="444" width="11.59765625" style="175" customWidth="1"/>
    <col min="445" max="445" width="1.3984375" style="175" customWidth="1"/>
    <col min="446" max="446" width="11.59765625" style="175" customWidth="1"/>
    <col min="447" max="447" width="1.3984375" style="175" customWidth="1"/>
    <col min="448" max="448" width="11.59765625" style="175" customWidth="1"/>
    <col min="449" max="449" width="1.3984375" style="175" customWidth="1"/>
    <col min="450" max="450" width="11.59765625" style="175" customWidth="1"/>
    <col min="451" max="451" width="1.3984375" style="175" customWidth="1"/>
    <col min="452" max="452" width="11.59765625" style="175" customWidth="1"/>
    <col min="453" max="453" width="1.3984375" style="175" customWidth="1"/>
    <col min="454" max="454" width="11.59765625" style="175" customWidth="1"/>
    <col min="455" max="455" width="1.3984375" style="175" customWidth="1"/>
    <col min="456" max="456" width="11.59765625" style="175" customWidth="1"/>
    <col min="457" max="457" width="1.3984375" style="175" customWidth="1"/>
    <col min="458" max="458" width="11.59765625" style="175" customWidth="1"/>
    <col min="459" max="459" width="1.3984375" style="175" customWidth="1"/>
    <col min="460" max="460" width="11.59765625" style="175" customWidth="1"/>
    <col min="461" max="461" width="1.3984375" style="175" customWidth="1"/>
    <col min="462" max="462" width="11.59765625" style="175" customWidth="1"/>
    <col min="463" max="463" width="1.3984375" style="175" customWidth="1"/>
    <col min="464" max="464" width="11.59765625" style="175" customWidth="1"/>
    <col min="465" max="465" width="1.3984375" style="175" customWidth="1"/>
    <col min="466" max="466" width="11.59765625" style="175" customWidth="1"/>
    <col min="467" max="467" width="1.3984375" style="175" customWidth="1"/>
    <col min="468" max="468" width="11.59765625" style="175" customWidth="1"/>
    <col min="469" max="469" width="1.3984375" style="175" customWidth="1"/>
    <col min="470" max="470" width="11.59765625" style="175" customWidth="1"/>
    <col min="471" max="471" width="1.3984375" style="175" customWidth="1"/>
    <col min="472" max="472" width="11.59765625" style="175" customWidth="1"/>
    <col min="473" max="473" width="1.3984375" style="175" customWidth="1"/>
    <col min="474" max="474" width="11.59765625" style="175" customWidth="1"/>
    <col min="475" max="475" width="1.3984375" style="175" customWidth="1"/>
    <col min="476" max="476" width="11.59765625" style="175" customWidth="1"/>
    <col min="477" max="477" width="1.3984375" style="175" customWidth="1"/>
    <col min="478" max="478" width="11.59765625" style="175" customWidth="1"/>
    <col min="479" max="479" width="1.3984375" style="175" customWidth="1"/>
    <col min="480" max="480" width="11.59765625" style="175" customWidth="1"/>
    <col min="481" max="481" width="1.3984375" style="175" customWidth="1"/>
    <col min="482" max="482" width="11.59765625" style="175" customWidth="1"/>
    <col min="483" max="483" width="1.3984375" style="175" customWidth="1"/>
    <col min="484" max="484" width="11.59765625" style="175" customWidth="1"/>
    <col min="485" max="485" width="1.3984375" style="175" customWidth="1"/>
    <col min="486" max="486" width="11.59765625" style="175" customWidth="1"/>
    <col min="487" max="487" width="1.3984375" style="175" customWidth="1"/>
    <col min="488" max="488" width="11.59765625" style="175" customWidth="1"/>
    <col min="489" max="489" width="1.3984375" style="175" customWidth="1"/>
    <col min="490" max="490" width="11.59765625" style="175" customWidth="1"/>
    <col min="491" max="491" width="1.3984375" style="175" customWidth="1"/>
    <col min="492" max="492" width="11.59765625" style="175" customWidth="1"/>
    <col min="493" max="493" width="1.3984375" style="175" customWidth="1"/>
    <col min="494" max="494" width="11.59765625" style="175" customWidth="1"/>
    <col min="495" max="495" width="1.3984375" style="175" customWidth="1"/>
    <col min="496" max="496" width="11.59765625" style="175" customWidth="1"/>
    <col min="497" max="497" width="1.3984375" style="175" customWidth="1"/>
    <col min="498" max="498" width="11.59765625" style="175" customWidth="1"/>
    <col min="499" max="499" width="1.3984375" style="175" customWidth="1"/>
    <col min="500" max="500" width="11.59765625" style="175" customWidth="1"/>
    <col min="501" max="501" width="1.3984375" style="175" customWidth="1"/>
    <col min="502" max="502" width="11.59765625" style="175" customWidth="1"/>
    <col min="503" max="503" width="1.3984375" style="175" customWidth="1"/>
    <col min="504" max="504" width="11.59765625" style="175" customWidth="1"/>
    <col min="505" max="505" width="1.3984375" style="175" customWidth="1"/>
    <col min="506" max="506" width="11.59765625" style="175" customWidth="1"/>
    <col min="507" max="507" width="1.3984375" style="175" customWidth="1"/>
    <col min="508" max="508" width="11.59765625" style="175" customWidth="1"/>
    <col min="509" max="509" width="1.3984375" style="175" customWidth="1"/>
    <col min="510" max="510" width="11.59765625" style="175" customWidth="1"/>
    <col min="511" max="511" width="1.3984375" style="175" customWidth="1"/>
    <col min="512" max="512" width="11.59765625" style="175" customWidth="1"/>
    <col min="513" max="513" width="1.3984375" style="175" customWidth="1"/>
    <col min="514" max="514" width="11.59765625" style="175" customWidth="1"/>
    <col min="515" max="515" width="1.3984375" style="175" customWidth="1"/>
    <col min="516" max="516" width="11.59765625" style="175" customWidth="1"/>
    <col min="517" max="517" width="1.3984375" style="175" customWidth="1"/>
    <col min="518" max="518" width="11.59765625" style="175" customWidth="1"/>
    <col min="519" max="519" width="1.3984375" style="175" customWidth="1"/>
    <col min="520" max="520" width="11.59765625" style="175" customWidth="1"/>
    <col min="521" max="521" width="1.3984375" style="175" customWidth="1"/>
    <col min="522" max="522" width="11.59765625" style="175" customWidth="1"/>
    <col min="523" max="523" width="1.3984375" style="175" customWidth="1"/>
    <col min="524" max="524" width="11.59765625" style="175" customWidth="1"/>
    <col min="525" max="525" width="1.3984375" style="175" customWidth="1"/>
    <col min="526" max="526" width="11.59765625" style="175" customWidth="1"/>
    <col min="527" max="527" width="1.3984375" style="175" customWidth="1"/>
    <col min="528" max="528" width="11.59765625" style="175" customWidth="1"/>
    <col min="529" max="529" width="1.3984375" style="175" customWidth="1"/>
    <col min="530" max="530" width="11.59765625" style="175" customWidth="1"/>
    <col min="531" max="531" width="1.3984375" style="175" customWidth="1"/>
    <col min="532" max="532" width="11.59765625" style="175" customWidth="1"/>
    <col min="533" max="533" width="1.3984375" style="175" customWidth="1"/>
    <col min="534" max="534" width="11.59765625" style="175" customWidth="1"/>
    <col min="535" max="535" width="1.3984375" style="175" customWidth="1"/>
    <col min="536" max="536" width="11.59765625" style="175" customWidth="1"/>
    <col min="537" max="537" width="1.3984375" style="175" customWidth="1"/>
    <col min="538" max="538" width="11.59765625" style="175" customWidth="1"/>
    <col min="539" max="539" width="1.3984375" style="175" customWidth="1"/>
    <col min="540" max="540" width="11.59765625" style="175" customWidth="1"/>
    <col min="541" max="541" width="1.3984375" style="175" customWidth="1"/>
    <col min="542" max="542" width="11.59765625" style="175" customWidth="1"/>
    <col min="543" max="543" width="1.3984375" style="175" customWidth="1"/>
    <col min="544" max="544" width="11.59765625" style="175" customWidth="1"/>
    <col min="545" max="545" width="1.3984375" style="175" customWidth="1"/>
    <col min="546" max="546" width="11.59765625" style="175" customWidth="1"/>
    <col min="547" max="547" width="1.3984375" style="175" customWidth="1"/>
    <col min="548" max="548" width="11.59765625" style="175" customWidth="1"/>
    <col min="549" max="549" width="1.3984375" style="175" customWidth="1"/>
    <col min="550" max="550" width="11.59765625" style="175" customWidth="1"/>
    <col min="551" max="551" width="1.3984375" style="175" customWidth="1"/>
    <col min="552" max="552" width="11.59765625" style="175" customWidth="1"/>
    <col min="553" max="553" width="1.3984375" style="175" customWidth="1"/>
    <col min="554" max="16384" width="9" style="175"/>
  </cols>
  <sheetData>
    <row r="1" spans="1:553" x14ac:dyDescent="0.35">
      <c r="A1" s="7" t="s">
        <v>76</v>
      </c>
    </row>
    <row r="2" spans="1:553" x14ac:dyDescent="0.35">
      <c r="B2" s="59" t="s">
        <v>46</v>
      </c>
      <c r="C2" s="7" t="s">
        <v>78</v>
      </c>
    </row>
    <row r="3" spans="1:553" x14ac:dyDescent="0.35">
      <c r="B3" s="59" t="s">
        <v>77</v>
      </c>
      <c r="C3" s="7" t="s">
        <v>79</v>
      </c>
    </row>
    <row r="4" spans="1:553" s="80" customFormat="1" x14ac:dyDescent="0.35">
      <c r="A4" s="79"/>
      <c r="FA4" s="97"/>
      <c r="KM4" s="175"/>
      <c r="KN4" s="175"/>
      <c r="KO4" s="97"/>
      <c r="KP4" s="96">
        <v>44043</v>
      </c>
      <c r="KQ4" s="97"/>
      <c r="KR4" s="97">
        <v>44074</v>
      </c>
      <c r="KS4" s="97"/>
      <c r="KT4" s="97">
        <v>44104</v>
      </c>
      <c r="KU4" s="97"/>
      <c r="KV4" s="96">
        <v>44135</v>
      </c>
      <c r="KW4" s="97"/>
      <c r="KX4" s="97">
        <v>44165</v>
      </c>
      <c r="KY4" s="97"/>
      <c r="KZ4" s="97">
        <v>44196</v>
      </c>
      <c r="LA4" s="97"/>
      <c r="LB4" s="122">
        <v>44227</v>
      </c>
      <c r="LC4" s="97"/>
      <c r="LD4" s="97">
        <v>44255</v>
      </c>
      <c r="LE4" s="97"/>
      <c r="LF4" s="97">
        <v>44286</v>
      </c>
      <c r="LG4" s="97"/>
      <c r="LH4" s="122">
        <v>44316</v>
      </c>
      <c r="LJ4" s="97">
        <v>44347</v>
      </c>
      <c r="LK4" s="97"/>
      <c r="LL4" s="97">
        <v>44377</v>
      </c>
      <c r="LM4" s="97"/>
      <c r="LN4" s="96">
        <v>44408</v>
      </c>
      <c r="LO4" s="97"/>
      <c r="LP4" s="97">
        <v>44439</v>
      </c>
      <c r="LQ4" s="97"/>
      <c r="LR4" s="97">
        <v>44469</v>
      </c>
      <c r="LS4" s="97"/>
      <c r="LT4" s="96">
        <v>44500</v>
      </c>
      <c r="LU4" s="97"/>
      <c r="LV4" s="97">
        <v>44530</v>
      </c>
      <c r="LW4" s="97"/>
      <c r="LX4" s="97">
        <v>44561</v>
      </c>
      <c r="LY4" s="97"/>
      <c r="LZ4" s="122">
        <v>44592</v>
      </c>
      <c r="MA4" s="97"/>
      <c r="MB4" s="97">
        <v>44620</v>
      </c>
      <c r="MC4" s="97"/>
      <c r="MD4" s="97">
        <v>44651</v>
      </c>
      <c r="ME4" s="97"/>
      <c r="MF4" s="122">
        <v>44681</v>
      </c>
      <c r="MH4" s="97">
        <v>44712</v>
      </c>
      <c r="MI4" s="97"/>
      <c r="MJ4" s="97">
        <v>44742</v>
      </c>
      <c r="MK4" s="97"/>
      <c r="ML4" s="96">
        <v>44773</v>
      </c>
      <c r="MM4" s="97"/>
      <c r="MN4" s="97">
        <v>44804</v>
      </c>
      <c r="MO4" s="97"/>
      <c r="MP4" s="97">
        <v>44834</v>
      </c>
      <c r="MQ4" s="97"/>
      <c r="MR4" s="96">
        <v>44865</v>
      </c>
      <c r="MS4" s="97"/>
      <c r="MT4" s="97">
        <v>44895</v>
      </c>
      <c r="MU4" s="97"/>
      <c r="MV4" s="97">
        <v>44926</v>
      </c>
      <c r="MW4" s="97"/>
      <c r="MX4" s="122">
        <v>44957</v>
      </c>
      <c r="MY4" s="97"/>
      <c r="MZ4" s="97">
        <v>44985</v>
      </c>
      <c r="NA4" s="97"/>
      <c r="NB4" s="97">
        <v>45016</v>
      </c>
      <c r="NC4" s="97"/>
      <c r="ND4" s="122">
        <v>45046</v>
      </c>
      <c r="NF4" s="97">
        <v>45077</v>
      </c>
      <c r="NG4" s="97"/>
      <c r="NH4" s="97">
        <v>45107</v>
      </c>
      <c r="NI4" s="97"/>
      <c r="NJ4" s="96">
        <v>45138</v>
      </c>
      <c r="NK4" s="97"/>
      <c r="NL4" s="97">
        <v>45169</v>
      </c>
      <c r="NM4" s="97"/>
      <c r="NN4" s="97">
        <v>45199</v>
      </c>
      <c r="NO4" s="97"/>
      <c r="NP4" s="96">
        <v>45230</v>
      </c>
      <c r="NQ4" s="97"/>
      <c r="NR4" s="97">
        <v>45260</v>
      </c>
      <c r="NS4" s="97"/>
      <c r="NT4" s="97">
        <v>45291</v>
      </c>
      <c r="NU4" s="97"/>
      <c r="NV4" s="122">
        <v>45322</v>
      </c>
      <c r="NW4" s="97"/>
      <c r="NX4" s="97">
        <v>45350</v>
      </c>
      <c r="NY4" s="97"/>
      <c r="NZ4" s="97">
        <v>45382</v>
      </c>
      <c r="OA4" s="97"/>
      <c r="OB4" s="122">
        <v>45412</v>
      </c>
      <c r="OD4" s="97">
        <v>45443</v>
      </c>
      <c r="OE4" s="97"/>
      <c r="OF4" s="97">
        <v>45473</v>
      </c>
      <c r="OG4" s="97"/>
      <c r="OH4" s="96">
        <v>45504</v>
      </c>
      <c r="OI4" s="97"/>
      <c r="OJ4" s="97">
        <v>45535</v>
      </c>
      <c r="OK4" s="97"/>
      <c r="OL4" s="97">
        <v>45565</v>
      </c>
      <c r="OM4" s="97"/>
      <c r="ON4" s="96">
        <v>45596</v>
      </c>
      <c r="OO4" s="97"/>
      <c r="OP4" s="97">
        <v>45626</v>
      </c>
      <c r="OQ4" s="97"/>
      <c r="OR4" s="97">
        <v>45657</v>
      </c>
      <c r="OS4" s="97"/>
      <c r="OT4" s="122">
        <v>45688</v>
      </c>
      <c r="OU4" s="97"/>
      <c r="OV4" s="97">
        <v>45716</v>
      </c>
      <c r="OW4" s="97"/>
      <c r="OX4" s="97">
        <v>45747</v>
      </c>
      <c r="OY4" s="97"/>
      <c r="OZ4" s="122">
        <v>45777</v>
      </c>
      <c r="PB4" s="97">
        <v>45808</v>
      </c>
      <c r="PC4" s="97"/>
      <c r="PD4" s="97">
        <v>45838</v>
      </c>
      <c r="PE4" s="97"/>
      <c r="PF4" s="96">
        <v>45869</v>
      </c>
      <c r="PG4" s="97"/>
      <c r="PH4" s="97">
        <v>45900</v>
      </c>
      <c r="PI4" s="97"/>
      <c r="PJ4" s="97">
        <v>45930</v>
      </c>
      <c r="PK4" s="97"/>
      <c r="PL4" s="96">
        <v>45961</v>
      </c>
      <c r="PM4" s="97"/>
      <c r="PN4" s="97">
        <v>45991</v>
      </c>
      <c r="PO4" s="97"/>
      <c r="PP4" s="97">
        <v>46022</v>
      </c>
      <c r="PQ4" s="97"/>
      <c r="PR4" s="122">
        <v>45688</v>
      </c>
      <c r="PS4" s="97"/>
      <c r="PT4" s="97">
        <v>45716</v>
      </c>
      <c r="PU4" s="97"/>
      <c r="PV4" s="97">
        <v>45747</v>
      </c>
      <c r="PW4" s="97"/>
      <c r="PX4" s="122">
        <v>45777</v>
      </c>
      <c r="PZ4" s="97">
        <v>45808</v>
      </c>
      <c r="QA4" s="97"/>
      <c r="QB4" s="97">
        <v>45838</v>
      </c>
      <c r="QC4" s="97"/>
      <c r="QD4" s="96">
        <v>45869</v>
      </c>
      <c r="QE4" s="97"/>
      <c r="QF4" s="97">
        <v>45900</v>
      </c>
      <c r="QG4" s="97"/>
      <c r="QH4" s="97">
        <v>45930</v>
      </c>
      <c r="QI4" s="97"/>
      <c r="QJ4" s="96">
        <v>45961</v>
      </c>
      <c r="QK4" s="97"/>
      <c r="QL4" s="97">
        <v>45991</v>
      </c>
      <c r="QM4" s="97"/>
      <c r="QN4" s="97">
        <v>46022</v>
      </c>
      <c r="QO4" s="97"/>
      <c r="QP4" s="122">
        <v>45688</v>
      </c>
      <c r="QQ4" s="97"/>
      <c r="QR4" s="97">
        <v>45716</v>
      </c>
      <c r="QS4" s="97"/>
      <c r="QT4" s="97">
        <v>45747</v>
      </c>
      <c r="QU4" s="97"/>
      <c r="QV4" s="122">
        <v>45777</v>
      </c>
      <c r="QX4" s="97">
        <v>45808</v>
      </c>
      <c r="QY4" s="97"/>
      <c r="QZ4" s="97">
        <v>45838</v>
      </c>
      <c r="RA4" s="97"/>
      <c r="RB4" s="96">
        <v>45869</v>
      </c>
      <c r="RC4" s="97"/>
      <c r="RD4" s="97">
        <v>45900</v>
      </c>
      <c r="RE4" s="97"/>
      <c r="RF4" s="97">
        <v>45930</v>
      </c>
      <c r="RG4" s="97"/>
      <c r="RH4" s="96">
        <v>45961</v>
      </c>
      <c r="RI4" s="97"/>
      <c r="RJ4" s="97">
        <v>45991</v>
      </c>
      <c r="RK4" s="97"/>
      <c r="RL4" s="97">
        <v>46022</v>
      </c>
      <c r="RM4" s="97"/>
      <c r="RN4" s="122">
        <v>45688</v>
      </c>
      <c r="RO4" s="97"/>
      <c r="RP4" s="97">
        <v>45716</v>
      </c>
      <c r="RQ4" s="97"/>
      <c r="RR4" s="97">
        <v>45747</v>
      </c>
      <c r="RS4" s="97"/>
      <c r="RT4" s="122">
        <v>45777</v>
      </c>
      <c r="RV4" s="97">
        <v>45808</v>
      </c>
      <c r="RW4" s="97"/>
      <c r="RX4" s="97">
        <v>45838</v>
      </c>
      <c r="RY4" s="97"/>
      <c r="RZ4" s="96">
        <v>45869</v>
      </c>
      <c r="SA4" s="97"/>
      <c r="SB4" s="97">
        <v>45900</v>
      </c>
      <c r="SC4" s="97"/>
      <c r="SD4" s="97">
        <v>45930</v>
      </c>
      <c r="SE4" s="97"/>
      <c r="SF4" s="96">
        <v>45961</v>
      </c>
      <c r="SG4" s="97"/>
      <c r="SH4" s="97">
        <v>45991</v>
      </c>
      <c r="SI4" s="97"/>
      <c r="SJ4" s="97">
        <v>46022</v>
      </c>
      <c r="SK4" s="97"/>
      <c r="SL4" s="122">
        <v>45688</v>
      </c>
      <c r="SM4" s="97"/>
      <c r="SN4" s="97">
        <v>45716</v>
      </c>
      <c r="SO4" s="97"/>
      <c r="SP4" s="97">
        <v>45747</v>
      </c>
      <c r="SQ4" s="97"/>
      <c r="SR4" s="122">
        <v>45777</v>
      </c>
      <c r="ST4" s="97">
        <v>45808</v>
      </c>
      <c r="SU4" s="97"/>
      <c r="SV4" s="97">
        <v>45838</v>
      </c>
      <c r="SW4" s="97"/>
      <c r="SX4" s="96">
        <v>45869</v>
      </c>
      <c r="SY4" s="97"/>
      <c r="SZ4" s="97">
        <v>45900</v>
      </c>
      <c r="TA4" s="97"/>
      <c r="TB4" s="97">
        <v>45930</v>
      </c>
      <c r="TC4" s="97"/>
      <c r="TD4" s="96">
        <v>45961</v>
      </c>
      <c r="TE4" s="97"/>
      <c r="TF4" s="97">
        <v>45991</v>
      </c>
      <c r="TG4" s="97"/>
      <c r="TH4" s="97">
        <v>46022</v>
      </c>
      <c r="TI4" s="97"/>
      <c r="TJ4" s="122">
        <v>45688</v>
      </c>
      <c r="TK4" s="97"/>
      <c r="TL4" s="97">
        <v>45716</v>
      </c>
      <c r="TM4" s="97"/>
      <c r="TN4" s="97">
        <v>45747</v>
      </c>
      <c r="TO4" s="97"/>
      <c r="TP4" s="122">
        <v>45777</v>
      </c>
      <c r="TR4" s="97">
        <v>45808</v>
      </c>
      <c r="TS4" s="97"/>
      <c r="TT4" s="97">
        <v>45838</v>
      </c>
      <c r="TU4" s="97"/>
      <c r="TV4" s="96">
        <v>45869</v>
      </c>
      <c r="TW4" s="97"/>
      <c r="TX4" s="175"/>
      <c r="TY4" s="175"/>
      <c r="TZ4" s="175"/>
      <c r="UA4" s="175"/>
      <c r="UB4" s="175"/>
      <c r="UC4" s="175"/>
      <c r="UD4" s="175"/>
      <c r="UE4" s="175"/>
      <c r="UF4" s="175"/>
      <c r="UG4" s="175"/>
    </row>
    <row r="5" spans="1:553" ht="13.15" x14ac:dyDescent="0.4">
      <c r="A5" s="7" t="s">
        <v>37</v>
      </c>
      <c r="KP5" s="115">
        <f>Sales!$R20</f>
        <v>5064.2</v>
      </c>
      <c r="KR5" s="115">
        <f>Sales!$T20</f>
        <v>5674.6</v>
      </c>
      <c r="KT5" s="123">
        <f>Sales!$V20</f>
        <v>5643.16</v>
      </c>
      <c r="KV5" s="115">
        <f>Sales!$X20</f>
        <v>6536.26</v>
      </c>
      <c r="KX5" s="115">
        <f>Sales!$Z20</f>
        <v>10360.960000000001</v>
      </c>
      <c r="KZ5" s="115">
        <f>Sales!$AB20</f>
        <v>10711.16</v>
      </c>
      <c r="LB5" s="115">
        <f>Sales!$F20</f>
        <v>11157.119999999999</v>
      </c>
      <c r="LD5" s="123">
        <f>Sales!$H20</f>
        <v>11142.119999999999</v>
      </c>
      <c r="LE5" s="10"/>
      <c r="LF5" s="123">
        <f>Sales!$J20</f>
        <v>11152.539999999999</v>
      </c>
      <c r="LH5" s="115">
        <f>Sales!$L20</f>
        <v>8966.24</v>
      </c>
      <c r="LJ5" s="123">
        <f>Sales!$N20</f>
        <v>6925.6</v>
      </c>
      <c r="LK5" s="10"/>
      <c r="LL5" s="123">
        <f>Sales!$P20</f>
        <v>5577.6</v>
      </c>
      <c r="LN5" s="115">
        <f>Sales!$R20</f>
        <v>5064.2</v>
      </c>
      <c r="LP5" s="115">
        <f>Sales!$T20</f>
        <v>5674.6</v>
      </c>
      <c r="LR5" s="123">
        <f>Sales!$V20</f>
        <v>5643.16</v>
      </c>
      <c r="LT5" s="115">
        <f>Sales!$X20</f>
        <v>6536.26</v>
      </c>
      <c r="LV5" s="115">
        <f>Sales!$Z20</f>
        <v>10360.960000000001</v>
      </c>
      <c r="LX5" s="115">
        <f>Sales!$AB20</f>
        <v>10711.16</v>
      </c>
      <c r="LZ5" s="115">
        <f>Sales!$F20</f>
        <v>11157.119999999999</v>
      </c>
      <c r="MB5" s="123">
        <f>Sales!$H20</f>
        <v>11142.119999999999</v>
      </c>
      <c r="MC5" s="10"/>
      <c r="MD5" s="123">
        <f>Sales!$J20</f>
        <v>11152.539999999999</v>
      </c>
      <c r="MF5" s="115">
        <f>Sales!$L20</f>
        <v>8966.24</v>
      </c>
      <c r="MH5" s="123">
        <f>Sales!$N20</f>
        <v>6925.6</v>
      </c>
      <c r="MI5" s="10"/>
      <c r="MJ5" s="123">
        <f>Sales!$P20</f>
        <v>5577.6</v>
      </c>
      <c r="ML5" s="115">
        <f>Sales!$R20</f>
        <v>5064.2</v>
      </c>
      <c r="MN5" s="115">
        <f>Sales!$T20</f>
        <v>5674.6</v>
      </c>
      <c r="MP5" s="123">
        <f>Sales!$V20</f>
        <v>5643.16</v>
      </c>
      <c r="MR5" s="115">
        <f>Sales!$X20</f>
        <v>6536.26</v>
      </c>
      <c r="MT5" s="115">
        <f>Sales!$Z20</f>
        <v>10360.960000000001</v>
      </c>
      <c r="MV5" s="115">
        <f>Sales!$AB20</f>
        <v>10711.16</v>
      </c>
      <c r="MX5" s="115">
        <f>Sales!$F20</f>
        <v>11157.119999999999</v>
      </c>
      <c r="MZ5" s="123">
        <f>Sales!$H20</f>
        <v>11142.119999999999</v>
      </c>
      <c r="NA5" s="10"/>
      <c r="NB5" s="123">
        <f>Sales!$J20</f>
        <v>11152.539999999999</v>
      </c>
      <c r="ND5" s="115">
        <f>Sales!$L20</f>
        <v>8966.24</v>
      </c>
      <c r="NF5" s="123">
        <f>Sales!$N20</f>
        <v>6925.6</v>
      </c>
      <c r="NG5" s="10"/>
      <c r="NH5" s="123">
        <f>Sales!$P20</f>
        <v>5577.6</v>
      </c>
      <c r="NJ5" s="115">
        <f>Sales!$R20</f>
        <v>5064.2</v>
      </c>
      <c r="NL5" s="115">
        <f>Sales!$T20</f>
        <v>5674.6</v>
      </c>
      <c r="NN5" s="123">
        <f>Sales!$V20</f>
        <v>5643.16</v>
      </c>
      <c r="NP5" s="115">
        <f>Sales!$X20</f>
        <v>6536.26</v>
      </c>
      <c r="NR5" s="115">
        <f>Sales!$Z20</f>
        <v>10360.960000000001</v>
      </c>
      <c r="NT5" s="115">
        <f>Sales!$AB20</f>
        <v>10711.16</v>
      </c>
      <c r="NV5" s="115">
        <f>Sales!$F20</f>
        <v>11157.119999999999</v>
      </c>
      <c r="NX5" s="123">
        <f>Sales!$H20</f>
        <v>11142.119999999999</v>
      </c>
      <c r="NY5" s="10"/>
      <c r="NZ5" s="123">
        <f>Sales!$J20</f>
        <v>11152.539999999999</v>
      </c>
      <c r="OB5" s="115">
        <f>Sales!$L20</f>
        <v>8966.24</v>
      </c>
      <c r="OD5" s="123">
        <f>Sales!$N20</f>
        <v>6925.6</v>
      </c>
      <c r="OE5" s="10"/>
      <c r="OF5" s="123">
        <f>Sales!$P20</f>
        <v>5577.6</v>
      </c>
      <c r="OH5" s="115">
        <f>Sales!$R20</f>
        <v>5064.2</v>
      </c>
      <c r="OJ5" s="115">
        <f>Sales!$T20</f>
        <v>5674.6</v>
      </c>
      <c r="OL5" s="123">
        <f>Sales!$V20</f>
        <v>5643.16</v>
      </c>
      <c r="ON5" s="115">
        <f>Sales!$X20</f>
        <v>6536.26</v>
      </c>
      <c r="OP5" s="115">
        <f>Sales!$Z20</f>
        <v>10360.960000000001</v>
      </c>
      <c r="OR5" s="115">
        <f>Sales!$AB20</f>
        <v>10711.16</v>
      </c>
      <c r="OT5" s="115">
        <f>Sales!$F20</f>
        <v>11157.119999999999</v>
      </c>
      <c r="OV5" s="123">
        <f>Sales!$H20</f>
        <v>11142.119999999999</v>
      </c>
      <c r="OW5" s="10"/>
      <c r="OX5" s="123">
        <f>Sales!$J20</f>
        <v>11152.539999999999</v>
      </c>
      <c r="OZ5" s="115">
        <f>Sales!$L20</f>
        <v>8966.24</v>
      </c>
      <c r="PB5" s="123">
        <f>Sales!$N20</f>
        <v>6925.6</v>
      </c>
      <c r="PC5" s="10"/>
      <c r="PD5" s="123">
        <f>Sales!$P20</f>
        <v>5577.6</v>
      </c>
      <c r="PF5" s="115">
        <f>Sales!$R20</f>
        <v>5064.2</v>
      </c>
      <c r="PH5" s="115">
        <f>Sales!$T20</f>
        <v>5674.6</v>
      </c>
      <c r="PJ5" s="123">
        <f>Sales!$V20</f>
        <v>5643.16</v>
      </c>
      <c r="PL5" s="115">
        <f>Sales!$X20</f>
        <v>6536.26</v>
      </c>
      <c r="PN5" s="115">
        <f>Sales!$Z20</f>
        <v>10360.960000000001</v>
      </c>
      <c r="PP5" s="115">
        <f>Sales!$AB20</f>
        <v>10711.16</v>
      </c>
      <c r="PR5" s="115">
        <f>Sales!$F20</f>
        <v>11157.119999999999</v>
      </c>
      <c r="PT5" s="123">
        <f>Sales!$H20</f>
        <v>11142.119999999999</v>
      </c>
      <c r="PU5" s="10"/>
      <c r="PV5" s="123">
        <f>Sales!$J20</f>
        <v>11152.539999999999</v>
      </c>
      <c r="PX5" s="115">
        <f>Sales!$L20</f>
        <v>8966.24</v>
      </c>
      <c r="PZ5" s="123">
        <f>Sales!$N20</f>
        <v>6925.6</v>
      </c>
      <c r="QA5" s="10"/>
      <c r="QB5" s="123">
        <f>Sales!$P20</f>
        <v>5577.6</v>
      </c>
      <c r="QD5" s="115">
        <f>Sales!$R20</f>
        <v>5064.2</v>
      </c>
      <c r="QF5" s="115">
        <f>Sales!$T20</f>
        <v>5674.6</v>
      </c>
      <c r="QH5" s="123">
        <f>Sales!$V20</f>
        <v>5643.16</v>
      </c>
      <c r="QJ5" s="115">
        <f>Sales!$X20</f>
        <v>6536.26</v>
      </c>
      <c r="QL5" s="115">
        <f>Sales!$Z20</f>
        <v>10360.960000000001</v>
      </c>
      <c r="QN5" s="115">
        <f>Sales!$AB20</f>
        <v>10711.16</v>
      </c>
      <c r="QP5" s="115">
        <f>Sales!$F20</f>
        <v>11157.119999999999</v>
      </c>
      <c r="QR5" s="123">
        <f>Sales!$H20</f>
        <v>11142.119999999999</v>
      </c>
      <c r="QS5" s="10"/>
      <c r="QT5" s="123">
        <f>Sales!$J20</f>
        <v>11152.539999999999</v>
      </c>
      <c r="QV5" s="115">
        <f>Sales!$L20</f>
        <v>8966.24</v>
      </c>
      <c r="QX5" s="123">
        <f>Sales!$N20</f>
        <v>6925.6</v>
      </c>
      <c r="QY5" s="10"/>
      <c r="QZ5" s="123">
        <f>Sales!$P20</f>
        <v>5577.6</v>
      </c>
      <c r="RB5" s="115">
        <f>Sales!$R20</f>
        <v>5064.2</v>
      </c>
      <c r="RD5" s="115">
        <f>Sales!$T20</f>
        <v>5674.6</v>
      </c>
      <c r="RF5" s="123">
        <f>Sales!$V20</f>
        <v>5643.16</v>
      </c>
      <c r="RH5" s="115">
        <f>Sales!$X20</f>
        <v>6536.26</v>
      </c>
      <c r="RJ5" s="115">
        <f>Sales!$Z20</f>
        <v>10360.960000000001</v>
      </c>
      <c r="RL5" s="115">
        <f>Sales!$AB20</f>
        <v>10711.16</v>
      </c>
      <c r="RN5" s="115">
        <f>Sales!$F20</f>
        <v>11157.119999999999</v>
      </c>
      <c r="RP5" s="123">
        <f>Sales!$H20</f>
        <v>11142.119999999999</v>
      </c>
      <c r="RQ5" s="10"/>
      <c r="RR5" s="123">
        <f>Sales!$J20</f>
        <v>11152.539999999999</v>
      </c>
      <c r="RT5" s="115">
        <f>Sales!$L20</f>
        <v>8966.24</v>
      </c>
      <c r="RV5" s="123">
        <f>Sales!$N20</f>
        <v>6925.6</v>
      </c>
      <c r="RW5" s="10"/>
      <c r="RX5" s="123">
        <f>Sales!$P20</f>
        <v>5577.6</v>
      </c>
      <c r="RZ5" s="115">
        <f>Sales!$R20</f>
        <v>5064.2</v>
      </c>
      <c r="SB5" s="115">
        <f>Sales!$T20</f>
        <v>5674.6</v>
      </c>
      <c r="SD5" s="123">
        <f>Sales!$V20</f>
        <v>5643.16</v>
      </c>
      <c r="SF5" s="115">
        <f>Sales!$X20</f>
        <v>6536.26</v>
      </c>
      <c r="SH5" s="115">
        <f>Sales!$Z20</f>
        <v>10360.960000000001</v>
      </c>
      <c r="SJ5" s="115">
        <f>Sales!$AB20</f>
        <v>10711.16</v>
      </c>
      <c r="SL5" s="115">
        <f>Sales!$F20</f>
        <v>11157.119999999999</v>
      </c>
      <c r="SN5" s="123">
        <f>Sales!$H20</f>
        <v>11142.119999999999</v>
      </c>
      <c r="SO5" s="10"/>
      <c r="SP5" s="123">
        <f>Sales!$J20</f>
        <v>11152.539999999999</v>
      </c>
      <c r="SR5" s="115">
        <f>Sales!$L20</f>
        <v>8966.24</v>
      </c>
      <c r="ST5" s="123">
        <f>Sales!$N20</f>
        <v>6925.6</v>
      </c>
      <c r="SU5" s="10"/>
      <c r="SV5" s="123">
        <f>Sales!$P20</f>
        <v>5577.6</v>
      </c>
      <c r="SX5" s="115">
        <f>Sales!$R20</f>
        <v>5064.2</v>
      </c>
      <c r="SZ5" s="115">
        <f>Sales!$T20</f>
        <v>5674.6</v>
      </c>
      <c r="TB5" s="123">
        <f>Sales!$V20</f>
        <v>5643.16</v>
      </c>
      <c r="TD5" s="115">
        <f>Sales!$X20</f>
        <v>6536.26</v>
      </c>
      <c r="TF5" s="115">
        <f>Sales!$Z20</f>
        <v>10360.960000000001</v>
      </c>
      <c r="TH5" s="115">
        <f>Sales!$AB20</f>
        <v>10711.16</v>
      </c>
      <c r="TJ5" s="115">
        <f>Sales!$F20</f>
        <v>11157.119999999999</v>
      </c>
      <c r="TL5" s="123">
        <f>Sales!$H20</f>
        <v>11142.119999999999</v>
      </c>
      <c r="TM5" s="10"/>
      <c r="TN5" s="123">
        <f>Sales!$J20</f>
        <v>11152.539999999999</v>
      </c>
      <c r="TP5" s="115">
        <f>Sales!$L20</f>
        <v>8966.24</v>
      </c>
      <c r="TR5" s="123">
        <f>Sales!$N20</f>
        <v>6925.6</v>
      </c>
      <c r="TS5" s="10"/>
      <c r="TT5" s="123">
        <f>Sales!$P20</f>
        <v>5577.6</v>
      </c>
      <c r="TV5" s="115">
        <f>Sales!$R20</f>
        <v>5064.2</v>
      </c>
    </row>
    <row r="6" spans="1:553" s="51" customFormat="1" x14ac:dyDescent="0.35">
      <c r="A6" s="54"/>
      <c r="TX6" s="175"/>
      <c r="TY6" s="175"/>
      <c r="TZ6" s="175"/>
      <c r="UA6" s="175"/>
      <c r="UB6" s="175"/>
      <c r="UC6" s="175"/>
      <c r="UD6" s="175"/>
      <c r="UE6" s="175"/>
      <c r="UF6" s="175"/>
      <c r="UG6" s="175"/>
    </row>
    <row r="7" spans="1:553" s="110" customFormat="1" x14ac:dyDescent="0.35">
      <c r="A7" s="140"/>
      <c r="TX7" s="175"/>
      <c r="TY7" s="175"/>
      <c r="TZ7" s="175"/>
      <c r="UA7" s="175"/>
      <c r="UB7" s="175"/>
      <c r="UC7" s="175"/>
      <c r="UD7" s="175"/>
      <c r="UE7" s="175"/>
      <c r="UF7" s="175"/>
      <c r="UG7" s="175"/>
    </row>
    <row r="8" spans="1:553" s="110" customFormat="1" hidden="1" x14ac:dyDescent="0.35">
      <c r="A8" s="140"/>
      <c r="TX8" s="175"/>
      <c r="TY8" s="175"/>
      <c r="TZ8" s="175"/>
      <c r="UA8" s="175"/>
      <c r="UB8" s="175"/>
      <c r="UC8" s="175"/>
      <c r="UD8" s="175"/>
      <c r="UE8" s="175"/>
      <c r="UF8" s="175"/>
      <c r="UG8" s="175"/>
    </row>
    <row r="9" spans="1:553" s="110" customFormat="1" hidden="1" x14ac:dyDescent="0.35">
      <c r="A9" s="140"/>
      <c r="TX9" s="175"/>
      <c r="TY9" s="175"/>
      <c r="TZ9" s="175"/>
      <c r="UA9" s="175"/>
      <c r="UB9" s="175"/>
      <c r="UC9" s="175"/>
      <c r="UD9" s="175"/>
      <c r="UE9" s="175"/>
      <c r="UF9" s="175"/>
      <c r="UG9" s="175"/>
    </row>
    <row r="10" spans="1:553" s="110" customFormat="1" hidden="1" x14ac:dyDescent="0.35">
      <c r="A10" s="140"/>
      <c r="TX10" s="175"/>
      <c r="TY10" s="175"/>
      <c r="TZ10" s="175"/>
      <c r="UA10" s="175"/>
      <c r="UB10" s="175"/>
      <c r="UC10" s="175"/>
      <c r="UD10" s="175"/>
      <c r="UE10" s="175"/>
      <c r="UF10" s="175"/>
      <c r="UG10" s="175"/>
    </row>
    <row r="11" spans="1:553" s="110" customFormat="1" hidden="1" x14ac:dyDescent="0.35">
      <c r="A11" s="140"/>
      <c r="TX11" s="175"/>
      <c r="TY11" s="175"/>
      <c r="TZ11" s="175"/>
      <c r="UA11" s="175"/>
      <c r="UB11" s="175"/>
      <c r="UC11" s="175"/>
      <c r="UD11" s="175"/>
      <c r="UE11" s="175"/>
      <c r="UF11" s="175"/>
      <c r="UG11" s="175"/>
    </row>
    <row r="12" spans="1:553" s="110" customFormat="1" hidden="1" x14ac:dyDescent="0.35">
      <c r="A12" s="140"/>
      <c r="TX12" s="175"/>
      <c r="TY12" s="175"/>
      <c r="TZ12" s="175"/>
      <c r="UA12" s="175"/>
      <c r="UB12" s="175"/>
      <c r="UC12" s="175"/>
      <c r="UD12" s="175"/>
      <c r="UE12" s="175"/>
      <c r="UF12" s="175"/>
      <c r="UG12" s="175"/>
    </row>
    <row r="13" spans="1:553" s="110" customFormat="1" hidden="1" x14ac:dyDescent="0.35">
      <c r="A13" s="140"/>
      <c r="TX13" s="175"/>
      <c r="TY13" s="175"/>
      <c r="TZ13" s="175"/>
      <c r="UA13" s="175"/>
      <c r="UB13" s="175"/>
      <c r="UC13" s="175"/>
      <c r="UD13" s="175"/>
      <c r="UE13" s="175"/>
      <c r="UF13" s="175"/>
      <c r="UG13" s="175"/>
    </row>
    <row r="14" spans="1:553" s="110" customFormat="1" hidden="1" x14ac:dyDescent="0.35">
      <c r="A14" s="140"/>
      <c r="TX14" s="175"/>
      <c r="TY14" s="175"/>
      <c r="TZ14" s="175"/>
      <c r="UA14" s="175"/>
      <c r="UB14" s="175"/>
      <c r="UC14" s="175"/>
      <c r="UD14" s="175"/>
      <c r="UE14" s="175"/>
      <c r="UF14" s="175"/>
      <c r="UG14" s="175"/>
    </row>
    <row r="15" spans="1:553" s="110" customFormat="1" hidden="1" x14ac:dyDescent="0.35">
      <c r="TX15" s="175"/>
      <c r="TY15" s="175"/>
      <c r="TZ15" s="175"/>
      <c r="UA15" s="175"/>
      <c r="UB15" s="175"/>
      <c r="UC15" s="175"/>
      <c r="UD15" s="175"/>
      <c r="UE15" s="175"/>
      <c r="UF15" s="175"/>
      <c r="UG15" s="175"/>
    </row>
    <row r="16" spans="1:553" s="110" customFormat="1" hidden="1" x14ac:dyDescent="0.35">
      <c r="TX16" s="175"/>
      <c r="TY16" s="175"/>
      <c r="TZ16" s="175"/>
      <c r="UA16" s="175"/>
      <c r="UB16" s="175"/>
      <c r="UC16" s="175"/>
      <c r="UD16" s="175"/>
      <c r="UE16" s="175"/>
      <c r="UF16" s="175"/>
      <c r="UG16" s="175"/>
    </row>
    <row r="17" spans="3:553" s="110" customFormat="1" hidden="1" x14ac:dyDescent="0.35">
      <c r="TX17" s="175"/>
      <c r="TY17" s="175"/>
      <c r="TZ17" s="175"/>
      <c r="UA17" s="175"/>
      <c r="UB17" s="175"/>
      <c r="UC17" s="175"/>
      <c r="UD17" s="175"/>
      <c r="UE17" s="175"/>
      <c r="UF17" s="175"/>
      <c r="UG17" s="175"/>
    </row>
    <row r="18" spans="3:553" s="110" customFormat="1" hidden="1" x14ac:dyDescent="0.35">
      <c r="TX18" s="175"/>
      <c r="TY18" s="175"/>
      <c r="TZ18" s="175"/>
      <c r="UA18" s="175"/>
      <c r="UB18" s="175"/>
      <c r="UC18" s="175"/>
      <c r="UD18" s="175"/>
      <c r="UE18" s="175"/>
      <c r="UF18" s="175"/>
      <c r="UG18" s="175"/>
    </row>
    <row r="19" spans="3:553" s="110" customFormat="1" hidden="1" x14ac:dyDescent="0.35">
      <c r="TX19" s="175"/>
      <c r="TY19" s="175"/>
      <c r="TZ19" s="175"/>
      <c r="UA19" s="175"/>
      <c r="UB19" s="175"/>
      <c r="UC19" s="175"/>
      <c r="UD19" s="175"/>
      <c r="UE19" s="175"/>
      <c r="UF19" s="175"/>
      <c r="UG19" s="175"/>
    </row>
    <row r="20" spans="3:553" s="110" customFormat="1" hidden="1" x14ac:dyDescent="0.35">
      <c r="TX20" s="175"/>
      <c r="TY20" s="175"/>
      <c r="TZ20" s="175"/>
      <c r="UA20" s="175"/>
      <c r="UB20" s="175"/>
      <c r="UC20" s="175"/>
      <c r="UD20" s="175"/>
      <c r="UE20" s="175"/>
      <c r="UF20" s="175"/>
      <c r="UG20" s="175"/>
    </row>
    <row r="21" spans="3:553" s="110" customFormat="1" hidden="1" x14ac:dyDescent="0.35">
      <c r="TX21" s="175"/>
      <c r="TY21" s="175"/>
      <c r="TZ21" s="175"/>
      <c r="UA21" s="175"/>
      <c r="UB21" s="175"/>
      <c r="UC21" s="175"/>
      <c r="UD21" s="175"/>
      <c r="UE21" s="175"/>
      <c r="UF21" s="175"/>
      <c r="UG21" s="175"/>
    </row>
    <row r="22" spans="3:553" s="110" customFormat="1" hidden="1" x14ac:dyDescent="0.35">
      <c r="TX22" s="175"/>
      <c r="TY22" s="175"/>
      <c r="TZ22" s="175"/>
      <c r="UA22" s="175"/>
      <c r="UB22" s="175"/>
      <c r="UC22" s="175"/>
      <c r="UD22" s="175"/>
      <c r="UE22" s="175"/>
      <c r="UF22" s="175"/>
      <c r="UG22" s="175"/>
    </row>
    <row r="23" spans="3:553" s="110" customFormat="1" hidden="1" x14ac:dyDescent="0.35">
      <c r="TX23" s="175"/>
      <c r="TY23" s="175"/>
      <c r="TZ23" s="175"/>
      <c r="UA23" s="175"/>
      <c r="UB23" s="175"/>
      <c r="UC23" s="175"/>
      <c r="UD23" s="175"/>
      <c r="UE23" s="175"/>
      <c r="UF23" s="175"/>
      <c r="UG23" s="175"/>
    </row>
    <row r="24" spans="3:553" s="110" customFormat="1" hidden="1" x14ac:dyDescent="0.35">
      <c r="TX24" s="175"/>
      <c r="TY24" s="175"/>
      <c r="TZ24" s="175"/>
      <c r="UA24" s="175"/>
      <c r="UB24" s="175"/>
      <c r="UC24" s="175"/>
      <c r="UD24" s="175"/>
      <c r="UE24" s="175"/>
      <c r="UF24" s="175"/>
      <c r="UG24" s="175"/>
    </row>
    <row r="25" spans="3:553" s="110" customFormat="1" hidden="1" x14ac:dyDescent="0.35">
      <c r="TX25" s="175"/>
      <c r="TY25" s="175"/>
      <c r="TZ25" s="175"/>
      <c r="UA25" s="175"/>
      <c r="UB25" s="175"/>
      <c r="UC25" s="175"/>
      <c r="UD25" s="175"/>
      <c r="UE25" s="175"/>
      <c r="UF25" s="175"/>
      <c r="UG25" s="175"/>
    </row>
    <row r="26" spans="3:553" s="110" customFormat="1" hidden="1" x14ac:dyDescent="0.35">
      <c r="TX26" s="175"/>
      <c r="TY26" s="175"/>
      <c r="TZ26" s="175"/>
      <c r="UA26" s="175"/>
      <c r="UB26" s="175"/>
      <c r="UC26" s="175"/>
      <c r="UD26" s="175"/>
      <c r="UE26" s="175"/>
      <c r="UF26" s="175"/>
      <c r="UG26" s="175"/>
    </row>
    <row r="27" spans="3:553" s="110" customFormat="1" hidden="1" x14ac:dyDescent="0.35">
      <c r="TX27" s="175"/>
      <c r="TY27" s="175"/>
      <c r="TZ27" s="175"/>
      <c r="UA27" s="175"/>
      <c r="UB27" s="175"/>
      <c r="UC27" s="175"/>
      <c r="UD27" s="175"/>
      <c r="UE27" s="175"/>
      <c r="UF27" s="175"/>
      <c r="UG27" s="175"/>
    </row>
    <row r="28" spans="3:553" s="110" customFormat="1" hidden="1" x14ac:dyDescent="0.35">
      <c r="C28" s="145"/>
      <c r="TX28" s="175"/>
      <c r="TY28" s="175"/>
      <c r="TZ28" s="175"/>
      <c r="UA28" s="175"/>
      <c r="UB28" s="175"/>
      <c r="UC28" s="175"/>
      <c r="UD28" s="175"/>
      <c r="UE28" s="175"/>
      <c r="UF28" s="175"/>
      <c r="UG28" s="175"/>
    </row>
    <row r="29" spans="3:553" s="110" customFormat="1" hidden="1" x14ac:dyDescent="0.35">
      <c r="TX29" s="175"/>
      <c r="TY29" s="175"/>
      <c r="TZ29" s="175"/>
      <c r="UA29" s="175"/>
      <c r="UB29" s="175"/>
      <c r="UC29" s="175"/>
      <c r="UD29" s="175"/>
      <c r="UE29" s="175"/>
      <c r="UF29" s="175"/>
      <c r="UG29" s="175"/>
    </row>
    <row r="30" spans="3:553" s="110" customFormat="1" hidden="1" x14ac:dyDescent="0.35">
      <c r="TX30" s="175"/>
      <c r="TY30" s="175"/>
      <c r="TZ30" s="175"/>
      <c r="UA30" s="175"/>
      <c r="UB30" s="175"/>
      <c r="UC30" s="175"/>
      <c r="UD30" s="175"/>
      <c r="UE30" s="175"/>
      <c r="UF30" s="175"/>
      <c r="UG30" s="175"/>
    </row>
    <row r="31" spans="3:553" s="110" customFormat="1" hidden="1" x14ac:dyDescent="0.35">
      <c r="TX31" s="175"/>
      <c r="TY31" s="175"/>
      <c r="TZ31" s="175"/>
      <c r="UA31" s="175"/>
      <c r="UB31" s="175"/>
      <c r="UC31" s="175"/>
      <c r="UD31" s="175"/>
      <c r="UE31" s="175"/>
      <c r="UF31" s="175"/>
      <c r="UG31" s="175"/>
    </row>
    <row r="32" spans="3:553" s="110" customFormat="1" hidden="1" x14ac:dyDescent="0.35">
      <c r="C32" s="145"/>
      <c r="TX32" s="175"/>
      <c r="TY32" s="175"/>
      <c r="TZ32" s="175"/>
      <c r="UA32" s="175"/>
      <c r="UB32" s="175"/>
      <c r="UC32" s="175"/>
      <c r="UD32" s="175"/>
      <c r="UE32" s="175"/>
      <c r="UF32" s="175"/>
      <c r="UG32" s="175"/>
    </row>
    <row r="33" spans="3:553" s="110" customFormat="1" hidden="1" x14ac:dyDescent="0.35">
      <c r="TX33" s="175"/>
      <c r="TY33" s="175"/>
      <c r="TZ33" s="175"/>
      <c r="UA33" s="175"/>
      <c r="UB33" s="175"/>
      <c r="UC33" s="175"/>
      <c r="UD33" s="175"/>
      <c r="UE33" s="175"/>
      <c r="UF33" s="175"/>
      <c r="UG33" s="175"/>
    </row>
    <row r="34" spans="3:553" s="110" customFormat="1" hidden="1" x14ac:dyDescent="0.35">
      <c r="TX34" s="175"/>
      <c r="TY34" s="175"/>
      <c r="TZ34" s="175"/>
      <c r="UA34" s="175"/>
      <c r="UB34" s="175"/>
      <c r="UC34" s="175"/>
      <c r="UD34" s="175"/>
      <c r="UE34" s="175"/>
      <c r="UF34" s="175"/>
      <c r="UG34" s="175"/>
    </row>
    <row r="35" spans="3:553" s="110" customFormat="1" hidden="1" x14ac:dyDescent="0.35">
      <c r="TX35" s="175"/>
      <c r="TY35" s="175"/>
      <c r="TZ35" s="175"/>
      <c r="UA35" s="175"/>
      <c r="UB35" s="175"/>
      <c r="UC35" s="175"/>
      <c r="UD35" s="175"/>
      <c r="UE35" s="175"/>
      <c r="UF35" s="175"/>
      <c r="UG35" s="175"/>
    </row>
    <row r="36" spans="3:553" s="110" customFormat="1" hidden="1" x14ac:dyDescent="0.35">
      <c r="C36" s="145"/>
      <c r="TX36" s="175"/>
      <c r="TY36" s="175"/>
      <c r="TZ36" s="175"/>
      <c r="UA36" s="175"/>
      <c r="UB36" s="175"/>
      <c r="UC36" s="175"/>
      <c r="UD36" s="175"/>
      <c r="UE36" s="175"/>
      <c r="UF36" s="175"/>
      <c r="UG36" s="175"/>
    </row>
    <row r="37" spans="3:553" s="110" customFormat="1" hidden="1" x14ac:dyDescent="0.35">
      <c r="TX37" s="175"/>
      <c r="TY37" s="175"/>
      <c r="TZ37" s="175"/>
      <c r="UA37" s="175"/>
      <c r="UB37" s="175"/>
      <c r="UC37" s="175"/>
      <c r="UD37" s="175"/>
      <c r="UE37" s="175"/>
      <c r="UF37" s="175"/>
      <c r="UG37" s="175"/>
    </row>
    <row r="38" spans="3:553" s="110" customFormat="1" hidden="1" x14ac:dyDescent="0.35">
      <c r="TX38" s="175"/>
      <c r="TY38" s="175"/>
      <c r="TZ38" s="175"/>
      <c r="UA38" s="175"/>
      <c r="UB38" s="175"/>
      <c r="UC38" s="175"/>
      <c r="UD38" s="175"/>
      <c r="UE38" s="175"/>
      <c r="UF38" s="175"/>
      <c r="UG38" s="175"/>
    </row>
    <row r="39" spans="3:553" s="110" customFormat="1" hidden="1" x14ac:dyDescent="0.35">
      <c r="TX39" s="175"/>
      <c r="TY39" s="175"/>
      <c r="TZ39" s="175"/>
      <c r="UA39" s="175"/>
      <c r="UB39" s="175"/>
      <c r="UC39" s="175"/>
      <c r="UD39" s="175"/>
      <c r="UE39" s="175"/>
      <c r="UF39" s="175"/>
      <c r="UG39" s="175"/>
    </row>
    <row r="40" spans="3:553" s="110" customFormat="1" hidden="1" x14ac:dyDescent="0.35">
      <c r="TX40" s="175"/>
      <c r="TY40" s="175"/>
      <c r="TZ40" s="175"/>
      <c r="UA40" s="175"/>
      <c r="UB40" s="175"/>
      <c r="UC40" s="175"/>
      <c r="UD40" s="175"/>
      <c r="UE40" s="175"/>
      <c r="UF40" s="175"/>
      <c r="UG40" s="175"/>
    </row>
    <row r="41" spans="3:553" s="110" customFormat="1" hidden="1" x14ac:dyDescent="0.35">
      <c r="TX41" s="175"/>
      <c r="TY41" s="175"/>
      <c r="TZ41" s="175"/>
      <c r="UA41" s="175"/>
      <c r="UB41" s="175"/>
      <c r="UC41" s="175"/>
      <c r="UD41" s="175"/>
      <c r="UE41" s="175"/>
      <c r="UF41" s="175"/>
      <c r="UG41" s="175"/>
    </row>
    <row r="42" spans="3:553" s="110" customFormat="1" hidden="1" x14ac:dyDescent="0.35">
      <c r="TX42" s="175"/>
      <c r="TY42" s="175"/>
      <c r="TZ42" s="175"/>
      <c r="UA42" s="175"/>
      <c r="UB42" s="175"/>
      <c r="UC42" s="175"/>
      <c r="UD42" s="175"/>
      <c r="UE42" s="175"/>
      <c r="UF42" s="175"/>
      <c r="UG42" s="175"/>
    </row>
    <row r="43" spans="3:553" s="110" customFormat="1" hidden="1" x14ac:dyDescent="0.35">
      <c r="TX43" s="175"/>
      <c r="TY43" s="175"/>
      <c r="TZ43" s="175"/>
      <c r="UA43" s="175"/>
      <c r="UB43" s="175"/>
      <c r="UC43" s="175"/>
      <c r="UD43" s="175"/>
      <c r="UE43" s="175"/>
      <c r="UF43" s="175"/>
      <c r="UG43" s="175"/>
    </row>
    <row r="44" spans="3:553" s="110" customFormat="1" hidden="1" x14ac:dyDescent="0.35">
      <c r="TX44" s="175"/>
      <c r="TY44" s="175"/>
      <c r="TZ44" s="175"/>
      <c r="UA44" s="175"/>
      <c r="UB44" s="175"/>
      <c r="UC44" s="175"/>
      <c r="UD44" s="175"/>
      <c r="UE44" s="175"/>
      <c r="UF44" s="175"/>
      <c r="UG44" s="175"/>
    </row>
    <row r="45" spans="3:553" s="110" customFormat="1" hidden="1" x14ac:dyDescent="0.35">
      <c r="TX45" s="175"/>
      <c r="TY45" s="175"/>
      <c r="TZ45" s="175"/>
      <c r="UA45" s="175"/>
      <c r="UB45" s="175"/>
      <c r="UC45" s="175"/>
      <c r="UD45" s="175"/>
      <c r="UE45" s="175"/>
      <c r="UF45" s="175"/>
      <c r="UG45" s="175"/>
    </row>
    <row r="46" spans="3:553" s="110" customFormat="1" hidden="1" x14ac:dyDescent="0.35">
      <c r="TX46" s="175"/>
      <c r="TY46" s="175"/>
      <c r="TZ46" s="175"/>
      <c r="UA46" s="175"/>
      <c r="UB46" s="175"/>
      <c r="UC46" s="175"/>
      <c r="UD46" s="175"/>
      <c r="UE46" s="175"/>
      <c r="UF46" s="175"/>
      <c r="UG46" s="175"/>
    </row>
    <row r="47" spans="3:553" s="110" customFormat="1" ht="13.15" hidden="1" x14ac:dyDescent="0.4">
      <c r="C47" s="146"/>
      <c r="TX47" s="175"/>
      <c r="TY47" s="175"/>
      <c r="TZ47" s="175"/>
      <c r="UA47" s="175"/>
      <c r="UB47" s="175"/>
      <c r="UC47" s="175"/>
      <c r="UD47" s="175"/>
      <c r="UE47" s="175"/>
      <c r="UF47" s="175"/>
      <c r="UG47" s="175"/>
    </row>
    <row r="48" spans="3:553" s="110" customFormat="1" hidden="1" x14ac:dyDescent="0.35">
      <c r="TX48" s="175"/>
      <c r="TY48" s="175"/>
      <c r="TZ48" s="175"/>
      <c r="UA48" s="175"/>
      <c r="UB48" s="175"/>
      <c r="UC48" s="175"/>
      <c r="UD48" s="175"/>
      <c r="UE48" s="175"/>
      <c r="UF48" s="175"/>
      <c r="UG48" s="175"/>
    </row>
    <row r="49" spans="3:553" s="110" customFormat="1" hidden="1" x14ac:dyDescent="0.35">
      <c r="TX49" s="175"/>
      <c r="TY49" s="175"/>
      <c r="TZ49" s="175"/>
      <c r="UA49" s="175"/>
      <c r="UB49" s="175"/>
      <c r="UC49" s="175"/>
      <c r="UD49" s="175"/>
      <c r="UE49" s="175"/>
      <c r="UF49" s="175"/>
      <c r="UG49" s="175"/>
    </row>
    <row r="50" spans="3:553" s="110" customFormat="1" hidden="1" x14ac:dyDescent="0.35">
      <c r="C50" s="145"/>
      <c r="TX50" s="175"/>
      <c r="TY50" s="175"/>
      <c r="TZ50" s="175"/>
      <c r="UA50" s="175"/>
      <c r="UB50" s="175"/>
      <c r="UC50" s="175"/>
      <c r="UD50" s="175"/>
      <c r="UE50" s="175"/>
      <c r="UF50" s="175"/>
      <c r="UG50" s="175"/>
    </row>
    <row r="51" spans="3:553" s="110" customFormat="1" hidden="1" x14ac:dyDescent="0.35">
      <c r="TX51" s="175"/>
      <c r="TY51" s="175"/>
      <c r="TZ51" s="175"/>
      <c r="UA51" s="175"/>
      <c r="UB51" s="175"/>
      <c r="UC51" s="175"/>
      <c r="UD51" s="175"/>
      <c r="UE51" s="175"/>
      <c r="UF51" s="175"/>
      <c r="UG51" s="175"/>
    </row>
    <row r="52" spans="3:553" s="110" customFormat="1" hidden="1" x14ac:dyDescent="0.35">
      <c r="TX52" s="175"/>
      <c r="TY52" s="175"/>
      <c r="TZ52" s="175"/>
      <c r="UA52" s="175"/>
      <c r="UB52" s="175"/>
      <c r="UC52" s="175"/>
      <c r="UD52" s="175"/>
      <c r="UE52" s="175"/>
      <c r="UF52" s="175"/>
      <c r="UG52" s="175"/>
    </row>
    <row r="53" spans="3:553" s="110" customFormat="1" hidden="1" x14ac:dyDescent="0.35">
      <c r="TX53" s="175"/>
      <c r="TY53" s="175"/>
      <c r="TZ53" s="175"/>
      <c r="UA53" s="175"/>
      <c r="UB53" s="175"/>
      <c r="UC53" s="175"/>
      <c r="UD53" s="175"/>
      <c r="UE53" s="175"/>
      <c r="UF53" s="175"/>
      <c r="UG53" s="175"/>
    </row>
    <row r="54" spans="3:553" s="110" customFormat="1" hidden="1" x14ac:dyDescent="0.35">
      <c r="C54" s="145"/>
      <c r="TX54" s="175"/>
      <c r="TY54" s="175"/>
      <c r="TZ54" s="175"/>
      <c r="UA54" s="175"/>
      <c r="UB54" s="175"/>
      <c r="UC54" s="175"/>
      <c r="UD54" s="175"/>
      <c r="UE54" s="175"/>
      <c r="UF54" s="175"/>
      <c r="UG54" s="175"/>
    </row>
    <row r="55" spans="3:553" s="110" customFormat="1" hidden="1" x14ac:dyDescent="0.35">
      <c r="TX55" s="175"/>
      <c r="TY55" s="175"/>
      <c r="TZ55" s="175"/>
      <c r="UA55" s="175"/>
      <c r="UB55" s="175"/>
      <c r="UC55" s="175"/>
      <c r="UD55" s="175"/>
      <c r="UE55" s="175"/>
      <c r="UF55" s="175"/>
      <c r="UG55" s="175"/>
    </row>
    <row r="56" spans="3:553" s="110" customFormat="1" hidden="1" x14ac:dyDescent="0.35">
      <c r="D56" s="147"/>
      <c r="TX56" s="175"/>
      <c r="TY56" s="175"/>
      <c r="TZ56" s="175"/>
      <c r="UA56" s="175"/>
      <c r="UB56" s="175"/>
      <c r="UC56" s="175"/>
      <c r="UD56" s="175"/>
      <c r="UE56" s="175"/>
      <c r="UF56" s="175"/>
      <c r="UG56" s="175"/>
    </row>
    <row r="57" spans="3:553" s="110" customFormat="1" hidden="1" x14ac:dyDescent="0.35">
      <c r="D57" s="147"/>
      <c r="TX57" s="175"/>
      <c r="TY57" s="175"/>
      <c r="TZ57" s="175"/>
      <c r="UA57" s="175"/>
      <c r="UB57" s="175"/>
      <c r="UC57" s="175"/>
      <c r="UD57" s="175"/>
      <c r="UE57" s="175"/>
      <c r="UF57" s="175"/>
      <c r="UG57" s="175"/>
    </row>
    <row r="58" spans="3:553" s="110" customFormat="1" hidden="1" x14ac:dyDescent="0.35">
      <c r="C58" s="145"/>
      <c r="TX58" s="175"/>
      <c r="TY58" s="175"/>
      <c r="TZ58" s="175"/>
      <c r="UA58" s="175"/>
      <c r="UB58" s="175"/>
      <c r="UC58" s="175"/>
      <c r="UD58" s="175"/>
      <c r="UE58" s="175"/>
      <c r="UF58" s="175"/>
      <c r="UG58" s="175"/>
    </row>
    <row r="59" spans="3:553" s="110" customFormat="1" hidden="1" x14ac:dyDescent="0.35">
      <c r="TX59" s="175"/>
      <c r="TY59" s="175"/>
      <c r="TZ59" s="175"/>
      <c r="UA59" s="175"/>
      <c r="UB59" s="175"/>
      <c r="UC59" s="175"/>
      <c r="UD59" s="175"/>
      <c r="UE59" s="175"/>
      <c r="UF59" s="175"/>
      <c r="UG59" s="175"/>
    </row>
    <row r="60" spans="3:553" s="110" customFormat="1" hidden="1" x14ac:dyDescent="0.35">
      <c r="TX60" s="175"/>
      <c r="TY60" s="175"/>
      <c r="TZ60" s="175"/>
      <c r="UA60" s="175"/>
      <c r="UB60" s="175"/>
      <c r="UC60" s="175"/>
      <c r="UD60" s="175"/>
      <c r="UE60" s="175"/>
      <c r="UF60" s="175"/>
      <c r="UG60" s="175"/>
    </row>
    <row r="61" spans="3:553" s="110" customFormat="1" hidden="1" x14ac:dyDescent="0.35">
      <c r="TX61" s="175"/>
      <c r="TY61" s="175"/>
      <c r="TZ61" s="175"/>
      <c r="UA61" s="175"/>
      <c r="UB61" s="175"/>
      <c r="UC61" s="175"/>
      <c r="UD61" s="175"/>
      <c r="UE61" s="175"/>
      <c r="UF61" s="175"/>
      <c r="UG61" s="175"/>
    </row>
    <row r="62" spans="3:553" s="110" customFormat="1" ht="13.15" hidden="1" x14ac:dyDescent="0.4">
      <c r="C62" s="146"/>
      <c r="TX62" s="175"/>
      <c r="TY62" s="175"/>
      <c r="TZ62" s="175"/>
      <c r="UA62" s="175"/>
      <c r="UB62" s="175"/>
      <c r="UC62" s="175"/>
      <c r="UD62" s="175"/>
      <c r="UE62" s="175"/>
      <c r="UF62" s="175"/>
      <c r="UG62" s="175"/>
    </row>
    <row r="63" spans="3:553" s="110" customFormat="1" hidden="1" x14ac:dyDescent="0.35">
      <c r="TX63" s="175"/>
      <c r="TY63" s="175"/>
      <c r="TZ63" s="175"/>
      <c r="UA63" s="175"/>
      <c r="UB63" s="175"/>
      <c r="UC63" s="175"/>
      <c r="UD63" s="175"/>
      <c r="UE63" s="175"/>
      <c r="UF63" s="175"/>
      <c r="UG63" s="175"/>
    </row>
    <row r="64" spans="3:553" s="110" customFormat="1" hidden="1" x14ac:dyDescent="0.35">
      <c r="TX64" s="175"/>
      <c r="TY64" s="175"/>
      <c r="TZ64" s="175"/>
      <c r="UA64" s="175"/>
      <c r="UB64" s="175"/>
      <c r="UC64" s="175"/>
      <c r="UD64" s="175"/>
      <c r="UE64" s="175"/>
      <c r="UF64" s="175"/>
      <c r="UG64" s="175"/>
    </row>
    <row r="65" spans="3:553" s="110" customFormat="1" hidden="1" x14ac:dyDescent="0.35">
      <c r="TX65" s="175"/>
      <c r="TY65" s="175"/>
      <c r="TZ65" s="175"/>
      <c r="UA65" s="175"/>
      <c r="UB65" s="175"/>
      <c r="UC65" s="175"/>
      <c r="UD65" s="175"/>
      <c r="UE65" s="175"/>
      <c r="UF65" s="175"/>
      <c r="UG65" s="175"/>
    </row>
    <row r="66" spans="3:553" s="110" customFormat="1" hidden="1" x14ac:dyDescent="0.35">
      <c r="C66" s="145"/>
      <c r="TX66" s="175"/>
      <c r="TY66" s="175"/>
      <c r="TZ66" s="175"/>
      <c r="UA66" s="175"/>
      <c r="UB66" s="175"/>
      <c r="UC66" s="175"/>
      <c r="UD66" s="175"/>
      <c r="UE66" s="175"/>
      <c r="UF66" s="175"/>
      <c r="UG66" s="175"/>
    </row>
    <row r="67" spans="3:553" s="110" customFormat="1" hidden="1" x14ac:dyDescent="0.35">
      <c r="C67" s="145"/>
      <c r="TX67" s="175"/>
      <c r="TY67" s="175"/>
      <c r="TZ67" s="175"/>
      <c r="UA67" s="175"/>
      <c r="UB67" s="175"/>
      <c r="UC67" s="175"/>
      <c r="UD67" s="175"/>
      <c r="UE67" s="175"/>
      <c r="UF67" s="175"/>
      <c r="UG67" s="175"/>
    </row>
    <row r="68" spans="3:553" s="110" customFormat="1" hidden="1" x14ac:dyDescent="0.35">
      <c r="TX68" s="175"/>
      <c r="TY68" s="175"/>
      <c r="TZ68" s="175"/>
      <c r="UA68" s="175"/>
      <c r="UB68" s="175"/>
      <c r="UC68" s="175"/>
      <c r="UD68" s="175"/>
      <c r="UE68" s="175"/>
      <c r="UF68" s="175"/>
      <c r="UG68" s="175"/>
    </row>
    <row r="69" spans="3:553" s="110" customFormat="1" hidden="1" x14ac:dyDescent="0.35">
      <c r="TX69" s="175"/>
      <c r="TY69" s="175"/>
      <c r="TZ69" s="175"/>
      <c r="UA69" s="175"/>
      <c r="UB69" s="175"/>
      <c r="UC69" s="175"/>
      <c r="UD69" s="175"/>
      <c r="UE69" s="175"/>
      <c r="UF69" s="175"/>
      <c r="UG69" s="175"/>
    </row>
    <row r="70" spans="3:553" s="110" customFormat="1" hidden="1" x14ac:dyDescent="0.35">
      <c r="C70" s="145"/>
      <c r="TX70" s="175"/>
      <c r="TY70" s="175"/>
      <c r="TZ70" s="175"/>
      <c r="UA70" s="175"/>
      <c r="UB70" s="175"/>
      <c r="UC70" s="175"/>
      <c r="UD70" s="175"/>
      <c r="UE70" s="175"/>
      <c r="UF70" s="175"/>
      <c r="UG70" s="175"/>
    </row>
    <row r="71" spans="3:553" s="110" customFormat="1" hidden="1" x14ac:dyDescent="0.35">
      <c r="C71" s="145"/>
      <c r="TX71" s="175"/>
      <c r="TY71" s="175"/>
      <c r="TZ71" s="175"/>
      <c r="UA71" s="175"/>
      <c r="UB71" s="175"/>
      <c r="UC71" s="175"/>
      <c r="UD71" s="175"/>
      <c r="UE71" s="175"/>
      <c r="UF71" s="175"/>
      <c r="UG71" s="175"/>
    </row>
    <row r="72" spans="3:553" s="110" customFormat="1" hidden="1" x14ac:dyDescent="0.35">
      <c r="TX72" s="175"/>
      <c r="TY72" s="175"/>
      <c r="TZ72" s="175"/>
      <c r="UA72" s="175"/>
      <c r="UB72" s="175"/>
      <c r="UC72" s="175"/>
      <c r="UD72" s="175"/>
      <c r="UE72" s="175"/>
      <c r="UF72" s="175"/>
      <c r="UG72" s="175"/>
    </row>
    <row r="73" spans="3:553" s="110" customFormat="1" hidden="1" x14ac:dyDescent="0.35">
      <c r="TX73" s="175"/>
      <c r="TY73" s="175"/>
      <c r="TZ73" s="175"/>
      <c r="UA73" s="175"/>
      <c r="UB73" s="175"/>
      <c r="UC73" s="175"/>
      <c r="UD73" s="175"/>
      <c r="UE73" s="175"/>
      <c r="UF73" s="175"/>
      <c r="UG73" s="175"/>
    </row>
    <row r="74" spans="3:553" s="110" customFormat="1" hidden="1" x14ac:dyDescent="0.35">
      <c r="C74" s="145"/>
      <c r="TX74" s="175"/>
      <c r="TY74" s="175"/>
      <c r="TZ74" s="175"/>
      <c r="UA74" s="175"/>
      <c r="UB74" s="175"/>
      <c r="UC74" s="175"/>
      <c r="UD74" s="175"/>
      <c r="UE74" s="175"/>
      <c r="UF74" s="175"/>
      <c r="UG74" s="175"/>
    </row>
    <row r="75" spans="3:553" s="110" customFormat="1" hidden="1" x14ac:dyDescent="0.35">
      <c r="C75" s="145"/>
      <c r="TX75" s="175"/>
      <c r="TY75" s="175"/>
      <c r="TZ75" s="175"/>
      <c r="UA75" s="175"/>
      <c r="UB75" s="175"/>
      <c r="UC75" s="175"/>
      <c r="UD75" s="175"/>
      <c r="UE75" s="175"/>
      <c r="UF75" s="175"/>
      <c r="UG75" s="175"/>
    </row>
    <row r="76" spans="3:553" s="110" customFormat="1" hidden="1" x14ac:dyDescent="0.35">
      <c r="TX76" s="175"/>
      <c r="TY76" s="175"/>
      <c r="TZ76" s="175"/>
      <c r="UA76" s="175"/>
      <c r="UB76" s="175"/>
      <c r="UC76" s="175"/>
      <c r="UD76" s="175"/>
      <c r="UE76" s="175"/>
      <c r="UF76" s="175"/>
      <c r="UG76" s="175"/>
    </row>
    <row r="77" spans="3:553" s="110" customFormat="1" hidden="1" x14ac:dyDescent="0.35">
      <c r="TX77" s="175"/>
      <c r="TY77" s="175"/>
      <c r="TZ77" s="175"/>
      <c r="UA77" s="175"/>
      <c r="UB77" s="175"/>
      <c r="UC77" s="175"/>
      <c r="UD77" s="175"/>
      <c r="UE77" s="175"/>
      <c r="UF77" s="175"/>
      <c r="UG77" s="175"/>
    </row>
    <row r="78" spans="3:553" s="110" customFormat="1" hidden="1" x14ac:dyDescent="0.35">
      <c r="TX78" s="175"/>
      <c r="TY78" s="175"/>
      <c r="TZ78" s="175"/>
      <c r="UA78" s="175"/>
      <c r="UB78" s="175"/>
      <c r="UC78" s="175"/>
      <c r="UD78" s="175"/>
      <c r="UE78" s="175"/>
      <c r="UF78" s="175"/>
      <c r="UG78" s="175"/>
    </row>
    <row r="79" spans="3:553" s="110" customFormat="1" hidden="1" x14ac:dyDescent="0.35">
      <c r="TX79" s="175"/>
      <c r="TY79" s="175"/>
      <c r="TZ79" s="175"/>
      <c r="UA79" s="175"/>
      <c r="UB79" s="175"/>
      <c r="UC79" s="175"/>
      <c r="UD79" s="175"/>
      <c r="UE79" s="175"/>
      <c r="UF79" s="175"/>
      <c r="UG79" s="175"/>
    </row>
    <row r="80" spans="3:553" s="110" customFormat="1" hidden="1" x14ac:dyDescent="0.35">
      <c r="TX80" s="175"/>
      <c r="TY80" s="175"/>
      <c r="TZ80" s="175"/>
      <c r="UA80" s="175"/>
      <c r="UB80" s="175"/>
      <c r="UC80" s="175"/>
      <c r="UD80" s="175"/>
      <c r="UE80" s="175"/>
      <c r="UF80" s="175"/>
      <c r="UG80" s="175"/>
    </row>
    <row r="81" spans="3:553" s="110" customFormat="1" hidden="1" x14ac:dyDescent="0.35">
      <c r="TX81" s="175"/>
      <c r="TY81" s="175"/>
      <c r="TZ81" s="175"/>
      <c r="UA81" s="175"/>
      <c r="UB81" s="175"/>
      <c r="UC81" s="175"/>
      <c r="UD81" s="175"/>
      <c r="UE81" s="175"/>
      <c r="UF81" s="175"/>
      <c r="UG81" s="175"/>
    </row>
    <row r="82" spans="3:553" s="10" customFormat="1" hidden="1" x14ac:dyDescent="0.35">
      <c r="TX82" s="175"/>
      <c r="TY82" s="175"/>
      <c r="TZ82" s="175"/>
      <c r="UA82" s="175"/>
      <c r="UB82" s="175"/>
      <c r="UC82" s="175"/>
      <c r="UD82" s="175"/>
      <c r="UE82" s="175"/>
      <c r="UF82" s="175"/>
      <c r="UG82" s="175"/>
    </row>
    <row r="83" spans="3:553" s="10" customFormat="1" hidden="1" x14ac:dyDescent="0.35">
      <c r="TX83" s="175"/>
      <c r="TY83" s="175"/>
      <c r="TZ83" s="175"/>
      <c r="UA83" s="175"/>
      <c r="UB83" s="175"/>
      <c r="UC83" s="175"/>
      <c r="UD83" s="175"/>
      <c r="UE83" s="175"/>
      <c r="UF83" s="175"/>
      <c r="UG83" s="175"/>
    </row>
    <row r="84" spans="3:553" s="10" customFormat="1" hidden="1" x14ac:dyDescent="0.35">
      <c r="TX84" s="175"/>
      <c r="TY84" s="175"/>
      <c r="TZ84" s="175"/>
      <c r="UA84" s="175"/>
      <c r="UB84" s="175"/>
      <c r="UC84" s="175"/>
      <c r="UD84" s="175"/>
      <c r="UE84" s="175"/>
      <c r="UF84" s="175"/>
      <c r="UG84" s="175"/>
    </row>
    <row r="85" spans="3:553" s="10" customFormat="1" hidden="1" x14ac:dyDescent="0.35">
      <c r="TX85" s="175"/>
      <c r="TY85" s="175"/>
      <c r="TZ85" s="175"/>
      <c r="UA85" s="175"/>
      <c r="UB85" s="175"/>
      <c r="UC85" s="175"/>
      <c r="UD85" s="175"/>
      <c r="UE85" s="175"/>
      <c r="UF85" s="175"/>
      <c r="UG85" s="175"/>
    </row>
    <row r="86" spans="3:553" s="10" customFormat="1" hidden="1" x14ac:dyDescent="0.35">
      <c r="TX86" s="175"/>
      <c r="TY86" s="175"/>
      <c r="TZ86" s="175"/>
      <c r="UA86" s="175"/>
      <c r="UB86" s="175"/>
      <c r="UC86" s="175"/>
      <c r="UD86" s="175"/>
      <c r="UE86" s="175"/>
      <c r="UF86" s="175"/>
      <c r="UG86" s="175"/>
    </row>
    <row r="87" spans="3:553" s="10" customFormat="1" hidden="1" x14ac:dyDescent="0.35">
      <c r="TX87" s="175"/>
      <c r="TY87" s="175"/>
      <c r="TZ87" s="175"/>
      <c r="UA87" s="175"/>
      <c r="UB87" s="175"/>
      <c r="UC87" s="175"/>
      <c r="UD87" s="175"/>
      <c r="UE87" s="175"/>
      <c r="UF87" s="175"/>
      <c r="UG87" s="175"/>
    </row>
    <row r="88" spans="3:553" s="10" customFormat="1" hidden="1" x14ac:dyDescent="0.35">
      <c r="TX88" s="175"/>
      <c r="TY88" s="175"/>
      <c r="TZ88" s="175"/>
      <c r="UA88" s="175"/>
      <c r="UB88" s="175"/>
      <c r="UC88" s="175"/>
      <c r="UD88" s="175"/>
      <c r="UE88" s="175"/>
      <c r="UF88" s="175"/>
      <c r="UG88" s="175"/>
    </row>
    <row r="89" spans="3:553" s="10" customFormat="1" hidden="1" x14ac:dyDescent="0.35">
      <c r="TX89" s="175"/>
      <c r="TY89" s="175"/>
      <c r="TZ89" s="175"/>
      <c r="UA89" s="175"/>
      <c r="UB89" s="175"/>
      <c r="UC89" s="175"/>
      <c r="UD89" s="175"/>
      <c r="UE89" s="175"/>
      <c r="UF89" s="175"/>
      <c r="UG89" s="175"/>
    </row>
    <row r="90" spans="3:553" s="10" customFormat="1" hidden="1" x14ac:dyDescent="0.35">
      <c r="TX90" s="175"/>
      <c r="TY90" s="175"/>
      <c r="TZ90" s="175"/>
      <c r="UA90" s="175"/>
      <c r="UB90" s="175"/>
      <c r="UC90" s="175"/>
      <c r="UD90" s="175"/>
      <c r="UE90" s="175"/>
      <c r="UF90" s="175"/>
      <c r="UG90" s="175"/>
    </row>
    <row r="91" spans="3:553" s="10" customFormat="1" hidden="1" x14ac:dyDescent="0.35">
      <c r="TX91" s="175"/>
      <c r="TY91" s="175"/>
      <c r="TZ91" s="175"/>
      <c r="UA91" s="175"/>
      <c r="UB91" s="175"/>
      <c r="UC91" s="175"/>
      <c r="UD91" s="175"/>
      <c r="UE91" s="175"/>
      <c r="UF91" s="175"/>
      <c r="UG91" s="175"/>
    </row>
    <row r="92" spans="3:553" s="10" customFormat="1" hidden="1" x14ac:dyDescent="0.35">
      <c r="TX92" s="175"/>
      <c r="TY92" s="175"/>
      <c r="TZ92" s="175"/>
      <c r="UA92" s="175"/>
      <c r="UB92" s="175"/>
      <c r="UC92" s="175"/>
      <c r="UD92" s="175"/>
      <c r="UE92" s="175"/>
      <c r="UF92" s="175"/>
      <c r="UG92" s="175"/>
    </row>
    <row r="93" spans="3:553" s="10" customFormat="1" hidden="1" x14ac:dyDescent="0.35">
      <c r="TX93" s="175"/>
      <c r="TY93" s="175"/>
      <c r="TZ93" s="175"/>
      <c r="UA93" s="175"/>
      <c r="UB93" s="175"/>
      <c r="UC93" s="175"/>
      <c r="UD93" s="175"/>
      <c r="UE93" s="175"/>
      <c r="UF93" s="175"/>
      <c r="UG93" s="175"/>
    </row>
    <row r="94" spans="3:553" hidden="1" x14ac:dyDescent="0.35">
      <c r="C94" s="10"/>
    </row>
    <row r="95" spans="3:553" hidden="1" x14ac:dyDescent="0.35">
      <c r="C95" s="10"/>
    </row>
    <row r="96" spans="3:553" hidden="1" x14ac:dyDescent="0.35">
      <c r="C96" s="10"/>
    </row>
    <row r="97" spans="3:3" hidden="1" x14ac:dyDescent="0.35">
      <c r="C97" s="10"/>
    </row>
    <row r="98" spans="3:3" hidden="1" x14ac:dyDescent="0.35">
      <c r="C98" s="10"/>
    </row>
    <row r="99" spans="3:3" hidden="1" x14ac:dyDescent="0.35">
      <c r="C99" s="10"/>
    </row>
    <row r="100" spans="3:3" hidden="1" x14ac:dyDescent="0.35">
      <c r="C100" s="10"/>
    </row>
    <row r="101" spans="3:3" hidden="1" x14ac:dyDescent="0.35">
      <c r="C101" s="10"/>
    </row>
    <row r="102" spans="3:3" hidden="1" x14ac:dyDescent="0.35"/>
    <row r="103" spans="3:3" hidden="1" x14ac:dyDescent="0.35"/>
    <row r="104" spans="3:3" hidden="1" x14ac:dyDescent="0.35"/>
    <row r="105" spans="3:3" hidden="1" x14ac:dyDescent="0.35"/>
    <row r="106" spans="3:3" hidden="1" x14ac:dyDescent="0.35"/>
    <row r="107" spans="3:3" hidden="1" x14ac:dyDescent="0.35"/>
    <row r="108" spans="3:3" hidden="1" x14ac:dyDescent="0.35"/>
    <row r="109" spans="3:3" hidden="1" x14ac:dyDescent="0.35"/>
    <row r="110" spans="3:3" hidden="1" x14ac:dyDescent="0.35"/>
    <row r="111" spans="3:3" hidden="1" x14ac:dyDescent="0.35"/>
    <row r="112" spans="3:3"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spans="3:543" hidden="1" x14ac:dyDescent="0.35"/>
    <row r="210" spans="3:543" hidden="1" x14ac:dyDescent="0.35"/>
    <row r="211" spans="3:543" hidden="1" x14ac:dyDescent="0.35"/>
    <row r="212" spans="3:543" hidden="1" x14ac:dyDescent="0.35"/>
    <row r="213" spans="3:543" hidden="1" x14ac:dyDescent="0.35"/>
    <row r="215" spans="3:543" x14ac:dyDescent="0.35">
      <c r="KP215" s="81"/>
      <c r="KR215" s="175">
        <v>1</v>
      </c>
      <c r="KT215" s="175">
        <f>KR215+1</f>
        <v>2</v>
      </c>
      <c r="KV215" s="175">
        <f>KT215+1</f>
        <v>3</v>
      </c>
      <c r="KX215" s="175">
        <f>KV215+1</f>
        <v>4</v>
      </c>
      <c r="KZ215" s="175">
        <f>KX215+1</f>
        <v>5</v>
      </c>
      <c r="LB215" s="175">
        <f>KZ215+1</f>
        <v>6</v>
      </c>
      <c r="LD215" s="175">
        <f>LB215+1</f>
        <v>7</v>
      </c>
      <c r="LF215" s="175">
        <f>LD215+1</f>
        <v>8</v>
      </c>
      <c r="LH215" s="175">
        <f>LF215+1</f>
        <v>9</v>
      </c>
      <c r="LJ215" s="175">
        <f>LH215+1</f>
        <v>10</v>
      </c>
      <c r="LL215" s="175">
        <f>LJ215+1</f>
        <v>11</v>
      </c>
      <c r="LN215" s="175">
        <f>LL215+1</f>
        <v>12</v>
      </c>
      <c r="LP215" s="175">
        <f>LN215+1</f>
        <v>13</v>
      </c>
      <c r="LR215" s="175">
        <f>LP215+1</f>
        <v>14</v>
      </c>
      <c r="LT215" s="175">
        <f>LR215+1</f>
        <v>15</v>
      </c>
      <c r="LV215" s="175">
        <f>LT215+1</f>
        <v>16</v>
      </c>
      <c r="LX215" s="175">
        <f>LV215+1</f>
        <v>17</v>
      </c>
      <c r="LZ215" s="175">
        <f>LX215+1</f>
        <v>18</v>
      </c>
      <c r="MB215" s="175">
        <f>LZ215+1</f>
        <v>19</v>
      </c>
      <c r="MD215" s="175">
        <f>MB215+1</f>
        <v>20</v>
      </c>
      <c r="MF215" s="175">
        <f>MD215+1</f>
        <v>21</v>
      </c>
      <c r="MH215" s="175">
        <f>MF215+1</f>
        <v>22</v>
      </c>
      <c r="MJ215" s="175">
        <f>MH215+1</f>
        <v>23</v>
      </c>
      <c r="ML215" s="175">
        <f>MJ215+1</f>
        <v>24</v>
      </c>
      <c r="MN215" s="175">
        <f>ML215+1</f>
        <v>25</v>
      </c>
      <c r="MP215" s="175">
        <f>MN215+1</f>
        <v>26</v>
      </c>
      <c r="MR215" s="175">
        <f>MP215+1</f>
        <v>27</v>
      </c>
      <c r="MT215" s="175">
        <f>MR215+1</f>
        <v>28</v>
      </c>
      <c r="MV215" s="175">
        <f>MT215+1</f>
        <v>29</v>
      </c>
      <c r="MX215" s="175">
        <f>MV215+1</f>
        <v>30</v>
      </c>
      <c r="MZ215" s="175">
        <f>MX215+1</f>
        <v>31</v>
      </c>
      <c r="NB215" s="175">
        <f>MZ215+1</f>
        <v>32</v>
      </c>
      <c r="ND215" s="175">
        <f>NB215+1</f>
        <v>33</v>
      </c>
      <c r="NF215" s="175">
        <f>ND215+1</f>
        <v>34</v>
      </c>
      <c r="NH215" s="175">
        <f>NF215+1</f>
        <v>35</v>
      </c>
      <c r="NJ215" s="175">
        <f>NH215+1</f>
        <v>36</v>
      </c>
      <c r="NL215" s="175">
        <f>NJ215+1</f>
        <v>37</v>
      </c>
      <c r="NN215" s="175">
        <f>NL215+1</f>
        <v>38</v>
      </c>
      <c r="NP215" s="175">
        <f>NN215+1</f>
        <v>39</v>
      </c>
      <c r="NR215" s="175">
        <f>NP215+1</f>
        <v>40</v>
      </c>
      <c r="NT215" s="175">
        <f>NR215+1</f>
        <v>41</v>
      </c>
      <c r="NV215" s="175">
        <f>NT215+1</f>
        <v>42</v>
      </c>
      <c r="NX215" s="175">
        <f>NV215+1</f>
        <v>43</v>
      </c>
      <c r="NZ215" s="175">
        <f>NX215+1</f>
        <v>44</v>
      </c>
      <c r="OB215" s="175">
        <f>NZ215+1</f>
        <v>45</v>
      </c>
      <c r="OD215" s="175">
        <f>OB215+1</f>
        <v>46</v>
      </c>
      <c r="OF215" s="175">
        <f>OD215+1</f>
        <v>47</v>
      </c>
      <c r="OH215" s="175">
        <f>OF215+1</f>
        <v>48</v>
      </c>
      <c r="OJ215" s="175">
        <f>OH215+1</f>
        <v>49</v>
      </c>
      <c r="OL215" s="175">
        <f>OJ215+1</f>
        <v>50</v>
      </c>
      <c r="ON215" s="175">
        <f>OL215+1</f>
        <v>51</v>
      </c>
      <c r="OP215" s="175">
        <f>ON215+1</f>
        <v>52</v>
      </c>
      <c r="OR215" s="175">
        <f>OP215+1</f>
        <v>53</v>
      </c>
      <c r="OT215" s="175">
        <f>OR215+1</f>
        <v>54</v>
      </c>
      <c r="OV215" s="175">
        <f>OT215+1</f>
        <v>55</v>
      </c>
      <c r="OX215" s="175">
        <f>OV215+1</f>
        <v>56</v>
      </c>
      <c r="OZ215" s="175">
        <f>OX215+1</f>
        <v>57</v>
      </c>
      <c r="PB215" s="175">
        <f>OZ215+1</f>
        <v>58</v>
      </c>
      <c r="PD215" s="175">
        <f>PB215+1</f>
        <v>59</v>
      </c>
      <c r="PF215" s="175">
        <f>PD215+1</f>
        <v>60</v>
      </c>
      <c r="PH215" s="175">
        <f>PF215+1</f>
        <v>61</v>
      </c>
      <c r="PJ215" s="175">
        <f>PH215+1</f>
        <v>62</v>
      </c>
      <c r="PL215" s="175">
        <f>PJ215+1</f>
        <v>63</v>
      </c>
      <c r="PN215" s="175">
        <f>PL215+1</f>
        <v>64</v>
      </c>
      <c r="PP215" s="175">
        <f>PN215+1</f>
        <v>65</v>
      </c>
      <c r="PR215" s="175">
        <f>PP215+1</f>
        <v>66</v>
      </c>
      <c r="PT215" s="175">
        <f>PR215+1</f>
        <v>67</v>
      </c>
      <c r="PV215" s="175">
        <f>PT215+1</f>
        <v>68</v>
      </c>
      <c r="PX215" s="175">
        <f>PV215+1</f>
        <v>69</v>
      </c>
      <c r="PZ215" s="175">
        <f>PX215+1</f>
        <v>70</v>
      </c>
      <c r="QB215" s="175">
        <f>PZ215+1</f>
        <v>71</v>
      </c>
      <c r="QD215" s="175">
        <f>QB215+1</f>
        <v>72</v>
      </c>
      <c r="QF215" s="175">
        <f>QD215+1</f>
        <v>73</v>
      </c>
      <c r="QH215" s="175">
        <f>QF215+1</f>
        <v>74</v>
      </c>
      <c r="QJ215" s="175">
        <f>QH215+1</f>
        <v>75</v>
      </c>
      <c r="QL215" s="175">
        <f>QJ215+1</f>
        <v>76</v>
      </c>
      <c r="QN215" s="175">
        <f>QL215+1</f>
        <v>77</v>
      </c>
      <c r="QP215" s="175">
        <f>QN215+1</f>
        <v>78</v>
      </c>
      <c r="QR215" s="175">
        <f>QP215+1</f>
        <v>79</v>
      </c>
      <c r="QT215" s="175">
        <f>QR215+1</f>
        <v>80</v>
      </c>
      <c r="QV215" s="175">
        <f>QT215+1</f>
        <v>81</v>
      </c>
      <c r="QX215" s="175">
        <f>QV215+1</f>
        <v>82</v>
      </c>
      <c r="QZ215" s="175">
        <f>QX215+1</f>
        <v>83</v>
      </c>
      <c r="RB215" s="175">
        <f>QZ215+1</f>
        <v>84</v>
      </c>
      <c r="RD215" s="175">
        <f>RB215+1</f>
        <v>85</v>
      </c>
      <c r="RF215" s="175">
        <f>RD215+1</f>
        <v>86</v>
      </c>
      <c r="RH215" s="175">
        <f>RF215+1</f>
        <v>87</v>
      </c>
      <c r="RJ215" s="175">
        <f>RH215+1</f>
        <v>88</v>
      </c>
      <c r="RL215" s="175">
        <f>RJ215+1</f>
        <v>89</v>
      </c>
      <c r="RN215" s="175">
        <f>RL215+1</f>
        <v>90</v>
      </c>
      <c r="RP215" s="175">
        <f>RN215+1</f>
        <v>91</v>
      </c>
      <c r="RR215" s="175">
        <f>RP215+1</f>
        <v>92</v>
      </c>
      <c r="RT215" s="175">
        <f>RR215+1</f>
        <v>93</v>
      </c>
      <c r="RV215" s="175">
        <f>RT215+1</f>
        <v>94</v>
      </c>
      <c r="RX215" s="175">
        <f>RV215+1</f>
        <v>95</v>
      </c>
      <c r="RZ215" s="175">
        <f>RX215+1</f>
        <v>96</v>
      </c>
      <c r="SB215" s="175">
        <f>RZ215+1</f>
        <v>97</v>
      </c>
      <c r="SD215" s="175">
        <f>SB215+1</f>
        <v>98</v>
      </c>
      <c r="SF215" s="175">
        <f>SD215+1</f>
        <v>99</v>
      </c>
      <c r="SH215" s="175">
        <f>SF215+1</f>
        <v>100</v>
      </c>
      <c r="SJ215" s="175">
        <f>SH215+1</f>
        <v>101</v>
      </c>
      <c r="SL215" s="175">
        <f>SJ215+1</f>
        <v>102</v>
      </c>
      <c r="SN215" s="175">
        <f>SL215+1</f>
        <v>103</v>
      </c>
      <c r="SP215" s="175">
        <f>SN215+1</f>
        <v>104</v>
      </c>
      <c r="SR215" s="175">
        <f>SP215+1</f>
        <v>105</v>
      </c>
      <c r="ST215" s="175">
        <f>SR215+1</f>
        <v>106</v>
      </c>
      <c r="SV215" s="175">
        <f>ST215+1</f>
        <v>107</v>
      </c>
      <c r="SX215" s="175">
        <f>SV215+1</f>
        <v>108</v>
      </c>
      <c r="SZ215" s="175">
        <f>SX215+1</f>
        <v>109</v>
      </c>
      <c r="TB215" s="175">
        <f>SZ215+1</f>
        <v>110</v>
      </c>
      <c r="TD215" s="175">
        <f>TB215+1</f>
        <v>111</v>
      </c>
      <c r="TF215" s="175">
        <f>TD215+1</f>
        <v>112</v>
      </c>
      <c r="TH215" s="175">
        <f>TF215+1</f>
        <v>113</v>
      </c>
      <c r="TJ215" s="175">
        <f>TH215+1</f>
        <v>114</v>
      </c>
      <c r="TL215" s="175">
        <f>TJ215+1</f>
        <v>115</v>
      </c>
      <c r="TN215" s="175">
        <f>TL215+1</f>
        <v>116</v>
      </c>
      <c r="TP215" s="175">
        <f>TN215+1</f>
        <v>117</v>
      </c>
      <c r="TR215" s="175">
        <f>TP215+1</f>
        <v>118</v>
      </c>
      <c r="TT215" s="175">
        <f>TR215+1</f>
        <v>119</v>
      </c>
      <c r="TV215" s="175">
        <f>TT215+1</f>
        <v>120</v>
      </c>
    </row>
    <row r="216" spans="3:543" x14ac:dyDescent="0.35">
      <c r="KO216" s="40"/>
      <c r="KP216" s="81"/>
      <c r="KR216" s="66">
        <v>0.24</v>
      </c>
      <c r="KS216" s="95"/>
      <c r="KT216" s="43">
        <f>KR216</f>
        <v>0.24</v>
      </c>
      <c r="KU216" s="40"/>
      <c r="KV216" s="150">
        <f>KT216</f>
        <v>0.24</v>
      </c>
      <c r="KW216" s="40"/>
      <c r="KX216" s="43">
        <f>KV216</f>
        <v>0.24</v>
      </c>
      <c r="KY216" s="40"/>
      <c r="KZ216" s="43">
        <f>KX216</f>
        <v>0.24</v>
      </c>
      <c r="LA216" s="40"/>
      <c r="LB216" s="150">
        <f>KZ216</f>
        <v>0.24</v>
      </c>
      <c r="LC216" s="40"/>
      <c r="LD216" s="43">
        <f>LB216</f>
        <v>0.24</v>
      </c>
      <c r="LE216" s="40"/>
      <c r="LF216" s="43">
        <f>LD216</f>
        <v>0.24</v>
      </c>
      <c r="LG216" s="40"/>
      <c r="LH216" s="150">
        <f>LF216</f>
        <v>0.24</v>
      </c>
      <c r="LI216" s="40"/>
      <c r="LJ216" s="43">
        <f>LH216</f>
        <v>0.24</v>
      </c>
      <c r="LK216" s="40"/>
      <c r="LL216" s="43">
        <f>LJ216</f>
        <v>0.24</v>
      </c>
      <c r="LM216" s="40"/>
      <c r="LN216" s="150">
        <f>LL216</f>
        <v>0.24</v>
      </c>
      <c r="LP216" s="43">
        <f>LN216</f>
        <v>0.24</v>
      </c>
      <c r="LQ216" s="40"/>
      <c r="LR216" s="43">
        <f>LP216</f>
        <v>0.24</v>
      </c>
      <c r="LS216" s="40"/>
      <c r="LT216" s="150">
        <f>LR216</f>
        <v>0.24</v>
      </c>
      <c r="LU216" s="40"/>
      <c r="LV216" s="43">
        <f>LT216</f>
        <v>0.24</v>
      </c>
      <c r="LW216" s="40"/>
      <c r="LX216" s="43">
        <f>LV216</f>
        <v>0.24</v>
      </c>
      <c r="LY216" s="40"/>
      <c r="LZ216" s="150">
        <f>LX216</f>
        <v>0.24</v>
      </c>
      <c r="MA216" s="40"/>
      <c r="MB216" s="43">
        <f>LZ216</f>
        <v>0.24</v>
      </c>
      <c r="MC216" s="40"/>
      <c r="MD216" s="43">
        <f>MB216</f>
        <v>0.24</v>
      </c>
      <c r="ME216" s="40"/>
      <c r="MF216" s="150">
        <f>MD216</f>
        <v>0.24</v>
      </c>
      <c r="MG216" s="40"/>
      <c r="MH216" s="43">
        <f>MF216</f>
        <v>0.24</v>
      </c>
      <c r="MI216" s="40"/>
      <c r="MJ216" s="43">
        <f>MH216</f>
        <v>0.24</v>
      </c>
      <c r="MK216" s="40"/>
      <c r="ML216" s="150">
        <f>MJ216</f>
        <v>0.24</v>
      </c>
      <c r="MN216" s="43">
        <f>ML216</f>
        <v>0.24</v>
      </c>
      <c r="MO216" s="40"/>
      <c r="MP216" s="43">
        <f>MN216</f>
        <v>0.24</v>
      </c>
      <c r="MQ216" s="40"/>
      <c r="MR216" s="150">
        <f>MP216</f>
        <v>0.24</v>
      </c>
      <c r="MS216" s="40"/>
      <c r="MT216" s="43">
        <f>MR216</f>
        <v>0.24</v>
      </c>
      <c r="MU216" s="40"/>
      <c r="MV216" s="43">
        <f>MT216</f>
        <v>0.24</v>
      </c>
      <c r="MW216" s="40"/>
      <c r="MX216" s="150">
        <f>MV216</f>
        <v>0.24</v>
      </c>
      <c r="MY216" s="40"/>
      <c r="MZ216" s="43">
        <f>MX216</f>
        <v>0.24</v>
      </c>
      <c r="NA216" s="40"/>
      <c r="NB216" s="43">
        <f>MZ216</f>
        <v>0.24</v>
      </c>
      <c r="NC216" s="40"/>
      <c r="ND216" s="150">
        <f>NB216</f>
        <v>0.24</v>
      </c>
      <c r="NE216" s="40"/>
      <c r="NF216" s="43">
        <f>ND216</f>
        <v>0.24</v>
      </c>
      <c r="NG216" s="40"/>
      <c r="NH216" s="43">
        <f>NF216</f>
        <v>0.24</v>
      </c>
      <c r="NI216" s="40"/>
      <c r="NJ216" s="150">
        <f>NH216</f>
        <v>0.24</v>
      </c>
      <c r="NL216" s="43">
        <f>NJ216</f>
        <v>0.24</v>
      </c>
      <c r="NM216" s="40"/>
      <c r="NN216" s="43">
        <f>NL216</f>
        <v>0.24</v>
      </c>
      <c r="NO216" s="40"/>
      <c r="NP216" s="150">
        <f>NN216</f>
        <v>0.24</v>
      </c>
      <c r="NQ216" s="40"/>
      <c r="NR216" s="43">
        <f>NP216</f>
        <v>0.24</v>
      </c>
      <c r="NS216" s="40"/>
      <c r="NT216" s="43">
        <f>NR216</f>
        <v>0.24</v>
      </c>
      <c r="NU216" s="40"/>
      <c r="NV216" s="150">
        <f>NT216</f>
        <v>0.24</v>
      </c>
      <c r="NW216" s="40"/>
      <c r="NX216" s="43">
        <f>NV216</f>
        <v>0.24</v>
      </c>
      <c r="NY216" s="40"/>
      <c r="NZ216" s="43">
        <f>NX216</f>
        <v>0.24</v>
      </c>
      <c r="OA216" s="40"/>
      <c r="OB216" s="150">
        <f>NZ216</f>
        <v>0.24</v>
      </c>
      <c r="OC216" s="40"/>
      <c r="OD216" s="43">
        <f>OB216</f>
        <v>0.24</v>
      </c>
      <c r="OE216" s="40"/>
      <c r="OF216" s="43">
        <f>OD216</f>
        <v>0.24</v>
      </c>
      <c r="OG216" s="40"/>
      <c r="OH216" s="150">
        <f>OF216</f>
        <v>0.24</v>
      </c>
      <c r="OJ216" s="43">
        <f>OH216</f>
        <v>0.24</v>
      </c>
      <c r="OK216" s="40"/>
      <c r="OL216" s="43">
        <f>OJ216</f>
        <v>0.24</v>
      </c>
      <c r="OM216" s="40"/>
      <c r="ON216" s="150">
        <f>OL216</f>
        <v>0.24</v>
      </c>
      <c r="OO216" s="40"/>
      <c r="OP216" s="43">
        <f>ON216</f>
        <v>0.24</v>
      </c>
      <c r="OQ216" s="40"/>
      <c r="OR216" s="43">
        <f>OP216</f>
        <v>0.24</v>
      </c>
      <c r="OS216" s="40"/>
      <c r="OT216" s="150">
        <f>OR216</f>
        <v>0.24</v>
      </c>
      <c r="OU216" s="40"/>
      <c r="OV216" s="43">
        <f>OT216</f>
        <v>0.24</v>
      </c>
      <c r="OW216" s="40"/>
      <c r="OX216" s="43">
        <f>OV216</f>
        <v>0.24</v>
      </c>
      <c r="OY216" s="40"/>
      <c r="OZ216" s="150">
        <f>OX216</f>
        <v>0.24</v>
      </c>
      <c r="PA216" s="40"/>
      <c r="PB216" s="43">
        <f>OZ216</f>
        <v>0.24</v>
      </c>
      <c r="PC216" s="40"/>
      <c r="PD216" s="43">
        <f>PB216</f>
        <v>0.24</v>
      </c>
      <c r="PE216" s="40"/>
      <c r="PF216" s="150">
        <f>PD216</f>
        <v>0.24</v>
      </c>
      <c r="PH216" s="43">
        <f>PF216</f>
        <v>0.24</v>
      </c>
      <c r="PI216" s="40"/>
      <c r="PJ216" s="43">
        <f>PH216</f>
        <v>0.24</v>
      </c>
      <c r="PK216" s="40"/>
      <c r="PL216" s="150">
        <f>PJ216</f>
        <v>0.24</v>
      </c>
      <c r="PM216" s="40"/>
      <c r="PN216" s="43">
        <f>PL216</f>
        <v>0.24</v>
      </c>
      <c r="PO216" s="40"/>
      <c r="PP216" s="43">
        <f>PN216</f>
        <v>0.24</v>
      </c>
      <c r="PQ216" s="40"/>
      <c r="PR216" s="150">
        <f>PP216</f>
        <v>0.24</v>
      </c>
      <c r="PS216" s="40"/>
      <c r="PT216" s="43">
        <f>PR216</f>
        <v>0.24</v>
      </c>
      <c r="PU216" s="40"/>
      <c r="PV216" s="43">
        <f>PT216</f>
        <v>0.24</v>
      </c>
      <c r="PW216" s="40"/>
      <c r="PX216" s="150">
        <f>PV216</f>
        <v>0.24</v>
      </c>
      <c r="PY216" s="40"/>
      <c r="PZ216" s="43">
        <f>PX216</f>
        <v>0.24</v>
      </c>
      <c r="QA216" s="40"/>
      <c r="QB216" s="43">
        <f>PZ216</f>
        <v>0.24</v>
      </c>
      <c r="QC216" s="40"/>
      <c r="QD216" s="150">
        <f>QB216</f>
        <v>0.24</v>
      </c>
      <c r="QF216" s="43">
        <f>QD216</f>
        <v>0.24</v>
      </c>
      <c r="QG216" s="40"/>
      <c r="QH216" s="43">
        <f>QF216</f>
        <v>0.24</v>
      </c>
      <c r="QI216" s="40"/>
      <c r="QJ216" s="150">
        <f>QH216</f>
        <v>0.24</v>
      </c>
      <c r="QK216" s="40"/>
      <c r="QL216" s="43">
        <f>QJ216</f>
        <v>0.24</v>
      </c>
      <c r="QM216" s="40"/>
      <c r="QN216" s="43">
        <f>QL216</f>
        <v>0.24</v>
      </c>
      <c r="QO216" s="40"/>
      <c r="QP216" s="150">
        <f>QN216</f>
        <v>0.24</v>
      </c>
      <c r="QQ216" s="40"/>
      <c r="QR216" s="43">
        <f>QP216</f>
        <v>0.24</v>
      </c>
      <c r="QS216" s="40"/>
      <c r="QT216" s="43">
        <f>QR216</f>
        <v>0.24</v>
      </c>
      <c r="QU216" s="40"/>
      <c r="QV216" s="150">
        <f>QT216</f>
        <v>0.24</v>
      </c>
      <c r="QW216" s="40"/>
      <c r="QX216" s="43">
        <f>QV216</f>
        <v>0.24</v>
      </c>
      <c r="QY216" s="40"/>
      <c r="QZ216" s="43">
        <f>QX216</f>
        <v>0.24</v>
      </c>
      <c r="RA216" s="40"/>
      <c r="RB216" s="150">
        <f>QZ216</f>
        <v>0.24</v>
      </c>
      <c r="RD216" s="43">
        <f>RB216</f>
        <v>0.24</v>
      </c>
      <c r="RE216" s="40"/>
      <c r="RF216" s="43">
        <f>RD216</f>
        <v>0.24</v>
      </c>
      <c r="RG216" s="40"/>
      <c r="RH216" s="150">
        <f>RF216</f>
        <v>0.24</v>
      </c>
      <c r="RI216" s="40"/>
      <c r="RJ216" s="43">
        <f>RH216</f>
        <v>0.24</v>
      </c>
      <c r="RK216" s="40"/>
      <c r="RL216" s="43">
        <f>RJ216</f>
        <v>0.24</v>
      </c>
      <c r="RM216" s="40"/>
      <c r="RN216" s="150">
        <f>RL216</f>
        <v>0.24</v>
      </c>
      <c r="RO216" s="40"/>
      <c r="RP216" s="43">
        <f>RN216</f>
        <v>0.24</v>
      </c>
      <c r="RQ216" s="40"/>
      <c r="RR216" s="43">
        <f>RP216</f>
        <v>0.24</v>
      </c>
      <c r="RS216" s="40"/>
      <c r="RT216" s="150">
        <f>RR216</f>
        <v>0.24</v>
      </c>
      <c r="RU216" s="40"/>
      <c r="RV216" s="43">
        <f>RT216</f>
        <v>0.24</v>
      </c>
      <c r="RW216" s="40"/>
      <c r="RX216" s="43">
        <f>RV216</f>
        <v>0.24</v>
      </c>
      <c r="RY216" s="40"/>
      <c r="RZ216" s="150">
        <f>RX216</f>
        <v>0.24</v>
      </c>
      <c r="SB216" s="43">
        <f>RZ216</f>
        <v>0.24</v>
      </c>
      <c r="SC216" s="40"/>
      <c r="SD216" s="43">
        <f>SB216</f>
        <v>0.24</v>
      </c>
      <c r="SE216" s="40"/>
      <c r="SF216" s="150">
        <f>SD216</f>
        <v>0.24</v>
      </c>
      <c r="SG216" s="40"/>
      <c r="SH216" s="43">
        <f>SF216</f>
        <v>0.24</v>
      </c>
      <c r="SI216" s="40"/>
      <c r="SJ216" s="43">
        <f>SH216</f>
        <v>0.24</v>
      </c>
      <c r="SK216" s="40"/>
      <c r="SL216" s="150">
        <f>SJ216</f>
        <v>0.24</v>
      </c>
      <c r="SM216" s="40"/>
      <c r="SN216" s="43">
        <f>SL216</f>
        <v>0.24</v>
      </c>
      <c r="SO216" s="40"/>
      <c r="SP216" s="43">
        <f>SN216</f>
        <v>0.24</v>
      </c>
      <c r="SQ216" s="40"/>
      <c r="SR216" s="150">
        <f>SP216</f>
        <v>0.24</v>
      </c>
      <c r="SS216" s="40"/>
      <c r="ST216" s="43">
        <f>SR216</f>
        <v>0.24</v>
      </c>
      <c r="SU216" s="40"/>
      <c r="SV216" s="43">
        <f>ST216</f>
        <v>0.24</v>
      </c>
      <c r="SW216" s="40"/>
      <c r="SX216" s="150">
        <f>SV216</f>
        <v>0.24</v>
      </c>
      <c r="SZ216" s="43">
        <f>SX216</f>
        <v>0.24</v>
      </c>
      <c r="TA216" s="40"/>
      <c r="TB216" s="43">
        <f>SZ216</f>
        <v>0.24</v>
      </c>
      <c r="TC216" s="40"/>
      <c r="TD216" s="150">
        <f>TB216</f>
        <v>0.24</v>
      </c>
      <c r="TE216" s="40"/>
      <c r="TF216" s="43">
        <f>TD216</f>
        <v>0.24</v>
      </c>
      <c r="TG216" s="40"/>
      <c r="TH216" s="43">
        <f>TF216</f>
        <v>0.24</v>
      </c>
      <c r="TI216" s="40"/>
      <c r="TJ216" s="150">
        <f>TH216</f>
        <v>0.24</v>
      </c>
      <c r="TK216" s="40"/>
      <c r="TL216" s="43">
        <f>TJ216</f>
        <v>0.24</v>
      </c>
      <c r="TM216" s="40"/>
      <c r="TN216" s="43">
        <f>TL216</f>
        <v>0.24</v>
      </c>
      <c r="TO216" s="40"/>
      <c r="TP216" s="150">
        <f>TN216</f>
        <v>0.24</v>
      </c>
      <c r="TQ216" s="40"/>
      <c r="TR216" s="43">
        <f>TP216</f>
        <v>0.24</v>
      </c>
      <c r="TS216" s="40"/>
      <c r="TT216" s="43">
        <f>TR216</f>
        <v>0.24</v>
      </c>
      <c r="TU216" s="40"/>
      <c r="TV216" s="150">
        <f>TT216</f>
        <v>0.24</v>
      </c>
    </row>
    <row r="217" spans="3:543" ht="13.15" x14ac:dyDescent="0.4">
      <c r="C217" s="26" t="s">
        <v>187</v>
      </c>
      <c r="KP217" s="93">
        <v>235337.66</v>
      </c>
      <c r="KR217" s="33">
        <f>KP217-(KR$5*KR216)</f>
        <v>233975.75599999999</v>
      </c>
      <c r="KT217" s="33">
        <f>KR217-(KT$5*KT216)</f>
        <v>232621.3976</v>
      </c>
      <c r="KV217" s="82">
        <f>KT217-(KV$5*KV216)</f>
        <v>231052.69519999999</v>
      </c>
      <c r="KX217" s="33">
        <f>KV217-(KX$5*KX216)</f>
        <v>228566.06479999999</v>
      </c>
      <c r="KZ217" s="33">
        <f>KX217-(KZ$5*KZ216)</f>
        <v>225995.38639999999</v>
      </c>
      <c r="LB217" s="82">
        <f>KZ217-(LB$5*LB216)</f>
        <v>223317.6776</v>
      </c>
      <c r="LD217" s="33">
        <f>LB217-(LD$5*LD216)</f>
        <v>220643.56880000001</v>
      </c>
      <c r="LF217" s="33">
        <f>LD217-(LF$5*LF216)</f>
        <v>217966.95920000001</v>
      </c>
      <c r="LH217" s="82">
        <f>LF217-(LH$5*LH216)</f>
        <v>215815.06160000002</v>
      </c>
      <c r="LJ217" s="33">
        <f>LH217-(LJ$5*LJ216)</f>
        <v>214152.91760000002</v>
      </c>
      <c r="LL217" s="33">
        <f>LJ217-(LL$5*LL216)</f>
        <v>212814.2936</v>
      </c>
      <c r="LN217" s="82">
        <f>LL217-(LN$5*LN216)</f>
        <v>211598.88560000001</v>
      </c>
      <c r="LP217" s="82">
        <f>LN217-(LP$5*LP216)</f>
        <v>210236.9816</v>
      </c>
      <c r="LR217" s="82">
        <f>LP217-(LR$5*LR216)</f>
        <v>208882.6232</v>
      </c>
      <c r="LT217" s="82">
        <f>LR217-(LT$5*LT216)</f>
        <v>207313.92079999999</v>
      </c>
      <c r="LV217" s="33">
        <f>LT217-(LV$5*LV216)</f>
        <v>204827.2904</v>
      </c>
      <c r="LX217" s="33">
        <f>LV217-(LX$5*LX216)</f>
        <v>202256.61199999999</v>
      </c>
      <c r="LZ217" s="82">
        <f>LX217-(LZ$5*LZ216)</f>
        <v>199578.9032</v>
      </c>
      <c r="MB217" s="33">
        <f>LZ217-(MB$5*MB216)</f>
        <v>196904.79440000001</v>
      </c>
      <c r="MD217" s="33">
        <f>MB217-(MD$5*MD216)</f>
        <v>194228.18480000002</v>
      </c>
      <c r="MF217" s="82">
        <f>MD217-(MF$5*MF216)</f>
        <v>192076.28720000002</v>
      </c>
      <c r="MH217" s="33">
        <f>MF217-(MH$5*MH216)</f>
        <v>190414.14320000002</v>
      </c>
      <c r="MJ217" s="33">
        <f>MH217-(MJ$5*MJ216)</f>
        <v>189075.51920000001</v>
      </c>
      <c r="ML217" s="82">
        <f>MJ217-(ML$5*ML216)</f>
        <v>187860.11120000001</v>
      </c>
      <c r="MN217" s="82">
        <f>ML217-(MN$5*MN216)</f>
        <v>186498.2072</v>
      </c>
      <c r="MP217" s="82">
        <f>MN217-(MP$5*MP216)</f>
        <v>185143.84880000001</v>
      </c>
      <c r="MR217" s="82">
        <f>MP217-(MR$5*MR216)</f>
        <v>183575.1464</v>
      </c>
      <c r="MT217" s="33">
        <f>MR217-(MT$5*MT216)</f>
        <v>181088.516</v>
      </c>
      <c r="MV217" s="33">
        <f>MT217-(MV$5*MV216)</f>
        <v>178517.8376</v>
      </c>
      <c r="MX217" s="82">
        <f>MV217-(MX$5*MX216)</f>
        <v>175840.12880000001</v>
      </c>
      <c r="MZ217" s="33">
        <f>MX217-(MZ$5*MZ216)</f>
        <v>173166.02000000002</v>
      </c>
      <c r="NB217" s="33">
        <f>MZ217-(NB$5*NB216)</f>
        <v>170489.41040000002</v>
      </c>
      <c r="ND217" s="82">
        <f>NB217-(ND$5*ND216)</f>
        <v>168337.51280000003</v>
      </c>
      <c r="NF217" s="33">
        <f>ND217-(NF$5*NF216)</f>
        <v>166675.36880000003</v>
      </c>
      <c r="NH217" s="33">
        <f>NF217-(NH$5*NH216)</f>
        <v>165336.74480000001</v>
      </c>
      <c r="NJ217" s="82">
        <f>NH217-(NJ$5*NJ216)</f>
        <v>164121.33680000002</v>
      </c>
      <c r="NL217" s="82">
        <f>NJ217-(NL$5*NL216)</f>
        <v>162759.43280000001</v>
      </c>
      <c r="NN217" s="82">
        <f>NL217-(NN$5*NN216)</f>
        <v>161405.07440000001</v>
      </c>
      <c r="NP217" s="82">
        <f>NN217-(NP$5*NP216)</f>
        <v>159836.372</v>
      </c>
      <c r="NR217" s="33">
        <f>NP217-(NR$5*NR216)</f>
        <v>157349.74160000001</v>
      </c>
      <c r="NT217" s="33">
        <f>NR217-(NT$5*NT216)</f>
        <v>154779.0632</v>
      </c>
      <c r="NV217" s="82">
        <f>NT217-(NV$5*NV216)</f>
        <v>152101.35440000001</v>
      </c>
      <c r="NX217" s="33">
        <f>NV217-(NX$5*NX216)</f>
        <v>149427.24560000002</v>
      </c>
      <c r="NZ217" s="33">
        <f>NX217-(NZ$5*NZ216)</f>
        <v>146750.63600000003</v>
      </c>
      <c r="OB217" s="82">
        <f>NZ217-(OB$5*OB216)</f>
        <v>144598.73840000003</v>
      </c>
      <c r="OD217" s="33">
        <f>OB217-(OD$5*OD216)</f>
        <v>142936.59440000003</v>
      </c>
      <c r="OF217" s="33">
        <f>OD217-(OF$5*OF216)</f>
        <v>141597.97040000002</v>
      </c>
      <c r="OH217" s="82">
        <f>OF217-(OH$5*OH216)</f>
        <v>140382.56240000002</v>
      </c>
      <c r="OJ217" s="82">
        <f>OH217-(OJ$5*OJ216)</f>
        <v>139020.65840000001</v>
      </c>
      <c r="OL217" s="82">
        <f>OJ217-(OL$5*OL216)</f>
        <v>137666.30000000002</v>
      </c>
      <c r="ON217" s="82">
        <f>OL217-(ON$5*ON216)</f>
        <v>136097.59760000001</v>
      </c>
      <c r="OP217" s="33">
        <f>ON217-(OP$5*OP216)</f>
        <v>133610.96720000001</v>
      </c>
      <c r="OR217" s="33">
        <f>OP217-(OR$5*OR216)</f>
        <v>131040.28880000001</v>
      </c>
      <c r="OT217" s="82">
        <f>OR217-(OT$5*OT216)</f>
        <v>128362.58000000002</v>
      </c>
      <c r="OV217" s="33">
        <f>OT217-(OV$5*OV216)</f>
        <v>125688.47120000001</v>
      </c>
      <c r="OX217" s="33">
        <f>OV217-(OX$5*OX216)</f>
        <v>123011.86160000002</v>
      </c>
      <c r="OZ217" s="82">
        <f>OX217-(OZ$5*OZ216)</f>
        <v>120859.96400000002</v>
      </c>
      <c r="PB217" s="33">
        <f>OZ217-(PB$5*PB216)</f>
        <v>119197.82000000002</v>
      </c>
      <c r="PD217" s="33">
        <f>PB217-(PD$5*PD216)</f>
        <v>117859.19600000003</v>
      </c>
      <c r="PF217" s="82">
        <f>PD217-(PF$5*PF216)</f>
        <v>116643.78800000003</v>
      </c>
      <c r="PH217" s="82">
        <f>PF217-(PH$5*PH216)</f>
        <v>115281.88400000003</v>
      </c>
      <c r="PJ217" s="82">
        <f>PH217-(PJ$5*PJ216)</f>
        <v>113927.52560000004</v>
      </c>
      <c r="PL217" s="82">
        <f>PJ217-(PL$5*PL216)</f>
        <v>112358.82320000004</v>
      </c>
      <c r="PN217" s="33">
        <f>PL217-(PN$5*PN216)</f>
        <v>109872.19280000005</v>
      </c>
      <c r="PP217" s="33">
        <f>PN217-(PP$5*PP216)</f>
        <v>107301.51440000004</v>
      </c>
      <c r="PR217" s="82">
        <f>PP217-(PR$5*PR216)</f>
        <v>104623.80560000005</v>
      </c>
      <c r="PT217" s="33">
        <f>PR217-(PT$5*PT216)</f>
        <v>101949.69680000005</v>
      </c>
      <c r="PV217" s="33">
        <f>PT217-(PV$5*PV216)</f>
        <v>99273.087200000053</v>
      </c>
      <c r="PX217" s="82">
        <f>PV217-(PX$5*PX216)</f>
        <v>97121.189600000056</v>
      </c>
      <c r="PZ217" s="33">
        <f>PX217-(PZ$5*PZ216)</f>
        <v>95459.045600000056</v>
      </c>
      <c r="QB217" s="33">
        <f>PZ217-(QB$5*QB216)</f>
        <v>94120.42160000006</v>
      </c>
      <c r="QD217" s="82">
        <f>QB217-(QD$5*QD216)</f>
        <v>92905.013600000064</v>
      </c>
      <c r="QF217" s="82">
        <f>QD217-(QF$5*QF216)</f>
        <v>91543.109600000069</v>
      </c>
      <c r="QH217" s="82">
        <f>QF217-(QH$5*QH216)</f>
        <v>90188.751200000072</v>
      </c>
      <c r="QJ217" s="82">
        <f>QH217-(QJ$5*QJ216)</f>
        <v>88620.048800000077</v>
      </c>
      <c r="QL217" s="33">
        <f>QJ217-(QL$5*QL216)</f>
        <v>86133.418400000082</v>
      </c>
      <c r="QN217" s="33">
        <f>QL217-(QN$5*QN216)</f>
        <v>83562.740000000078</v>
      </c>
      <c r="QP217" s="82">
        <f>QN217-(QP$5*QP216)</f>
        <v>80885.031200000085</v>
      </c>
      <c r="QR217" s="33">
        <f>QP217-(QR$5*QR216)</f>
        <v>78210.922400000083</v>
      </c>
      <c r="QT217" s="33">
        <f>QR217-(QT$5*QT216)</f>
        <v>75534.312800000087</v>
      </c>
      <c r="QV217" s="82">
        <f>QT217-(QV$5*QV216)</f>
        <v>73382.41520000009</v>
      </c>
      <c r="QX217" s="33">
        <f>QV217-(QX$5*QX216)</f>
        <v>71720.27120000009</v>
      </c>
      <c r="QZ217" s="33">
        <f>QX217-(QZ$5*QZ216)</f>
        <v>70381.647200000094</v>
      </c>
      <c r="RB217" s="82">
        <f>QZ217-(RB$5*RB216)</f>
        <v>69166.239200000098</v>
      </c>
      <c r="RD217" s="82">
        <f>RB217-(RD$5*RD216)</f>
        <v>67804.335200000103</v>
      </c>
      <c r="RF217" s="82">
        <f>RD217-(RF$5*RF216)</f>
        <v>66449.976800000106</v>
      </c>
      <c r="RH217" s="82">
        <f>RF217-(RH$5*RH216)</f>
        <v>64881.274400000104</v>
      </c>
      <c r="RJ217" s="33">
        <f>RH217-(RJ$5*RJ216)</f>
        <v>62394.644000000102</v>
      </c>
      <c r="RL217" s="33">
        <f>RJ217-(RL$5*RL216)</f>
        <v>59823.965600000105</v>
      </c>
      <c r="RN217" s="82">
        <f>RL217-(RN$5*RN216)</f>
        <v>57146.256800000105</v>
      </c>
      <c r="RP217" s="33">
        <f>RN217-(RP$5*RP216)</f>
        <v>54472.148000000103</v>
      </c>
      <c r="RR217" s="33">
        <f>RP217-(RR$5*RR216)</f>
        <v>51795.538400000107</v>
      </c>
      <c r="RT217" s="82">
        <f>RR217-(RT$5*RT216)</f>
        <v>49643.64080000011</v>
      </c>
      <c r="RV217" s="33">
        <f>RT217-(RV$5*RV216)</f>
        <v>47981.49680000011</v>
      </c>
      <c r="RX217" s="33">
        <f>RV217-(RX$5*RX216)</f>
        <v>46642.872800000107</v>
      </c>
      <c r="RZ217" s="82">
        <f>RX217-(RZ$5*RZ216)</f>
        <v>45427.464800000103</v>
      </c>
      <c r="SB217" s="82">
        <f>RZ217-(SB$5*SB216)</f>
        <v>44065.560800000101</v>
      </c>
      <c r="SD217" s="82">
        <f>SB217-(SD$5*SD216)</f>
        <v>42711.202400000104</v>
      </c>
      <c r="SF217" s="82">
        <f>SD217-(SF$5*SF216)</f>
        <v>41142.500000000102</v>
      </c>
      <c r="SH217" s="33">
        <f>SF217-(SH$5*SH216)</f>
        <v>38655.8696000001</v>
      </c>
      <c r="SJ217" s="33">
        <f>SH217-(SJ$5*SJ216)</f>
        <v>36085.191200000103</v>
      </c>
      <c r="SL217" s="82">
        <f>SJ217-(SL$5*SL216)</f>
        <v>33407.482400000103</v>
      </c>
      <c r="SN217" s="33">
        <f>SL217-(SN$5*SN216)</f>
        <v>30733.373600000104</v>
      </c>
      <c r="SP217" s="33">
        <f>SN217-(SP$5*SP216)</f>
        <v>28056.764000000105</v>
      </c>
      <c r="SR217" s="82">
        <f>SP217-(SR$5*SR216)</f>
        <v>25904.866400000104</v>
      </c>
      <c r="ST217" s="33">
        <f>SR217-(ST$5*ST216)</f>
        <v>24242.722400000104</v>
      </c>
      <c r="SV217" s="33">
        <f>ST217-(SV$5*SV216)</f>
        <v>22904.098400000104</v>
      </c>
      <c r="SX217" s="82">
        <f>SV217-(SX$5*SX216)</f>
        <v>21688.690400000105</v>
      </c>
      <c r="SZ217" s="82">
        <f>SX217-(SZ$5*SZ216)</f>
        <v>20326.786400000106</v>
      </c>
      <c r="TB217" s="82">
        <f>SZ217-(TB$5*TB216)</f>
        <v>18972.428000000105</v>
      </c>
      <c r="TD217" s="82">
        <f>TB217-(TD$5*TD216)</f>
        <v>17403.725600000107</v>
      </c>
      <c r="TF217" s="33">
        <f>TD217-(TF$5*TF216)</f>
        <v>14917.095200000107</v>
      </c>
      <c r="TH217" s="33">
        <f>TF217-(TH$5*TH216)</f>
        <v>12346.416800000108</v>
      </c>
      <c r="TJ217" s="82">
        <f>TH217-(TJ$5*TJ216)</f>
        <v>9668.7080000001079</v>
      </c>
      <c r="TL217" s="33">
        <f>TJ217-(TL$5*TL216)</f>
        <v>6994.5992000001079</v>
      </c>
      <c r="TN217" s="33">
        <f>TL217-(TN$5*TN216)</f>
        <v>4317.9896000001081</v>
      </c>
      <c r="TP217" s="82">
        <f>TN217-(TP$5*TP216)</f>
        <v>2166.0920000001083</v>
      </c>
      <c r="TR217" s="33">
        <f>TP217-(TR$5*TR216)</f>
        <v>503.94800000010832</v>
      </c>
      <c r="TT217" s="33">
        <f>TR217-(TT$5*TT216)</f>
        <v>-834.6759999998917</v>
      </c>
      <c r="TV217" s="82">
        <f>TT217-(TV$5*TV216)</f>
        <v>-2050.0839999998916</v>
      </c>
    </row>
    <row r="218" spans="3:543" x14ac:dyDescent="0.35">
      <c r="KP218" s="81"/>
      <c r="KV218" s="81"/>
      <c r="LB218" s="81"/>
      <c r="LH218" s="81"/>
      <c r="LN218" s="264"/>
      <c r="LT218" s="81"/>
      <c r="LZ218" s="81"/>
      <c r="MF218" s="81"/>
      <c r="ML218" s="264"/>
      <c r="MR218" s="81"/>
      <c r="MX218" s="81"/>
      <c r="ND218" s="81"/>
      <c r="NJ218" s="264"/>
      <c r="NP218" s="81"/>
      <c r="NV218" s="81"/>
      <c r="OB218" s="81"/>
      <c r="OH218" s="264"/>
      <c r="ON218" s="81"/>
      <c r="OT218" s="81"/>
      <c r="OZ218" s="81"/>
      <c r="PF218" s="264"/>
      <c r="PL218" s="81"/>
      <c r="PR218" s="81"/>
      <c r="PX218" s="81"/>
      <c r="QD218" s="264"/>
      <c r="QJ218" s="81"/>
      <c r="QP218" s="81"/>
      <c r="QV218" s="81"/>
      <c r="RB218" s="264"/>
      <c r="RH218" s="81"/>
      <c r="RN218" s="81"/>
      <c r="RT218" s="81"/>
      <c r="RZ218" s="264"/>
      <c r="SF218" s="81"/>
      <c r="SL218" s="81"/>
      <c r="SR218" s="81"/>
      <c r="SX218" s="264"/>
      <c r="TD218" s="81"/>
      <c r="TJ218" s="81"/>
      <c r="TP218" s="81"/>
      <c r="TV218" s="264"/>
    </row>
    <row r="219" spans="3:543" x14ac:dyDescent="0.35">
      <c r="KO219" s="10"/>
      <c r="KP219" s="10"/>
      <c r="KQ219" s="10"/>
      <c r="KR219" s="10"/>
      <c r="KS219" s="10"/>
      <c r="KT219" s="10"/>
      <c r="KU219" s="10"/>
      <c r="KV219" s="10"/>
      <c r="KW219" s="10"/>
      <c r="KX219" s="10"/>
      <c r="KY219" s="10"/>
      <c r="KZ219" s="10"/>
      <c r="LA219" s="10"/>
      <c r="LB219" s="10"/>
      <c r="LC219" s="10"/>
      <c r="LD219" s="10"/>
      <c r="LE219" s="10"/>
      <c r="LF219" s="10"/>
      <c r="LG219" s="10"/>
      <c r="LH219" s="10"/>
      <c r="LI219" s="10"/>
      <c r="LJ219" s="10"/>
      <c r="LK219" s="10"/>
      <c r="LL219" s="10"/>
      <c r="LM219" s="10"/>
      <c r="LN219" s="10"/>
      <c r="LO219" s="10"/>
      <c r="LP219" s="10"/>
      <c r="LQ219" s="10"/>
      <c r="LR219" s="10"/>
      <c r="LS219" s="10"/>
      <c r="LT219" s="10"/>
      <c r="LU219" s="10"/>
      <c r="LV219" s="10"/>
      <c r="LW219" s="10"/>
      <c r="LX219" s="10"/>
      <c r="LY219" s="10"/>
      <c r="LZ219" s="10"/>
      <c r="MA219" s="10"/>
      <c r="MB219" s="10"/>
      <c r="MC219" s="10"/>
      <c r="MD219" s="10"/>
      <c r="ME219" s="10"/>
      <c r="MF219" s="10"/>
      <c r="MG219" s="10"/>
      <c r="MH219" s="10"/>
      <c r="MI219" s="10"/>
      <c r="MJ219" s="10"/>
      <c r="MK219" s="10"/>
      <c r="ML219" s="10"/>
      <c r="MM219" s="10"/>
      <c r="MN219" s="10"/>
      <c r="MO219" s="10"/>
      <c r="MP219" s="10"/>
      <c r="MQ219" s="10"/>
      <c r="MR219" s="10"/>
      <c r="MS219" s="10"/>
      <c r="MT219" s="10"/>
      <c r="MU219" s="10"/>
      <c r="MV219" s="10"/>
      <c r="MW219" s="10"/>
      <c r="MX219" s="10"/>
      <c r="MY219" s="10"/>
      <c r="MZ219" s="10"/>
      <c r="NA219" s="10"/>
      <c r="NB219" s="10"/>
      <c r="NC219" s="10"/>
      <c r="ND219" s="10"/>
      <c r="NE219" s="10"/>
      <c r="NF219" s="10"/>
      <c r="NG219" s="10"/>
      <c r="NH219" s="10"/>
      <c r="NI219" s="10"/>
      <c r="NJ219" s="10"/>
      <c r="NK219" s="10"/>
      <c r="NL219" s="10"/>
      <c r="NM219" s="10"/>
      <c r="NN219" s="10"/>
      <c r="NO219" s="10"/>
      <c r="NP219" s="10"/>
      <c r="NQ219" s="10"/>
      <c r="NR219" s="10"/>
      <c r="NS219" s="10"/>
      <c r="NT219" s="10"/>
      <c r="NU219" s="10"/>
      <c r="NV219" s="10"/>
      <c r="NW219" s="10"/>
      <c r="NX219" s="10"/>
      <c r="NY219" s="10"/>
      <c r="NZ219" s="10"/>
      <c r="OA219" s="10"/>
      <c r="OB219" s="10"/>
      <c r="OC219" s="10"/>
      <c r="OD219" s="10"/>
      <c r="OE219" s="10"/>
      <c r="OF219" s="10"/>
      <c r="OG219" s="10"/>
      <c r="OH219" s="10"/>
      <c r="OI219" s="10"/>
      <c r="OJ219" s="10"/>
      <c r="OK219" s="10"/>
      <c r="OL219" s="10"/>
      <c r="OM219" s="10"/>
      <c r="ON219" s="10"/>
      <c r="OO219" s="10"/>
      <c r="OP219" s="10"/>
      <c r="OQ219" s="10"/>
      <c r="OR219" s="10"/>
      <c r="OS219" s="10"/>
      <c r="OT219" s="10"/>
      <c r="OU219" s="10"/>
      <c r="OV219" s="10"/>
      <c r="OW219" s="10"/>
      <c r="OX219" s="10"/>
      <c r="OY219" s="10"/>
      <c r="OZ219" s="10"/>
      <c r="PA219" s="10"/>
      <c r="PB219" s="10"/>
      <c r="PC219" s="10"/>
      <c r="PD219" s="10"/>
      <c r="PE219" s="10"/>
      <c r="PF219" s="10"/>
      <c r="PG219" s="10"/>
      <c r="PH219" s="10"/>
      <c r="PI219" s="10"/>
      <c r="PJ219" s="10"/>
      <c r="PK219" s="10"/>
      <c r="PL219" s="10"/>
      <c r="PM219" s="10"/>
      <c r="PN219" s="10"/>
      <c r="PO219" s="10"/>
      <c r="PP219" s="10"/>
      <c r="PQ219" s="10"/>
      <c r="PR219" s="10"/>
      <c r="PS219" s="10"/>
      <c r="PT219" s="10"/>
      <c r="PU219" s="10"/>
      <c r="PV219" s="10"/>
      <c r="PW219" s="10"/>
      <c r="PX219" s="10"/>
      <c r="PY219" s="10"/>
      <c r="PZ219" s="10"/>
      <c r="QA219" s="10"/>
      <c r="QB219" s="10"/>
      <c r="QC219" s="10"/>
      <c r="QD219" s="10"/>
      <c r="QE219" s="10"/>
      <c r="QF219" s="10"/>
      <c r="QG219" s="10"/>
      <c r="QH219" s="10"/>
      <c r="QI219" s="10"/>
      <c r="QJ219" s="10"/>
      <c r="QK219" s="10"/>
      <c r="QL219" s="10"/>
      <c r="QM219" s="10"/>
      <c r="QN219" s="10"/>
      <c r="QO219" s="10"/>
      <c r="QP219" s="10"/>
      <c r="QQ219" s="10"/>
      <c r="QR219" s="10"/>
      <c r="QS219" s="10"/>
      <c r="QT219" s="10"/>
      <c r="QU219" s="10"/>
      <c r="QV219" s="10"/>
      <c r="QW219" s="10"/>
      <c r="QX219" s="10"/>
      <c r="QY219" s="10"/>
      <c r="QZ219" s="10"/>
      <c r="RA219" s="10"/>
      <c r="RB219" s="10"/>
      <c r="RC219" s="10"/>
      <c r="RD219" s="10"/>
      <c r="RE219" s="10"/>
      <c r="RF219" s="10"/>
      <c r="RG219" s="10"/>
      <c r="RH219" s="10"/>
      <c r="RI219" s="10"/>
      <c r="RJ219" s="10"/>
      <c r="RK219" s="10"/>
      <c r="RL219" s="10"/>
      <c r="RM219" s="10"/>
      <c r="RN219" s="10"/>
      <c r="RO219" s="10"/>
      <c r="RP219" s="10"/>
      <c r="RQ219" s="10"/>
      <c r="RR219" s="10"/>
      <c r="RS219" s="10"/>
      <c r="RT219" s="10"/>
      <c r="RU219" s="10"/>
      <c r="RV219" s="10"/>
      <c r="RW219" s="10"/>
      <c r="RX219" s="10"/>
      <c r="RY219" s="10"/>
      <c r="RZ219" s="10"/>
      <c r="SA219" s="10"/>
      <c r="SB219" s="10"/>
      <c r="SC219" s="10"/>
      <c r="SD219" s="10"/>
      <c r="SE219" s="10"/>
      <c r="SF219" s="10"/>
      <c r="SG219" s="10"/>
      <c r="SH219" s="10"/>
      <c r="SI219" s="10"/>
      <c r="SJ219" s="10"/>
      <c r="SK219" s="10"/>
      <c r="SL219" s="10"/>
      <c r="SM219" s="10"/>
      <c r="SN219" s="10"/>
      <c r="SO219" s="10"/>
      <c r="SP219" s="10"/>
      <c r="SQ219" s="10"/>
      <c r="SR219" s="10"/>
      <c r="SS219" s="10"/>
      <c r="ST219" s="10"/>
      <c r="SU219" s="10"/>
      <c r="SV219" s="10"/>
      <c r="SW219" s="10"/>
      <c r="SX219" s="10"/>
      <c r="SY219" s="10"/>
      <c r="SZ219" s="10"/>
      <c r="TA219" s="10"/>
      <c r="TB219" s="10"/>
      <c r="TC219" s="10"/>
      <c r="TD219" s="10"/>
      <c r="TE219" s="10"/>
      <c r="TF219" s="10"/>
      <c r="TG219" s="10"/>
      <c r="TH219" s="10"/>
      <c r="TI219" s="10"/>
      <c r="TJ219" s="10"/>
      <c r="TK219" s="10"/>
      <c r="TL219" s="10"/>
      <c r="TM219" s="10"/>
      <c r="TN219" s="10"/>
      <c r="TO219" s="10"/>
      <c r="TP219" s="10"/>
      <c r="TQ219" s="10"/>
      <c r="TR219" s="10"/>
      <c r="TS219" s="10"/>
      <c r="TT219" s="10"/>
      <c r="TU219" s="10"/>
      <c r="TV219" s="10"/>
      <c r="TW219" s="10"/>
    </row>
  </sheetData>
  <pageMargins left="0.5" right="0.5" top="1" bottom="1" header="0.5" footer="0.5"/>
  <pageSetup scale="50" orientation="landscape" blackAndWhite="1" r:id="rId1"/>
  <headerFooter>
    <oddHeader>&amp;C&amp;"Arial,Bold"Schedule III&amp;"Arial,Regular"
Supplier Refund Adjustment&amp;R&amp;"Arial,Bold"Navitas KY NG, LLC</oddHeader>
    <oddFooter>&amp;CPage 4&amp;R&amp;D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8227A-55C8-409A-9886-0E3C005CE1DE}">
  <dimension ref="A1:ID53"/>
  <sheetViews>
    <sheetView workbookViewId="0">
      <pane xSplit="4" ySplit="5" topLeftCell="GI6" activePane="bottomRight" state="frozen"/>
      <selection pane="topRight" activeCell="E1" sqref="E1"/>
      <selection pane="bottomLeft" activeCell="A6" sqref="A6"/>
      <selection pane="bottomRight" activeCell="HF15" sqref="HF15"/>
    </sheetView>
  </sheetViews>
  <sheetFormatPr defaultColWidth="9" defaultRowHeight="12.75" x14ac:dyDescent="0.35"/>
  <cols>
    <col min="1" max="2" width="1.73046875" style="110" customWidth="1"/>
    <col min="3" max="3" width="12.59765625" style="110" bestFit="1" customWidth="1"/>
    <col min="4" max="5" width="1.73046875" style="110" customWidth="1"/>
    <col min="6" max="6" width="7.59765625" style="110" customWidth="1"/>
    <col min="7" max="7" width="0.86328125" style="110" customWidth="1"/>
    <col min="8" max="8" width="7.59765625" style="110" hidden="1" customWidth="1"/>
    <col min="9" max="9" width="0.86328125" style="110" hidden="1" customWidth="1"/>
    <col min="10" max="10" width="7.59765625" style="110" hidden="1" customWidth="1"/>
    <col min="11" max="11" width="0.86328125" style="110" hidden="1" customWidth="1"/>
    <col min="12" max="12" width="7.59765625" style="110" hidden="1" customWidth="1"/>
    <col min="13" max="13" width="0.86328125" style="110" hidden="1" customWidth="1"/>
    <col min="14" max="14" width="7.59765625" style="110" hidden="1" customWidth="1"/>
    <col min="15" max="15" width="0.86328125" style="110" hidden="1" customWidth="1"/>
    <col min="16" max="16" width="7.59765625" style="110" hidden="1" customWidth="1"/>
    <col min="17" max="17" width="0.86328125" style="110" hidden="1" customWidth="1"/>
    <col min="18" max="18" width="7.59765625" style="110" hidden="1" customWidth="1"/>
    <col min="19" max="19" width="0.86328125" style="110" hidden="1" customWidth="1"/>
    <col min="20" max="20" width="7.59765625" style="110" hidden="1" customWidth="1"/>
    <col min="21" max="21" width="0.86328125" style="110" customWidth="1"/>
    <col min="22" max="22" width="7.59765625" style="110" customWidth="1"/>
    <col min="23" max="23" width="0.86328125" style="110" customWidth="1"/>
    <col min="24" max="24" width="7.59765625" style="110" customWidth="1"/>
    <col min="25" max="25" width="0.86328125" style="110" customWidth="1"/>
    <col min="26" max="26" width="7.59765625" style="110" hidden="1" customWidth="1"/>
    <col min="27" max="27" width="0.86328125" style="110" hidden="1" customWidth="1"/>
    <col min="28" max="28" width="7.59765625" style="110" hidden="1" customWidth="1"/>
    <col min="29" max="29" width="0.86328125" style="110" customWidth="1"/>
    <col min="30" max="30" width="7.59765625" style="110" customWidth="1"/>
    <col min="31" max="31" width="0.86328125" style="110" customWidth="1"/>
    <col min="32" max="32" width="7.59765625" style="110" hidden="1" customWidth="1"/>
    <col min="33" max="33" width="0.86328125" style="110" hidden="1" customWidth="1"/>
    <col min="34" max="34" width="7.59765625" style="110" hidden="1" customWidth="1"/>
    <col min="35" max="35" width="0.86328125" style="110" hidden="1" customWidth="1"/>
    <col min="36" max="36" width="7.59765625" style="110" hidden="1" customWidth="1"/>
    <col min="37" max="37" width="0.86328125" style="110" hidden="1" customWidth="1"/>
    <col min="38" max="38" width="7.59765625" style="110" hidden="1" customWidth="1"/>
    <col min="39" max="39" width="0.86328125" style="110" hidden="1" customWidth="1"/>
    <col min="40" max="40" width="7.59765625" style="110" hidden="1" customWidth="1"/>
    <col min="41" max="41" width="0.86328125" style="110" customWidth="1"/>
    <col min="42" max="42" width="7.59765625" style="110" customWidth="1"/>
    <col min="43" max="43" width="0.86328125" style="110" customWidth="1"/>
    <col min="44" max="44" width="7.59765625" style="110" hidden="1" customWidth="1"/>
    <col min="45" max="45" width="0.86328125" style="110" hidden="1" customWidth="1"/>
    <col min="46" max="46" width="7.59765625" style="110" hidden="1" customWidth="1"/>
    <col min="47" max="47" width="0.86328125" style="110" customWidth="1"/>
    <col min="48" max="48" width="7.59765625" style="110" customWidth="1"/>
    <col min="49" max="49" width="0.86328125" style="110" customWidth="1"/>
    <col min="50" max="50" width="7.59765625" style="110" hidden="1" customWidth="1"/>
    <col min="51" max="51" width="0.86328125" style="110" hidden="1" customWidth="1"/>
    <col min="52" max="52" width="7.59765625" style="110" hidden="1" customWidth="1"/>
    <col min="53" max="53" width="0.86328125" style="110" customWidth="1"/>
    <col min="54" max="54" width="7.59765625" style="110" customWidth="1"/>
    <col min="55" max="55" width="0.86328125" style="110" customWidth="1"/>
    <col min="56" max="56" width="7.59765625" style="110" hidden="1" customWidth="1"/>
    <col min="57" max="57" width="0.86328125" style="110" hidden="1" customWidth="1"/>
    <col min="58" max="58" width="7.59765625" style="110" hidden="1" customWidth="1"/>
    <col min="59" max="59" width="0.86328125" style="110" customWidth="1"/>
    <col min="60" max="60" width="7.59765625" style="110" customWidth="1"/>
    <col min="61" max="61" width="0.86328125" style="110" customWidth="1"/>
    <col min="62" max="62" width="7.59765625" style="110" hidden="1" customWidth="1"/>
    <col min="63" max="63" width="0.86328125" style="110" hidden="1" customWidth="1"/>
    <col min="64" max="64" width="7.59765625" style="110" hidden="1" customWidth="1"/>
    <col min="65" max="65" width="0.86328125" style="110" customWidth="1"/>
    <col min="66" max="66" width="7.59765625" style="110" customWidth="1"/>
    <col min="67" max="67" width="0.86328125" style="110" customWidth="1"/>
    <col min="68" max="68" width="7.59765625" style="110" hidden="1" customWidth="1"/>
    <col min="69" max="69" width="0.86328125" style="110" hidden="1" customWidth="1"/>
    <col min="70" max="70" width="7.59765625" style="110" hidden="1" customWidth="1"/>
    <col min="71" max="71" width="0.86328125" style="110" customWidth="1"/>
    <col min="72" max="72" width="7.59765625" style="110" customWidth="1"/>
    <col min="73" max="73" width="0.86328125" style="110" customWidth="1"/>
    <col min="74" max="74" width="7.59765625" style="110" hidden="1" customWidth="1"/>
    <col min="75" max="75" width="0.86328125" style="110" hidden="1" customWidth="1"/>
    <col min="76" max="76" width="7.59765625" style="110" hidden="1" customWidth="1"/>
    <col min="77" max="77" width="0.86328125" style="110" customWidth="1"/>
    <col min="78" max="78" width="7.59765625" style="110" customWidth="1"/>
    <col min="79" max="79" width="0.86328125" style="110" customWidth="1"/>
    <col min="80" max="80" width="7.59765625" style="110" hidden="1" customWidth="1"/>
    <col min="81" max="81" width="0.86328125" style="110" hidden="1" customWidth="1"/>
    <col min="82" max="82" width="7.59765625" style="110" hidden="1" customWidth="1"/>
    <col min="83" max="83" width="0.86328125" style="110" customWidth="1"/>
    <col min="84" max="84" width="7.59765625" style="110" customWidth="1"/>
    <col min="85" max="85" width="0.86328125" style="110" customWidth="1"/>
    <col min="86" max="86" width="7.59765625" style="110" hidden="1" customWidth="1"/>
    <col min="87" max="87" width="0.86328125" style="110" hidden="1" customWidth="1"/>
    <col min="88" max="88" width="7.59765625" style="110" hidden="1" customWidth="1"/>
    <col min="89" max="89" width="0.86328125" style="110" customWidth="1"/>
    <col min="90" max="90" width="7.59765625" style="110" customWidth="1"/>
    <col min="91" max="91" width="0.86328125" style="110" customWidth="1"/>
    <col min="92" max="92" width="7.59765625" style="110" hidden="1" customWidth="1"/>
    <col min="93" max="93" width="0.86328125" style="110" hidden="1" customWidth="1"/>
    <col min="94" max="94" width="7.59765625" style="110" hidden="1" customWidth="1"/>
    <col min="95" max="95" width="0.86328125" style="110" customWidth="1"/>
    <col min="96" max="96" width="7.59765625" style="110" customWidth="1"/>
    <col min="97" max="97" width="0.86328125" style="110" customWidth="1"/>
    <col min="98" max="98" width="7.59765625" style="110" hidden="1" customWidth="1"/>
    <col min="99" max="99" width="0.86328125" style="110" hidden="1" customWidth="1"/>
    <col min="100" max="100" width="7.59765625" style="110" hidden="1" customWidth="1"/>
    <col min="101" max="101" width="0.86328125" style="110" customWidth="1"/>
    <col min="102" max="102" width="7.59765625" style="110" customWidth="1"/>
    <col min="103" max="103" width="0.86328125" style="110" customWidth="1"/>
    <col min="104" max="104" width="7.59765625" style="110" hidden="1" customWidth="1"/>
    <col min="105" max="105" width="0.86328125" style="110" hidden="1" customWidth="1"/>
    <col min="106" max="106" width="7.59765625" style="110" hidden="1" customWidth="1"/>
    <col min="107" max="107" width="0.86328125" style="110" customWidth="1"/>
    <col min="108" max="108" width="7.59765625" style="110" customWidth="1"/>
    <col min="109" max="109" width="0.86328125" style="110" customWidth="1"/>
    <col min="110" max="110" width="7.59765625" style="110" hidden="1" customWidth="1"/>
    <col min="111" max="111" width="0.86328125" style="110" hidden="1" customWidth="1"/>
    <col min="112" max="112" width="7.59765625" style="110" hidden="1" customWidth="1"/>
    <col min="113" max="113" width="0.86328125" style="110" customWidth="1"/>
    <col min="114" max="114" width="7.59765625" style="110" customWidth="1"/>
    <col min="115" max="115" width="0.86328125" style="110" customWidth="1"/>
    <col min="116" max="116" width="7.59765625" style="110" hidden="1" customWidth="1"/>
    <col min="117" max="117" width="0.86328125" style="110" hidden="1" customWidth="1"/>
    <col min="118" max="118" width="7.59765625" style="110" hidden="1" customWidth="1"/>
    <col min="119" max="119" width="0.86328125" style="110" customWidth="1"/>
    <col min="120" max="120" width="7.59765625" style="110" customWidth="1"/>
    <col min="121" max="121" width="0.86328125" style="110" customWidth="1"/>
    <col min="122" max="122" width="7.59765625" style="110" hidden="1" customWidth="1"/>
    <col min="123" max="123" width="0.86328125" style="110" hidden="1" customWidth="1"/>
    <col min="124" max="124" width="7.59765625" style="110" hidden="1" customWidth="1"/>
    <col min="125" max="125" width="0.86328125" style="110" customWidth="1"/>
    <col min="126" max="126" width="7.59765625" style="110" customWidth="1"/>
    <col min="127" max="127" width="0.86328125" style="110" customWidth="1"/>
    <col min="128" max="128" width="7.59765625" style="110" hidden="1" customWidth="1"/>
    <col min="129" max="129" width="0.86328125" style="110" hidden="1" customWidth="1"/>
    <col min="130" max="130" width="7.59765625" style="110" hidden="1" customWidth="1"/>
    <col min="131" max="131" width="0.86328125" style="110" customWidth="1"/>
    <col min="132" max="132" width="7.59765625" style="110" customWidth="1"/>
    <col min="133" max="133" width="0.86328125" style="110" customWidth="1"/>
    <col min="134" max="134" width="7.59765625" style="110" hidden="1" customWidth="1"/>
    <col min="135" max="135" width="0.86328125" style="110" hidden="1" customWidth="1"/>
    <col min="136" max="136" width="7.59765625" style="110" hidden="1" customWidth="1"/>
    <col min="137" max="137" width="0.86328125" style="110" customWidth="1"/>
    <col min="138" max="138" width="7.59765625" style="110" customWidth="1"/>
    <col min="139" max="139" width="0.86328125" style="110" customWidth="1"/>
    <col min="140" max="140" width="7.59765625" style="110" hidden="1" customWidth="1"/>
    <col min="141" max="141" width="0.86328125" style="110" hidden="1" customWidth="1"/>
    <col min="142" max="142" width="7.59765625" style="110" hidden="1" customWidth="1"/>
    <col min="143" max="143" width="0.86328125" style="110" customWidth="1"/>
    <col min="144" max="144" width="7.59765625" style="110" customWidth="1"/>
    <col min="145" max="145" width="0.86328125" style="110" customWidth="1"/>
    <col min="146" max="146" width="7.59765625" style="110" hidden="1" customWidth="1"/>
    <col min="147" max="147" width="0.86328125" style="110" hidden="1" customWidth="1"/>
    <col min="148" max="148" width="7.59765625" style="110" hidden="1" customWidth="1"/>
    <col min="149" max="149" width="0.86328125" style="110" customWidth="1"/>
    <col min="150" max="150" width="7.59765625" style="110" customWidth="1"/>
    <col min="151" max="151" width="0.86328125" style="110" customWidth="1"/>
    <col min="152" max="152" width="7.59765625" style="110" hidden="1" customWidth="1"/>
    <col min="153" max="153" width="0.86328125" style="110" hidden="1" customWidth="1"/>
    <col min="154" max="154" width="7.59765625" style="110" hidden="1" customWidth="1"/>
    <col min="155" max="155" width="0.86328125" style="110" customWidth="1"/>
    <col min="156" max="156" width="7.59765625" style="110" customWidth="1"/>
    <col min="157" max="157" width="0.86328125" style="110" customWidth="1"/>
    <col min="158" max="158" width="7.59765625" style="110" hidden="1" customWidth="1"/>
    <col min="159" max="159" width="0.86328125" style="110" hidden="1" customWidth="1"/>
    <col min="160" max="160" width="7.59765625" style="110" hidden="1" customWidth="1"/>
    <col min="161" max="161" width="0.86328125" style="110" customWidth="1"/>
    <col min="162" max="162" width="7.59765625" style="110" customWidth="1"/>
    <col min="163" max="163" width="0.86328125" style="110" customWidth="1"/>
    <col min="164" max="164" width="7.59765625" style="110" hidden="1" customWidth="1"/>
    <col min="165" max="165" width="0.86328125" style="110" hidden="1" customWidth="1"/>
    <col min="166" max="166" width="7.59765625" style="110" hidden="1" customWidth="1"/>
    <col min="167" max="167" width="0.86328125" style="110" customWidth="1"/>
    <col min="168" max="168" width="7.59765625" style="110" customWidth="1"/>
    <col min="169" max="169" width="0.86328125" style="110" customWidth="1"/>
    <col min="170" max="170" width="7.59765625" style="110" customWidth="1"/>
    <col min="171" max="171" width="0.86328125" style="110" customWidth="1"/>
    <col min="172" max="172" width="7.59765625" style="110" hidden="1" customWidth="1"/>
    <col min="173" max="173" width="0.86328125" style="110" customWidth="1"/>
    <col min="174" max="174" width="7.59765625" style="110" customWidth="1"/>
    <col min="175" max="175" width="0.86328125" style="110" customWidth="1"/>
    <col min="176" max="176" width="7.59765625" style="110" hidden="1" customWidth="1"/>
    <col min="177" max="177" width="0.86328125" style="110" hidden="1" customWidth="1"/>
    <col min="178" max="178" width="7.59765625" style="110" hidden="1" customWidth="1"/>
    <col min="179" max="179" width="0.86328125" style="110" customWidth="1"/>
    <col min="180" max="180" width="7.59765625" style="110" customWidth="1"/>
    <col min="181" max="181" width="0.86328125" style="110" customWidth="1"/>
    <col min="182" max="182" width="7.59765625" style="110" hidden="1" customWidth="1"/>
    <col min="183" max="183" width="0.86328125" style="110" hidden="1" customWidth="1"/>
    <col min="184" max="184" width="7.59765625" style="110" hidden="1" customWidth="1"/>
    <col min="185" max="185" width="0.86328125" style="110" customWidth="1"/>
    <col min="186" max="186" width="7.59765625" style="110" customWidth="1"/>
    <col min="187" max="187" width="0.86328125" style="110" customWidth="1"/>
    <col min="188" max="188" width="8.59765625" style="110" hidden="1" customWidth="1"/>
    <col min="189" max="189" width="0.86328125" style="110" hidden="1" customWidth="1"/>
    <col min="190" max="190" width="7.59765625" style="110" hidden="1" customWidth="1"/>
    <col min="191" max="191" width="0.86328125" style="110" customWidth="1"/>
    <col min="192" max="192" width="7.59765625" style="110" customWidth="1"/>
    <col min="193" max="193" width="0.86328125" style="110" customWidth="1"/>
    <col min="194" max="194" width="7.59765625" style="110" hidden="1" customWidth="1"/>
    <col min="195" max="195" width="0.86328125" style="110" hidden="1" customWidth="1"/>
    <col min="196" max="196" width="7.59765625" style="110" hidden="1" customWidth="1"/>
    <col min="197" max="197" width="0.86328125" style="110" customWidth="1"/>
    <col min="198" max="198" width="7.59765625" style="110" customWidth="1"/>
    <col min="199" max="199" width="0.86328125" style="110" customWidth="1"/>
    <col min="200" max="200" width="7.59765625" style="110" customWidth="1"/>
    <col min="201" max="201" width="0.86328125" style="110" customWidth="1"/>
    <col min="202" max="202" width="7.59765625" style="110" customWidth="1"/>
    <col min="203" max="203" width="0.86328125" style="110" customWidth="1"/>
    <col min="204" max="204" width="7.59765625" style="110" customWidth="1"/>
    <col min="205" max="205" width="0.86328125" style="110" customWidth="1"/>
    <col min="206" max="206" width="7.59765625" style="110" hidden="1" customWidth="1"/>
    <col min="207" max="207" width="0.86328125" style="110" hidden="1" customWidth="1"/>
    <col min="208" max="208" width="7.59765625" style="110" hidden="1" customWidth="1"/>
    <col min="209" max="209" width="0.86328125" style="110" hidden="1" customWidth="1"/>
    <col min="210" max="210" width="7.59765625" style="110" hidden="1" customWidth="1"/>
    <col min="211" max="211" width="0.86328125" style="110" hidden="1" customWidth="1"/>
    <col min="212" max="212" width="7.59765625" style="110" hidden="1" customWidth="1"/>
    <col min="213" max="214" width="7.59765625" style="110" customWidth="1"/>
    <col min="215" max="215" width="0.86328125" style="110" customWidth="1"/>
    <col min="216" max="216" width="12.73046875" style="110" customWidth="1"/>
    <col min="217" max="217" width="1.73046875" style="110" customWidth="1"/>
    <col min="218" max="218" width="12.73046875" style="110" customWidth="1"/>
    <col min="219" max="219" width="1.73046875" style="110" customWidth="1"/>
    <col min="220" max="220" width="12.73046875" style="110" customWidth="1"/>
    <col min="221" max="221" width="0.86328125" style="110" customWidth="1"/>
    <col min="222" max="222" width="12.73046875" style="110" customWidth="1"/>
    <col min="223" max="223" width="1.73046875" style="110" customWidth="1"/>
    <col min="224" max="224" width="12.73046875" style="110" customWidth="1"/>
    <col min="225" max="225" width="1.73046875" style="110" customWidth="1"/>
    <col min="226" max="226" width="12.73046875" style="110" customWidth="1"/>
    <col min="227" max="227" width="0.86328125" style="110" customWidth="1"/>
    <col min="228" max="228" width="12.73046875" style="110" customWidth="1"/>
    <col min="229" max="229" width="1.73046875" style="110" customWidth="1"/>
    <col min="230" max="230" width="12.73046875" style="110" customWidth="1"/>
    <col min="231" max="231" width="1.73046875" style="110" customWidth="1"/>
    <col min="232" max="232" width="12.73046875" style="110" customWidth="1"/>
    <col min="233" max="233" width="0.86328125" style="110" customWidth="1"/>
    <col min="234" max="234" width="12.73046875" style="110" customWidth="1"/>
    <col min="235" max="235" width="1.73046875" style="110" customWidth="1"/>
    <col min="236" max="236" width="12.73046875" style="110" customWidth="1"/>
    <col min="237" max="237" width="1.73046875" style="110" customWidth="1"/>
    <col min="238" max="238" width="12.73046875" style="110" customWidth="1"/>
    <col min="239" max="16384" width="9" style="110"/>
  </cols>
  <sheetData>
    <row r="1" spans="1:238" x14ac:dyDescent="0.35">
      <c r="H1" s="236"/>
      <c r="J1" s="236"/>
      <c r="N1" s="236"/>
      <c r="T1" s="237"/>
      <c r="Z1" s="236"/>
      <c r="AF1" s="236"/>
      <c r="AL1" s="236"/>
      <c r="AR1" s="237"/>
      <c r="AX1" s="237"/>
      <c r="BD1" s="237"/>
      <c r="BJ1" s="236"/>
      <c r="BP1" s="236"/>
      <c r="BV1" s="237"/>
      <c r="CB1" s="237"/>
      <c r="CH1" s="237"/>
      <c r="CN1" s="237"/>
      <c r="CT1" s="237"/>
      <c r="CZ1" s="237"/>
      <c r="DF1" s="237"/>
      <c r="DL1" s="237"/>
      <c r="DR1" s="237"/>
      <c r="DX1" s="237"/>
      <c r="ED1" s="237"/>
      <c r="EJ1" s="237"/>
      <c r="EP1" s="237"/>
      <c r="EV1" s="237"/>
      <c r="FB1" s="237"/>
      <c r="FH1" s="237"/>
      <c r="FN1" s="237"/>
      <c r="FT1" s="237"/>
      <c r="FZ1" s="237"/>
      <c r="GF1" s="237"/>
      <c r="GL1" s="237"/>
      <c r="GR1" s="237"/>
      <c r="GX1" s="237"/>
      <c r="HD1" s="236"/>
      <c r="HJ1" s="236"/>
      <c r="HP1" s="237"/>
      <c r="HV1" s="237"/>
      <c r="IB1" s="237"/>
    </row>
    <row r="2" spans="1:238" x14ac:dyDescent="0.35">
      <c r="A2" s="189" t="s">
        <v>159</v>
      </c>
      <c r="F2" s="239">
        <v>40755</v>
      </c>
      <c r="G2" s="239"/>
      <c r="H2" s="239">
        <v>40786</v>
      </c>
      <c r="I2" s="239"/>
      <c r="J2" s="239">
        <v>40816</v>
      </c>
      <c r="K2" s="239"/>
      <c r="L2" s="239">
        <v>40847</v>
      </c>
      <c r="M2" s="239"/>
      <c r="N2" s="239">
        <v>40877</v>
      </c>
      <c r="O2" s="238"/>
      <c r="P2" s="239">
        <v>40908</v>
      </c>
      <c r="Q2" s="239"/>
      <c r="R2" s="239">
        <v>40939</v>
      </c>
      <c r="S2" s="239"/>
      <c r="T2" s="238">
        <v>40967</v>
      </c>
      <c r="U2" s="238"/>
      <c r="V2" s="239">
        <v>40999</v>
      </c>
      <c r="W2" s="239"/>
      <c r="X2" s="239">
        <v>41029</v>
      </c>
      <c r="Y2" s="239"/>
      <c r="Z2" s="238">
        <v>41060</v>
      </c>
      <c r="AA2" s="238"/>
      <c r="AB2" s="239">
        <v>41090</v>
      </c>
      <c r="AC2" s="239"/>
      <c r="AD2" s="239">
        <v>41121</v>
      </c>
      <c r="AE2" s="239"/>
      <c r="AF2" s="238">
        <v>41152</v>
      </c>
      <c r="AG2" s="238"/>
      <c r="AH2" s="239">
        <v>41182</v>
      </c>
      <c r="AI2" s="239"/>
      <c r="AJ2" s="239">
        <v>41213</v>
      </c>
      <c r="AK2" s="239"/>
      <c r="AL2" s="238">
        <v>41243</v>
      </c>
      <c r="AM2" s="238"/>
      <c r="AN2" s="239">
        <v>41274</v>
      </c>
      <c r="AO2" s="239"/>
      <c r="AP2" s="239">
        <v>41305</v>
      </c>
      <c r="AQ2" s="239"/>
      <c r="AR2" s="238">
        <v>41333</v>
      </c>
      <c r="AS2" s="238"/>
      <c r="AT2" s="239">
        <v>41364</v>
      </c>
      <c r="AU2" s="239"/>
      <c r="AV2" s="239">
        <v>41394</v>
      </c>
      <c r="AW2" s="239"/>
      <c r="AX2" s="238">
        <v>41425</v>
      </c>
      <c r="AY2" s="238"/>
      <c r="AZ2" s="239">
        <v>41455</v>
      </c>
      <c r="BA2" s="239"/>
      <c r="BB2" s="239">
        <v>41486</v>
      </c>
      <c r="BC2" s="239"/>
      <c r="BD2" s="238">
        <v>41517</v>
      </c>
      <c r="BE2" s="238"/>
      <c r="BF2" s="239">
        <v>41547</v>
      </c>
      <c r="BG2" s="239"/>
      <c r="BH2" s="239">
        <v>41578</v>
      </c>
      <c r="BI2" s="239"/>
      <c r="BJ2" s="238">
        <v>41608</v>
      </c>
      <c r="BK2" s="238"/>
      <c r="BL2" s="239">
        <v>41639</v>
      </c>
      <c r="BM2" s="239"/>
      <c r="BN2" s="239">
        <v>41670</v>
      </c>
      <c r="BO2" s="239"/>
      <c r="BP2" s="238">
        <v>41698</v>
      </c>
      <c r="BQ2" s="238"/>
      <c r="BR2" s="239">
        <v>41729</v>
      </c>
      <c r="BS2" s="239"/>
      <c r="BT2" s="239">
        <v>41759</v>
      </c>
      <c r="BU2" s="239"/>
      <c r="BV2" s="238">
        <v>41790</v>
      </c>
      <c r="BW2" s="238"/>
      <c r="BX2" s="239">
        <v>41820</v>
      </c>
      <c r="BY2" s="239"/>
      <c r="BZ2" s="239">
        <v>41851</v>
      </c>
      <c r="CA2" s="239"/>
      <c r="CB2" s="238">
        <v>41882</v>
      </c>
      <c r="CC2" s="238"/>
      <c r="CD2" s="239">
        <v>41912</v>
      </c>
      <c r="CE2" s="239"/>
      <c r="CF2" s="239">
        <v>41943</v>
      </c>
      <c r="CG2" s="239"/>
      <c r="CH2" s="238">
        <v>41973</v>
      </c>
      <c r="CI2" s="238"/>
      <c r="CJ2" s="239">
        <v>42004</v>
      </c>
      <c r="CK2" s="239"/>
      <c r="CL2" s="239">
        <v>42035</v>
      </c>
      <c r="CM2" s="239"/>
      <c r="CN2" s="238">
        <v>42063</v>
      </c>
      <c r="CO2" s="238"/>
      <c r="CP2" s="239">
        <v>42094</v>
      </c>
      <c r="CQ2" s="239"/>
      <c r="CR2" s="239">
        <v>42124</v>
      </c>
      <c r="CS2" s="239"/>
      <c r="CT2" s="238">
        <v>42155</v>
      </c>
      <c r="CU2" s="238"/>
      <c r="CV2" s="239">
        <v>42185</v>
      </c>
      <c r="CW2" s="239"/>
      <c r="CX2" s="239">
        <v>42216</v>
      </c>
      <c r="CY2" s="239"/>
      <c r="CZ2" s="238">
        <v>42247</v>
      </c>
      <c r="DA2" s="238"/>
      <c r="DB2" s="239">
        <v>42277</v>
      </c>
      <c r="DC2" s="239"/>
      <c r="DD2" s="239">
        <v>42308</v>
      </c>
      <c r="DE2" s="239"/>
      <c r="DF2" s="238">
        <v>42338</v>
      </c>
      <c r="DG2" s="238"/>
      <c r="DH2" s="239">
        <v>42369</v>
      </c>
      <c r="DI2" s="239"/>
      <c r="DJ2" s="239">
        <v>42385</v>
      </c>
      <c r="DK2" s="239"/>
      <c r="DL2" s="238">
        <v>42429</v>
      </c>
      <c r="DM2" s="238"/>
      <c r="DN2" s="239">
        <v>42460</v>
      </c>
      <c r="DO2" s="239"/>
      <c r="DP2" s="239">
        <v>42490</v>
      </c>
      <c r="DQ2" s="239"/>
      <c r="DR2" s="238">
        <v>42521</v>
      </c>
      <c r="DS2" s="238"/>
      <c r="DT2" s="239">
        <v>42551</v>
      </c>
      <c r="DU2" s="239"/>
      <c r="DV2" s="239">
        <v>42582</v>
      </c>
      <c r="DW2" s="239"/>
      <c r="DX2" s="238">
        <v>42613</v>
      </c>
      <c r="DY2" s="238"/>
      <c r="DZ2" s="239">
        <v>42643</v>
      </c>
      <c r="EA2" s="239"/>
      <c r="EB2" s="239">
        <v>42674</v>
      </c>
      <c r="EC2" s="239"/>
      <c r="ED2" s="238">
        <v>42704</v>
      </c>
      <c r="EE2" s="238"/>
      <c r="EF2" s="239">
        <v>42735</v>
      </c>
      <c r="EG2" s="239"/>
      <c r="EH2" s="239">
        <v>42766</v>
      </c>
      <c r="EI2" s="239"/>
      <c r="EJ2" s="238">
        <v>42794</v>
      </c>
      <c r="EK2" s="238"/>
      <c r="EL2" s="239">
        <v>42825</v>
      </c>
      <c r="EM2" s="239"/>
      <c r="EN2" s="239">
        <v>42855</v>
      </c>
      <c r="EO2" s="239"/>
      <c r="EP2" s="238">
        <v>42886</v>
      </c>
      <c r="EQ2" s="238"/>
      <c r="ER2" s="239">
        <v>42916</v>
      </c>
      <c r="ES2" s="239"/>
      <c r="ET2" s="239">
        <v>42947</v>
      </c>
      <c r="EU2" s="239"/>
      <c r="EV2" s="238">
        <v>42978</v>
      </c>
      <c r="EW2" s="238"/>
      <c r="EX2" s="239">
        <v>43008</v>
      </c>
      <c r="EY2" s="239"/>
      <c r="EZ2" s="239">
        <v>43039</v>
      </c>
      <c r="FA2" s="239"/>
      <c r="FB2" s="238">
        <v>43069</v>
      </c>
      <c r="FC2" s="238"/>
      <c r="FD2" s="239">
        <v>43100</v>
      </c>
      <c r="FE2" s="239"/>
      <c r="FF2" s="239">
        <v>43131</v>
      </c>
      <c r="FG2" s="239"/>
      <c r="FH2" s="238">
        <v>43159</v>
      </c>
      <c r="FI2" s="238"/>
      <c r="FJ2" s="239">
        <v>43190</v>
      </c>
      <c r="FK2" s="239"/>
      <c r="FL2" s="239">
        <v>43220</v>
      </c>
      <c r="FM2" s="239"/>
      <c r="FN2" s="238">
        <v>43250</v>
      </c>
      <c r="FO2" s="238"/>
      <c r="FP2" s="239">
        <v>43281</v>
      </c>
      <c r="FQ2" s="238"/>
      <c r="FR2" s="239">
        <v>43312</v>
      </c>
      <c r="FS2" s="239"/>
      <c r="FT2" s="238">
        <v>43343</v>
      </c>
      <c r="FU2" s="238"/>
      <c r="FV2" s="239">
        <v>43373</v>
      </c>
      <c r="FW2" s="238"/>
      <c r="FX2" s="239">
        <v>43404</v>
      </c>
      <c r="FY2" s="239"/>
      <c r="FZ2" s="238">
        <v>43434</v>
      </c>
      <c r="GA2" s="238"/>
      <c r="GB2" s="239">
        <v>43465</v>
      </c>
      <c r="GC2" s="238"/>
      <c r="GD2" s="239">
        <v>43496</v>
      </c>
      <c r="GE2" s="239"/>
      <c r="GF2" s="238">
        <v>43497</v>
      </c>
      <c r="GG2" s="238"/>
      <c r="GH2" s="239">
        <v>43525</v>
      </c>
      <c r="GI2" s="238"/>
      <c r="GJ2" s="239">
        <v>43556</v>
      </c>
      <c r="GK2" s="239"/>
      <c r="GL2" s="238">
        <v>43586</v>
      </c>
      <c r="GM2" s="238"/>
      <c r="GN2" s="239">
        <v>43617</v>
      </c>
      <c r="GO2" s="239"/>
      <c r="GP2" s="239">
        <v>43647</v>
      </c>
      <c r="GQ2" s="239"/>
      <c r="GR2" s="238">
        <v>43678</v>
      </c>
      <c r="GS2" s="238"/>
      <c r="GT2" s="239">
        <v>43709</v>
      </c>
      <c r="GU2" s="238"/>
      <c r="GV2" s="239">
        <v>43739</v>
      </c>
      <c r="GW2" s="239"/>
      <c r="GX2" s="238">
        <v>43770</v>
      </c>
      <c r="GY2" s="238"/>
      <c r="GZ2" s="239">
        <v>43800</v>
      </c>
      <c r="HA2" s="238"/>
      <c r="HB2" s="239">
        <v>43831</v>
      </c>
      <c r="HC2" s="239"/>
      <c r="HD2" s="238">
        <v>43862</v>
      </c>
      <c r="HE2" s="236"/>
      <c r="HJ2" s="236"/>
      <c r="HK2" s="236"/>
      <c r="HP2" s="236"/>
      <c r="HQ2" s="236"/>
      <c r="HV2" s="236"/>
      <c r="HW2" s="236"/>
      <c r="IB2" s="236"/>
      <c r="IC2" s="236"/>
    </row>
    <row r="3" spans="1:238" s="239" customFormat="1" x14ac:dyDescent="0.35">
      <c r="A3" s="238"/>
      <c r="C3" s="240"/>
    </row>
    <row r="4" spans="1:238" x14ac:dyDescent="0.35">
      <c r="A4" s="140"/>
      <c r="B4" s="189" t="s">
        <v>37</v>
      </c>
      <c r="F4" s="242">
        <v>739.4</v>
      </c>
      <c r="G4" s="242"/>
      <c r="H4" s="242">
        <v>877.1</v>
      </c>
      <c r="I4" s="242"/>
      <c r="J4" s="242">
        <v>810</v>
      </c>
      <c r="K4" s="242"/>
      <c r="L4" s="242">
        <v>1253.3</v>
      </c>
      <c r="M4" s="242"/>
      <c r="N4" s="242">
        <v>2602.1999999999998</v>
      </c>
      <c r="O4" s="242"/>
      <c r="P4" s="242">
        <v>3335.3</v>
      </c>
      <c r="Q4" s="242"/>
      <c r="R4" s="242">
        <v>5134.3</v>
      </c>
      <c r="S4" s="242"/>
      <c r="T4" s="242">
        <v>3660.8</v>
      </c>
      <c r="U4" s="242"/>
      <c r="V4" s="242">
        <v>1928.7</v>
      </c>
      <c r="W4" s="242"/>
      <c r="X4" s="242">
        <v>1176.5999999999999</v>
      </c>
      <c r="Y4" s="242"/>
      <c r="Z4" s="242">
        <v>1253</v>
      </c>
      <c r="AA4" s="242"/>
      <c r="AB4" s="242">
        <v>880.1</v>
      </c>
      <c r="AC4" s="242"/>
      <c r="AD4" s="242">
        <v>1045.5999999999999</v>
      </c>
      <c r="AE4" s="242"/>
      <c r="AF4" s="242">
        <v>1227.3</v>
      </c>
      <c r="AG4" s="242"/>
      <c r="AH4" s="242">
        <v>1048.7</v>
      </c>
      <c r="AI4" s="242"/>
      <c r="AJ4" s="242">
        <v>1812.8</v>
      </c>
      <c r="AK4" s="242"/>
      <c r="AL4" s="242">
        <v>3672.7</v>
      </c>
      <c r="AM4" s="242"/>
      <c r="AN4" s="242">
        <v>2853.5</v>
      </c>
      <c r="AO4" s="242"/>
      <c r="AP4" s="242">
        <v>6072.5</v>
      </c>
      <c r="AQ4" s="242"/>
      <c r="AR4" s="242">
        <v>4304.3</v>
      </c>
      <c r="AS4" s="242"/>
      <c r="AT4" s="242">
        <v>5380.1</v>
      </c>
      <c r="AU4" s="242"/>
      <c r="AV4" s="242">
        <v>2530.9</v>
      </c>
      <c r="AW4" s="242"/>
      <c r="AX4" s="242">
        <v>1603</v>
      </c>
      <c r="AY4" s="242"/>
      <c r="AZ4" s="242">
        <v>911.2</v>
      </c>
      <c r="BA4" s="242"/>
      <c r="BB4" s="242">
        <v>809.8</v>
      </c>
      <c r="BC4" s="242"/>
      <c r="BD4" s="242">
        <v>1047.2</v>
      </c>
      <c r="BE4" s="242"/>
      <c r="BF4" s="242">
        <v>1050.7</v>
      </c>
      <c r="BG4" s="242"/>
      <c r="BH4" s="242">
        <v>1618.4</v>
      </c>
      <c r="BI4" s="242"/>
      <c r="BJ4" s="242">
        <v>2334</v>
      </c>
      <c r="BK4" s="242"/>
      <c r="BL4" s="242">
        <v>3906</v>
      </c>
      <c r="BM4" s="242"/>
      <c r="BN4" s="242">
        <v>6465</v>
      </c>
      <c r="BO4" s="242"/>
      <c r="BP4" s="242">
        <v>5710</v>
      </c>
      <c r="BQ4" s="242"/>
      <c r="BR4" s="242">
        <v>3962</v>
      </c>
      <c r="BS4" s="242"/>
      <c r="BT4" s="242">
        <v>2176</v>
      </c>
      <c r="BU4" s="242"/>
      <c r="BV4" s="242">
        <v>1037</v>
      </c>
      <c r="BW4" s="242"/>
      <c r="BX4" s="242">
        <v>999</v>
      </c>
      <c r="BY4" s="242"/>
      <c r="BZ4" s="242">
        <v>957</v>
      </c>
      <c r="CA4" s="242"/>
      <c r="CB4" s="242">
        <v>854</v>
      </c>
      <c r="CC4" s="242"/>
      <c r="CD4" s="242">
        <v>969</v>
      </c>
      <c r="CE4" s="242"/>
      <c r="CF4" s="242">
        <v>1749</v>
      </c>
      <c r="CG4" s="242"/>
      <c r="CH4" s="242">
        <v>3252</v>
      </c>
      <c r="CI4" s="242"/>
      <c r="CJ4" s="242">
        <v>4410</v>
      </c>
      <c r="CK4" s="242"/>
      <c r="CL4" s="242">
        <v>9046</v>
      </c>
      <c r="CM4" s="242"/>
      <c r="CN4" s="242">
        <v>11867</v>
      </c>
      <c r="CO4" s="242"/>
      <c r="CP4" s="242">
        <v>13351</v>
      </c>
      <c r="CQ4" s="242"/>
      <c r="CR4" s="242">
        <v>9115</v>
      </c>
      <c r="CS4" s="242"/>
      <c r="CT4" s="242">
        <v>8724</v>
      </c>
      <c r="CU4" s="242"/>
      <c r="CV4" s="242">
        <v>6472</v>
      </c>
      <c r="CW4" s="242"/>
      <c r="CX4" s="242">
        <v>6062</v>
      </c>
      <c r="CY4" s="242"/>
      <c r="CZ4" s="242">
        <v>5148</v>
      </c>
      <c r="DA4" s="242"/>
      <c r="DB4" s="242">
        <v>5562</v>
      </c>
      <c r="DC4" s="242"/>
      <c r="DD4" s="242">
        <v>7939</v>
      </c>
      <c r="DE4" s="242"/>
      <c r="DF4" s="242">
        <v>8721</v>
      </c>
      <c r="DG4" s="242"/>
      <c r="DH4" s="242">
        <v>7043</v>
      </c>
      <c r="DI4" s="242"/>
      <c r="DJ4" s="242">
        <v>11015</v>
      </c>
      <c r="DK4" s="242"/>
      <c r="DL4" s="242">
        <v>10109</v>
      </c>
      <c r="DM4" s="242"/>
      <c r="DN4" s="242">
        <v>9340</v>
      </c>
      <c r="DO4" s="242"/>
      <c r="DP4" s="242">
        <v>7794</v>
      </c>
      <c r="DQ4" s="242"/>
      <c r="DR4" s="242">
        <v>5474</v>
      </c>
      <c r="DS4" s="242"/>
      <c r="DT4" s="242">
        <v>4778</v>
      </c>
      <c r="DU4" s="242"/>
      <c r="DV4" s="242">
        <v>4594</v>
      </c>
      <c r="DW4" s="242"/>
      <c r="DX4" s="242">
        <v>4462</v>
      </c>
      <c r="DY4" s="242"/>
      <c r="DZ4" s="242">
        <v>5505</v>
      </c>
      <c r="EA4" s="242"/>
      <c r="EB4" s="242">
        <v>5465</v>
      </c>
      <c r="EC4" s="242"/>
      <c r="ED4" s="242">
        <v>7363</v>
      </c>
      <c r="EE4" s="242"/>
      <c r="EF4" s="242">
        <v>8826</v>
      </c>
      <c r="EG4" s="242"/>
      <c r="EH4" s="242">
        <v>7634</v>
      </c>
      <c r="EI4" s="242"/>
      <c r="EJ4" s="242">
        <v>6393</v>
      </c>
      <c r="EK4" s="242"/>
      <c r="EL4" s="242">
        <v>7774</v>
      </c>
      <c r="EM4" s="242"/>
      <c r="EN4" s="242">
        <v>6650</v>
      </c>
      <c r="EO4" s="242"/>
      <c r="EP4" s="242">
        <v>3981</v>
      </c>
      <c r="EQ4" s="242"/>
      <c r="ER4" s="242">
        <v>3459</v>
      </c>
      <c r="ES4" s="242"/>
      <c r="ET4" s="242">
        <v>2704</v>
      </c>
      <c r="EU4" s="242"/>
      <c r="EV4" s="242">
        <v>4983</v>
      </c>
      <c r="EW4" s="242"/>
      <c r="EX4" s="242">
        <v>6437</v>
      </c>
      <c r="EY4" s="242"/>
      <c r="EZ4" s="242">
        <v>6306</v>
      </c>
      <c r="FA4" s="242"/>
      <c r="FB4" s="242">
        <v>10869</v>
      </c>
      <c r="FC4" s="242"/>
      <c r="FD4" s="242">
        <v>12716</v>
      </c>
      <c r="FE4" s="242"/>
      <c r="FF4" s="242">
        <v>12306</v>
      </c>
      <c r="FG4" s="242"/>
      <c r="FH4" s="242">
        <v>12391</v>
      </c>
      <c r="FI4" s="242"/>
      <c r="FJ4" s="242">
        <v>13164</v>
      </c>
      <c r="FK4" s="242"/>
      <c r="FL4" s="242">
        <v>10761</v>
      </c>
      <c r="FM4" s="242"/>
      <c r="FN4" s="242">
        <v>6961</v>
      </c>
      <c r="FO4" s="242"/>
      <c r="FP4" s="242">
        <v>6678</v>
      </c>
      <c r="FQ4" s="242"/>
      <c r="FR4" s="242">
        <v>5672</v>
      </c>
      <c r="FS4" s="242"/>
      <c r="FT4" s="242">
        <v>6855</v>
      </c>
      <c r="FU4" s="242"/>
      <c r="FV4" s="242">
        <v>6082.8</v>
      </c>
      <c r="FW4" s="242"/>
      <c r="FX4" s="242">
        <v>7301.3</v>
      </c>
      <c r="FY4" s="242"/>
      <c r="FZ4" s="242">
        <v>13375.6</v>
      </c>
      <c r="GA4" s="242"/>
      <c r="GB4" s="242">
        <v>13910</v>
      </c>
      <c r="GC4" s="242"/>
      <c r="GD4" s="242">
        <v>12228</v>
      </c>
      <c r="GE4" s="242"/>
      <c r="GF4" s="242">
        <v>14660</v>
      </c>
      <c r="GG4" s="242"/>
      <c r="GH4" s="242">
        <v>12783</v>
      </c>
      <c r="GI4" s="242"/>
      <c r="GJ4" s="242">
        <v>9302</v>
      </c>
      <c r="GK4" s="242"/>
      <c r="GL4" s="242">
        <v>9488</v>
      </c>
      <c r="GM4" s="242"/>
      <c r="GN4" s="242">
        <v>6501</v>
      </c>
      <c r="GO4" s="242"/>
      <c r="GP4" s="242">
        <v>6289</v>
      </c>
      <c r="GQ4" s="242"/>
      <c r="GR4" s="242">
        <v>6925</v>
      </c>
      <c r="GS4" s="242"/>
      <c r="GT4" s="242">
        <v>4629</v>
      </c>
      <c r="GU4" s="242"/>
      <c r="GV4" s="242">
        <v>5670</v>
      </c>
      <c r="GW4" s="242"/>
      <c r="GX4" s="242">
        <v>11476.2</v>
      </c>
      <c r="GY4" s="242"/>
      <c r="GZ4" s="242">
        <v>11060.8</v>
      </c>
      <c r="HA4" s="242"/>
      <c r="HB4" s="242">
        <v>12602.6</v>
      </c>
      <c r="HC4" s="242"/>
      <c r="HD4" s="242">
        <v>12157.6</v>
      </c>
    </row>
    <row r="5" spans="1:238" x14ac:dyDescent="0.35">
      <c r="B5" s="140"/>
    </row>
    <row r="6" spans="1:238" x14ac:dyDescent="0.35">
      <c r="B6" s="189" t="s">
        <v>160</v>
      </c>
    </row>
    <row r="7" spans="1:238" x14ac:dyDescent="0.35">
      <c r="C7" s="189" t="s">
        <v>52</v>
      </c>
      <c r="F7" s="254">
        <v>7.3955000000000002</v>
      </c>
      <c r="G7" s="254"/>
      <c r="H7" s="254">
        <v>7.7431000000000001</v>
      </c>
      <c r="I7" s="254"/>
      <c r="J7" s="254">
        <v>7.7431000000000001</v>
      </c>
      <c r="K7" s="254"/>
      <c r="L7" s="254">
        <v>7.7431000000000001</v>
      </c>
      <c r="M7" s="254"/>
      <c r="N7" s="254">
        <v>7.7431000000000001</v>
      </c>
      <c r="O7" s="254"/>
      <c r="P7" s="254">
        <v>7.7431000000000001</v>
      </c>
      <c r="Q7" s="254"/>
      <c r="R7" s="254">
        <v>7.7431000000000001</v>
      </c>
      <c r="S7" s="254"/>
      <c r="T7" s="254">
        <v>7.7431000000000001</v>
      </c>
      <c r="U7" s="254"/>
      <c r="V7" s="254">
        <v>7.7431000000000001</v>
      </c>
      <c r="W7" s="254"/>
      <c r="X7" s="254">
        <v>8.1425999999999998</v>
      </c>
      <c r="Y7" s="254"/>
      <c r="Z7" s="254">
        <v>4.9969000000000001</v>
      </c>
      <c r="AA7" s="254"/>
      <c r="AB7" s="254">
        <v>4.9969000000000001</v>
      </c>
      <c r="AC7" s="254"/>
      <c r="AD7" s="254">
        <v>4.9969000000000001</v>
      </c>
      <c r="AE7" s="254"/>
      <c r="AF7" s="254">
        <v>5.1054000000000004</v>
      </c>
      <c r="AG7" s="254"/>
      <c r="AH7" s="254">
        <v>5.1054000000000004</v>
      </c>
      <c r="AI7" s="254"/>
      <c r="AJ7" s="254">
        <v>5.1054000000000004</v>
      </c>
      <c r="AK7" s="254"/>
      <c r="AL7" s="254">
        <v>5.1051000000000002</v>
      </c>
      <c r="AM7" s="254"/>
      <c r="AN7" s="254">
        <v>5.1051000000000002</v>
      </c>
      <c r="AO7" s="254"/>
      <c r="AP7" s="254">
        <v>5.1051000000000002</v>
      </c>
      <c r="AQ7" s="254"/>
      <c r="AR7" s="254">
        <v>5.0707000000000004</v>
      </c>
      <c r="AS7" s="254"/>
      <c r="AT7" s="254">
        <v>5.0707000000000004</v>
      </c>
      <c r="AU7" s="254"/>
      <c r="AV7" s="254">
        <v>5.0707000000000004</v>
      </c>
      <c r="AW7" s="254"/>
      <c r="AX7" s="254">
        <v>5.8171999999999997</v>
      </c>
      <c r="AY7" s="254"/>
      <c r="AZ7" s="254">
        <v>5.8171999999999997</v>
      </c>
      <c r="BA7" s="254"/>
      <c r="BB7" s="254">
        <v>5.8171999999999997</v>
      </c>
      <c r="BC7" s="254"/>
      <c r="BD7" s="254">
        <v>5.6890000000000001</v>
      </c>
      <c r="BE7" s="254"/>
      <c r="BF7" s="254">
        <v>5.6890000000000001</v>
      </c>
      <c r="BG7" s="254"/>
      <c r="BH7" s="254">
        <v>5.6890000000000001</v>
      </c>
      <c r="BI7" s="254"/>
      <c r="BJ7" s="254">
        <v>6.1924999999999999</v>
      </c>
      <c r="BK7" s="254"/>
      <c r="BL7" s="254">
        <v>6.1924999999999999</v>
      </c>
      <c r="BM7" s="254"/>
      <c r="BN7" s="254">
        <v>6.1924999999999999</v>
      </c>
      <c r="BO7" s="254"/>
      <c r="BP7" s="254">
        <v>6.1997999999999998</v>
      </c>
      <c r="BQ7" s="254"/>
      <c r="BR7" s="254">
        <v>6.1997999999999998</v>
      </c>
      <c r="BS7" s="254"/>
      <c r="BT7" s="254">
        <v>6.1997999999999998</v>
      </c>
      <c r="BU7" s="254"/>
      <c r="BV7" s="254">
        <v>7.1894</v>
      </c>
      <c r="BW7" s="254"/>
      <c r="BX7" s="254">
        <v>7.1894</v>
      </c>
      <c r="BY7" s="254"/>
      <c r="BZ7" s="254">
        <v>7.1894</v>
      </c>
      <c r="CA7" s="254"/>
      <c r="CB7" s="254">
        <v>7.7015000000000002</v>
      </c>
      <c r="CC7" s="254"/>
      <c r="CD7" s="254">
        <v>7.7015000000000002</v>
      </c>
      <c r="CE7" s="254"/>
      <c r="CF7" s="254">
        <v>7.7015000000000002</v>
      </c>
      <c r="CG7" s="254"/>
      <c r="CH7" s="254">
        <v>8.2132000000000005</v>
      </c>
      <c r="CI7" s="254"/>
      <c r="CJ7" s="254">
        <v>8.2132000000000005</v>
      </c>
      <c r="CK7" s="254"/>
      <c r="CL7" s="254">
        <v>8.2132000000000005</v>
      </c>
      <c r="CM7" s="254"/>
      <c r="CN7" s="254">
        <v>7.2031000000000001</v>
      </c>
      <c r="CO7" s="254"/>
      <c r="CP7" s="254">
        <v>7.2031000000000001</v>
      </c>
      <c r="CQ7" s="254"/>
      <c r="CR7" s="254">
        <v>7.2031000000000001</v>
      </c>
      <c r="CS7" s="254"/>
      <c r="CT7" s="254">
        <v>7.1909999999999998</v>
      </c>
      <c r="CU7" s="254"/>
      <c r="CV7" s="254">
        <v>7.1909999999999998</v>
      </c>
      <c r="CW7" s="254"/>
      <c r="CX7" s="254">
        <v>7.1909999999999998</v>
      </c>
      <c r="CY7" s="254"/>
      <c r="CZ7" s="254">
        <v>6.0007000000000001</v>
      </c>
      <c r="DA7" s="254"/>
      <c r="DB7" s="254">
        <v>6.0007000000000001</v>
      </c>
      <c r="DC7" s="254"/>
      <c r="DD7" s="254">
        <v>6.0007000000000001</v>
      </c>
      <c r="DE7" s="254"/>
      <c r="DF7" s="254">
        <v>6.4382000000000001</v>
      </c>
      <c r="DG7" s="254"/>
      <c r="DH7" s="254">
        <v>6.4382000000000001</v>
      </c>
      <c r="DI7" s="254"/>
      <c r="DJ7" s="254">
        <v>6.4382000000000001</v>
      </c>
      <c r="DK7" s="254"/>
      <c r="DL7" s="254">
        <v>5.9337999999999997</v>
      </c>
      <c r="DM7" s="254"/>
      <c r="DN7" s="254">
        <v>5.9337999999999997</v>
      </c>
      <c r="DO7" s="254"/>
      <c r="DP7" s="254">
        <v>5.9337999999999997</v>
      </c>
      <c r="DQ7" s="254"/>
      <c r="DR7" s="254">
        <v>5.1559999999999997</v>
      </c>
      <c r="DS7" s="254"/>
      <c r="DT7" s="254">
        <v>5.1559999999999997</v>
      </c>
      <c r="DU7" s="254"/>
      <c r="DV7" s="254">
        <v>5.1559999999999997</v>
      </c>
      <c r="DW7" s="254"/>
      <c r="DX7" s="254">
        <v>5.8266999999999998</v>
      </c>
      <c r="DY7" s="254"/>
      <c r="DZ7" s="254">
        <v>5.8266999999999998</v>
      </c>
      <c r="EA7" s="254"/>
      <c r="EB7" s="254">
        <v>5.8266999999999998</v>
      </c>
      <c r="EC7" s="254"/>
      <c r="ED7" s="254">
        <v>6.2869999999999999</v>
      </c>
      <c r="EE7" s="254"/>
      <c r="EF7" s="254">
        <v>6.2869999999999999</v>
      </c>
      <c r="EG7" s="254"/>
      <c r="EH7" s="254">
        <v>6.2869999999999999</v>
      </c>
      <c r="EI7" s="254"/>
      <c r="EJ7" s="254">
        <v>6.4717000000000002</v>
      </c>
      <c r="EK7" s="254"/>
      <c r="EL7" s="254">
        <v>6.4717000000000002</v>
      </c>
      <c r="EM7" s="254"/>
      <c r="EN7" s="254">
        <v>6.4717000000000002</v>
      </c>
      <c r="EO7" s="254"/>
      <c r="EP7" s="254">
        <v>6.7502000000000004</v>
      </c>
      <c r="EQ7" s="254"/>
      <c r="ER7" s="254">
        <v>6.7502000000000004</v>
      </c>
      <c r="ES7" s="254"/>
      <c r="ET7" s="254">
        <v>6.7502000000000004</v>
      </c>
      <c r="EU7" s="254"/>
      <c r="EV7" s="254">
        <v>6.4114000000000004</v>
      </c>
      <c r="EW7" s="254"/>
      <c r="EX7" s="254">
        <v>6.4114000000000004</v>
      </c>
      <c r="EY7" s="254"/>
      <c r="EZ7" s="254">
        <v>6.4114000000000004</v>
      </c>
      <c r="FA7" s="254"/>
      <c r="FB7" s="254">
        <v>7.0568</v>
      </c>
      <c r="FC7" s="254"/>
      <c r="FD7" s="254">
        <v>7.0568</v>
      </c>
      <c r="FE7" s="254"/>
      <c r="FF7" s="254">
        <v>7.0568</v>
      </c>
      <c r="FG7" s="254"/>
      <c r="FH7" s="254">
        <v>7.4535</v>
      </c>
      <c r="FI7" s="254"/>
      <c r="FJ7" s="254">
        <v>7.4535</v>
      </c>
      <c r="FK7" s="254"/>
      <c r="FL7" s="254">
        <v>7.4535</v>
      </c>
      <c r="FM7" s="254"/>
      <c r="FN7" s="254">
        <f>7.6224-(7.7428-7.9256)</f>
        <v>7.8052000000000001</v>
      </c>
      <c r="FO7" s="254"/>
      <c r="FP7" s="254">
        <v>7.6223999999999998</v>
      </c>
      <c r="FQ7" s="254"/>
      <c r="FR7" s="254">
        <v>7.6223999999999998</v>
      </c>
      <c r="FS7" s="254"/>
      <c r="FT7" s="254">
        <v>6.6455000000000002</v>
      </c>
      <c r="FU7" s="254"/>
      <c r="FV7" s="254">
        <v>6.6455000000000002</v>
      </c>
      <c r="FW7" s="254"/>
      <c r="FX7" s="254">
        <v>6.6455000000000002</v>
      </c>
      <c r="FY7" s="254"/>
      <c r="FZ7" s="254">
        <f>6.863-(6.4673-6.4672)</f>
        <v>6.8629000000000007</v>
      </c>
      <c r="GA7" s="254"/>
      <c r="GB7" s="254">
        <v>6.8630000000000004</v>
      </c>
      <c r="GC7" s="254"/>
      <c r="GD7" s="254">
        <v>6.8630000000000004</v>
      </c>
      <c r="GE7" s="254"/>
      <c r="GF7" s="254">
        <v>6.8250000000000002</v>
      </c>
      <c r="GG7" s="254"/>
      <c r="GH7" s="254">
        <v>6.8250000000000002</v>
      </c>
      <c r="GI7" s="254"/>
      <c r="GJ7" s="254">
        <v>6.8250000000000002</v>
      </c>
      <c r="GK7" s="254"/>
      <c r="GL7" s="254">
        <v>7.7325999999999997</v>
      </c>
      <c r="GM7" s="254"/>
      <c r="GN7" s="254">
        <v>7.7325999999999997</v>
      </c>
      <c r="GO7" s="254"/>
      <c r="GP7" s="254">
        <v>7.7325999999999997</v>
      </c>
      <c r="GQ7" s="254"/>
      <c r="GR7" s="254">
        <v>7.7163000000000004</v>
      </c>
      <c r="GS7" s="254"/>
      <c r="GT7" s="254">
        <f>7.7163+(8.9337-8.938)</f>
        <v>7.7119999999999997</v>
      </c>
      <c r="GU7" s="254"/>
      <c r="GV7" s="254">
        <v>7.7163000000000004</v>
      </c>
      <c r="GW7" s="254"/>
      <c r="GX7" s="254">
        <v>6</v>
      </c>
      <c r="GY7" s="254"/>
      <c r="GZ7" s="254">
        <v>6</v>
      </c>
      <c r="HA7" s="254"/>
      <c r="HB7" s="254">
        <v>6</v>
      </c>
      <c r="HC7" s="254"/>
      <c r="HD7" s="254">
        <v>6</v>
      </c>
      <c r="HE7" s="112"/>
      <c r="HF7" s="143"/>
      <c r="HH7" s="143"/>
      <c r="HJ7" s="143"/>
      <c r="HK7" s="112"/>
      <c r="HL7" s="143"/>
      <c r="HN7" s="143"/>
      <c r="HP7" s="143"/>
      <c r="HQ7" s="112"/>
      <c r="HR7" s="143"/>
      <c r="HT7" s="143"/>
      <c r="HV7" s="143"/>
      <c r="HW7" s="112"/>
      <c r="HX7" s="143"/>
      <c r="HZ7" s="143"/>
      <c r="IB7" s="143"/>
      <c r="IC7" s="112"/>
      <c r="ID7" s="143"/>
    </row>
    <row r="8" spans="1:238" x14ac:dyDescent="0.35">
      <c r="B8" s="140"/>
      <c r="C8" s="189" t="s">
        <v>161</v>
      </c>
      <c r="F8" s="260">
        <f>F$4*F7</f>
        <v>5468.2326999999996</v>
      </c>
      <c r="G8" s="143"/>
      <c r="H8" s="260">
        <f>H$4*H7</f>
        <v>6791.4730100000006</v>
      </c>
      <c r="I8" s="143"/>
      <c r="J8" s="260">
        <f>J$4*J7</f>
        <v>6271.9110000000001</v>
      </c>
      <c r="K8" s="143"/>
      <c r="L8" s="260">
        <f>L$4*L7</f>
        <v>9704.4272299999993</v>
      </c>
      <c r="M8" s="143"/>
      <c r="N8" s="260">
        <f>N$4*N7</f>
        <v>20149.094819999998</v>
      </c>
      <c r="P8" s="260">
        <f>P$4*P7</f>
        <v>25825.561430000002</v>
      </c>
      <c r="Q8" s="143"/>
      <c r="R8" s="260">
        <f>R$4*R7</f>
        <v>39755.398330000004</v>
      </c>
      <c r="T8" s="260">
        <f>T$4*T7</f>
        <v>28345.940480000001</v>
      </c>
      <c r="V8" s="260">
        <f>V$4*V7</f>
        <v>14934.116970000001</v>
      </c>
      <c r="X8" s="260">
        <f>X$4*X7</f>
        <v>9580.5831599999983</v>
      </c>
      <c r="Z8" s="260">
        <f>Z$4*Z7</f>
        <v>6261.1157000000003</v>
      </c>
      <c r="AB8" s="260">
        <f>AB$4*AB7</f>
        <v>4397.7716900000005</v>
      </c>
      <c r="AD8" s="260">
        <f>AD$4*AD7</f>
        <v>5224.75864</v>
      </c>
      <c r="AF8" s="260">
        <f>AF$4*AF7</f>
        <v>6265.8574200000003</v>
      </c>
      <c r="AH8" s="260">
        <f>AH$4*AH7</f>
        <v>5354.0329800000009</v>
      </c>
      <c r="AJ8" s="260">
        <f>AJ$4*AJ7</f>
        <v>9255.0691200000001</v>
      </c>
      <c r="AL8" s="260">
        <f>AL$4*AL7</f>
        <v>18749.500769999999</v>
      </c>
      <c r="AN8" s="260">
        <f>AN$4*AN7</f>
        <v>14567.40285</v>
      </c>
      <c r="AP8" s="260">
        <f>AP$4*AP7</f>
        <v>31000.71975</v>
      </c>
      <c r="AR8" s="260">
        <f>AR$4*AR7</f>
        <v>21825.814010000002</v>
      </c>
      <c r="AT8" s="260">
        <f>AT$4*AT7</f>
        <v>27280.873070000005</v>
      </c>
      <c r="AV8" s="260">
        <f>AV$4*AV7</f>
        <v>12833.434630000002</v>
      </c>
      <c r="AX8" s="260">
        <f>AX$4*AX7</f>
        <v>9324.9715999999989</v>
      </c>
      <c r="AZ8" s="260">
        <f>AZ$4*AZ7</f>
        <v>5300.6326399999998</v>
      </c>
      <c r="BB8" s="260">
        <f>BB$4*BB7</f>
        <v>4710.7685599999995</v>
      </c>
      <c r="BD8" s="260">
        <f>BD$4*BD7</f>
        <v>5957.5208000000002</v>
      </c>
      <c r="BF8" s="260">
        <f>BF$4*BF7</f>
        <v>5977.4323000000004</v>
      </c>
      <c r="BH8" s="260">
        <f>BH$4*BH7</f>
        <v>9207.0776000000005</v>
      </c>
      <c r="BJ8" s="260">
        <f>BJ$4*BJ7</f>
        <v>14453.295</v>
      </c>
      <c r="BL8" s="260">
        <f>BL$4*BL7</f>
        <v>24187.904999999999</v>
      </c>
      <c r="BN8" s="260">
        <f>BN$4*BN7</f>
        <v>40034.512499999997</v>
      </c>
      <c r="BP8" s="260">
        <f>BP$4*BP7</f>
        <v>35400.858</v>
      </c>
      <c r="BR8" s="260">
        <f>BR$4*BR7</f>
        <v>24563.607599999999</v>
      </c>
      <c r="BT8" s="260">
        <f>BT$4*BT7</f>
        <v>13490.764799999999</v>
      </c>
      <c r="BV8" s="260">
        <f>BV$4*BV7</f>
        <v>7455.4078</v>
      </c>
      <c r="BX8" s="260">
        <f>BX$4*BX7</f>
        <v>7182.2106000000003</v>
      </c>
      <c r="BZ8" s="260">
        <f>BZ$4*BZ7</f>
        <v>6880.2557999999999</v>
      </c>
      <c r="CB8" s="260">
        <f>CB$4*CB7</f>
        <v>6577.0810000000001</v>
      </c>
      <c r="CD8" s="260">
        <f>CD$4*CD7</f>
        <v>7462.7534999999998</v>
      </c>
      <c r="CF8" s="260">
        <f>CF$4*CF7</f>
        <v>13469.923500000001</v>
      </c>
      <c r="CH8" s="260">
        <f>CH$4*CH7</f>
        <v>26709.326400000002</v>
      </c>
      <c r="CJ8" s="260">
        <f>CJ$4*CJ7</f>
        <v>36220.212</v>
      </c>
      <c r="CL8" s="260">
        <f>CL$4*CL7</f>
        <v>74296.607199999999</v>
      </c>
      <c r="CN8" s="260">
        <f>CN$4*CN7</f>
        <v>85479.187699999995</v>
      </c>
      <c r="CP8" s="260">
        <f>CP$4*CP7</f>
        <v>96168.588099999994</v>
      </c>
      <c r="CR8" s="260">
        <f>CR$4*CR7</f>
        <v>65656.256500000003</v>
      </c>
      <c r="CT8" s="260">
        <f>CT$4*CT7</f>
        <v>62734.284</v>
      </c>
      <c r="CV8" s="260">
        <f>CV$4*CV7</f>
        <v>46540.152000000002</v>
      </c>
      <c r="CX8" s="260">
        <f>CX$4*CX7</f>
        <v>43591.841999999997</v>
      </c>
      <c r="CZ8" s="260">
        <f>CZ$4*CZ7</f>
        <v>30891.603600000002</v>
      </c>
      <c r="DB8" s="260">
        <f>DB$4*DB7</f>
        <v>33375.893400000001</v>
      </c>
      <c r="DD8" s="260">
        <f>DD$4*DD7</f>
        <v>47639.5573</v>
      </c>
      <c r="DF8" s="260">
        <f>DF$4*DF7</f>
        <v>56147.542200000004</v>
      </c>
      <c r="DH8" s="260">
        <f>DH$4*DH7</f>
        <v>45344.242599999998</v>
      </c>
      <c r="DJ8" s="260">
        <f>DJ$4*DJ7</f>
        <v>70916.773000000001</v>
      </c>
      <c r="DL8" s="260">
        <f>DL$4*DL7</f>
        <v>59984.784199999995</v>
      </c>
      <c r="DN8" s="260">
        <f>DN$4*DN7</f>
        <v>55421.691999999995</v>
      </c>
      <c r="DP8" s="260">
        <f>DP$4*DP7</f>
        <v>46248.037199999999</v>
      </c>
      <c r="DR8" s="260">
        <f>DR$4*DR7</f>
        <v>28223.944</v>
      </c>
      <c r="DT8" s="260">
        <f>DT$4*DT7</f>
        <v>24635.367999999999</v>
      </c>
      <c r="DV8" s="260">
        <f>DV$4*DV7</f>
        <v>23686.663999999997</v>
      </c>
      <c r="DX8" s="260">
        <f>DX$4*DX7</f>
        <v>25998.735399999998</v>
      </c>
      <c r="DZ8" s="260">
        <f>DZ$4*DZ7</f>
        <v>32075.983499999998</v>
      </c>
      <c r="EB8" s="260">
        <f>EB$4*EB7</f>
        <v>31842.915499999999</v>
      </c>
      <c r="ED8" s="260">
        <f>ED$4*ED7</f>
        <v>46291.180999999997</v>
      </c>
      <c r="EF8" s="260">
        <f>EF$4*EF7</f>
        <v>55489.061999999998</v>
      </c>
      <c r="EH8" s="260">
        <f>EH$4*EH7</f>
        <v>47994.957999999999</v>
      </c>
      <c r="EJ8" s="260">
        <f>EJ$4*EJ7</f>
        <v>41373.578099999999</v>
      </c>
      <c r="EL8" s="260">
        <f>EL$4*EL7</f>
        <v>50310.995800000004</v>
      </c>
      <c r="EN8" s="260">
        <f>EN$4*EN7</f>
        <v>43036.805</v>
      </c>
      <c r="EP8" s="260">
        <f>EP$4*EP7</f>
        <v>26872.546200000001</v>
      </c>
      <c r="ER8" s="260">
        <f>ER$4*ER7</f>
        <v>23348.941800000001</v>
      </c>
      <c r="ET8" s="260">
        <f>ET$4*ET7</f>
        <v>18252.540800000002</v>
      </c>
      <c r="EV8" s="260">
        <f>EV$4*EV7</f>
        <v>31948.006200000003</v>
      </c>
      <c r="EX8" s="260">
        <f>EX$4*EX7</f>
        <v>41270.181800000006</v>
      </c>
      <c r="EZ8" s="260">
        <f>EZ$4*EZ7</f>
        <v>40430.288400000005</v>
      </c>
      <c r="FB8" s="260">
        <f>FB$4*FB7</f>
        <v>76700.359200000006</v>
      </c>
      <c r="FD8" s="260">
        <f>FD$4*FD7</f>
        <v>89734.268800000005</v>
      </c>
      <c r="FF8" s="260">
        <f>FF$4*FF7</f>
        <v>86840.980800000005</v>
      </c>
      <c r="FH8" s="260">
        <f>FH$4*FH7</f>
        <v>92356.318499999994</v>
      </c>
      <c r="FJ8" s="260">
        <f>FJ$4*FJ7</f>
        <v>98117.873999999996</v>
      </c>
      <c r="FL8" s="260">
        <f>FL$4*FL7</f>
        <v>80207.113500000007</v>
      </c>
      <c r="FN8" s="260">
        <f>FN$4*FN7</f>
        <v>54331.997199999998</v>
      </c>
      <c r="FP8" s="260">
        <f>FP$4*FP7</f>
        <v>50902.387199999997</v>
      </c>
      <c r="FR8" s="260">
        <f>FR$4*FR7</f>
        <v>43234.252800000002</v>
      </c>
      <c r="FT8" s="260">
        <f>FT$4*FT7</f>
        <v>45554.902500000004</v>
      </c>
      <c r="FV8" s="260">
        <f>FV$4*FV7</f>
        <v>40423.2474</v>
      </c>
      <c r="FX8" s="260">
        <f>FX$4*FX7</f>
        <v>48520.789150000004</v>
      </c>
      <c r="FZ8" s="260">
        <f>FZ$4*FZ7</f>
        <v>91795.405240000007</v>
      </c>
      <c r="GB8" s="260">
        <f>GB$4*GB7</f>
        <v>95464.33</v>
      </c>
      <c r="GD8" s="260">
        <f>GD$4*GD7</f>
        <v>83920.76400000001</v>
      </c>
      <c r="GF8" s="260">
        <f>GF$4*GF7</f>
        <v>100054.5</v>
      </c>
      <c r="GH8" s="260">
        <f>GH$4*GH7</f>
        <v>87243.975000000006</v>
      </c>
      <c r="GJ8" s="260">
        <f>GJ$4*GJ7</f>
        <v>63486.15</v>
      </c>
      <c r="GL8" s="260">
        <f>GL$4*GL7</f>
        <v>73366.90879999999</v>
      </c>
      <c r="GN8" s="260">
        <f>GN$4*GN7</f>
        <v>50269.632599999997</v>
      </c>
      <c r="GP8" s="260">
        <f>GP$4*GP7</f>
        <v>48630.321400000001</v>
      </c>
      <c r="GR8" s="260">
        <f>GR$4*GR7</f>
        <v>53435.377500000002</v>
      </c>
      <c r="GT8" s="260">
        <f>GT$4*GT7</f>
        <v>35698.847999999998</v>
      </c>
      <c r="GV8" s="260">
        <f>GV$4*GV7</f>
        <v>43751.421000000002</v>
      </c>
      <c r="GX8" s="260">
        <f>GX$4*GX7</f>
        <v>68857.200000000012</v>
      </c>
      <c r="GZ8" s="260">
        <f>GZ$4*GZ7</f>
        <v>66364.799999999988</v>
      </c>
      <c r="HB8" s="260">
        <f>HB$4*HB7</f>
        <v>75615.600000000006</v>
      </c>
      <c r="HD8" s="260"/>
      <c r="HF8" s="143"/>
      <c r="HH8" s="143"/>
      <c r="HJ8" s="143"/>
      <c r="HL8" s="143"/>
      <c r="HN8" s="143"/>
      <c r="HP8" s="143"/>
      <c r="HR8" s="143"/>
      <c r="HT8" s="143"/>
      <c r="HV8" s="143"/>
      <c r="HX8" s="143"/>
      <c r="HZ8" s="143"/>
      <c r="IB8" s="143"/>
      <c r="ID8" s="143"/>
    </row>
    <row r="9" spans="1:238" x14ac:dyDescent="0.35">
      <c r="F9" s="143"/>
      <c r="G9" s="143"/>
      <c r="H9" s="143"/>
      <c r="I9" s="143"/>
      <c r="J9" s="143"/>
      <c r="K9" s="143"/>
      <c r="L9" s="143"/>
      <c r="M9" s="143"/>
      <c r="N9" s="143"/>
      <c r="P9" s="143"/>
      <c r="Q9" s="143"/>
      <c r="R9" s="143"/>
      <c r="T9" s="143"/>
      <c r="V9" s="143"/>
      <c r="X9" s="143"/>
      <c r="Z9" s="143"/>
      <c r="AB9" s="143"/>
      <c r="AD9" s="143"/>
      <c r="AF9" s="143"/>
      <c r="AH9" s="143"/>
      <c r="AJ9" s="143"/>
      <c r="AL9" s="143"/>
      <c r="AN9" s="143"/>
      <c r="AP9" s="143"/>
      <c r="AR9" s="143"/>
      <c r="AT9" s="143"/>
      <c r="AV9" s="143"/>
      <c r="AX9" s="143"/>
      <c r="AZ9" s="143"/>
      <c r="BB9" s="143"/>
      <c r="BD9" s="143"/>
      <c r="BF9" s="143"/>
      <c r="BH9" s="143"/>
      <c r="BJ9" s="143"/>
      <c r="BL9" s="143"/>
      <c r="BN9" s="143"/>
      <c r="BP9" s="143"/>
      <c r="BR9" s="143"/>
      <c r="BT9" s="143"/>
      <c r="BV9" s="143"/>
      <c r="BX9" s="143"/>
      <c r="BZ9" s="143"/>
      <c r="CB9" s="143"/>
      <c r="CD9" s="143"/>
      <c r="CF9" s="143"/>
      <c r="CH9" s="143"/>
      <c r="CJ9" s="143"/>
      <c r="CL9" s="143"/>
      <c r="CN9" s="143"/>
      <c r="CP9" s="143"/>
      <c r="CR9" s="143"/>
      <c r="CT9" s="143"/>
      <c r="CV9" s="143"/>
      <c r="CX9" s="143"/>
      <c r="CZ9" s="143"/>
      <c r="DB9" s="143"/>
      <c r="DD9" s="143"/>
      <c r="DF9" s="143"/>
      <c r="DH9" s="143"/>
      <c r="DJ9" s="143"/>
      <c r="DL9" s="143"/>
      <c r="DN9" s="143"/>
      <c r="DP9" s="143"/>
      <c r="DR9" s="143"/>
      <c r="DT9" s="143"/>
      <c r="DV9" s="143"/>
      <c r="DX9" s="143"/>
      <c r="DZ9" s="143"/>
      <c r="EB9" s="143"/>
      <c r="ED9" s="143"/>
      <c r="EF9" s="143"/>
      <c r="EH9" s="143"/>
      <c r="EJ9" s="143"/>
      <c r="EL9" s="143"/>
      <c r="EN9" s="143"/>
      <c r="EP9" s="143"/>
      <c r="ER9" s="143"/>
      <c r="ET9" s="143"/>
      <c r="EV9" s="143"/>
      <c r="EX9" s="143"/>
      <c r="EZ9" s="143"/>
      <c r="FB9" s="143"/>
      <c r="FD9" s="143"/>
      <c r="FF9" s="143"/>
      <c r="FH9" s="143"/>
      <c r="FJ9" s="143"/>
      <c r="FL9" s="143"/>
      <c r="FN9" s="143"/>
      <c r="FP9" s="143"/>
      <c r="FR9" s="143"/>
      <c r="FT9" s="143"/>
      <c r="FV9" s="143"/>
      <c r="FX9" s="143"/>
      <c r="FZ9" s="143"/>
      <c r="GB9" s="143"/>
      <c r="GD9" s="143"/>
      <c r="GF9" s="143"/>
      <c r="GH9" s="143"/>
      <c r="GJ9" s="143"/>
      <c r="GL9" s="143"/>
      <c r="GN9" s="143"/>
      <c r="GP9" s="143"/>
      <c r="GR9" s="143"/>
      <c r="GT9" s="143"/>
      <c r="GV9" s="143"/>
      <c r="GX9" s="143"/>
      <c r="GZ9" s="143"/>
      <c r="HB9" s="143"/>
      <c r="HD9" s="143"/>
      <c r="HF9" s="143"/>
      <c r="HH9" s="143"/>
      <c r="HJ9" s="143"/>
      <c r="HL9" s="143"/>
      <c r="HN9" s="143"/>
      <c r="HP9" s="143"/>
      <c r="HR9" s="143"/>
      <c r="HT9" s="143"/>
      <c r="HV9" s="143"/>
      <c r="HX9" s="143"/>
      <c r="HZ9" s="143"/>
      <c r="IB9" s="143"/>
      <c r="ID9" s="143"/>
    </row>
    <row r="10" spans="1:238" x14ac:dyDescent="0.35">
      <c r="B10" s="189" t="s">
        <v>36</v>
      </c>
      <c r="C10" s="140"/>
      <c r="F10" s="143"/>
      <c r="G10" s="143"/>
      <c r="H10" s="143"/>
      <c r="I10" s="143"/>
      <c r="J10" s="143"/>
      <c r="K10" s="143"/>
      <c r="L10" s="143"/>
      <c r="M10" s="143"/>
      <c r="N10" s="143"/>
      <c r="P10" s="143"/>
      <c r="Q10" s="143"/>
      <c r="R10" s="143"/>
      <c r="T10" s="143"/>
      <c r="V10" s="143"/>
      <c r="X10" s="143"/>
      <c r="Z10" s="143"/>
      <c r="AB10" s="143"/>
      <c r="AD10" s="143"/>
      <c r="AF10" s="143"/>
      <c r="AH10" s="143"/>
      <c r="AJ10" s="143"/>
      <c r="AL10" s="143"/>
      <c r="AN10" s="143"/>
      <c r="AP10" s="143"/>
      <c r="AR10" s="143"/>
      <c r="AT10" s="143"/>
      <c r="AV10" s="143"/>
      <c r="AX10" s="143"/>
      <c r="AZ10" s="143"/>
      <c r="BB10" s="143"/>
      <c r="BD10" s="143"/>
      <c r="BF10" s="143"/>
      <c r="BH10" s="143"/>
      <c r="BJ10" s="143"/>
      <c r="BL10" s="143"/>
      <c r="BN10" s="143"/>
      <c r="BP10" s="143"/>
      <c r="BR10" s="143"/>
      <c r="BT10" s="143"/>
      <c r="BV10" s="143"/>
      <c r="BX10" s="143"/>
      <c r="BZ10" s="143"/>
      <c r="CB10" s="143"/>
      <c r="CD10" s="143"/>
      <c r="CF10" s="143"/>
      <c r="CH10" s="143"/>
      <c r="CJ10" s="143"/>
      <c r="CL10" s="143"/>
      <c r="CN10" s="143"/>
      <c r="CP10" s="143"/>
      <c r="CR10" s="143"/>
      <c r="CT10" s="143"/>
      <c r="CV10" s="143"/>
      <c r="CX10" s="143"/>
      <c r="CZ10" s="143"/>
      <c r="DB10" s="143"/>
      <c r="DD10" s="143"/>
      <c r="DF10" s="143"/>
      <c r="DH10" s="143"/>
      <c r="DJ10" s="143"/>
      <c r="DL10" s="143"/>
      <c r="DN10" s="143"/>
      <c r="DP10" s="143"/>
      <c r="DR10" s="143"/>
      <c r="DT10" s="143"/>
      <c r="DV10" s="143"/>
      <c r="DX10" s="143"/>
      <c r="DZ10" s="143"/>
      <c r="EB10" s="143"/>
      <c r="ED10" s="143"/>
      <c r="EF10" s="143"/>
      <c r="EH10" s="143"/>
      <c r="EJ10" s="143"/>
      <c r="EL10" s="143"/>
      <c r="EN10" s="143"/>
      <c r="EP10" s="143"/>
      <c r="ER10" s="143"/>
      <c r="ET10" s="143"/>
      <c r="EV10" s="143"/>
      <c r="EX10" s="143"/>
      <c r="EZ10" s="143"/>
      <c r="FB10" s="143"/>
      <c r="FD10" s="143"/>
      <c r="FF10" s="143"/>
      <c r="FH10" s="143"/>
      <c r="FJ10" s="143"/>
      <c r="FL10" s="143"/>
      <c r="FN10" s="143"/>
      <c r="FP10" s="143"/>
      <c r="FR10" s="143"/>
      <c r="FT10" s="143"/>
      <c r="FV10" s="143"/>
      <c r="FX10" s="143"/>
      <c r="FZ10" s="143"/>
      <c r="GB10" s="143"/>
      <c r="GD10" s="143"/>
      <c r="GF10" s="143"/>
      <c r="GH10" s="143"/>
      <c r="GJ10" s="143"/>
      <c r="GL10" s="143"/>
      <c r="GN10" s="143"/>
      <c r="GP10" s="143"/>
      <c r="GR10" s="143"/>
      <c r="GT10" s="143"/>
      <c r="GV10" s="143"/>
      <c r="GX10" s="143"/>
      <c r="GZ10" s="143"/>
      <c r="HB10" s="143"/>
      <c r="HD10" s="143"/>
      <c r="HF10" s="143"/>
      <c r="HH10" s="143"/>
      <c r="HJ10" s="143"/>
      <c r="HL10" s="143"/>
      <c r="HN10" s="143"/>
      <c r="HP10" s="143"/>
      <c r="HR10" s="143"/>
      <c r="HT10" s="143"/>
      <c r="HV10" s="143"/>
      <c r="HX10" s="143"/>
      <c r="HZ10" s="143"/>
      <c r="IB10" s="143"/>
      <c r="ID10" s="143"/>
    </row>
    <row r="11" spans="1:238" x14ac:dyDescent="0.35">
      <c r="C11" s="189" t="s">
        <v>52</v>
      </c>
      <c r="F11" s="254">
        <v>7.7431000000000001</v>
      </c>
      <c r="G11" s="254"/>
      <c r="H11" s="254">
        <v>7.7431000000000001</v>
      </c>
      <c r="I11" s="254"/>
      <c r="J11" s="254">
        <v>7.7431000000000001</v>
      </c>
      <c r="K11" s="254"/>
      <c r="L11" s="254">
        <v>7.7431000000000001</v>
      </c>
      <c r="M11" s="254"/>
      <c r="N11" s="254">
        <v>7.7431000000000001</v>
      </c>
      <c r="O11" s="254"/>
      <c r="P11" s="254">
        <v>7.7431000000000001</v>
      </c>
      <c r="Q11" s="254"/>
      <c r="R11" s="254">
        <v>7.7431000000000001</v>
      </c>
      <c r="S11" s="254"/>
      <c r="T11" s="254">
        <v>7.7431000000000001</v>
      </c>
      <c r="U11" s="254"/>
      <c r="V11" s="254">
        <v>8.1425999999999998</v>
      </c>
      <c r="W11" s="254"/>
      <c r="X11" s="254">
        <v>4.9969000000000001</v>
      </c>
      <c r="Y11" s="254"/>
      <c r="Z11" s="254">
        <v>4.9969000000000001</v>
      </c>
      <c r="AA11" s="254"/>
      <c r="AB11" s="254">
        <v>4.9969000000000001</v>
      </c>
      <c r="AC11" s="254"/>
      <c r="AD11" s="254">
        <v>5.1054000000000004</v>
      </c>
      <c r="AE11" s="254"/>
      <c r="AF11" s="254">
        <v>5.1054000000000004</v>
      </c>
      <c r="AG11" s="254"/>
      <c r="AH11" s="254">
        <v>5.1054000000000004</v>
      </c>
      <c r="AI11" s="254"/>
      <c r="AJ11" s="254">
        <v>5.1051000000000002</v>
      </c>
      <c r="AK11" s="254"/>
      <c r="AL11" s="254">
        <v>5.1051000000000002</v>
      </c>
      <c r="AM11" s="254"/>
      <c r="AN11" s="254">
        <v>5.1051000000000002</v>
      </c>
      <c r="AO11" s="254"/>
      <c r="AP11" s="254">
        <v>5.0707000000000004</v>
      </c>
      <c r="AQ11" s="254"/>
      <c r="AR11" s="254">
        <v>5.0707000000000004</v>
      </c>
      <c r="AS11" s="254"/>
      <c r="AT11" s="254">
        <v>5.0707000000000004</v>
      </c>
      <c r="AU11" s="254"/>
      <c r="AV11" s="254">
        <v>5.8171999999999997</v>
      </c>
      <c r="AW11" s="254"/>
      <c r="AX11" s="254">
        <v>5.8171999999999997</v>
      </c>
      <c r="AY11" s="254"/>
      <c r="AZ11" s="254">
        <v>5.8171999999999997</v>
      </c>
      <c r="BA11" s="254"/>
      <c r="BB11" s="254">
        <v>5.6890000000000001</v>
      </c>
      <c r="BC11" s="254"/>
      <c r="BD11" s="254">
        <v>5.6890000000000001</v>
      </c>
      <c r="BE11" s="254"/>
      <c r="BF11" s="254">
        <v>5.6890000000000001</v>
      </c>
      <c r="BG11" s="254"/>
      <c r="BH11" s="254">
        <v>6.1924999999999999</v>
      </c>
      <c r="BI11" s="254"/>
      <c r="BJ11" s="254">
        <v>6.1924999999999999</v>
      </c>
      <c r="BK11" s="254"/>
      <c r="BL11" s="254">
        <v>6.1924999999999999</v>
      </c>
      <c r="BM11" s="254"/>
      <c r="BN11" s="254">
        <v>6.1997999999999998</v>
      </c>
      <c r="BO11" s="254"/>
      <c r="BP11" s="254">
        <v>6.1997999999999998</v>
      </c>
      <c r="BQ11" s="254"/>
      <c r="BR11" s="254">
        <v>6.1997999999999998</v>
      </c>
      <c r="BS11" s="254"/>
      <c r="BT11" s="254">
        <v>7.1894</v>
      </c>
      <c r="BU11" s="254"/>
      <c r="BV11" s="254">
        <v>7.1894</v>
      </c>
      <c r="BW11" s="254"/>
      <c r="BX11" s="254">
        <v>7.1894</v>
      </c>
      <c r="BY11" s="254"/>
      <c r="BZ11" s="254">
        <v>7.7015000000000002</v>
      </c>
      <c r="CA11" s="254"/>
      <c r="CB11" s="254">
        <v>7.7015000000000002</v>
      </c>
      <c r="CC11" s="254"/>
      <c r="CD11" s="254">
        <v>7.7015000000000002</v>
      </c>
      <c r="CE11" s="254"/>
      <c r="CF11" s="254">
        <v>8.2132000000000005</v>
      </c>
      <c r="CG11" s="254"/>
      <c r="CH11" s="254">
        <v>8.2132000000000005</v>
      </c>
      <c r="CI11" s="254"/>
      <c r="CJ11" s="254">
        <v>8.2132000000000005</v>
      </c>
      <c r="CK11" s="254"/>
      <c r="CL11" s="254">
        <v>7.2031000000000001</v>
      </c>
      <c r="CM11" s="254"/>
      <c r="CN11" s="254">
        <v>7.2031000000000001</v>
      </c>
      <c r="CO11" s="254"/>
      <c r="CP11" s="254">
        <v>7.2031000000000001</v>
      </c>
      <c r="CQ11" s="254"/>
      <c r="CR11" s="254">
        <v>7.1909999999999998</v>
      </c>
      <c r="CS11" s="254"/>
      <c r="CT11" s="254">
        <v>7.1909999999999998</v>
      </c>
      <c r="CU11" s="254"/>
      <c r="CV11" s="254">
        <v>7.1909999999999998</v>
      </c>
      <c r="CW11" s="254"/>
      <c r="CX11" s="254">
        <v>6.0007000000000001</v>
      </c>
      <c r="CY11" s="254"/>
      <c r="CZ11" s="254">
        <v>6.0007000000000001</v>
      </c>
      <c r="DA11" s="254"/>
      <c r="DB11" s="254">
        <v>6.0007000000000001</v>
      </c>
      <c r="DC11" s="254"/>
      <c r="DD11" s="254">
        <v>6.4382000000000001</v>
      </c>
      <c r="DE11" s="254"/>
      <c r="DF11" s="254">
        <v>6.4382000000000001</v>
      </c>
      <c r="DG11" s="254"/>
      <c r="DH11" s="254">
        <v>6.4382000000000001</v>
      </c>
      <c r="DI11" s="254"/>
      <c r="DJ11" s="254">
        <v>5.9337999999999997</v>
      </c>
      <c r="DK11" s="254"/>
      <c r="DL11" s="254">
        <v>5.9337999999999997</v>
      </c>
      <c r="DM11" s="254"/>
      <c r="DN11" s="254">
        <v>5.9337999999999997</v>
      </c>
      <c r="DO11" s="254"/>
      <c r="DP11" s="254">
        <v>5.1559999999999997</v>
      </c>
      <c r="DQ11" s="254"/>
      <c r="DR11" s="254">
        <v>5.1559999999999997</v>
      </c>
      <c r="DS11" s="254"/>
      <c r="DT11" s="254">
        <v>5.1559999999999997</v>
      </c>
      <c r="DU11" s="254"/>
      <c r="DV11" s="254">
        <v>5.8266999999999998</v>
      </c>
      <c r="DW11" s="254"/>
      <c r="DX11" s="254">
        <v>5.8266999999999998</v>
      </c>
      <c r="DY11" s="254"/>
      <c r="DZ11" s="254">
        <v>5.8266999999999998</v>
      </c>
      <c r="EA11" s="254"/>
      <c r="EB11" s="254">
        <v>6.2869999999999999</v>
      </c>
      <c r="EC11" s="254"/>
      <c r="ED11" s="254">
        <v>6.2869999999999999</v>
      </c>
      <c r="EE11" s="254"/>
      <c r="EF11" s="254">
        <v>6.2869999999999999</v>
      </c>
      <c r="EG11" s="254"/>
      <c r="EH11" s="254">
        <v>6.4717000000000002</v>
      </c>
      <c r="EI11" s="254"/>
      <c r="EJ11" s="254">
        <v>6.4717000000000002</v>
      </c>
      <c r="EK11" s="254"/>
      <c r="EL11" s="254">
        <v>6.4717000000000002</v>
      </c>
      <c r="EM11" s="254"/>
      <c r="EN11" s="254">
        <v>6.7502000000000004</v>
      </c>
      <c r="EO11" s="254"/>
      <c r="EP11" s="254">
        <v>6.7502000000000004</v>
      </c>
      <c r="EQ11" s="254"/>
      <c r="ER11" s="254">
        <v>6.7502000000000004</v>
      </c>
      <c r="ES11" s="254"/>
      <c r="ET11" s="254">
        <v>6.4114000000000004</v>
      </c>
      <c r="EU11" s="254"/>
      <c r="EV11" s="254">
        <v>6.4114000000000004</v>
      </c>
      <c r="EW11" s="254"/>
      <c r="EX11" s="254">
        <v>6.4114000000000004</v>
      </c>
      <c r="EY11" s="254"/>
      <c r="EZ11" s="254">
        <v>7.0568</v>
      </c>
      <c r="FA11" s="254"/>
      <c r="FB11" s="254">
        <v>7.0568</v>
      </c>
      <c r="FC11" s="254"/>
      <c r="FD11" s="254">
        <v>7.0568</v>
      </c>
      <c r="FE11" s="254"/>
      <c r="FF11" s="254">
        <v>7.4535</v>
      </c>
      <c r="FG11" s="254"/>
      <c r="FH11" s="254">
        <v>7.4535</v>
      </c>
      <c r="FI11" s="254"/>
      <c r="FJ11" s="254">
        <v>7.4535</v>
      </c>
      <c r="FK11" s="254"/>
      <c r="FL11" s="254">
        <f>7.6224-(7.7428-7.9256)</f>
        <v>7.8052000000000001</v>
      </c>
      <c r="FM11" s="254"/>
      <c r="FN11" s="254">
        <v>7.6223999999999998</v>
      </c>
      <c r="FO11" s="254"/>
      <c r="FP11" s="254">
        <v>7.6223999999999998</v>
      </c>
      <c r="FQ11" s="254"/>
      <c r="FR11" s="254">
        <v>6.6455000000000002</v>
      </c>
      <c r="FS11" s="254"/>
      <c r="FT11" s="254">
        <v>6.6455000000000002</v>
      </c>
      <c r="FU11" s="254"/>
      <c r="FV11" s="254">
        <v>6.6455000000000002</v>
      </c>
      <c r="FW11" s="254"/>
      <c r="FX11" s="254">
        <f>6.863-(6.4673-6.4672)</f>
        <v>6.8629000000000007</v>
      </c>
      <c r="FY11" s="254"/>
      <c r="FZ11" s="254">
        <v>6.8630000000000004</v>
      </c>
      <c r="GA11" s="254"/>
      <c r="GB11" s="254">
        <v>6.8630000000000004</v>
      </c>
      <c r="GC11" s="254"/>
      <c r="GD11" s="254">
        <v>6.8250000000000002</v>
      </c>
      <c r="GE11" s="254"/>
      <c r="GF11" s="254">
        <v>6.8250000000000002</v>
      </c>
      <c r="GG11" s="254"/>
      <c r="GH11" s="254">
        <v>6.8250000000000002</v>
      </c>
      <c r="GI11" s="254"/>
      <c r="GJ11" s="254">
        <v>7.7325999999999997</v>
      </c>
      <c r="GK11" s="254"/>
      <c r="GL11" s="254">
        <v>7.7325999999999997</v>
      </c>
      <c r="GM11" s="254"/>
      <c r="GN11" s="254">
        <v>7.7325999999999997</v>
      </c>
      <c r="GO11" s="254"/>
      <c r="GP11" s="254">
        <v>7.7163000000000004</v>
      </c>
      <c r="GQ11" s="254"/>
      <c r="GR11" s="254">
        <f>7.7163+(8.9337-8.938)</f>
        <v>7.7119999999999997</v>
      </c>
      <c r="GS11" s="254"/>
      <c r="GT11" s="254">
        <v>7.7163000000000004</v>
      </c>
      <c r="GU11" s="254"/>
      <c r="GV11" s="254">
        <v>6</v>
      </c>
      <c r="GW11" s="254"/>
      <c r="GX11" s="254">
        <v>6</v>
      </c>
      <c r="GY11" s="254"/>
      <c r="GZ11" s="254">
        <v>6</v>
      </c>
      <c r="HA11" s="254"/>
      <c r="HB11" s="254">
        <v>6</v>
      </c>
      <c r="HD11" s="143"/>
      <c r="HF11" s="143"/>
      <c r="HH11" s="143"/>
      <c r="HJ11" s="143"/>
      <c r="HL11" s="143"/>
      <c r="HN11" s="143"/>
      <c r="HP11" s="143"/>
      <c r="HR11" s="143"/>
      <c r="HT11" s="143"/>
      <c r="HV11" s="143"/>
      <c r="HX11" s="143"/>
      <c r="HZ11" s="143"/>
      <c r="IB11" s="143"/>
      <c r="ID11" s="143"/>
    </row>
    <row r="12" spans="1:238" x14ac:dyDescent="0.35">
      <c r="C12" s="189" t="s">
        <v>161</v>
      </c>
      <c r="F12" s="260">
        <f>F$4*F11</f>
        <v>5725.2481399999997</v>
      </c>
      <c r="G12" s="143"/>
      <c r="H12" s="260">
        <f>H$4*H11</f>
        <v>6791.4730100000006</v>
      </c>
      <c r="I12" s="143"/>
      <c r="J12" s="260">
        <f>J$4*J11</f>
        <v>6271.9110000000001</v>
      </c>
      <c r="K12" s="143"/>
      <c r="L12" s="260">
        <f>L$4*L11</f>
        <v>9704.4272299999993</v>
      </c>
      <c r="M12" s="143"/>
      <c r="N12" s="260">
        <f>N$4*N11</f>
        <v>20149.094819999998</v>
      </c>
      <c r="P12" s="260">
        <f>P$4*P11</f>
        <v>25825.561430000002</v>
      </c>
      <c r="Q12" s="143"/>
      <c r="R12" s="260">
        <f>R$4*R11</f>
        <v>39755.398330000004</v>
      </c>
      <c r="T12" s="260">
        <f>T$4*T11</f>
        <v>28345.940480000001</v>
      </c>
      <c r="V12" s="260">
        <f>V$4*V11</f>
        <v>15704.63262</v>
      </c>
      <c r="X12" s="260">
        <f>X$4*X11</f>
        <v>5879.3525399999999</v>
      </c>
      <c r="Z12" s="260">
        <f>Z$4*Z11</f>
        <v>6261.1157000000003</v>
      </c>
      <c r="AB12" s="260">
        <f>AB$4*AB11</f>
        <v>4397.7716900000005</v>
      </c>
      <c r="AD12" s="260">
        <f>AD$4*AD11</f>
        <v>5338.2062399999995</v>
      </c>
      <c r="AF12" s="260">
        <f>AF$4*AF11</f>
        <v>6265.8574200000003</v>
      </c>
      <c r="AH12" s="260">
        <f>AH$4*AH11</f>
        <v>5354.0329800000009</v>
      </c>
      <c r="AJ12" s="260">
        <f>AJ$4*AJ11</f>
        <v>9254.5252799999998</v>
      </c>
      <c r="AL12" s="260">
        <f>AL$4*AL11</f>
        <v>18749.500769999999</v>
      </c>
      <c r="AN12" s="260">
        <f>AN$4*AN11</f>
        <v>14567.40285</v>
      </c>
      <c r="AP12" s="260">
        <f>AP$4*AP11</f>
        <v>30791.825750000004</v>
      </c>
      <c r="AR12" s="260">
        <f>AR$4*AR11</f>
        <v>21825.814010000002</v>
      </c>
      <c r="AT12" s="260">
        <f>AT$4*AT11</f>
        <v>27280.873070000005</v>
      </c>
      <c r="AV12" s="260">
        <f>AV$4*AV11</f>
        <v>14722.751479999999</v>
      </c>
      <c r="AX12" s="260">
        <f>AX$4*AX11</f>
        <v>9324.9715999999989</v>
      </c>
      <c r="AZ12" s="260">
        <f>AZ$4*AZ11</f>
        <v>5300.6326399999998</v>
      </c>
      <c r="BB12" s="260">
        <f>BB$4*BB11</f>
        <v>4606.9521999999997</v>
      </c>
      <c r="BD12" s="260">
        <f>BD$4*BD11</f>
        <v>5957.5208000000002</v>
      </c>
      <c r="BF12" s="260">
        <f>BF$4*BF11</f>
        <v>5977.4323000000004</v>
      </c>
      <c r="BH12" s="260">
        <f>BH$4*BH11</f>
        <v>10021.942000000001</v>
      </c>
      <c r="BJ12" s="260">
        <f>BJ$4*BJ11</f>
        <v>14453.295</v>
      </c>
      <c r="BL12" s="260">
        <f>BL$4*BL11</f>
        <v>24187.904999999999</v>
      </c>
      <c r="BN12" s="260">
        <f>BN$4*BN11</f>
        <v>40081.706999999995</v>
      </c>
      <c r="BP12" s="260">
        <f>BP$4*BP11</f>
        <v>35400.858</v>
      </c>
      <c r="BR12" s="260">
        <f>BR$4*BR11</f>
        <v>24563.607599999999</v>
      </c>
      <c r="BT12" s="260">
        <f>BT$4*BT11</f>
        <v>15644.134400000001</v>
      </c>
      <c r="BV12" s="260">
        <f>BV$4*BV11</f>
        <v>7455.4078</v>
      </c>
      <c r="BX12" s="260">
        <f>BX$4*BX11</f>
        <v>7182.2106000000003</v>
      </c>
      <c r="BZ12" s="260">
        <f>BZ$4*BZ11</f>
        <v>7370.3355000000001</v>
      </c>
      <c r="CB12" s="260">
        <f>CB$4*CB11</f>
        <v>6577.0810000000001</v>
      </c>
      <c r="CD12" s="260">
        <f>CD$4*CD11</f>
        <v>7462.7534999999998</v>
      </c>
      <c r="CF12" s="260">
        <f>CF$4*CF11</f>
        <v>14364.8868</v>
      </c>
      <c r="CH12" s="260">
        <f>CH$4*CH11</f>
        <v>26709.326400000002</v>
      </c>
      <c r="CJ12" s="260">
        <f>CJ$4*CJ11</f>
        <v>36220.212</v>
      </c>
      <c r="CL12" s="260">
        <f>CL$4*CL11</f>
        <v>65159.242599999998</v>
      </c>
      <c r="CN12" s="260">
        <f>CN$4*CN11</f>
        <v>85479.187699999995</v>
      </c>
      <c r="CP12" s="260">
        <f>CP$4*CP11</f>
        <v>96168.588099999994</v>
      </c>
      <c r="CR12" s="260">
        <f>CR$4*CR11</f>
        <v>65545.964999999997</v>
      </c>
      <c r="CT12" s="260">
        <f>CT$4*CT11</f>
        <v>62734.284</v>
      </c>
      <c r="CV12" s="260">
        <f>CV$4*CV11</f>
        <v>46540.152000000002</v>
      </c>
      <c r="CX12" s="260">
        <f>CX$4*CX11</f>
        <v>36376.243399999999</v>
      </c>
      <c r="CZ12" s="260">
        <f>CZ$4*CZ11</f>
        <v>30891.603600000002</v>
      </c>
      <c r="DB12" s="260">
        <f>DB$4*DB11</f>
        <v>33375.893400000001</v>
      </c>
      <c r="DD12" s="260">
        <f>DD$4*DD11</f>
        <v>51112.8698</v>
      </c>
      <c r="DF12" s="260">
        <f>DF$4*DF11</f>
        <v>56147.542200000004</v>
      </c>
      <c r="DH12" s="260">
        <f>DH$4*DH11</f>
        <v>45344.242599999998</v>
      </c>
      <c r="DJ12" s="260">
        <f>DJ$4*DJ11</f>
        <v>65360.807000000001</v>
      </c>
      <c r="DL12" s="260">
        <f>DL$4*DL11</f>
        <v>59984.784199999995</v>
      </c>
      <c r="DN12" s="260">
        <f>DN$4*DN11</f>
        <v>55421.691999999995</v>
      </c>
      <c r="DP12" s="260">
        <f>DP$4*DP11</f>
        <v>40185.863999999994</v>
      </c>
      <c r="DR12" s="260">
        <f>DR$4*DR11</f>
        <v>28223.944</v>
      </c>
      <c r="DT12" s="260">
        <f>DT$4*DT11</f>
        <v>24635.367999999999</v>
      </c>
      <c r="DV12" s="260">
        <f>DV$4*DV11</f>
        <v>26767.859799999998</v>
      </c>
      <c r="DX12" s="260">
        <f>DX$4*DX11</f>
        <v>25998.735399999998</v>
      </c>
      <c r="DZ12" s="260">
        <f>DZ$4*DZ11</f>
        <v>32075.983499999998</v>
      </c>
      <c r="EB12" s="260">
        <f>EB$4*EB11</f>
        <v>34358.455000000002</v>
      </c>
      <c r="ED12" s="260">
        <f>ED$4*ED11</f>
        <v>46291.180999999997</v>
      </c>
      <c r="EF12" s="260">
        <f>EF$4*EF11</f>
        <v>55489.061999999998</v>
      </c>
      <c r="EH12" s="260">
        <f>EH$4*EH11</f>
        <v>49404.957800000004</v>
      </c>
      <c r="EJ12" s="260">
        <f>EJ$4*EJ11</f>
        <v>41373.578099999999</v>
      </c>
      <c r="EL12" s="260">
        <f>EL$4*EL11</f>
        <v>50310.995800000004</v>
      </c>
      <c r="EN12" s="260">
        <f>EN$4*EN11</f>
        <v>44888.83</v>
      </c>
      <c r="EP12" s="260">
        <f>EP$4*EP11</f>
        <v>26872.546200000001</v>
      </c>
      <c r="ER12" s="260">
        <f>ER$4*ER11</f>
        <v>23348.941800000001</v>
      </c>
      <c r="ET12" s="260">
        <f>ET$4*ET11</f>
        <v>17336.425600000002</v>
      </c>
      <c r="EV12" s="260">
        <f>EV$4*EV11</f>
        <v>31948.006200000003</v>
      </c>
      <c r="EX12" s="260">
        <f>EX$4*EX11</f>
        <v>41270.181800000006</v>
      </c>
      <c r="EZ12" s="260">
        <f>EZ$4*EZ11</f>
        <v>44500.180800000002</v>
      </c>
      <c r="FB12" s="260">
        <f>FB$4*FB11</f>
        <v>76700.359200000006</v>
      </c>
      <c r="FD12" s="260">
        <f>FD$4*FD11</f>
        <v>89734.268800000005</v>
      </c>
      <c r="FF12" s="260">
        <f>FF$4*FF11</f>
        <v>91722.770999999993</v>
      </c>
      <c r="FH12" s="260">
        <f>FH$4*FH11</f>
        <v>92356.318499999994</v>
      </c>
      <c r="FJ12" s="260">
        <f>FJ$4*FJ11</f>
        <v>98117.873999999996</v>
      </c>
      <c r="FL12" s="260">
        <f>FL$4*FL11</f>
        <v>83991.757200000007</v>
      </c>
      <c r="FN12" s="260">
        <f>FN$4*FN11</f>
        <v>53059.526400000002</v>
      </c>
      <c r="FP12" s="260">
        <f>FP$4*FP11</f>
        <v>50902.387199999997</v>
      </c>
      <c r="FR12" s="260">
        <f>FR$4*FR11</f>
        <v>37693.275999999998</v>
      </c>
      <c r="FT12" s="260">
        <f>FT$4*FT11</f>
        <v>45554.902500000004</v>
      </c>
      <c r="FV12" s="260">
        <f>FV$4*FV11</f>
        <v>40423.2474</v>
      </c>
      <c r="FX12" s="260">
        <f>FX$4*FX11</f>
        <v>50108.091770000006</v>
      </c>
      <c r="FZ12" s="260">
        <f>FZ$4*FZ11</f>
        <v>91796.742800000007</v>
      </c>
      <c r="GB12" s="260">
        <f>GB$4*GB11</f>
        <v>95464.33</v>
      </c>
      <c r="GD12" s="260">
        <f>GD$4*GD11</f>
        <v>83456.100000000006</v>
      </c>
      <c r="GF12" s="260">
        <f>GF$4*GF11</f>
        <v>100054.5</v>
      </c>
      <c r="GH12" s="260">
        <f>GH$4*GH11</f>
        <v>87243.975000000006</v>
      </c>
      <c r="GJ12" s="260">
        <f>GJ$4*GJ11</f>
        <v>71928.645199999999</v>
      </c>
      <c r="GL12" s="260">
        <f>GL$4*GL11</f>
        <v>73366.90879999999</v>
      </c>
      <c r="GN12" s="260">
        <f>GN$4*GN11</f>
        <v>50269.632599999997</v>
      </c>
      <c r="GP12" s="260">
        <f>GP$4*GP11</f>
        <v>48527.810700000002</v>
      </c>
      <c r="GR12" s="260">
        <f>GR$4*GR11</f>
        <v>53405.599999999999</v>
      </c>
      <c r="GT12" s="260">
        <f>GT$4*GT11</f>
        <v>35718.752700000005</v>
      </c>
      <c r="GV12" s="260">
        <f>GV$4*GV11</f>
        <v>34020</v>
      </c>
      <c r="GX12" s="260">
        <f>GX$4*GX11</f>
        <v>68857.200000000012</v>
      </c>
      <c r="GZ12" s="260">
        <f>GZ$4*GZ11</f>
        <v>66364.799999999988</v>
      </c>
      <c r="HB12" s="260">
        <f>HB$4*HB11</f>
        <v>75615.600000000006</v>
      </c>
      <c r="HD12" s="241"/>
      <c r="HE12" s="112"/>
      <c r="HF12" s="241"/>
      <c r="HH12" s="241"/>
      <c r="HJ12" s="241"/>
      <c r="HK12" s="112"/>
      <c r="HL12" s="241"/>
      <c r="HN12" s="241"/>
      <c r="HP12" s="241"/>
      <c r="HQ12" s="112"/>
      <c r="HR12" s="241"/>
      <c r="HT12" s="241"/>
      <c r="HV12" s="241"/>
      <c r="HW12" s="112"/>
      <c r="HX12" s="241"/>
      <c r="HZ12" s="241"/>
      <c r="IB12" s="241"/>
      <c r="IC12" s="112"/>
      <c r="ID12" s="241"/>
    </row>
    <row r="13" spans="1:238" x14ac:dyDescent="0.35">
      <c r="A13" s="140"/>
      <c r="F13" s="144"/>
      <c r="G13" s="144"/>
      <c r="H13" s="144"/>
      <c r="I13" s="144"/>
      <c r="J13" s="144"/>
      <c r="K13" s="144"/>
      <c r="L13" s="144"/>
      <c r="M13" s="144"/>
      <c r="N13" s="144"/>
      <c r="O13" s="144"/>
      <c r="P13" s="144"/>
      <c r="Q13" s="144"/>
      <c r="R13" s="144"/>
      <c r="S13" s="144"/>
      <c r="T13" s="144"/>
      <c r="U13" s="144"/>
      <c r="V13" s="144"/>
      <c r="X13" s="144"/>
      <c r="Y13" s="144"/>
      <c r="Z13" s="144"/>
      <c r="AA13" s="144"/>
      <c r="AB13" s="144"/>
      <c r="AD13" s="144"/>
      <c r="AE13" s="144"/>
      <c r="AF13" s="144"/>
      <c r="AG13" s="144"/>
      <c r="AH13" s="144"/>
      <c r="AJ13" s="144"/>
      <c r="AK13" s="144"/>
      <c r="AL13" s="144"/>
      <c r="AM13" s="144"/>
      <c r="AN13" s="144"/>
      <c r="AP13" s="144"/>
      <c r="AQ13" s="144"/>
      <c r="AR13" s="144"/>
      <c r="AS13" s="144"/>
      <c r="AT13" s="144"/>
      <c r="AV13" s="144"/>
      <c r="AW13" s="144"/>
      <c r="AX13" s="144"/>
      <c r="AY13" s="144"/>
      <c r="AZ13" s="144"/>
      <c r="BB13" s="144"/>
      <c r="BC13" s="144"/>
      <c r="BD13" s="144"/>
      <c r="BE13" s="144"/>
      <c r="BF13" s="144"/>
      <c r="BH13" s="144"/>
      <c r="BI13" s="144"/>
      <c r="BJ13" s="144"/>
      <c r="BK13" s="144"/>
      <c r="BL13" s="144"/>
      <c r="BN13" s="144"/>
      <c r="BO13" s="144"/>
      <c r="BP13" s="144"/>
      <c r="BQ13" s="144"/>
      <c r="BR13" s="144"/>
      <c r="BT13" s="144"/>
      <c r="BU13" s="144"/>
      <c r="BV13" s="144"/>
      <c r="BW13" s="144"/>
      <c r="BX13" s="144"/>
      <c r="BZ13" s="144"/>
      <c r="CA13" s="144"/>
      <c r="CB13" s="144"/>
      <c r="CC13" s="144"/>
      <c r="CD13" s="144"/>
      <c r="CF13" s="144"/>
      <c r="CG13" s="144"/>
      <c r="CH13" s="144"/>
      <c r="CI13" s="144"/>
      <c r="CJ13" s="144"/>
      <c r="CL13" s="144"/>
      <c r="CM13" s="144"/>
      <c r="CN13" s="144"/>
      <c r="CO13" s="144"/>
      <c r="CP13" s="144"/>
      <c r="CR13" s="144"/>
      <c r="CS13" s="144"/>
      <c r="CT13" s="144"/>
      <c r="CU13" s="144"/>
      <c r="CV13" s="144"/>
      <c r="CX13" s="144"/>
      <c r="CY13" s="144"/>
      <c r="CZ13" s="144"/>
      <c r="DA13" s="144"/>
      <c r="DB13" s="144"/>
      <c r="DD13" s="144"/>
      <c r="DE13" s="144"/>
      <c r="DF13" s="144"/>
      <c r="DG13" s="144"/>
      <c r="DH13" s="144"/>
      <c r="DJ13" s="144"/>
      <c r="DK13" s="144"/>
      <c r="DL13" s="144"/>
      <c r="DM13" s="144"/>
      <c r="DN13" s="144"/>
      <c r="DP13" s="144"/>
      <c r="DQ13" s="144"/>
      <c r="DR13" s="144"/>
      <c r="DS13" s="144"/>
      <c r="DT13" s="144"/>
      <c r="DV13" s="144"/>
      <c r="DW13" s="144"/>
      <c r="DX13" s="144"/>
      <c r="DY13" s="144"/>
      <c r="DZ13" s="144"/>
      <c r="EB13" s="144"/>
      <c r="EC13" s="144"/>
      <c r="ED13" s="144"/>
      <c r="EE13" s="144"/>
      <c r="EF13" s="144"/>
      <c r="EH13" s="144"/>
      <c r="EI13" s="144"/>
      <c r="EJ13" s="144"/>
      <c r="EK13" s="144"/>
      <c r="EL13" s="144"/>
      <c r="EN13" s="144"/>
      <c r="EO13" s="144"/>
      <c r="EP13" s="144"/>
      <c r="EQ13" s="144"/>
      <c r="ER13" s="144"/>
      <c r="ET13" s="144"/>
      <c r="EU13" s="144"/>
      <c r="EV13" s="144"/>
      <c r="EW13" s="144"/>
      <c r="EX13" s="144"/>
      <c r="EZ13" s="144"/>
      <c r="FA13" s="144"/>
      <c r="FB13" s="144"/>
      <c r="FC13" s="144"/>
      <c r="FD13" s="144"/>
      <c r="FF13" s="144"/>
      <c r="FG13" s="144"/>
      <c r="FH13" s="144"/>
      <c r="FI13" s="144"/>
      <c r="FJ13" s="144"/>
      <c r="FL13" s="144"/>
      <c r="FM13" s="144"/>
      <c r="FN13" s="144"/>
      <c r="FO13" s="144"/>
      <c r="FP13" s="144"/>
      <c r="FQ13" s="144"/>
      <c r="FR13" s="144"/>
      <c r="FS13" s="144"/>
      <c r="FT13" s="144"/>
      <c r="FU13" s="144"/>
      <c r="FV13" s="144"/>
      <c r="FW13" s="144"/>
      <c r="FX13" s="144"/>
      <c r="FY13" s="144"/>
      <c r="FZ13" s="144"/>
      <c r="GA13" s="144"/>
      <c r="GB13" s="144"/>
      <c r="GC13" s="144"/>
      <c r="GD13" s="144"/>
      <c r="GE13" s="144"/>
      <c r="GF13" s="144"/>
      <c r="GG13" s="144"/>
      <c r="GH13" s="144"/>
      <c r="GI13" s="144"/>
      <c r="GJ13" s="144"/>
      <c r="GK13" s="144"/>
      <c r="GL13" s="144"/>
      <c r="GM13" s="144"/>
      <c r="GN13" s="144"/>
      <c r="GP13" s="144"/>
      <c r="GQ13" s="144"/>
      <c r="GR13" s="144"/>
      <c r="GS13" s="144"/>
      <c r="GT13" s="144"/>
      <c r="GU13" s="144"/>
      <c r="GV13" s="144"/>
      <c r="GW13" s="144"/>
      <c r="GX13" s="144"/>
      <c r="GY13" s="144"/>
      <c r="GZ13" s="144"/>
      <c r="HA13" s="144"/>
      <c r="HB13" s="144"/>
      <c r="HC13" s="144"/>
      <c r="HD13" s="144"/>
      <c r="HE13" s="144"/>
      <c r="HF13" s="144"/>
      <c r="HH13" s="144"/>
      <c r="HI13" s="144"/>
      <c r="HJ13" s="144"/>
      <c r="HK13" s="144"/>
      <c r="HL13" s="144"/>
      <c r="HN13" s="144"/>
      <c r="HO13" s="144"/>
      <c r="HP13" s="144"/>
      <c r="HQ13" s="144"/>
      <c r="HR13" s="144"/>
      <c r="HT13" s="144"/>
      <c r="HU13" s="144"/>
      <c r="HV13" s="144"/>
      <c r="HW13" s="144"/>
      <c r="HX13" s="144"/>
      <c r="HZ13" s="144"/>
      <c r="IA13" s="144"/>
      <c r="IB13" s="144"/>
      <c r="IC13" s="144"/>
      <c r="ID13" s="144"/>
    </row>
    <row r="14" spans="1:238" x14ac:dyDescent="0.35">
      <c r="A14" s="189"/>
      <c r="D14" s="147" t="s">
        <v>162</v>
      </c>
      <c r="F14" s="241">
        <f>F8-F12</f>
        <v>-257.01544000000013</v>
      </c>
      <c r="G14" s="143"/>
      <c r="H14" s="241">
        <f>H8-H12</f>
        <v>0</v>
      </c>
      <c r="I14" s="143"/>
      <c r="J14" s="241">
        <f>J8-J12</f>
        <v>0</v>
      </c>
      <c r="K14" s="143"/>
      <c r="L14" s="241">
        <f>L8-L12</f>
        <v>0</v>
      </c>
      <c r="M14" s="143"/>
      <c r="N14" s="241">
        <f>N8-N12</f>
        <v>0</v>
      </c>
      <c r="P14" s="241">
        <f>P8-P12</f>
        <v>0</v>
      </c>
      <c r="Q14" s="143"/>
      <c r="R14" s="241">
        <f>R8-R12</f>
        <v>0</v>
      </c>
      <c r="T14" s="241">
        <f>T8-T12</f>
        <v>0</v>
      </c>
      <c r="V14" s="241">
        <f>V8-V12</f>
        <v>-770.51564999999937</v>
      </c>
      <c r="X14" s="241">
        <f>X8-X12</f>
        <v>3701.2306199999985</v>
      </c>
      <c r="Z14" s="241">
        <f>Z8-Z12</f>
        <v>0</v>
      </c>
      <c r="AB14" s="241">
        <f>AB8-AB12</f>
        <v>0</v>
      </c>
      <c r="AD14" s="241">
        <f>AD8-AD12</f>
        <v>-113.44759999999951</v>
      </c>
      <c r="AF14" s="241">
        <f>AF8-AF12</f>
        <v>0</v>
      </c>
      <c r="AH14" s="241">
        <f>AH8-AH12</f>
        <v>0</v>
      </c>
      <c r="AJ14" s="241">
        <f>AJ8-AJ12</f>
        <v>0.54384000000027299</v>
      </c>
      <c r="AL14" s="241">
        <f>AL8-AL12</f>
        <v>0</v>
      </c>
      <c r="AN14" s="241">
        <f>AN8-AN12</f>
        <v>0</v>
      </c>
      <c r="AO14" s="143"/>
      <c r="AP14" s="241">
        <f>AP8-AP12</f>
        <v>208.89399999999659</v>
      </c>
      <c r="AQ14" s="143"/>
      <c r="AR14" s="241">
        <f>AR8-AR12</f>
        <v>0</v>
      </c>
      <c r="AS14" s="143"/>
      <c r="AT14" s="241">
        <f>AT8-AT12</f>
        <v>0</v>
      </c>
      <c r="AU14" s="143"/>
      <c r="AV14" s="241">
        <f>AV8-AV12</f>
        <v>-1889.3168499999974</v>
      </c>
      <c r="AX14" s="241">
        <f>AX8-AX12</f>
        <v>0</v>
      </c>
      <c r="AY14" s="143"/>
      <c r="AZ14" s="241">
        <f>AZ8-AZ12</f>
        <v>0</v>
      </c>
      <c r="BB14" s="241">
        <f>BB8-BB12</f>
        <v>103.8163599999998</v>
      </c>
      <c r="BD14" s="241">
        <f>BD8-BD12</f>
        <v>0</v>
      </c>
      <c r="BF14" s="241">
        <f>BF8-BF12</f>
        <v>0</v>
      </c>
      <c r="BH14" s="241">
        <f>BH8-BH12</f>
        <v>-814.86440000000039</v>
      </c>
      <c r="BJ14" s="241">
        <f>BJ8-BJ12</f>
        <v>0</v>
      </c>
      <c r="BL14" s="241">
        <f>BL8-BL12</f>
        <v>0</v>
      </c>
      <c r="BN14" s="241">
        <f>BN8-BN12</f>
        <v>-47.194499999997788</v>
      </c>
      <c r="BP14" s="241">
        <f>BP8-BP12</f>
        <v>0</v>
      </c>
      <c r="BR14" s="241">
        <f>BR8-BR12</f>
        <v>0</v>
      </c>
      <c r="BT14" s="241">
        <f>BT8-BT12</f>
        <v>-2153.3696000000018</v>
      </c>
      <c r="BV14" s="241">
        <f>BV8-BV12</f>
        <v>0</v>
      </c>
      <c r="BW14" s="143"/>
      <c r="BX14" s="241">
        <f>BX8-BX12</f>
        <v>0</v>
      </c>
      <c r="BY14" s="143"/>
      <c r="BZ14" s="241">
        <f>BZ8-BZ12</f>
        <v>-490.07970000000023</v>
      </c>
      <c r="CA14" s="143"/>
      <c r="CB14" s="241">
        <f>CB8-CB12</f>
        <v>0</v>
      </c>
      <c r="CC14" s="143"/>
      <c r="CD14" s="241">
        <f>CD8-CD12</f>
        <v>0</v>
      </c>
      <c r="CF14" s="241">
        <f>CF8-CF12</f>
        <v>-894.96329999999944</v>
      </c>
      <c r="CG14" s="143"/>
      <c r="CH14" s="241">
        <f>CH8-CH12</f>
        <v>0</v>
      </c>
      <c r="CJ14" s="241">
        <f>CJ8-CJ12</f>
        <v>0</v>
      </c>
      <c r="CL14" s="241">
        <f>CL8-CL12</f>
        <v>9137.3646000000008</v>
      </c>
      <c r="CN14" s="241">
        <f>CN8-CN12</f>
        <v>0</v>
      </c>
      <c r="CP14" s="241">
        <f>CP8-CP12</f>
        <v>0</v>
      </c>
      <c r="CR14" s="241">
        <f>CR8-CR12</f>
        <v>110.29150000000664</v>
      </c>
      <c r="CT14" s="241">
        <f>CT8-CT12</f>
        <v>0</v>
      </c>
      <c r="CV14" s="241">
        <f>CV8-CV12</f>
        <v>0</v>
      </c>
      <c r="CX14" s="241">
        <f>CX8-CX12</f>
        <v>7215.5985999999975</v>
      </c>
      <c r="CZ14" s="241">
        <f>CZ8-CZ12</f>
        <v>0</v>
      </c>
      <c r="DB14" s="241">
        <f>DB8-DB12</f>
        <v>0</v>
      </c>
      <c r="DD14" s="241">
        <f>DD8-DD12</f>
        <v>-3473.3125</v>
      </c>
      <c r="DE14" s="143"/>
      <c r="DF14" s="241">
        <f>DF8-DF12</f>
        <v>0</v>
      </c>
      <c r="DG14" s="143"/>
      <c r="DH14" s="241">
        <f>DH8-DH12</f>
        <v>0</v>
      </c>
      <c r="DI14" s="143"/>
      <c r="DJ14" s="241">
        <f>DJ8-DJ12</f>
        <v>5555.9660000000003</v>
      </c>
      <c r="DK14" s="143"/>
      <c r="DL14" s="241">
        <f>DL8-DL12</f>
        <v>0</v>
      </c>
      <c r="DN14" s="241">
        <f>DN8-DN12</f>
        <v>0</v>
      </c>
      <c r="DO14" s="143"/>
      <c r="DP14" s="241">
        <f>DP8-DP12</f>
        <v>6062.1732000000047</v>
      </c>
      <c r="DR14" s="241">
        <f>DR8-DR12</f>
        <v>0</v>
      </c>
      <c r="DT14" s="241">
        <f>DT8-DT12</f>
        <v>0</v>
      </c>
      <c r="DV14" s="241">
        <f>DV8-DV12</f>
        <v>-3081.1958000000013</v>
      </c>
      <c r="DX14" s="241">
        <f>DX8-DX12</f>
        <v>0</v>
      </c>
      <c r="DZ14" s="241">
        <f>DZ8-DZ12</f>
        <v>0</v>
      </c>
      <c r="EB14" s="241">
        <f>EB8-EB12</f>
        <v>-2515.5395000000026</v>
      </c>
      <c r="ED14" s="241">
        <f>ED8-ED12</f>
        <v>0</v>
      </c>
      <c r="EF14" s="241">
        <f>EF8-EF12</f>
        <v>0</v>
      </c>
      <c r="EH14" s="241">
        <f>EH8-EH12</f>
        <v>-1409.9998000000051</v>
      </c>
      <c r="EJ14" s="241">
        <f>EJ8-EJ12</f>
        <v>0</v>
      </c>
      <c r="EL14" s="241">
        <f>EL8-EL12</f>
        <v>0</v>
      </c>
      <c r="EM14" s="143"/>
      <c r="EN14" s="241">
        <f>EN8-EN12</f>
        <v>-1852.0250000000015</v>
      </c>
      <c r="EO14" s="143"/>
      <c r="EP14" s="241">
        <f>EP8-EP12</f>
        <v>0</v>
      </c>
      <c r="EQ14" s="143"/>
      <c r="ER14" s="241">
        <f>ER8-ER12</f>
        <v>0</v>
      </c>
      <c r="ES14" s="143"/>
      <c r="ET14" s="241">
        <f>ET8-ET12</f>
        <v>916.11520000000019</v>
      </c>
      <c r="EV14" s="241">
        <f>EV8-EV12</f>
        <v>0</v>
      </c>
      <c r="EW14" s="143"/>
      <c r="EX14" s="241">
        <f>EX8-EX12</f>
        <v>0</v>
      </c>
      <c r="EZ14" s="241">
        <f>EZ8-EZ12</f>
        <v>-4069.892399999997</v>
      </c>
      <c r="FB14" s="241">
        <f>FB8-FB12</f>
        <v>0</v>
      </c>
      <c r="FD14" s="241">
        <f>FD8-FD12</f>
        <v>0</v>
      </c>
      <c r="FF14" s="241">
        <f>FF8-FF12</f>
        <v>-4881.7901999999885</v>
      </c>
      <c r="FH14" s="241">
        <f>FH8-FH12</f>
        <v>0</v>
      </c>
      <c r="FJ14" s="241">
        <f>FJ8-FJ12</f>
        <v>0</v>
      </c>
      <c r="FL14" s="241">
        <f>FL8-FL12</f>
        <v>-3784.6437000000005</v>
      </c>
      <c r="FN14" s="241">
        <f>FN8-FN12</f>
        <v>1272.4707999999955</v>
      </c>
      <c r="FP14" s="241">
        <f>FP8-FP12</f>
        <v>0</v>
      </c>
      <c r="FR14" s="241">
        <f>FR8-FR12</f>
        <v>5540.976800000004</v>
      </c>
      <c r="FT14" s="241">
        <f>FT8-FT12</f>
        <v>0</v>
      </c>
      <c r="FU14" s="143"/>
      <c r="FV14" s="241">
        <f>FV8-FV12</f>
        <v>0</v>
      </c>
      <c r="FW14" s="143"/>
      <c r="FX14" s="241">
        <f>FX8-FX12</f>
        <v>-1587.3026200000022</v>
      </c>
      <c r="FY14" s="143"/>
      <c r="FZ14" s="241">
        <f>FZ8-FZ12</f>
        <v>-1.3375599999999395</v>
      </c>
      <c r="GA14" s="143"/>
      <c r="GB14" s="241">
        <f>GB8-GB12</f>
        <v>0</v>
      </c>
      <c r="GD14" s="241">
        <f>GD8-GD12</f>
        <v>464.66400000000431</v>
      </c>
      <c r="GE14" s="143"/>
      <c r="GF14" s="241">
        <f>GF8-GF12</f>
        <v>0</v>
      </c>
      <c r="GH14" s="241">
        <f>GH8-GH12</f>
        <v>0</v>
      </c>
      <c r="GJ14" s="241">
        <f>GJ8-GJ12</f>
        <v>-8442.4951999999976</v>
      </c>
      <c r="GL14" s="241">
        <f>GL8-GL12</f>
        <v>0</v>
      </c>
      <c r="GN14" s="241">
        <f>GN8-GN12</f>
        <v>0</v>
      </c>
      <c r="GP14" s="241">
        <f>GP8-GP12</f>
        <v>102.51069999999891</v>
      </c>
      <c r="GR14" s="241">
        <f>GR8-GR12</f>
        <v>29.777500000003783</v>
      </c>
      <c r="GT14" s="241">
        <f>GT8-GT12</f>
        <v>-19.904700000006414</v>
      </c>
      <c r="GV14" s="241">
        <f>GV8-GV12</f>
        <v>9731.4210000000021</v>
      </c>
      <c r="GX14" s="241">
        <f>GX8-GX12</f>
        <v>0</v>
      </c>
      <c r="GZ14" s="241">
        <f>GZ8-GZ12</f>
        <v>0</v>
      </c>
      <c r="HB14" s="241">
        <f>HB8-HB12</f>
        <v>0</v>
      </c>
      <c r="HD14" s="144"/>
      <c r="HF14" s="144"/>
      <c r="HH14" s="144"/>
      <c r="HJ14" s="144"/>
      <c r="HL14" s="144"/>
      <c r="HN14" s="144"/>
      <c r="HP14" s="144"/>
      <c r="HR14" s="144"/>
      <c r="HT14" s="144"/>
      <c r="HV14" s="144"/>
      <c r="HX14" s="144"/>
      <c r="HZ14" s="144"/>
      <c r="IB14" s="144"/>
      <c r="ID14" s="144"/>
    </row>
    <row r="15" spans="1:238" x14ac:dyDescent="0.35">
      <c r="B15" s="140"/>
      <c r="F15" s="143"/>
      <c r="G15" s="143"/>
      <c r="H15" s="143"/>
      <c r="I15" s="143"/>
      <c r="J15" s="143"/>
      <c r="K15" s="143"/>
      <c r="L15" s="143"/>
      <c r="M15" s="143"/>
      <c r="N15" s="143"/>
      <c r="P15" s="143"/>
      <c r="Q15" s="143"/>
      <c r="R15" s="143"/>
      <c r="T15" s="143"/>
      <c r="V15" s="143"/>
      <c r="X15" s="143"/>
      <c r="Z15" s="143"/>
      <c r="AB15" s="143"/>
      <c r="AD15" s="143"/>
      <c r="AF15" s="143"/>
      <c r="AH15" s="143"/>
      <c r="AJ15" s="143"/>
      <c r="AL15" s="143"/>
      <c r="AN15" s="143"/>
      <c r="AP15" s="143"/>
      <c r="AR15" s="143"/>
      <c r="AT15" s="143"/>
      <c r="AV15" s="143"/>
      <c r="AX15" s="143"/>
      <c r="AZ15" s="143"/>
      <c r="BB15" s="143"/>
      <c r="BD15" s="143"/>
      <c r="BF15" s="143"/>
      <c r="BH15" s="143"/>
      <c r="BJ15" s="143"/>
      <c r="BL15" s="143"/>
      <c r="BN15" s="143"/>
      <c r="BP15" s="143"/>
      <c r="BR15" s="143"/>
      <c r="BT15" s="143"/>
      <c r="BV15" s="143"/>
      <c r="BX15" s="143"/>
      <c r="BZ15" s="143"/>
      <c r="CB15" s="143"/>
      <c r="CD15" s="143"/>
      <c r="CF15" s="143"/>
      <c r="CH15" s="143"/>
      <c r="CJ15" s="143"/>
      <c r="CL15" s="143"/>
      <c r="CN15" s="143"/>
      <c r="CP15" s="143"/>
      <c r="CR15" s="143"/>
      <c r="CT15" s="143"/>
      <c r="CV15" s="143"/>
      <c r="CX15" s="143"/>
      <c r="CZ15" s="143"/>
      <c r="DB15" s="143"/>
      <c r="DD15" s="143"/>
      <c r="DF15" s="143"/>
      <c r="DH15" s="143"/>
      <c r="DJ15" s="143"/>
      <c r="DL15" s="143"/>
      <c r="DN15" s="143"/>
      <c r="DP15" s="143"/>
      <c r="DR15" s="143"/>
      <c r="DT15" s="143"/>
      <c r="DV15" s="143"/>
      <c r="DX15" s="143"/>
      <c r="DZ15" s="143"/>
      <c r="EB15" s="143"/>
      <c r="ED15" s="143"/>
      <c r="EF15" s="143"/>
      <c r="EH15" s="143"/>
      <c r="EJ15" s="143"/>
      <c r="EL15" s="143"/>
      <c r="EN15" s="143"/>
      <c r="EP15" s="143"/>
      <c r="ER15" s="143"/>
      <c r="ET15" s="143"/>
      <c r="EV15" s="143"/>
      <c r="EX15" s="143"/>
      <c r="EZ15" s="143"/>
      <c r="FB15" s="143"/>
      <c r="FD15" s="143"/>
      <c r="FF15" s="143"/>
      <c r="FH15" s="143"/>
      <c r="FJ15" s="143"/>
      <c r="FL15" s="143"/>
      <c r="FN15" s="143"/>
      <c r="FP15" s="143"/>
      <c r="FR15" s="143"/>
      <c r="FT15" s="143"/>
      <c r="FV15" s="143"/>
      <c r="FX15" s="143"/>
      <c r="FZ15" s="143"/>
      <c r="GB15" s="143"/>
      <c r="GD15" s="143"/>
      <c r="GF15" s="143"/>
      <c r="GH15" s="143"/>
      <c r="GJ15" s="143"/>
      <c r="GL15" s="143"/>
      <c r="GN15" s="143"/>
      <c r="GP15" s="143"/>
      <c r="GR15" s="143"/>
      <c r="GT15" s="143"/>
      <c r="GV15" s="143"/>
      <c r="GX15" s="143"/>
      <c r="GZ15" s="143"/>
      <c r="HB15" s="143"/>
      <c r="HD15" s="143"/>
      <c r="HF15" s="143"/>
      <c r="HH15" s="143"/>
      <c r="HJ15" s="143"/>
      <c r="HL15" s="143"/>
      <c r="HN15" s="143"/>
      <c r="HP15" s="143"/>
      <c r="HR15" s="143"/>
      <c r="HT15" s="143"/>
      <c r="HV15" s="143"/>
      <c r="HX15" s="143"/>
      <c r="HZ15" s="143"/>
      <c r="IB15" s="143"/>
      <c r="ID15" s="143"/>
    </row>
    <row r="16" spans="1:238" x14ac:dyDescent="0.35">
      <c r="C16" s="261">
        <f>SUM(F14:HB14)</f>
        <v>7603.6087000000152</v>
      </c>
      <c r="F16" s="198" t="s">
        <v>163</v>
      </c>
      <c r="G16" s="143"/>
      <c r="H16" s="143"/>
      <c r="I16" s="143"/>
      <c r="J16" s="143"/>
      <c r="K16" s="143"/>
      <c r="L16" s="143"/>
      <c r="M16" s="143"/>
      <c r="N16" s="143"/>
      <c r="P16" s="143"/>
      <c r="Q16" s="143"/>
      <c r="R16" s="143"/>
      <c r="T16" s="143"/>
      <c r="V16" s="143"/>
      <c r="X16" s="143"/>
      <c r="Z16" s="143"/>
      <c r="AB16" s="143"/>
      <c r="AD16" s="143"/>
      <c r="AF16" s="143"/>
      <c r="AH16" s="143"/>
      <c r="AJ16" s="143"/>
      <c r="AL16" s="143"/>
      <c r="AN16" s="143"/>
      <c r="AP16" s="143"/>
      <c r="AR16" s="143"/>
      <c r="AT16" s="143"/>
      <c r="AV16" s="143"/>
      <c r="AX16" s="143"/>
      <c r="AZ16" s="143"/>
      <c r="BB16" s="143"/>
      <c r="BD16" s="143"/>
      <c r="BF16" s="143"/>
      <c r="BH16" s="143"/>
      <c r="BJ16" s="143"/>
      <c r="BL16" s="143"/>
      <c r="BN16" s="143"/>
      <c r="BP16" s="143"/>
      <c r="BR16" s="143"/>
      <c r="BT16" s="143"/>
      <c r="BV16" s="143"/>
      <c r="BX16" s="143"/>
      <c r="BZ16" s="143"/>
      <c r="CB16" s="143"/>
      <c r="CD16" s="143"/>
      <c r="CF16" s="143"/>
      <c r="CH16" s="143"/>
      <c r="CJ16" s="143"/>
      <c r="CL16" s="143"/>
      <c r="CN16" s="143"/>
      <c r="CP16" s="143"/>
      <c r="CR16" s="143"/>
      <c r="CT16" s="143"/>
      <c r="CV16" s="143"/>
      <c r="CX16" s="143"/>
      <c r="CZ16" s="143"/>
      <c r="DB16" s="143"/>
      <c r="DD16" s="143"/>
      <c r="DF16" s="143"/>
      <c r="DH16" s="143"/>
      <c r="DJ16" s="143"/>
      <c r="DL16" s="143"/>
      <c r="DN16" s="143"/>
      <c r="DP16" s="143"/>
      <c r="DR16" s="143"/>
      <c r="DT16" s="143"/>
      <c r="DV16" s="143"/>
      <c r="DX16" s="143"/>
      <c r="DZ16" s="143"/>
      <c r="EB16" s="143"/>
      <c r="ED16" s="143"/>
      <c r="EF16" s="143"/>
      <c r="EH16" s="143"/>
      <c r="EJ16" s="143"/>
      <c r="EL16" s="143"/>
      <c r="EN16" s="143"/>
      <c r="EP16" s="143"/>
      <c r="ER16" s="143"/>
      <c r="ET16" s="143"/>
      <c r="EV16" s="143"/>
      <c r="EX16" s="143"/>
      <c r="EZ16" s="143"/>
      <c r="FB16" s="143"/>
      <c r="FD16" s="143"/>
      <c r="FF16" s="143"/>
      <c r="FH16" s="143"/>
      <c r="FJ16" s="143"/>
      <c r="FL16" s="143"/>
      <c r="FN16" s="143"/>
      <c r="FP16" s="143"/>
      <c r="FR16" s="143"/>
      <c r="FT16" s="143"/>
      <c r="FV16" s="143"/>
      <c r="FX16" s="143"/>
      <c r="FZ16" s="143"/>
      <c r="GB16" s="143"/>
      <c r="GD16" s="143"/>
      <c r="GF16" s="143"/>
      <c r="GH16" s="143"/>
      <c r="GJ16" s="143"/>
      <c r="GL16" s="143"/>
      <c r="GN16" s="143"/>
      <c r="GP16" s="143"/>
      <c r="GR16" s="143"/>
      <c r="GT16" s="143"/>
      <c r="GV16" s="143"/>
      <c r="GX16" s="143"/>
      <c r="GZ16" s="143"/>
      <c r="HB16" s="143"/>
      <c r="HD16" s="143"/>
      <c r="HF16" s="143"/>
      <c r="HH16" s="143"/>
      <c r="HJ16" s="143"/>
      <c r="HL16" s="143"/>
      <c r="HN16" s="143"/>
      <c r="HP16" s="143"/>
      <c r="HR16" s="143"/>
      <c r="HT16" s="143"/>
      <c r="HV16" s="143"/>
      <c r="HX16" s="143"/>
      <c r="HZ16" s="143"/>
      <c r="IB16" s="143"/>
      <c r="ID16" s="143"/>
    </row>
    <row r="17" spans="1:238" x14ac:dyDescent="0.35">
      <c r="F17" s="143"/>
      <c r="G17" s="143"/>
      <c r="H17" s="143"/>
      <c r="I17" s="143"/>
      <c r="J17" s="143"/>
      <c r="K17" s="143"/>
      <c r="L17" s="143"/>
      <c r="M17" s="143"/>
      <c r="N17" s="143"/>
      <c r="Q17" s="143"/>
      <c r="R17" s="143"/>
      <c r="X17" s="143"/>
      <c r="AD17" s="143"/>
      <c r="AJ17" s="143"/>
      <c r="AP17" s="143"/>
      <c r="AV17" s="143"/>
      <c r="BB17" s="143"/>
      <c r="BH17" s="143"/>
      <c r="BN17" s="143"/>
      <c r="BT17" s="143"/>
      <c r="BZ17" s="143"/>
      <c r="CF17" s="143"/>
      <c r="CL17" s="143"/>
      <c r="CR17" s="143"/>
      <c r="CX17" s="143"/>
      <c r="DD17" s="143"/>
      <c r="DJ17" s="143"/>
      <c r="DP17" s="143"/>
      <c r="DV17" s="143"/>
      <c r="EB17" s="143"/>
      <c r="EH17" s="143"/>
      <c r="EN17" s="143"/>
      <c r="ET17" s="143"/>
      <c r="EZ17" s="143"/>
      <c r="FF17" s="143"/>
      <c r="FL17" s="143"/>
      <c r="FR17" s="143"/>
      <c r="FX17" s="143"/>
      <c r="GD17" s="143"/>
      <c r="GJ17" s="143"/>
      <c r="GP17" s="143"/>
      <c r="GV17" s="143"/>
      <c r="HB17" s="143"/>
      <c r="HH17" s="143"/>
      <c r="HN17" s="143"/>
      <c r="HT17" s="143"/>
      <c r="HZ17" s="143"/>
    </row>
    <row r="18" spans="1:238" x14ac:dyDescent="0.35">
      <c r="D18" s="206"/>
      <c r="F18" s="143"/>
      <c r="G18" s="143"/>
      <c r="H18" s="206"/>
      <c r="I18" s="143"/>
      <c r="J18" s="206"/>
      <c r="K18" s="143"/>
      <c r="L18" s="143"/>
      <c r="M18" s="143"/>
      <c r="N18" s="206"/>
      <c r="P18" s="143"/>
      <c r="Q18" s="143"/>
      <c r="R18" s="143"/>
      <c r="T18" s="206"/>
      <c r="V18" s="143"/>
      <c r="X18" s="143"/>
      <c r="Z18" s="206"/>
      <c r="AB18" s="143"/>
      <c r="AD18" s="143"/>
      <c r="AF18" s="206"/>
      <c r="AH18" s="143"/>
      <c r="AJ18" s="143"/>
      <c r="AL18" s="206"/>
      <c r="AN18" s="143"/>
      <c r="AP18" s="143"/>
      <c r="AR18" s="206"/>
      <c r="AT18" s="143"/>
      <c r="AV18" s="143"/>
      <c r="AX18" s="206"/>
      <c r="AZ18" s="143"/>
      <c r="BB18" s="143"/>
      <c r="BD18" s="206"/>
      <c r="BF18" s="143"/>
      <c r="BH18" s="143"/>
      <c r="BJ18" s="206"/>
      <c r="BL18" s="143"/>
      <c r="BN18" s="143"/>
      <c r="BP18" s="206"/>
      <c r="BR18" s="143"/>
      <c r="BT18" s="143"/>
      <c r="BV18" s="206"/>
      <c r="BX18" s="143"/>
      <c r="BZ18" s="143"/>
      <c r="CB18" s="206"/>
      <c r="CD18" s="143"/>
      <c r="CF18" s="143"/>
      <c r="CH18" s="206"/>
      <c r="CJ18" s="143"/>
      <c r="CL18" s="143"/>
      <c r="CN18" s="206"/>
      <c r="CP18" s="143"/>
      <c r="CR18" s="143"/>
      <c r="CT18" s="206"/>
      <c r="CV18" s="143"/>
      <c r="CX18" s="143"/>
      <c r="CZ18" s="206"/>
      <c r="DB18" s="143"/>
      <c r="DD18" s="143"/>
      <c r="DF18" s="206"/>
      <c r="DH18" s="143"/>
      <c r="DJ18" s="143"/>
      <c r="DL18" s="206"/>
      <c r="DN18" s="143"/>
      <c r="DP18" s="143"/>
      <c r="DR18" s="206"/>
      <c r="DT18" s="143"/>
      <c r="DV18" s="143"/>
      <c r="DX18" s="206"/>
      <c r="DZ18" s="143"/>
      <c r="EB18" s="143"/>
      <c r="ED18" s="206"/>
      <c r="EF18" s="143"/>
      <c r="EH18" s="143"/>
      <c r="EJ18" s="206"/>
      <c r="EL18" s="143"/>
      <c r="EN18" s="143"/>
      <c r="EP18" s="206"/>
      <c r="ER18" s="143"/>
      <c r="ET18" s="143"/>
      <c r="EV18" s="206"/>
      <c r="EX18" s="143"/>
      <c r="EZ18" s="143"/>
      <c r="FB18" s="206"/>
      <c r="FD18" s="143"/>
      <c r="FF18" s="143"/>
      <c r="FH18" s="206"/>
      <c r="FJ18" s="143"/>
      <c r="FL18" s="143"/>
      <c r="FN18" s="206"/>
      <c r="FP18" s="143"/>
      <c r="FR18" s="143"/>
      <c r="FT18" s="206"/>
      <c r="FV18" s="143"/>
      <c r="FX18" s="143"/>
      <c r="FZ18" s="206"/>
      <c r="GB18" s="143"/>
      <c r="GD18" s="143"/>
      <c r="GF18" s="206"/>
      <c r="GH18" s="143"/>
      <c r="GJ18" s="143"/>
      <c r="GL18" s="206"/>
      <c r="GN18" s="143"/>
      <c r="GP18" s="143"/>
      <c r="GR18" s="206"/>
      <c r="GT18" s="143"/>
      <c r="GV18" s="143"/>
      <c r="GX18" s="206"/>
      <c r="GZ18" s="143"/>
      <c r="HB18" s="143"/>
      <c r="HD18" s="206"/>
      <c r="HF18" s="143"/>
      <c r="HH18" s="143"/>
      <c r="HJ18" s="206"/>
      <c r="HL18" s="143"/>
      <c r="HN18" s="143"/>
      <c r="HP18" s="206"/>
      <c r="HR18" s="143"/>
      <c r="HT18" s="143"/>
      <c r="HV18" s="206"/>
      <c r="HX18" s="143"/>
      <c r="HZ18" s="143"/>
      <c r="IB18" s="206"/>
      <c r="ID18" s="143"/>
    </row>
    <row r="19" spans="1:238" x14ac:dyDescent="0.35">
      <c r="D19" s="147"/>
      <c r="F19" s="143"/>
      <c r="G19" s="143"/>
      <c r="H19" s="206"/>
      <c r="I19" s="143"/>
      <c r="J19" s="206"/>
      <c r="K19" s="143"/>
      <c r="L19" s="143"/>
      <c r="M19" s="143"/>
      <c r="N19" s="206"/>
      <c r="P19" s="242"/>
      <c r="Q19" s="143"/>
      <c r="R19" s="143"/>
      <c r="T19" s="112"/>
      <c r="V19" s="242"/>
      <c r="X19" s="143"/>
      <c r="Z19" s="206"/>
      <c r="AB19" s="242"/>
      <c r="AD19" s="143"/>
      <c r="AF19" s="206"/>
      <c r="AH19" s="242"/>
      <c r="AJ19" s="143"/>
      <c r="AL19" s="206"/>
      <c r="AN19" s="242"/>
      <c r="AP19" s="143"/>
      <c r="AR19" s="206"/>
      <c r="AT19" s="242"/>
      <c r="AV19" s="143"/>
      <c r="AX19" s="206"/>
      <c r="AZ19" s="242"/>
      <c r="BB19" s="143"/>
      <c r="BD19" s="206"/>
      <c r="BF19" s="242"/>
      <c r="BH19" s="143"/>
      <c r="BJ19" s="206"/>
      <c r="BL19" s="242"/>
      <c r="BN19" s="143"/>
      <c r="BP19" s="206"/>
      <c r="BR19" s="242"/>
      <c r="BT19" s="143"/>
      <c r="BV19" s="206"/>
      <c r="BX19" s="242"/>
      <c r="BZ19" s="143"/>
      <c r="CB19" s="206"/>
      <c r="CD19" s="242"/>
      <c r="CF19" s="143"/>
      <c r="CH19" s="206"/>
      <c r="CJ19" s="242"/>
      <c r="CL19" s="143"/>
      <c r="CN19" s="206"/>
      <c r="CP19" s="242"/>
      <c r="CR19" s="143"/>
      <c r="CT19" s="206"/>
      <c r="CV19" s="242"/>
      <c r="CX19" s="143"/>
      <c r="CZ19" s="206"/>
      <c r="DB19" s="242"/>
      <c r="DD19" s="143"/>
      <c r="DF19" s="206"/>
      <c r="DH19" s="242"/>
      <c r="DJ19" s="143"/>
      <c r="DL19" s="206"/>
      <c r="DN19" s="242"/>
      <c r="DP19" s="143"/>
      <c r="DR19" s="206"/>
      <c r="DT19" s="242"/>
      <c r="DV19" s="143"/>
      <c r="DX19" s="206"/>
      <c r="DZ19" s="242"/>
      <c r="EB19" s="143"/>
      <c r="ED19" s="206"/>
      <c r="EF19" s="242"/>
      <c r="EH19" s="143"/>
      <c r="EJ19" s="206"/>
      <c r="EL19" s="242"/>
      <c r="EN19" s="143"/>
      <c r="EP19" s="206"/>
      <c r="ER19" s="242"/>
      <c r="ET19" s="143"/>
      <c r="EV19" s="206"/>
      <c r="EX19" s="242"/>
      <c r="EZ19" s="143"/>
      <c r="FB19" s="206"/>
      <c r="FD19" s="242"/>
      <c r="FF19" s="143"/>
      <c r="FH19" s="206"/>
      <c r="FJ19" s="242"/>
      <c r="FL19" s="143"/>
      <c r="FN19" s="206"/>
      <c r="FP19" s="242"/>
      <c r="FR19" s="143"/>
      <c r="FT19" s="206"/>
      <c r="FV19" s="242"/>
      <c r="FX19" s="143"/>
      <c r="FZ19" s="206"/>
      <c r="GB19" s="242"/>
      <c r="GD19" s="143"/>
      <c r="GF19" s="206"/>
      <c r="GH19" s="242"/>
      <c r="GJ19" s="143"/>
      <c r="GL19" s="206"/>
      <c r="GN19" s="242"/>
      <c r="GP19" s="143"/>
      <c r="GR19" s="206"/>
      <c r="GT19" s="242"/>
      <c r="GV19" s="143"/>
      <c r="GX19" s="206"/>
      <c r="GZ19" s="242"/>
      <c r="HB19" s="143"/>
      <c r="HD19" s="206"/>
      <c r="HF19" s="242"/>
      <c r="HH19" s="143"/>
      <c r="HJ19" s="147"/>
      <c r="HL19" s="242"/>
      <c r="HN19" s="143"/>
      <c r="HP19" s="147"/>
      <c r="HR19" s="242"/>
      <c r="HT19" s="143"/>
      <c r="HV19" s="147"/>
      <c r="HX19" s="242"/>
      <c r="HZ19" s="143"/>
      <c r="IB19" s="147"/>
      <c r="ID19" s="242"/>
    </row>
    <row r="20" spans="1:238" ht="13.15" x14ac:dyDescent="0.4">
      <c r="D20" s="146"/>
      <c r="F20" s="143"/>
      <c r="G20" s="143"/>
      <c r="H20" s="146"/>
      <c r="I20" s="143"/>
      <c r="J20" s="146"/>
      <c r="K20" s="143"/>
      <c r="L20" s="143"/>
      <c r="M20" s="143"/>
      <c r="N20" s="146"/>
      <c r="P20" s="243"/>
      <c r="Q20" s="143"/>
      <c r="R20" s="143"/>
      <c r="T20" s="112"/>
      <c r="V20" s="242"/>
      <c r="X20" s="143"/>
      <c r="Z20" s="146"/>
      <c r="AB20" s="243"/>
      <c r="AD20" s="143"/>
      <c r="AF20" s="146"/>
      <c r="AH20" s="243"/>
      <c r="AJ20" s="143"/>
      <c r="AL20" s="146"/>
      <c r="AN20" s="243"/>
      <c r="AP20" s="143"/>
      <c r="AR20" s="146"/>
      <c r="AT20" s="243"/>
      <c r="AV20" s="143"/>
      <c r="AX20" s="146"/>
      <c r="AZ20" s="243"/>
      <c r="BB20" s="143"/>
      <c r="BD20" s="146"/>
      <c r="BF20" s="243"/>
      <c r="BH20" s="143"/>
      <c r="BJ20" s="146"/>
      <c r="BL20" s="243"/>
      <c r="BN20" s="143"/>
      <c r="BP20" s="146"/>
      <c r="BR20" s="243"/>
      <c r="BT20" s="143"/>
      <c r="BV20" s="146"/>
      <c r="BX20" s="243"/>
      <c r="BZ20" s="143"/>
      <c r="CB20" s="146"/>
      <c r="CD20" s="243"/>
      <c r="CF20" s="143"/>
      <c r="CH20" s="146"/>
      <c r="CJ20" s="243"/>
      <c r="CL20" s="143"/>
      <c r="CN20" s="146"/>
      <c r="CP20" s="243"/>
      <c r="CR20" s="143"/>
      <c r="CT20" s="146"/>
      <c r="CV20" s="243"/>
      <c r="CX20" s="143"/>
      <c r="CZ20" s="146"/>
      <c r="DB20" s="243"/>
      <c r="DD20" s="143"/>
      <c r="DF20" s="146"/>
      <c r="DH20" s="243"/>
      <c r="DJ20" s="143"/>
      <c r="DL20" s="146"/>
      <c r="DN20" s="243"/>
      <c r="DP20" s="143"/>
      <c r="DR20" s="146"/>
      <c r="DT20" s="243"/>
      <c r="DV20" s="143"/>
      <c r="DX20" s="146"/>
      <c r="DZ20" s="243"/>
      <c r="EB20" s="143"/>
      <c r="ED20" s="146"/>
      <c r="EF20" s="243"/>
      <c r="EH20" s="143"/>
      <c r="EJ20" s="146"/>
      <c r="EL20" s="243"/>
      <c r="EN20" s="143"/>
      <c r="EP20" s="146"/>
      <c r="ER20" s="243"/>
      <c r="ET20" s="143"/>
      <c r="EV20" s="146"/>
      <c r="EX20" s="243"/>
      <c r="EZ20" s="143"/>
      <c r="FB20" s="146"/>
      <c r="FD20" s="243"/>
      <c r="FF20" s="143"/>
      <c r="FH20" s="146"/>
      <c r="FJ20" s="243"/>
      <c r="FL20" s="143"/>
      <c r="FN20" s="146"/>
      <c r="FP20" s="243"/>
      <c r="FR20" s="143"/>
      <c r="FT20" s="146"/>
      <c r="FV20" s="243"/>
      <c r="FX20" s="143"/>
      <c r="FZ20" s="146"/>
      <c r="GB20" s="243"/>
      <c r="GD20" s="143"/>
      <c r="GF20" s="146"/>
      <c r="GH20" s="243"/>
      <c r="GJ20" s="143"/>
      <c r="GL20" s="146"/>
      <c r="GN20" s="243"/>
      <c r="GP20" s="143"/>
      <c r="GR20" s="146"/>
      <c r="GT20" s="243"/>
      <c r="GV20" s="143"/>
      <c r="GX20" s="146"/>
      <c r="GZ20" s="243"/>
      <c r="HB20" s="143"/>
      <c r="HD20" s="146"/>
      <c r="HF20" s="243"/>
      <c r="HH20" s="143"/>
      <c r="HJ20" s="146"/>
      <c r="HL20" s="243"/>
      <c r="HN20" s="143"/>
      <c r="HP20" s="146"/>
      <c r="HR20" s="243"/>
      <c r="HT20" s="143"/>
      <c r="HV20" s="146"/>
      <c r="HX20" s="243"/>
      <c r="HZ20" s="143"/>
      <c r="IB20" s="146"/>
      <c r="ID20" s="243"/>
    </row>
    <row r="21" spans="1:238" ht="13.15" x14ac:dyDescent="0.4">
      <c r="D21" s="146"/>
      <c r="F21" s="143"/>
      <c r="G21" s="143"/>
      <c r="H21" s="146"/>
      <c r="I21" s="143"/>
      <c r="J21" s="146"/>
      <c r="K21" s="143"/>
      <c r="L21" s="143"/>
      <c r="M21" s="143"/>
      <c r="N21" s="146"/>
      <c r="P21" s="243"/>
      <c r="Q21" s="143"/>
      <c r="R21" s="143"/>
      <c r="T21" s="112"/>
      <c r="V21" s="242"/>
      <c r="X21" s="143"/>
      <c r="Z21" s="146"/>
      <c r="AB21" s="243"/>
      <c r="AD21" s="143"/>
      <c r="AF21" s="146"/>
      <c r="AH21" s="243"/>
      <c r="AJ21" s="143"/>
      <c r="AL21" s="146"/>
      <c r="AN21" s="243"/>
      <c r="AP21" s="143"/>
      <c r="AR21" s="146"/>
      <c r="AT21" s="243"/>
      <c r="AV21" s="143"/>
      <c r="AX21" s="146"/>
      <c r="AZ21" s="243"/>
      <c r="BB21" s="143"/>
      <c r="BD21" s="146"/>
      <c r="BF21" s="243"/>
      <c r="BH21" s="143"/>
      <c r="BJ21" s="146"/>
      <c r="BL21" s="243"/>
      <c r="BN21" s="143"/>
      <c r="BP21" s="146"/>
      <c r="BR21" s="243"/>
      <c r="BT21" s="143"/>
      <c r="BV21" s="146"/>
      <c r="BX21" s="243"/>
      <c r="BZ21" s="143"/>
      <c r="CB21" s="146"/>
      <c r="CD21" s="243"/>
      <c r="CF21" s="143"/>
      <c r="CH21" s="146"/>
      <c r="CJ21" s="243"/>
      <c r="CL21" s="143"/>
      <c r="CN21" s="146"/>
      <c r="CP21" s="243"/>
      <c r="CR21" s="143"/>
      <c r="CT21" s="146"/>
      <c r="CV21" s="243"/>
      <c r="CX21" s="143"/>
      <c r="CZ21" s="146"/>
      <c r="DB21" s="243"/>
      <c r="DD21" s="143"/>
      <c r="DF21" s="146"/>
      <c r="DH21" s="243"/>
      <c r="DJ21" s="143"/>
      <c r="DL21" s="146"/>
      <c r="DN21" s="243"/>
      <c r="DP21" s="143"/>
      <c r="DR21" s="146"/>
      <c r="DT21" s="243"/>
      <c r="DV21" s="143"/>
      <c r="DX21" s="146"/>
      <c r="DZ21" s="243"/>
      <c r="EB21" s="143"/>
      <c r="ED21" s="146"/>
      <c r="EF21" s="243"/>
      <c r="EH21" s="143"/>
      <c r="EJ21" s="146"/>
      <c r="EL21" s="243"/>
      <c r="EN21" s="143"/>
      <c r="EP21" s="146"/>
      <c r="ER21" s="243"/>
      <c r="ET21" s="143"/>
      <c r="EV21" s="146"/>
      <c r="EX21" s="243"/>
      <c r="EZ21" s="143"/>
      <c r="FB21" s="146"/>
      <c r="FD21" s="243"/>
      <c r="FF21" s="143"/>
      <c r="FH21" s="146"/>
      <c r="FJ21" s="243"/>
      <c r="FL21" s="143"/>
      <c r="FN21" s="146"/>
      <c r="FP21" s="243"/>
      <c r="FR21" s="143"/>
      <c r="FT21" s="146"/>
      <c r="FV21" s="243"/>
      <c r="FX21" s="143"/>
      <c r="FZ21" s="146"/>
      <c r="GB21" s="143"/>
      <c r="GD21" s="143"/>
      <c r="GF21" s="146"/>
      <c r="GH21" s="143"/>
      <c r="GJ21" s="143"/>
      <c r="GL21" s="146"/>
      <c r="GN21" s="143"/>
      <c r="GP21" s="143"/>
      <c r="GR21" s="146"/>
      <c r="GT21" s="143"/>
      <c r="GV21" s="143"/>
      <c r="GX21" s="146"/>
      <c r="GZ21" s="143"/>
      <c r="HB21" s="143"/>
      <c r="HD21" s="146"/>
      <c r="HF21" s="143"/>
      <c r="HH21" s="143"/>
      <c r="HJ21" s="146"/>
      <c r="HL21" s="243"/>
      <c r="HN21" s="143"/>
      <c r="HP21" s="146"/>
      <c r="HR21" s="243"/>
      <c r="HT21" s="143"/>
      <c r="HV21" s="146"/>
      <c r="HX21" s="243"/>
      <c r="HZ21" s="143"/>
      <c r="IB21" s="146"/>
      <c r="ID21" s="243"/>
    </row>
    <row r="22" spans="1:238" ht="13.15" x14ac:dyDescent="0.4">
      <c r="D22" s="146"/>
      <c r="F22" s="143"/>
      <c r="G22" s="143"/>
      <c r="H22" s="146"/>
      <c r="I22" s="143"/>
      <c r="J22" s="146"/>
      <c r="K22" s="143"/>
      <c r="L22" s="143"/>
      <c r="M22" s="143"/>
      <c r="N22" s="146"/>
      <c r="P22" s="243"/>
      <c r="Q22" s="143"/>
      <c r="R22" s="143"/>
      <c r="T22" s="112"/>
      <c r="V22" s="242"/>
      <c r="X22" s="143"/>
      <c r="Z22" s="146"/>
      <c r="AB22" s="243"/>
      <c r="AD22" s="143"/>
      <c r="AF22" s="146"/>
      <c r="AH22" s="243"/>
      <c r="AJ22" s="143"/>
      <c r="AL22" s="146"/>
      <c r="AN22" s="243"/>
      <c r="AP22" s="143"/>
      <c r="AR22" s="146"/>
      <c r="AT22" s="243"/>
      <c r="AV22" s="143"/>
      <c r="AX22" s="146"/>
      <c r="AZ22" s="243"/>
      <c r="BB22" s="143"/>
      <c r="BD22" s="146"/>
      <c r="BF22" s="243"/>
      <c r="BH22" s="143"/>
      <c r="BJ22" s="146"/>
      <c r="BL22" s="243"/>
      <c r="BN22" s="143"/>
      <c r="BP22" s="146"/>
      <c r="BR22" s="243"/>
      <c r="BT22" s="143"/>
      <c r="BV22" s="146"/>
      <c r="BX22" s="243"/>
      <c r="BZ22" s="143"/>
      <c r="CB22" s="146"/>
      <c r="CD22" s="243"/>
      <c r="CF22" s="143"/>
      <c r="CH22" s="146"/>
      <c r="CJ22" s="243"/>
      <c r="CL22" s="143"/>
      <c r="CN22" s="146"/>
      <c r="CP22" s="243"/>
      <c r="CR22" s="143"/>
      <c r="CT22" s="146"/>
      <c r="CV22" s="243"/>
      <c r="CX22" s="143"/>
      <c r="CZ22" s="146"/>
      <c r="DB22" s="243"/>
      <c r="DD22" s="143"/>
      <c r="DF22" s="146"/>
      <c r="DH22" s="243"/>
      <c r="DJ22" s="143"/>
      <c r="DL22" s="146"/>
      <c r="DN22" s="243"/>
      <c r="DP22" s="143"/>
      <c r="DR22" s="146"/>
      <c r="DT22" s="243"/>
      <c r="DV22" s="143"/>
      <c r="DX22" s="146"/>
      <c r="DZ22" s="243"/>
      <c r="EB22" s="143"/>
      <c r="ED22" s="146"/>
      <c r="EF22" s="243"/>
      <c r="EH22" s="143"/>
      <c r="EJ22" s="146"/>
      <c r="EL22" s="243"/>
      <c r="EN22" s="143"/>
      <c r="EP22" s="146"/>
      <c r="ER22" s="243"/>
      <c r="ET22" s="143"/>
      <c r="EV22" s="146"/>
      <c r="EX22" s="243"/>
      <c r="EZ22" s="143"/>
      <c r="FB22" s="146"/>
      <c r="FD22" s="243"/>
      <c r="FF22" s="143"/>
      <c r="FH22" s="146"/>
      <c r="FJ22" s="243"/>
      <c r="FL22" s="143"/>
      <c r="FN22" s="146"/>
      <c r="FP22" s="243"/>
      <c r="FR22" s="143"/>
      <c r="FT22" s="146"/>
      <c r="FV22" s="243"/>
      <c r="FX22" s="143"/>
      <c r="FZ22" s="146"/>
      <c r="GB22" s="198"/>
      <c r="GD22" s="143"/>
      <c r="GF22" s="146"/>
      <c r="GH22" s="198"/>
      <c r="GJ22" s="143"/>
      <c r="GL22" s="146"/>
      <c r="GN22" s="198"/>
      <c r="GP22" s="143"/>
      <c r="GR22" s="146"/>
      <c r="GT22" s="198"/>
      <c r="GV22" s="143"/>
      <c r="GX22" s="146"/>
      <c r="GZ22" s="198"/>
      <c r="HB22" s="143"/>
      <c r="HD22" s="146"/>
      <c r="HF22" s="198"/>
      <c r="HH22" s="143"/>
      <c r="HJ22" s="146"/>
      <c r="HL22" s="198"/>
      <c r="HN22" s="143"/>
      <c r="HP22" s="146"/>
      <c r="HR22" s="198"/>
      <c r="HT22" s="143"/>
      <c r="HV22" s="146"/>
      <c r="HX22" s="198"/>
      <c r="HZ22" s="143"/>
      <c r="IB22" s="146"/>
      <c r="ID22" s="198"/>
    </row>
    <row r="23" spans="1:238" ht="13.15" x14ac:dyDescent="0.4">
      <c r="D23" s="146"/>
      <c r="F23" s="143"/>
      <c r="G23" s="143"/>
      <c r="H23" s="146"/>
      <c r="I23" s="143"/>
      <c r="J23" s="146"/>
      <c r="K23" s="143"/>
      <c r="L23" s="143"/>
      <c r="M23" s="143"/>
      <c r="N23" s="146"/>
      <c r="P23" s="243"/>
      <c r="Q23" s="143"/>
      <c r="R23" s="143"/>
      <c r="T23" s="112"/>
      <c r="V23" s="242"/>
      <c r="X23" s="143"/>
      <c r="Z23" s="146"/>
      <c r="AB23" s="243"/>
      <c r="AD23" s="143"/>
      <c r="AF23" s="146"/>
      <c r="AH23" s="243"/>
      <c r="AJ23" s="143"/>
      <c r="AL23" s="146"/>
      <c r="AN23" s="243"/>
      <c r="AP23" s="143"/>
      <c r="AR23" s="146"/>
      <c r="AT23" s="243"/>
      <c r="AV23" s="143"/>
      <c r="AX23" s="146"/>
      <c r="AZ23" s="243"/>
      <c r="BB23" s="143"/>
      <c r="BD23" s="146"/>
      <c r="BF23" s="243"/>
      <c r="BH23" s="143"/>
      <c r="BJ23" s="146"/>
      <c r="BL23" s="243"/>
      <c r="BN23" s="143"/>
      <c r="BP23" s="146"/>
      <c r="BR23" s="243"/>
      <c r="BT23" s="143"/>
      <c r="BV23" s="146"/>
      <c r="BX23" s="243"/>
      <c r="BZ23" s="143"/>
      <c r="CB23" s="146"/>
      <c r="CD23" s="243"/>
      <c r="CF23" s="143"/>
      <c r="CH23" s="146"/>
      <c r="CJ23" s="243"/>
      <c r="CL23" s="143"/>
      <c r="CN23" s="146"/>
      <c r="CP23" s="243"/>
      <c r="CR23" s="143"/>
      <c r="CT23" s="146"/>
      <c r="CV23" s="243"/>
      <c r="CX23" s="143"/>
      <c r="CZ23" s="146"/>
      <c r="DB23" s="243"/>
      <c r="DD23" s="143"/>
      <c r="DF23" s="146"/>
      <c r="DH23" s="243"/>
      <c r="DJ23" s="143"/>
      <c r="DL23" s="146"/>
      <c r="DN23" s="243"/>
      <c r="DP23" s="143"/>
      <c r="DR23" s="146"/>
      <c r="DT23" s="243"/>
      <c r="DV23" s="143"/>
      <c r="DX23" s="146"/>
      <c r="DZ23" s="243"/>
      <c r="EB23" s="143"/>
      <c r="ED23" s="146"/>
      <c r="EF23" s="243"/>
      <c r="EH23" s="143"/>
      <c r="EJ23" s="146"/>
      <c r="EL23" s="243"/>
      <c r="EN23" s="143"/>
      <c r="EP23" s="146"/>
      <c r="ER23" s="243"/>
      <c r="ET23" s="143"/>
      <c r="EV23" s="146"/>
      <c r="EX23" s="243"/>
      <c r="EZ23" s="143"/>
      <c r="FB23" s="146"/>
      <c r="FD23" s="243"/>
      <c r="FF23" s="143"/>
      <c r="FH23" s="146"/>
      <c r="FJ23" s="243"/>
      <c r="FL23" s="143"/>
      <c r="FN23" s="146"/>
      <c r="FP23" s="243"/>
      <c r="FR23" s="143"/>
      <c r="FT23" s="146"/>
      <c r="FV23" s="243"/>
      <c r="FX23" s="143"/>
      <c r="FZ23" s="146"/>
      <c r="GB23" s="243"/>
      <c r="GD23" s="143"/>
      <c r="GF23" s="146"/>
      <c r="GH23" s="243"/>
      <c r="GJ23" s="143"/>
      <c r="GL23" s="146"/>
      <c r="GN23" s="243"/>
      <c r="GP23" s="143"/>
      <c r="GR23" s="146"/>
      <c r="GT23" s="243"/>
      <c r="GV23" s="143"/>
      <c r="GX23" s="146"/>
      <c r="GZ23" s="243"/>
      <c r="HB23" s="143"/>
      <c r="HD23" s="146"/>
      <c r="HF23" s="243"/>
      <c r="HH23" s="143"/>
      <c r="HJ23" s="146"/>
      <c r="HL23" s="243"/>
      <c r="HN23" s="143"/>
      <c r="HP23" s="146"/>
      <c r="HR23" s="243"/>
      <c r="HT23" s="143"/>
      <c r="HV23" s="146"/>
      <c r="HX23" s="243"/>
      <c r="HZ23" s="143"/>
      <c r="IB23" s="146"/>
      <c r="ID23" s="243"/>
    </row>
    <row r="24" spans="1:238" ht="13.15" x14ac:dyDescent="0.4">
      <c r="F24" s="143"/>
      <c r="G24" s="143"/>
      <c r="H24" s="146"/>
      <c r="I24" s="143"/>
      <c r="J24" s="146"/>
      <c r="K24" s="143"/>
      <c r="L24" s="143"/>
      <c r="M24" s="143"/>
      <c r="N24" s="146"/>
      <c r="P24" s="244"/>
      <c r="Q24" s="143"/>
      <c r="R24" s="143"/>
      <c r="T24" s="146"/>
      <c r="V24" s="244"/>
      <c r="X24" s="143"/>
      <c r="Z24" s="146"/>
      <c r="AB24" s="244"/>
      <c r="AD24" s="143"/>
      <c r="AF24" s="146"/>
      <c r="AH24" s="244"/>
      <c r="AJ24" s="143"/>
      <c r="AL24" s="146"/>
      <c r="AN24" s="244"/>
      <c r="AP24" s="143"/>
      <c r="AR24" s="146"/>
      <c r="AT24" s="244"/>
      <c r="AV24" s="143"/>
      <c r="AX24" s="146"/>
      <c r="AZ24" s="244"/>
      <c r="BB24" s="143"/>
      <c r="BD24" s="146"/>
      <c r="BF24" s="244"/>
      <c r="BH24" s="143"/>
      <c r="BJ24" s="146"/>
      <c r="BL24" s="244"/>
      <c r="BN24" s="143"/>
      <c r="BP24" s="146"/>
      <c r="BR24" s="244"/>
      <c r="BT24" s="143"/>
      <c r="BV24" s="146"/>
      <c r="BX24" s="244"/>
      <c r="BZ24" s="143"/>
      <c r="CB24" s="146"/>
      <c r="CD24" s="244"/>
      <c r="CF24" s="143"/>
      <c r="CH24" s="146"/>
      <c r="CJ24" s="244"/>
      <c r="CL24" s="143"/>
      <c r="CN24" s="146"/>
      <c r="CP24" s="244"/>
      <c r="CR24" s="143"/>
      <c r="CT24" s="146"/>
      <c r="CV24" s="244"/>
      <c r="CX24" s="143"/>
      <c r="CZ24" s="146"/>
      <c r="DB24" s="244"/>
      <c r="DD24" s="143"/>
      <c r="DF24" s="146"/>
      <c r="DH24" s="244"/>
      <c r="DJ24" s="143"/>
      <c r="DL24" s="146"/>
      <c r="DN24" s="244"/>
      <c r="DP24" s="143"/>
      <c r="DR24" s="146"/>
      <c r="DT24" s="244"/>
      <c r="DV24" s="143"/>
      <c r="DX24" s="146"/>
      <c r="DZ24" s="244"/>
      <c r="EB24" s="143"/>
      <c r="ED24" s="146"/>
      <c r="EF24" s="244"/>
      <c r="EH24" s="143"/>
      <c r="EJ24" s="146"/>
      <c r="EL24" s="244"/>
      <c r="EN24" s="143"/>
      <c r="EP24" s="146"/>
      <c r="ER24" s="244"/>
      <c r="ET24" s="143"/>
      <c r="EV24" s="146"/>
      <c r="EX24" s="244"/>
      <c r="EZ24" s="143"/>
      <c r="FB24" s="146"/>
      <c r="FD24" s="244"/>
      <c r="FF24" s="143"/>
      <c r="FH24" s="146"/>
      <c r="FJ24" s="244"/>
      <c r="FL24" s="143"/>
      <c r="FN24" s="146"/>
      <c r="FP24" s="244"/>
      <c r="FR24" s="143"/>
      <c r="FT24" s="146"/>
      <c r="FV24" s="244"/>
      <c r="FX24" s="143"/>
      <c r="FZ24" s="146"/>
      <c r="GD24" s="143"/>
      <c r="GF24" s="146"/>
      <c r="GJ24" s="143"/>
      <c r="GL24" s="146"/>
      <c r="GP24" s="143"/>
      <c r="GR24" s="146"/>
      <c r="GU24" s="189"/>
      <c r="GV24" s="198"/>
      <c r="GW24" s="189"/>
      <c r="GX24" s="147"/>
      <c r="GY24" s="189"/>
      <c r="HA24" s="189"/>
      <c r="HB24" s="198"/>
      <c r="HC24" s="189"/>
      <c r="HD24" s="147"/>
      <c r="HE24" s="189"/>
      <c r="HG24" s="189"/>
      <c r="HH24" s="198"/>
      <c r="HI24" s="189"/>
      <c r="HJ24" s="147"/>
      <c r="HK24" s="189"/>
      <c r="HN24" s="198"/>
      <c r="HO24" s="189"/>
      <c r="HP24" s="147"/>
      <c r="HQ24" s="189"/>
      <c r="HT24" s="198"/>
      <c r="HU24" s="189"/>
      <c r="HV24" s="147"/>
      <c r="HW24" s="189"/>
      <c r="HZ24" s="198"/>
      <c r="IA24" s="189"/>
      <c r="IB24" s="147"/>
      <c r="IC24" s="189"/>
    </row>
    <row r="25" spans="1:238" x14ac:dyDescent="0.35">
      <c r="A25" s="140"/>
      <c r="F25" s="143"/>
      <c r="G25" s="143"/>
      <c r="H25" s="143"/>
      <c r="I25" s="143"/>
      <c r="J25" s="143"/>
      <c r="K25" s="143"/>
      <c r="L25" s="143"/>
      <c r="M25" s="143"/>
      <c r="N25" s="143"/>
      <c r="Q25" s="143"/>
      <c r="R25" s="143"/>
      <c r="X25" s="143"/>
      <c r="AD25" s="143"/>
      <c r="AJ25" s="143"/>
      <c r="AP25" s="143"/>
      <c r="AV25" s="143"/>
      <c r="BB25" s="143"/>
      <c r="BH25" s="143"/>
      <c r="BN25" s="143"/>
      <c r="BT25" s="143"/>
      <c r="BZ25" s="143"/>
      <c r="CF25" s="143"/>
      <c r="CL25" s="143"/>
      <c r="CR25" s="143"/>
      <c r="CX25" s="143"/>
      <c r="DD25" s="143"/>
      <c r="DJ25" s="143"/>
      <c r="DP25" s="143"/>
      <c r="DV25" s="143"/>
      <c r="EB25" s="143"/>
      <c r="EH25" s="143"/>
      <c r="EN25" s="143"/>
      <c r="ET25" s="143"/>
      <c r="EZ25" s="143"/>
      <c r="FF25" s="143"/>
      <c r="FL25" s="143"/>
      <c r="FR25" s="143"/>
      <c r="FX25" s="143"/>
      <c r="GD25" s="143"/>
      <c r="GJ25" s="143"/>
      <c r="GP25" s="143"/>
      <c r="GV25" s="143"/>
      <c r="HB25" s="143"/>
      <c r="HH25" s="143"/>
      <c r="HN25" s="143"/>
      <c r="HT25" s="143"/>
      <c r="HZ25" s="143"/>
    </row>
    <row r="26" spans="1:238" x14ac:dyDescent="0.35">
      <c r="C26" s="245"/>
      <c r="F26" s="143"/>
      <c r="G26" s="143"/>
      <c r="H26" s="143"/>
      <c r="I26" s="143"/>
      <c r="J26" s="143"/>
      <c r="K26" s="143"/>
      <c r="L26" s="241"/>
      <c r="M26" s="143"/>
      <c r="N26" s="143"/>
      <c r="P26" s="241"/>
      <c r="Q26" s="143"/>
      <c r="R26" s="241"/>
      <c r="T26" s="241"/>
      <c r="V26" s="241"/>
      <c r="X26" s="241"/>
      <c r="Z26" s="241"/>
      <c r="AB26" s="241"/>
      <c r="AD26" s="241"/>
      <c r="AF26" s="241"/>
      <c r="AH26" s="241"/>
      <c r="AJ26" s="241"/>
      <c r="AL26" s="241"/>
      <c r="AN26" s="241"/>
      <c r="AP26" s="241"/>
      <c r="AR26" s="241"/>
      <c r="AT26" s="241"/>
      <c r="AV26" s="241"/>
      <c r="AX26" s="241"/>
      <c r="AZ26" s="241"/>
      <c r="BB26" s="241"/>
      <c r="BD26" s="241"/>
      <c r="BF26" s="241"/>
      <c r="BH26" s="241"/>
      <c r="BJ26" s="241"/>
      <c r="BL26" s="241"/>
      <c r="BN26" s="241"/>
      <c r="BP26" s="241"/>
      <c r="BR26" s="241"/>
      <c r="BT26" s="241"/>
      <c r="BV26" s="241"/>
      <c r="BX26" s="241"/>
      <c r="BZ26" s="241"/>
      <c r="CB26" s="241"/>
      <c r="CD26" s="241"/>
      <c r="CF26" s="241"/>
      <c r="CH26" s="241"/>
      <c r="CJ26" s="241"/>
      <c r="CL26" s="241"/>
      <c r="CN26" s="241"/>
      <c r="CP26" s="241"/>
      <c r="CR26" s="241"/>
      <c r="CT26" s="241"/>
      <c r="CV26" s="241"/>
      <c r="CX26" s="241"/>
      <c r="CZ26" s="241"/>
      <c r="DB26" s="241"/>
      <c r="DD26" s="241"/>
      <c r="DF26" s="241"/>
      <c r="DH26" s="241"/>
      <c r="DJ26" s="241"/>
      <c r="DL26" s="241"/>
      <c r="DN26" s="241"/>
      <c r="DP26" s="241"/>
      <c r="DR26" s="241"/>
      <c r="DT26" s="241"/>
      <c r="DV26" s="241"/>
      <c r="DX26" s="241"/>
      <c r="DZ26" s="241"/>
      <c r="EB26" s="241"/>
      <c r="ED26" s="241"/>
      <c r="EF26" s="241"/>
      <c r="EH26" s="241"/>
      <c r="EJ26" s="241"/>
      <c r="EL26" s="241"/>
      <c r="EN26" s="241"/>
      <c r="EP26" s="241"/>
      <c r="ER26" s="241"/>
      <c r="ET26" s="241"/>
      <c r="EV26" s="241"/>
      <c r="EX26" s="241"/>
      <c r="EZ26" s="241"/>
      <c r="FB26" s="241"/>
      <c r="FD26" s="241"/>
      <c r="FF26" s="241"/>
      <c r="FH26" s="241"/>
      <c r="FJ26" s="241"/>
      <c r="FL26" s="241"/>
      <c r="FN26" s="241"/>
      <c r="FP26" s="241"/>
      <c r="FR26" s="241"/>
      <c r="FT26" s="241"/>
      <c r="FV26" s="241"/>
      <c r="FX26" s="241"/>
      <c r="FZ26" s="241"/>
      <c r="GB26" s="241"/>
      <c r="GD26" s="241"/>
      <c r="GF26" s="241"/>
      <c r="GH26" s="241"/>
      <c r="GJ26" s="241"/>
      <c r="GL26" s="241"/>
      <c r="GN26" s="241"/>
      <c r="GP26" s="241"/>
      <c r="GR26" s="241"/>
      <c r="GT26" s="241"/>
      <c r="GV26" s="241"/>
      <c r="GX26" s="241"/>
      <c r="GZ26" s="241"/>
      <c r="HB26" s="241"/>
      <c r="HD26" s="241"/>
      <c r="HF26" s="241"/>
      <c r="HH26" s="241"/>
      <c r="HJ26" s="241"/>
      <c r="HL26" s="241"/>
      <c r="HN26" s="241"/>
      <c r="HP26" s="241"/>
      <c r="HR26" s="241"/>
      <c r="HT26" s="241"/>
      <c r="HV26" s="241"/>
      <c r="HX26" s="241"/>
      <c r="HZ26" s="241"/>
      <c r="IB26" s="241"/>
      <c r="ID26" s="241"/>
    </row>
    <row r="27" spans="1:238" x14ac:dyDescent="0.35">
      <c r="C27" s="246"/>
      <c r="F27" s="143"/>
      <c r="G27" s="143"/>
      <c r="H27" s="143"/>
      <c r="I27" s="143"/>
      <c r="J27" s="143"/>
      <c r="K27" s="143"/>
      <c r="L27" s="247"/>
      <c r="M27" s="143"/>
      <c r="N27" s="143"/>
      <c r="P27" s="247"/>
      <c r="Q27" s="143"/>
      <c r="R27" s="247"/>
      <c r="T27" s="247"/>
      <c r="V27" s="247"/>
      <c r="X27" s="247"/>
      <c r="Z27" s="247"/>
      <c r="AB27" s="247"/>
      <c r="AD27" s="247"/>
      <c r="AF27" s="247"/>
      <c r="AH27" s="247"/>
      <c r="AJ27" s="247"/>
      <c r="AL27" s="247"/>
      <c r="AN27" s="247"/>
      <c r="AP27" s="247"/>
      <c r="AR27" s="247"/>
      <c r="AT27" s="247"/>
      <c r="AV27" s="247"/>
      <c r="AX27" s="247"/>
      <c r="AZ27" s="247"/>
      <c r="BB27" s="247"/>
      <c r="BD27" s="247"/>
      <c r="BF27" s="247"/>
      <c r="BH27" s="247"/>
      <c r="BJ27" s="247"/>
      <c r="BL27" s="247"/>
      <c r="BN27" s="247"/>
      <c r="BP27" s="247"/>
      <c r="BR27" s="247"/>
      <c r="BT27" s="247"/>
      <c r="BV27" s="247"/>
      <c r="BX27" s="247"/>
      <c r="BZ27" s="247"/>
      <c r="CB27" s="247"/>
      <c r="CD27" s="247"/>
      <c r="CF27" s="247"/>
      <c r="CH27" s="247"/>
      <c r="CJ27" s="247"/>
      <c r="CL27" s="247"/>
      <c r="CN27" s="247"/>
      <c r="CP27" s="247"/>
      <c r="CR27" s="247"/>
      <c r="CT27" s="247"/>
      <c r="CV27" s="247"/>
      <c r="CX27" s="247"/>
      <c r="CZ27" s="247"/>
      <c r="DB27" s="247"/>
      <c r="DD27" s="247"/>
      <c r="DF27" s="247"/>
      <c r="DH27" s="247"/>
      <c r="DJ27" s="247"/>
      <c r="DL27" s="247"/>
      <c r="DN27" s="247"/>
      <c r="DP27" s="247"/>
      <c r="DR27" s="247"/>
      <c r="DT27" s="247"/>
      <c r="DV27" s="247"/>
      <c r="DX27" s="247"/>
      <c r="DZ27" s="247"/>
      <c r="EB27" s="247"/>
      <c r="ED27" s="247"/>
      <c r="EF27" s="247"/>
      <c r="EH27" s="247"/>
      <c r="EJ27" s="247"/>
      <c r="EL27" s="247"/>
      <c r="EN27" s="247"/>
      <c r="EP27" s="247"/>
      <c r="ER27" s="247"/>
      <c r="ET27" s="247"/>
      <c r="EV27" s="247"/>
      <c r="EX27" s="247"/>
      <c r="EZ27" s="247"/>
      <c r="FB27" s="247"/>
      <c r="FD27" s="247"/>
      <c r="FF27" s="247"/>
      <c r="FH27" s="247"/>
      <c r="FJ27" s="247"/>
      <c r="FL27" s="247"/>
      <c r="FN27" s="247"/>
      <c r="FP27" s="247"/>
      <c r="FR27" s="247"/>
      <c r="FT27" s="247"/>
      <c r="FV27" s="247"/>
      <c r="FX27" s="247"/>
      <c r="FZ27" s="247"/>
      <c r="GB27" s="247"/>
      <c r="GD27" s="247"/>
      <c r="GF27" s="247"/>
      <c r="GH27" s="247"/>
      <c r="GJ27" s="247"/>
      <c r="GL27" s="247"/>
      <c r="GN27" s="247"/>
      <c r="GP27" s="247"/>
      <c r="GR27" s="247"/>
      <c r="GT27" s="247"/>
      <c r="GV27" s="247"/>
      <c r="GX27" s="247"/>
      <c r="GZ27" s="247"/>
      <c r="HB27" s="247"/>
      <c r="HD27" s="247"/>
      <c r="HF27" s="247"/>
      <c r="HH27" s="247"/>
      <c r="HJ27" s="247"/>
      <c r="HL27" s="247"/>
      <c r="HN27" s="247"/>
      <c r="HP27" s="247"/>
      <c r="HR27" s="247"/>
      <c r="HT27" s="247"/>
      <c r="HV27" s="247"/>
      <c r="HX27" s="247"/>
      <c r="HZ27" s="247"/>
      <c r="IB27" s="247"/>
      <c r="ID27" s="247"/>
    </row>
    <row r="28" spans="1:238" x14ac:dyDescent="0.35">
      <c r="A28" s="140"/>
      <c r="C28" s="235"/>
      <c r="F28" s="143"/>
      <c r="G28" s="143"/>
      <c r="H28" s="143"/>
      <c r="I28" s="143"/>
      <c r="J28" s="143"/>
      <c r="K28" s="143"/>
      <c r="L28" s="143"/>
      <c r="M28" s="143"/>
      <c r="N28" s="143"/>
      <c r="P28" s="241"/>
      <c r="Q28" s="143"/>
      <c r="R28" s="241"/>
      <c r="T28" s="241"/>
      <c r="V28" s="241"/>
      <c r="X28" s="241"/>
      <c r="Z28" s="241"/>
      <c r="AB28" s="241"/>
      <c r="AD28" s="241"/>
      <c r="AF28" s="241"/>
      <c r="AJ28" s="241"/>
      <c r="AL28" s="241"/>
      <c r="AP28" s="241"/>
      <c r="AR28" s="241"/>
      <c r="AV28" s="241"/>
      <c r="AX28" s="241"/>
      <c r="BB28" s="241"/>
      <c r="BD28" s="241"/>
      <c r="BH28" s="241"/>
      <c r="BJ28" s="241"/>
      <c r="BN28" s="241"/>
      <c r="BP28" s="241"/>
      <c r="BT28" s="241"/>
      <c r="BV28" s="241"/>
      <c r="BZ28" s="241"/>
      <c r="CB28" s="241"/>
      <c r="CF28" s="241"/>
      <c r="CH28" s="241"/>
      <c r="CL28" s="241"/>
      <c r="CN28" s="241"/>
      <c r="CR28" s="241"/>
      <c r="CT28" s="241"/>
      <c r="CX28" s="241"/>
      <c r="CZ28" s="241"/>
      <c r="DD28" s="241"/>
      <c r="DF28" s="241"/>
      <c r="DJ28" s="241"/>
      <c r="DL28" s="241"/>
      <c r="DP28" s="241"/>
      <c r="DR28" s="241"/>
      <c r="DV28" s="241"/>
      <c r="DX28" s="241"/>
      <c r="EB28" s="241"/>
      <c r="ED28" s="241"/>
      <c r="EH28" s="241"/>
      <c r="EJ28" s="241"/>
      <c r="EN28" s="241"/>
      <c r="EP28" s="241"/>
      <c r="ET28" s="241"/>
      <c r="EV28" s="241"/>
      <c r="EZ28" s="241"/>
      <c r="FB28" s="241"/>
      <c r="FF28" s="241"/>
      <c r="FH28" s="241"/>
      <c r="FL28" s="248"/>
      <c r="FM28" s="248"/>
      <c r="FN28" s="248"/>
      <c r="FO28" s="248"/>
      <c r="FP28" s="248"/>
      <c r="FQ28" s="248"/>
      <c r="FR28" s="248"/>
      <c r="FS28" s="248"/>
      <c r="FT28" s="248"/>
      <c r="FU28" s="248"/>
      <c r="FV28" s="248"/>
      <c r="FW28" s="248"/>
      <c r="FX28" s="241"/>
      <c r="FY28" s="241"/>
      <c r="FZ28" s="241"/>
      <c r="GA28" s="241"/>
      <c r="GB28" s="241"/>
      <c r="GC28" s="241"/>
      <c r="GD28" s="241"/>
      <c r="GE28" s="241"/>
      <c r="GF28" s="241"/>
      <c r="GG28" s="241"/>
      <c r="GH28" s="241"/>
      <c r="GI28" s="241"/>
      <c r="GJ28" s="241"/>
      <c r="GK28" s="241"/>
      <c r="GL28" s="241"/>
      <c r="GM28" s="241"/>
      <c r="GN28" s="241"/>
      <c r="GO28" s="241"/>
      <c r="GP28" s="241"/>
      <c r="GQ28" s="241"/>
      <c r="GR28" s="241"/>
      <c r="GS28" s="241"/>
      <c r="GT28" s="241"/>
      <c r="GV28" s="241"/>
      <c r="GX28" s="241"/>
      <c r="GZ28" s="241"/>
      <c r="HB28" s="241"/>
      <c r="HD28" s="241"/>
      <c r="HF28" s="241"/>
      <c r="HH28" s="241"/>
      <c r="HJ28" s="241"/>
      <c r="HL28" s="241"/>
      <c r="HN28" s="241"/>
      <c r="HP28" s="241"/>
      <c r="HR28" s="241"/>
      <c r="HT28" s="241"/>
      <c r="HV28" s="241"/>
      <c r="HX28" s="241"/>
      <c r="HZ28" s="241"/>
      <c r="IB28" s="241"/>
      <c r="ID28" s="241"/>
    </row>
    <row r="29" spans="1:238" s="249" customFormat="1" ht="13.6" customHeight="1" x14ac:dyDescent="0.3">
      <c r="C29" s="208"/>
      <c r="F29" s="250"/>
      <c r="G29" s="250"/>
      <c r="H29" s="250"/>
      <c r="I29" s="250"/>
      <c r="J29" s="250"/>
      <c r="K29" s="250"/>
      <c r="L29" s="250"/>
      <c r="M29" s="250"/>
      <c r="N29" s="250"/>
      <c r="Q29" s="251"/>
      <c r="R29" s="250"/>
      <c r="X29" s="250"/>
      <c r="AD29" s="250"/>
      <c r="AJ29" s="250"/>
      <c r="AP29" s="250"/>
      <c r="AV29" s="250"/>
      <c r="BB29" s="250"/>
      <c r="BH29" s="250"/>
      <c r="BN29" s="250"/>
      <c r="BT29" s="250"/>
      <c r="BZ29" s="250"/>
      <c r="CF29" s="250"/>
      <c r="CL29" s="250"/>
      <c r="CR29" s="250"/>
      <c r="CX29" s="250"/>
      <c r="DD29" s="250"/>
      <c r="DJ29" s="250"/>
      <c r="DP29" s="250"/>
      <c r="DV29" s="250"/>
      <c r="EB29" s="250"/>
      <c r="EH29" s="250"/>
      <c r="EN29" s="250"/>
      <c r="ET29" s="250"/>
      <c r="EZ29" s="250"/>
      <c r="FF29" s="252"/>
      <c r="FH29" s="252"/>
      <c r="FL29" s="253"/>
      <c r="FM29" s="253"/>
      <c r="FN29" s="253"/>
      <c r="FO29" s="253"/>
      <c r="FP29" s="253"/>
      <c r="FQ29" s="253"/>
      <c r="FR29" s="253"/>
      <c r="FS29" s="253"/>
      <c r="FT29" s="253"/>
      <c r="FU29" s="253"/>
      <c r="FV29" s="253"/>
      <c r="FW29" s="253"/>
      <c r="FX29" s="253"/>
      <c r="FY29" s="253"/>
      <c r="FZ29" s="253"/>
      <c r="GA29" s="253"/>
      <c r="GB29" s="253"/>
      <c r="GC29" s="253"/>
      <c r="GD29" s="253"/>
      <c r="GE29" s="253"/>
      <c r="GF29" s="253"/>
      <c r="GG29" s="253"/>
      <c r="GH29" s="253"/>
      <c r="GI29" s="253"/>
      <c r="GJ29" s="253"/>
      <c r="GK29" s="253"/>
      <c r="GL29" s="253"/>
      <c r="GM29" s="253"/>
      <c r="GN29" s="253"/>
      <c r="GP29" s="253"/>
      <c r="GQ29" s="253"/>
      <c r="GR29" s="253"/>
      <c r="GS29" s="253"/>
      <c r="GT29" s="253"/>
      <c r="GV29" s="252"/>
      <c r="GX29" s="252"/>
      <c r="GZ29" s="252"/>
      <c r="HB29" s="252"/>
      <c r="HD29" s="252"/>
      <c r="HF29" s="252"/>
      <c r="HH29" s="252"/>
      <c r="HJ29" s="252"/>
      <c r="HL29" s="252"/>
      <c r="HN29" s="252"/>
      <c r="HP29" s="252"/>
      <c r="HR29" s="252"/>
      <c r="HT29" s="252"/>
      <c r="HV29" s="252"/>
      <c r="HX29" s="252"/>
      <c r="HZ29" s="252"/>
      <c r="IB29" s="252"/>
      <c r="ID29" s="252"/>
    </row>
    <row r="30" spans="1:238" s="249" customFormat="1" ht="13.6" customHeight="1" x14ac:dyDescent="0.3">
      <c r="C30" s="208"/>
      <c r="F30" s="250"/>
      <c r="G30" s="250"/>
      <c r="H30" s="250"/>
      <c r="I30" s="250"/>
      <c r="J30" s="250"/>
      <c r="K30" s="250"/>
      <c r="L30" s="250"/>
      <c r="M30" s="250"/>
      <c r="N30" s="250"/>
      <c r="Q30" s="251"/>
      <c r="R30" s="250"/>
      <c r="X30" s="250"/>
      <c r="AD30" s="250"/>
      <c r="AJ30" s="250"/>
      <c r="AP30" s="250"/>
      <c r="AV30" s="250"/>
      <c r="BB30" s="250"/>
      <c r="BH30" s="250"/>
      <c r="BN30" s="250"/>
      <c r="BT30" s="250"/>
      <c r="BZ30" s="250"/>
      <c r="CF30" s="250"/>
      <c r="CL30" s="250"/>
      <c r="CR30" s="250"/>
      <c r="CX30" s="250"/>
      <c r="DD30" s="250"/>
      <c r="DJ30" s="250"/>
      <c r="DP30" s="250"/>
      <c r="DV30" s="250"/>
      <c r="EB30" s="250"/>
      <c r="EH30" s="250"/>
      <c r="EN30" s="250"/>
      <c r="ET30" s="250"/>
      <c r="EZ30" s="250"/>
      <c r="FF30" s="252"/>
      <c r="FH30" s="252"/>
      <c r="FL30" s="253"/>
      <c r="FM30" s="253"/>
      <c r="FN30" s="253"/>
      <c r="FO30" s="253"/>
      <c r="FP30" s="253"/>
      <c r="FQ30" s="253"/>
      <c r="FR30" s="253"/>
      <c r="FS30" s="253"/>
      <c r="FT30" s="253"/>
      <c r="FU30" s="253"/>
      <c r="FV30" s="253"/>
      <c r="FW30" s="253"/>
      <c r="FX30" s="253"/>
      <c r="FY30" s="253"/>
      <c r="FZ30" s="253"/>
      <c r="GA30" s="253"/>
      <c r="GB30" s="253"/>
      <c r="GC30" s="253"/>
      <c r="GD30" s="253"/>
      <c r="GE30" s="253"/>
      <c r="GF30" s="253"/>
      <c r="GG30" s="253"/>
      <c r="GH30" s="253"/>
      <c r="GI30" s="253"/>
      <c r="GJ30" s="253"/>
      <c r="GK30" s="253"/>
      <c r="GL30" s="253"/>
      <c r="GM30" s="253"/>
      <c r="GN30" s="253"/>
      <c r="GP30" s="253"/>
      <c r="GQ30" s="253"/>
      <c r="GR30" s="253"/>
      <c r="GS30" s="253"/>
      <c r="GT30" s="253"/>
      <c r="GV30" s="252"/>
      <c r="GX30" s="252"/>
      <c r="GZ30" s="252"/>
      <c r="HB30" s="252"/>
      <c r="HD30" s="252"/>
      <c r="HF30" s="252"/>
      <c r="HH30" s="252"/>
      <c r="HJ30" s="252"/>
      <c r="HL30" s="252"/>
      <c r="HN30" s="252"/>
      <c r="HP30" s="252"/>
      <c r="HR30" s="252"/>
      <c r="HT30" s="252"/>
      <c r="HV30" s="252"/>
      <c r="HX30" s="252"/>
      <c r="HZ30" s="252"/>
      <c r="IB30" s="252"/>
      <c r="ID30" s="252"/>
    </row>
    <row r="31" spans="1:238" s="249" customFormat="1" ht="13.6" customHeight="1" x14ac:dyDescent="0.35">
      <c r="A31" s="189"/>
      <c r="C31" s="208"/>
      <c r="F31" s="250"/>
      <c r="G31" s="250"/>
      <c r="H31" s="250"/>
      <c r="I31" s="250"/>
      <c r="J31" s="250"/>
      <c r="K31" s="250"/>
      <c r="L31" s="250"/>
      <c r="M31" s="250"/>
      <c r="N31" s="250"/>
      <c r="Q31" s="251"/>
      <c r="R31" s="250"/>
      <c r="X31" s="250"/>
      <c r="AD31" s="250"/>
      <c r="AJ31" s="250"/>
      <c r="AP31" s="250"/>
      <c r="AV31" s="250"/>
      <c r="BB31" s="250"/>
      <c r="BH31" s="250"/>
      <c r="BN31" s="250"/>
      <c r="BT31" s="250"/>
      <c r="BZ31" s="250"/>
      <c r="CF31" s="250"/>
      <c r="CL31" s="250"/>
      <c r="CR31" s="250"/>
      <c r="CX31" s="250"/>
      <c r="DD31" s="250"/>
      <c r="DJ31" s="250"/>
      <c r="DP31" s="250"/>
      <c r="DV31" s="250"/>
      <c r="EB31" s="250"/>
      <c r="EH31" s="250"/>
      <c r="EN31" s="250"/>
      <c r="ET31" s="250"/>
      <c r="EZ31" s="250"/>
      <c r="FF31" s="252"/>
      <c r="FH31" s="252"/>
      <c r="FL31" s="253"/>
      <c r="FM31" s="253"/>
      <c r="FN31" s="253"/>
      <c r="FO31" s="253"/>
      <c r="FP31" s="253"/>
      <c r="FQ31" s="253"/>
      <c r="FR31" s="253"/>
      <c r="FS31" s="253"/>
      <c r="FT31" s="253"/>
      <c r="FU31" s="253"/>
      <c r="FV31" s="253"/>
      <c r="FW31" s="253"/>
      <c r="FX31" s="253"/>
      <c r="FY31" s="253"/>
      <c r="FZ31" s="253"/>
      <c r="GA31" s="253"/>
      <c r="GB31" s="253"/>
      <c r="GC31" s="253"/>
      <c r="GD31" s="253"/>
      <c r="GE31" s="253"/>
      <c r="GF31" s="253"/>
      <c r="GG31" s="253"/>
      <c r="GH31" s="253"/>
      <c r="GI31" s="253"/>
      <c r="GJ31" s="253"/>
      <c r="GK31" s="253"/>
      <c r="GL31" s="253"/>
      <c r="GM31" s="253"/>
      <c r="GN31" s="253"/>
      <c r="GP31" s="253"/>
      <c r="GQ31" s="253"/>
      <c r="GR31" s="253"/>
      <c r="GS31" s="253"/>
      <c r="GT31" s="253"/>
      <c r="GV31" s="252"/>
      <c r="GX31" s="252"/>
      <c r="GZ31" s="252"/>
      <c r="HB31" s="252"/>
      <c r="HD31" s="252"/>
      <c r="HF31" s="252"/>
      <c r="HH31" s="252"/>
      <c r="HJ31" s="252"/>
      <c r="HL31" s="252"/>
      <c r="HN31" s="252"/>
      <c r="HP31" s="252"/>
      <c r="HR31" s="252"/>
      <c r="HT31" s="252"/>
      <c r="HV31" s="252"/>
      <c r="HX31" s="252"/>
      <c r="HZ31" s="252"/>
      <c r="IB31" s="252"/>
      <c r="ID31" s="252"/>
    </row>
    <row r="32" spans="1:238" hidden="1" x14ac:dyDescent="0.35">
      <c r="B32" s="140"/>
      <c r="C32" s="140"/>
      <c r="F32" s="241"/>
      <c r="G32" s="241"/>
      <c r="H32" s="241"/>
      <c r="I32" s="241"/>
      <c r="J32" s="241"/>
      <c r="K32" s="241"/>
      <c r="L32" s="241"/>
      <c r="M32" s="241"/>
      <c r="N32" s="241"/>
      <c r="P32" s="241"/>
      <c r="Q32" s="241"/>
      <c r="R32" s="241"/>
      <c r="T32" s="241"/>
      <c r="V32" s="241"/>
      <c r="X32" s="241"/>
      <c r="Z32" s="241"/>
      <c r="AB32" s="241"/>
      <c r="AD32" s="241"/>
      <c r="AF32" s="241"/>
      <c r="AH32" s="241"/>
      <c r="AJ32" s="241"/>
      <c r="AL32" s="241"/>
      <c r="AN32" s="241"/>
      <c r="AP32" s="241"/>
      <c r="AR32" s="241"/>
      <c r="AT32" s="241"/>
      <c r="AV32" s="241"/>
      <c r="AX32" s="241"/>
      <c r="AZ32" s="241"/>
      <c r="BB32" s="241"/>
      <c r="BD32" s="241"/>
      <c r="BF32" s="241"/>
      <c r="BH32" s="241"/>
      <c r="BJ32" s="241"/>
      <c r="BL32" s="241"/>
      <c r="BN32" s="241"/>
      <c r="BP32" s="241"/>
      <c r="BR32" s="241"/>
      <c r="BT32" s="241"/>
      <c r="BV32" s="241"/>
      <c r="BX32" s="241"/>
      <c r="BZ32" s="241"/>
      <c r="CB32" s="241"/>
      <c r="CD32" s="241"/>
      <c r="CF32" s="241"/>
      <c r="CH32" s="241"/>
      <c r="CJ32" s="241"/>
      <c r="CL32" s="241"/>
      <c r="CN32" s="241"/>
      <c r="CP32" s="241"/>
      <c r="CR32" s="241"/>
      <c r="CT32" s="241"/>
      <c r="CV32" s="241"/>
      <c r="CX32" s="241"/>
      <c r="CZ32" s="241"/>
      <c r="DB32" s="241"/>
      <c r="DD32" s="241"/>
      <c r="DF32" s="241"/>
      <c r="DH32" s="241"/>
      <c r="DJ32" s="241"/>
      <c r="DL32" s="241"/>
      <c r="DN32" s="241"/>
      <c r="DP32" s="241"/>
      <c r="DR32" s="241"/>
      <c r="DT32" s="241"/>
      <c r="DV32" s="241"/>
      <c r="DX32" s="241"/>
      <c r="DZ32" s="241"/>
      <c r="EB32" s="241"/>
      <c r="ED32" s="241"/>
      <c r="EF32" s="241"/>
      <c r="EH32" s="241"/>
      <c r="EJ32" s="241"/>
      <c r="EL32" s="241"/>
      <c r="EN32" s="241"/>
      <c r="EP32" s="241"/>
      <c r="ER32" s="241"/>
      <c r="ET32" s="241"/>
      <c r="EV32" s="241"/>
      <c r="EX32" s="241"/>
      <c r="EZ32" s="241"/>
      <c r="FB32" s="241"/>
      <c r="FD32" s="241"/>
      <c r="FF32" s="241"/>
      <c r="FH32" s="241"/>
      <c r="FJ32" s="241"/>
      <c r="FL32" s="241"/>
      <c r="FN32" s="241"/>
      <c r="FP32" s="241"/>
      <c r="FR32" s="241"/>
      <c r="FT32" s="241"/>
      <c r="FV32" s="241"/>
      <c r="FX32" s="241"/>
      <c r="FZ32" s="241"/>
      <c r="GB32" s="241"/>
      <c r="GD32" s="241"/>
      <c r="GF32" s="241"/>
      <c r="GH32" s="241"/>
      <c r="GJ32" s="241"/>
      <c r="GL32" s="241"/>
      <c r="GN32" s="241"/>
      <c r="GP32" s="241"/>
      <c r="GR32" s="241"/>
      <c r="GT32" s="241"/>
      <c r="GV32" s="241"/>
      <c r="GX32" s="241"/>
      <c r="GZ32" s="241"/>
      <c r="HB32" s="241"/>
      <c r="HD32" s="241"/>
      <c r="HF32" s="241"/>
      <c r="HH32" s="241"/>
      <c r="HJ32" s="241"/>
      <c r="HL32" s="241"/>
      <c r="HN32" s="241"/>
      <c r="HP32" s="241"/>
      <c r="HR32" s="241"/>
      <c r="HT32" s="241"/>
      <c r="HV32" s="241"/>
      <c r="HX32" s="241"/>
      <c r="HZ32" s="241"/>
      <c r="IB32" s="241"/>
      <c r="ID32" s="241"/>
    </row>
    <row r="33" spans="1:238" x14ac:dyDescent="0.35">
      <c r="B33" s="189"/>
      <c r="C33" s="140"/>
      <c r="F33" s="143"/>
      <c r="G33" s="143"/>
      <c r="H33" s="143"/>
      <c r="I33" s="143"/>
      <c r="J33" s="143"/>
      <c r="K33" s="143"/>
      <c r="L33" s="143"/>
      <c r="M33" s="143"/>
      <c r="N33" s="143"/>
      <c r="P33" s="143"/>
      <c r="Q33" s="143"/>
      <c r="R33" s="143"/>
      <c r="T33" s="143"/>
      <c r="V33" s="143"/>
      <c r="X33" s="143"/>
      <c r="Z33" s="143"/>
      <c r="AB33" s="143"/>
      <c r="AD33" s="143"/>
      <c r="AF33" s="143"/>
      <c r="AH33" s="143"/>
      <c r="AJ33" s="143"/>
      <c r="AL33" s="143"/>
      <c r="AN33" s="143"/>
      <c r="AP33" s="143"/>
      <c r="AR33" s="143"/>
      <c r="AT33" s="143"/>
      <c r="AV33" s="143"/>
      <c r="AX33" s="143"/>
      <c r="AZ33" s="143"/>
      <c r="BB33" s="143"/>
      <c r="BD33" s="143"/>
      <c r="BF33" s="143"/>
      <c r="BH33" s="143"/>
      <c r="BJ33" s="143"/>
      <c r="BL33" s="143"/>
      <c r="BN33" s="143"/>
      <c r="BP33" s="143"/>
      <c r="BR33" s="143"/>
      <c r="BT33" s="143"/>
      <c r="BV33" s="143"/>
      <c r="BX33" s="143"/>
      <c r="BZ33" s="143"/>
      <c r="CB33" s="143"/>
      <c r="CD33" s="143"/>
      <c r="CF33" s="143"/>
      <c r="CH33" s="143"/>
      <c r="CJ33" s="143"/>
      <c r="CL33" s="143"/>
      <c r="CN33" s="143"/>
      <c r="CP33" s="143"/>
      <c r="CR33" s="143"/>
      <c r="CT33" s="143"/>
      <c r="CV33" s="143"/>
      <c r="CX33" s="143"/>
      <c r="CZ33" s="143"/>
      <c r="DB33" s="143"/>
      <c r="DD33" s="143"/>
      <c r="DF33" s="143"/>
      <c r="DH33" s="143"/>
      <c r="DJ33" s="143"/>
      <c r="DL33" s="143"/>
      <c r="DN33" s="143"/>
      <c r="DP33" s="143"/>
      <c r="DR33" s="143"/>
      <c r="DT33" s="143"/>
      <c r="DV33" s="143"/>
      <c r="DX33" s="143"/>
      <c r="DZ33" s="143"/>
      <c r="EB33" s="143"/>
      <c r="ED33" s="143"/>
      <c r="EF33" s="143"/>
      <c r="EH33" s="143"/>
      <c r="EJ33" s="143"/>
      <c r="EL33" s="143"/>
      <c r="EN33" s="143"/>
      <c r="EP33" s="143"/>
      <c r="ER33" s="143"/>
      <c r="ET33" s="143"/>
      <c r="EV33" s="143"/>
      <c r="EX33" s="143"/>
      <c r="EZ33" s="143"/>
      <c r="FB33" s="143"/>
      <c r="FD33" s="143"/>
      <c r="FF33" s="143"/>
      <c r="FH33" s="143"/>
      <c r="FJ33" s="143"/>
      <c r="FL33" s="143"/>
      <c r="FN33" s="143"/>
      <c r="FP33" s="143"/>
      <c r="FR33" s="143"/>
      <c r="FT33" s="143"/>
      <c r="FV33" s="143"/>
      <c r="FX33" s="143"/>
      <c r="FZ33" s="143"/>
      <c r="GB33" s="143"/>
      <c r="GD33" s="143"/>
      <c r="GF33" s="143"/>
      <c r="GH33" s="143"/>
      <c r="GJ33" s="143"/>
      <c r="GL33" s="143"/>
      <c r="GN33" s="143"/>
      <c r="GP33" s="143"/>
      <c r="GR33" s="143"/>
      <c r="GT33" s="143"/>
      <c r="GV33" s="143"/>
      <c r="GX33" s="143"/>
      <c r="GZ33" s="143"/>
      <c r="HB33" s="143"/>
      <c r="HD33" s="143"/>
      <c r="HF33" s="143"/>
      <c r="HH33" s="254"/>
      <c r="HJ33" s="254"/>
      <c r="HL33" s="254"/>
      <c r="HN33" s="254"/>
      <c r="HP33" s="254"/>
      <c r="HR33" s="254"/>
      <c r="HT33" s="254"/>
      <c r="HV33" s="254"/>
      <c r="HX33" s="254"/>
      <c r="HZ33" s="254"/>
      <c r="IB33" s="254"/>
      <c r="ID33" s="254"/>
    </row>
    <row r="34" spans="1:238" hidden="1" x14ac:dyDescent="0.35">
      <c r="C34" s="140"/>
      <c r="F34" s="143"/>
      <c r="G34" s="143"/>
      <c r="H34" s="143"/>
      <c r="I34" s="143"/>
      <c r="J34" s="143"/>
      <c r="K34" s="143"/>
      <c r="L34" s="143"/>
      <c r="M34" s="143"/>
      <c r="N34" s="143"/>
      <c r="P34" s="143"/>
      <c r="Q34" s="143"/>
      <c r="R34" s="143"/>
      <c r="T34" s="143"/>
      <c r="V34" s="143"/>
      <c r="X34" s="143"/>
      <c r="Z34" s="143"/>
      <c r="AB34" s="143"/>
      <c r="AD34" s="143"/>
      <c r="AF34" s="143"/>
      <c r="AH34" s="143"/>
      <c r="AJ34" s="143"/>
      <c r="AL34" s="143"/>
      <c r="AN34" s="143"/>
      <c r="AP34" s="143"/>
      <c r="AR34" s="143"/>
      <c r="AT34" s="143"/>
      <c r="AV34" s="143"/>
      <c r="AX34" s="143"/>
      <c r="AZ34" s="143"/>
      <c r="BB34" s="143"/>
      <c r="BD34" s="143"/>
      <c r="BF34" s="143"/>
      <c r="BH34" s="143"/>
      <c r="BJ34" s="143"/>
      <c r="BL34" s="143"/>
      <c r="BN34" s="143"/>
      <c r="BP34" s="143"/>
      <c r="BR34" s="143"/>
      <c r="BT34" s="143"/>
      <c r="BV34" s="143"/>
      <c r="BX34" s="143"/>
      <c r="BZ34" s="143"/>
      <c r="CB34" s="143"/>
      <c r="CD34" s="143"/>
      <c r="CF34" s="143"/>
      <c r="CH34" s="143"/>
      <c r="CJ34" s="143"/>
      <c r="CL34" s="143"/>
      <c r="CN34" s="143"/>
      <c r="CP34" s="143"/>
      <c r="CR34" s="143"/>
      <c r="CT34" s="143"/>
      <c r="CV34" s="143"/>
      <c r="CX34" s="143"/>
      <c r="CZ34" s="143"/>
      <c r="DB34" s="143"/>
      <c r="DD34" s="143"/>
      <c r="DF34" s="143"/>
      <c r="DH34" s="143"/>
      <c r="DJ34" s="143"/>
      <c r="DL34" s="143"/>
      <c r="DN34" s="143"/>
      <c r="DP34" s="143"/>
      <c r="DR34" s="143"/>
      <c r="DT34" s="143"/>
      <c r="DV34" s="143"/>
      <c r="DX34" s="143"/>
      <c r="DZ34" s="143"/>
      <c r="EB34" s="143"/>
      <c r="ED34" s="143"/>
      <c r="EF34" s="143"/>
      <c r="EH34" s="143"/>
      <c r="EJ34" s="143"/>
      <c r="EL34" s="143"/>
      <c r="EN34" s="143"/>
      <c r="EP34" s="143"/>
      <c r="ER34" s="143"/>
      <c r="ET34" s="143"/>
      <c r="EV34" s="143"/>
      <c r="EX34" s="143"/>
      <c r="EZ34" s="143"/>
      <c r="FB34" s="143"/>
      <c r="FD34" s="143"/>
      <c r="FF34" s="143"/>
      <c r="FH34" s="143"/>
      <c r="FJ34" s="143"/>
      <c r="FL34" s="143"/>
      <c r="FN34" s="143"/>
      <c r="FP34" s="143"/>
      <c r="FR34" s="143"/>
      <c r="FT34" s="143"/>
      <c r="FV34" s="143"/>
      <c r="FX34" s="143"/>
      <c r="FZ34" s="143"/>
      <c r="GB34" s="143"/>
      <c r="GD34" s="143"/>
      <c r="GF34" s="143"/>
      <c r="GH34" s="143"/>
      <c r="GJ34" s="143"/>
      <c r="GL34" s="143"/>
      <c r="GN34" s="143"/>
      <c r="GP34" s="143"/>
      <c r="GR34" s="143"/>
      <c r="GT34" s="143"/>
      <c r="GV34" s="143"/>
      <c r="GX34" s="143"/>
      <c r="GZ34" s="143"/>
      <c r="HB34" s="143"/>
      <c r="HD34" s="143"/>
      <c r="HF34" s="143"/>
      <c r="HH34" s="143"/>
      <c r="HJ34" s="143"/>
      <c r="HL34" s="143"/>
      <c r="HN34" s="143"/>
      <c r="HP34" s="143"/>
      <c r="HR34" s="143"/>
      <c r="HT34" s="143"/>
      <c r="HV34" s="143"/>
      <c r="HX34" s="143"/>
      <c r="HZ34" s="143"/>
      <c r="IB34" s="143"/>
      <c r="ID34" s="143"/>
    </row>
    <row r="35" spans="1:238" hidden="1" x14ac:dyDescent="0.35">
      <c r="C35" s="140"/>
      <c r="F35" s="144"/>
      <c r="G35" s="144"/>
      <c r="H35" s="144"/>
      <c r="I35" s="144"/>
      <c r="J35" s="144"/>
      <c r="K35" s="144"/>
      <c r="L35" s="144"/>
      <c r="M35" s="144"/>
      <c r="N35" s="144"/>
      <c r="P35" s="144"/>
      <c r="Q35" s="144"/>
      <c r="R35" s="144"/>
      <c r="T35" s="144"/>
      <c r="V35" s="144"/>
      <c r="X35" s="144"/>
      <c r="Z35" s="144"/>
      <c r="AB35" s="144"/>
      <c r="AD35" s="144"/>
      <c r="AF35" s="144"/>
      <c r="AH35" s="144"/>
      <c r="AJ35" s="144"/>
      <c r="AL35" s="144"/>
      <c r="AN35" s="144"/>
      <c r="AP35" s="144"/>
      <c r="AR35" s="144"/>
      <c r="AT35" s="144"/>
      <c r="AV35" s="144"/>
      <c r="AX35" s="144"/>
      <c r="AZ35" s="144"/>
      <c r="BB35" s="144"/>
      <c r="BD35" s="144"/>
      <c r="BF35" s="144"/>
      <c r="BH35" s="144"/>
      <c r="BJ35" s="144"/>
      <c r="BL35" s="144"/>
      <c r="BN35" s="144"/>
      <c r="BP35" s="144"/>
      <c r="BR35" s="144"/>
      <c r="BT35" s="144"/>
      <c r="BV35" s="144"/>
      <c r="BX35" s="144"/>
      <c r="BZ35" s="144"/>
      <c r="CB35" s="144"/>
      <c r="CD35" s="144"/>
      <c r="CF35" s="144"/>
      <c r="CH35" s="144"/>
      <c r="CJ35" s="144"/>
      <c r="CL35" s="144"/>
      <c r="CN35" s="144"/>
      <c r="CP35" s="144"/>
      <c r="CR35" s="144"/>
      <c r="CT35" s="144"/>
      <c r="CV35" s="144"/>
      <c r="CX35" s="144"/>
      <c r="CZ35" s="144"/>
      <c r="DB35" s="144"/>
      <c r="DD35" s="144"/>
      <c r="DF35" s="144"/>
      <c r="DH35" s="144"/>
      <c r="DJ35" s="144"/>
      <c r="DL35" s="144"/>
      <c r="DN35" s="144"/>
      <c r="DP35" s="144"/>
      <c r="DR35" s="144"/>
      <c r="DT35" s="144"/>
      <c r="DV35" s="144"/>
      <c r="DX35" s="144"/>
      <c r="DZ35" s="144"/>
      <c r="EB35" s="144"/>
      <c r="ED35" s="144"/>
      <c r="EF35" s="144"/>
      <c r="EH35" s="144"/>
      <c r="EJ35" s="144"/>
      <c r="EL35" s="144"/>
      <c r="EN35" s="144"/>
      <c r="EP35" s="144"/>
      <c r="ER35" s="144"/>
      <c r="ET35" s="144"/>
      <c r="EV35" s="144"/>
      <c r="EX35" s="144"/>
      <c r="EZ35" s="144"/>
      <c r="FB35" s="144"/>
      <c r="FD35" s="144"/>
      <c r="FF35" s="144"/>
      <c r="FH35" s="144"/>
      <c r="FJ35" s="144"/>
      <c r="FL35" s="144"/>
      <c r="FN35" s="144"/>
      <c r="FP35" s="144"/>
      <c r="FR35" s="144"/>
      <c r="FT35" s="144"/>
      <c r="FV35" s="144"/>
      <c r="FX35" s="144"/>
      <c r="FZ35" s="144"/>
      <c r="GB35" s="144"/>
      <c r="GD35" s="144"/>
      <c r="GF35" s="144"/>
      <c r="GH35" s="144"/>
      <c r="GJ35" s="144"/>
      <c r="GL35" s="144"/>
      <c r="GN35" s="144"/>
      <c r="GP35" s="144"/>
      <c r="GR35" s="144"/>
      <c r="GT35" s="144"/>
      <c r="GV35" s="144"/>
      <c r="GX35" s="144"/>
      <c r="GZ35" s="144"/>
      <c r="HB35" s="144"/>
      <c r="HD35" s="144"/>
      <c r="HF35" s="144"/>
      <c r="HH35" s="144"/>
      <c r="HJ35" s="144"/>
      <c r="HL35" s="144"/>
      <c r="HN35" s="144"/>
      <c r="HP35" s="144"/>
      <c r="HR35" s="144"/>
      <c r="HT35" s="144"/>
      <c r="HV35" s="144"/>
      <c r="HX35" s="144"/>
      <c r="HZ35" s="144"/>
      <c r="IB35" s="144"/>
      <c r="ID35" s="144"/>
    </row>
    <row r="36" spans="1:238" x14ac:dyDescent="0.35">
      <c r="C36" s="147"/>
      <c r="F36" s="143"/>
      <c r="G36" s="143"/>
      <c r="H36" s="143"/>
      <c r="I36" s="143"/>
      <c r="J36" s="143"/>
      <c r="K36" s="143"/>
      <c r="L36" s="143"/>
      <c r="M36" s="143"/>
      <c r="N36" s="143"/>
      <c r="P36" s="143"/>
      <c r="Q36" s="143"/>
      <c r="R36" s="143"/>
      <c r="T36" s="143"/>
      <c r="V36" s="143"/>
      <c r="X36" s="143"/>
      <c r="Z36" s="143"/>
      <c r="AB36" s="143"/>
      <c r="AD36" s="143"/>
      <c r="AF36" s="143"/>
      <c r="AH36" s="143"/>
      <c r="AJ36" s="143"/>
      <c r="AL36" s="143"/>
      <c r="AN36" s="143"/>
      <c r="AP36" s="143"/>
      <c r="AR36" s="143"/>
      <c r="AT36" s="143"/>
      <c r="AV36" s="143"/>
      <c r="AX36" s="143"/>
      <c r="AZ36" s="143"/>
      <c r="BB36" s="143"/>
      <c r="BD36" s="143"/>
      <c r="BF36" s="143"/>
      <c r="BH36" s="143"/>
      <c r="BJ36" s="143"/>
      <c r="BL36" s="143"/>
      <c r="BN36" s="143"/>
      <c r="BP36" s="143"/>
      <c r="BR36" s="143"/>
      <c r="BT36" s="143"/>
      <c r="BV36" s="143"/>
      <c r="BX36" s="143"/>
      <c r="BZ36" s="143"/>
      <c r="CB36" s="143"/>
      <c r="CD36" s="143"/>
      <c r="CF36" s="143"/>
      <c r="CH36" s="143"/>
      <c r="CJ36" s="143"/>
      <c r="CL36" s="143"/>
      <c r="CN36" s="143"/>
      <c r="CP36" s="143"/>
      <c r="CR36" s="143"/>
      <c r="CT36" s="143"/>
      <c r="CV36" s="143"/>
      <c r="CX36" s="143"/>
      <c r="CZ36" s="143"/>
      <c r="DB36" s="143"/>
      <c r="DD36" s="143"/>
      <c r="DF36" s="143"/>
      <c r="DH36" s="143"/>
      <c r="DJ36" s="143"/>
      <c r="DL36" s="143"/>
      <c r="DN36" s="143"/>
      <c r="DP36" s="143"/>
      <c r="DR36" s="143"/>
      <c r="DT36" s="143"/>
      <c r="DV36" s="143"/>
      <c r="DX36" s="143"/>
      <c r="DZ36" s="143"/>
      <c r="EB36" s="143"/>
      <c r="ED36" s="143"/>
      <c r="EF36" s="143"/>
      <c r="EH36" s="143"/>
      <c r="EJ36" s="143"/>
      <c r="EL36" s="143"/>
      <c r="EN36" s="143"/>
      <c r="EP36" s="143"/>
      <c r="ER36" s="143"/>
      <c r="ET36" s="143"/>
      <c r="EV36" s="143"/>
      <c r="EX36" s="143"/>
      <c r="EZ36" s="143"/>
      <c r="FB36" s="143"/>
      <c r="FD36" s="143"/>
      <c r="FF36" s="143"/>
      <c r="FH36" s="143"/>
      <c r="FJ36" s="143"/>
      <c r="FL36" s="143"/>
      <c r="FN36" s="143"/>
      <c r="FP36" s="143"/>
      <c r="FR36" s="143"/>
      <c r="FT36" s="143"/>
      <c r="FV36" s="143"/>
      <c r="FX36" s="143"/>
      <c r="FZ36" s="143"/>
      <c r="GB36" s="143"/>
      <c r="GD36" s="143"/>
      <c r="GF36" s="143"/>
      <c r="GH36" s="143"/>
      <c r="GJ36" s="143"/>
      <c r="GL36" s="143"/>
      <c r="GN36" s="143"/>
      <c r="GP36" s="143"/>
      <c r="GR36" s="143"/>
      <c r="GT36" s="143"/>
      <c r="GV36" s="143"/>
      <c r="GX36" s="143"/>
      <c r="GZ36" s="143"/>
      <c r="HB36" s="143"/>
      <c r="HD36" s="143"/>
      <c r="HF36" s="143"/>
      <c r="HH36" s="143"/>
      <c r="HJ36" s="143"/>
      <c r="HL36" s="143"/>
      <c r="HN36" s="143"/>
      <c r="HP36" s="143"/>
      <c r="HR36" s="143"/>
      <c r="HT36" s="143"/>
      <c r="HV36" s="143"/>
      <c r="HX36" s="143"/>
      <c r="HZ36" s="143"/>
      <c r="IB36" s="143"/>
      <c r="ID36" s="143"/>
    </row>
    <row r="37" spans="1:238" ht="6.85" customHeight="1" x14ac:dyDescent="0.35">
      <c r="F37" s="143"/>
      <c r="G37" s="143"/>
      <c r="H37" s="143"/>
      <c r="I37" s="143"/>
      <c r="J37" s="143"/>
      <c r="K37" s="143"/>
      <c r="L37" s="143"/>
      <c r="M37" s="143"/>
      <c r="N37" s="143"/>
      <c r="Q37" s="143"/>
      <c r="R37" s="143"/>
      <c r="X37" s="143"/>
      <c r="AD37" s="143"/>
      <c r="AJ37" s="143"/>
      <c r="AP37" s="143"/>
      <c r="AV37" s="143"/>
      <c r="BB37" s="143"/>
      <c r="BH37" s="143"/>
      <c r="BN37" s="143"/>
      <c r="BT37" s="143"/>
      <c r="BZ37" s="143"/>
      <c r="CF37" s="143"/>
      <c r="CL37" s="143"/>
      <c r="CR37" s="143"/>
      <c r="CX37" s="143"/>
      <c r="DD37" s="143"/>
      <c r="DJ37" s="143"/>
      <c r="DP37" s="143"/>
      <c r="DV37" s="143"/>
      <c r="EB37" s="143"/>
      <c r="EH37" s="143"/>
      <c r="EN37" s="143"/>
      <c r="ET37" s="143"/>
      <c r="EZ37" s="143"/>
      <c r="FF37" s="143"/>
      <c r="FL37" s="143"/>
      <c r="FR37" s="143"/>
      <c r="FX37" s="143"/>
      <c r="GD37" s="143"/>
      <c r="GJ37" s="143"/>
      <c r="GP37" s="143"/>
      <c r="GV37" s="143"/>
      <c r="HB37" s="143"/>
      <c r="HH37" s="143"/>
      <c r="HN37" s="143"/>
      <c r="HT37" s="143"/>
      <c r="HZ37" s="143"/>
    </row>
    <row r="38" spans="1:238" x14ac:dyDescent="0.35">
      <c r="A38" s="189"/>
      <c r="F38" s="149"/>
      <c r="G38" s="143"/>
      <c r="H38" s="149"/>
      <c r="I38" s="143"/>
      <c r="J38" s="149"/>
      <c r="K38" s="143"/>
      <c r="L38" s="149"/>
      <c r="M38" s="143"/>
      <c r="N38" s="149"/>
      <c r="Q38" s="143"/>
      <c r="R38" s="149"/>
      <c r="X38" s="149"/>
      <c r="AD38" s="149"/>
      <c r="AJ38" s="149"/>
      <c r="AP38" s="149"/>
      <c r="AV38" s="149"/>
      <c r="BB38" s="149"/>
      <c r="BH38" s="149"/>
      <c r="BN38" s="149"/>
      <c r="BT38" s="149"/>
      <c r="BZ38" s="149"/>
      <c r="CF38" s="149"/>
      <c r="CL38" s="149"/>
      <c r="CR38" s="149"/>
      <c r="CX38" s="149"/>
      <c r="DD38" s="149"/>
      <c r="DJ38" s="149"/>
      <c r="DP38" s="149"/>
      <c r="DV38" s="149"/>
      <c r="EB38" s="149"/>
      <c r="EH38" s="149"/>
      <c r="EN38" s="149"/>
      <c r="ET38" s="149"/>
      <c r="EZ38" s="149"/>
      <c r="FF38" s="149"/>
      <c r="FL38" s="149"/>
      <c r="FR38" s="149"/>
      <c r="FX38" s="149"/>
      <c r="GD38" s="149"/>
      <c r="GJ38" s="149"/>
      <c r="GP38" s="149"/>
      <c r="GV38" s="149"/>
      <c r="HB38" s="149"/>
      <c r="HH38" s="149"/>
      <c r="HN38" s="149"/>
      <c r="HT38" s="149"/>
      <c r="HZ38" s="149"/>
    </row>
    <row r="39" spans="1:238" x14ac:dyDescent="0.35">
      <c r="B39" s="189"/>
      <c r="C39" s="255"/>
      <c r="F39" s="149"/>
      <c r="G39" s="143"/>
      <c r="H39" s="149"/>
      <c r="I39" s="143"/>
      <c r="J39" s="149"/>
      <c r="K39" s="143"/>
      <c r="L39" s="149"/>
      <c r="M39" s="143"/>
      <c r="N39" s="149"/>
      <c r="P39" s="149"/>
      <c r="Q39" s="143"/>
      <c r="R39" s="149"/>
      <c r="T39" s="149"/>
      <c r="V39" s="149"/>
      <c r="X39" s="149"/>
      <c r="Z39" s="149"/>
      <c r="AB39" s="149"/>
      <c r="AD39" s="149"/>
      <c r="AF39" s="149"/>
      <c r="AH39" s="149"/>
      <c r="AJ39" s="149"/>
      <c r="AL39" s="149"/>
      <c r="AN39" s="149"/>
      <c r="AP39" s="149"/>
      <c r="AR39" s="149"/>
      <c r="AT39" s="149"/>
      <c r="AV39" s="149"/>
      <c r="AX39" s="149"/>
      <c r="AZ39" s="149"/>
      <c r="BB39" s="149"/>
      <c r="BD39" s="149"/>
      <c r="BF39" s="149"/>
      <c r="BH39" s="149"/>
      <c r="BJ39" s="149"/>
      <c r="BL39" s="149"/>
      <c r="BN39" s="149"/>
      <c r="BP39" s="149"/>
      <c r="BR39" s="149"/>
      <c r="BT39" s="149"/>
      <c r="BV39" s="149"/>
      <c r="BX39" s="149"/>
      <c r="BZ39" s="149"/>
      <c r="CB39" s="149"/>
      <c r="CD39" s="149"/>
      <c r="CF39" s="149"/>
      <c r="CH39" s="149"/>
      <c r="CJ39" s="149"/>
      <c r="CL39" s="149"/>
      <c r="CN39" s="149"/>
      <c r="CP39" s="149"/>
      <c r="CR39" s="149"/>
      <c r="CT39" s="149"/>
      <c r="CV39" s="149"/>
      <c r="CX39" s="149"/>
      <c r="CZ39" s="149"/>
      <c r="DB39" s="149"/>
      <c r="DD39" s="149"/>
      <c r="DF39" s="149"/>
      <c r="DH39" s="149"/>
      <c r="DJ39" s="149"/>
      <c r="DL39" s="149"/>
      <c r="DN39" s="149"/>
      <c r="DP39" s="149"/>
      <c r="DR39" s="149"/>
      <c r="DT39" s="149"/>
      <c r="DV39" s="149"/>
      <c r="DX39" s="149"/>
      <c r="DZ39" s="149"/>
      <c r="EB39" s="149"/>
      <c r="ED39" s="149"/>
      <c r="EF39" s="149"/>
      <c r="EH39" s="149"/>
      <c r="EJ39" s="149"/>
      <c r="EL39" s="149"/>
      <c r="EN39" s="149"/>
      <c r="EP39" s="149"/>
      <c r="ER39" s="149"/>
      <c r="ET39" s="149"/>
      <c r="EV39" s="149"/>
      <c r="EX39" s="149"/>
      <c r="EZ39" s="149"/>
      <c r="FB39" s="149"/>
      <c r="FD39" s="149"/>
      <c r="FF39" s="149"/>
      <c r="FH39" s="149"/>
      <c r="FJ39" s="149"/>
      <c r="FL39" s="149"/>
      <c r="FN39" s="149"/>
      <c r="FP39" s="149"/>
      <c r="FR39" s="149"/>
      <c r="FT39" s="149"/>
      <c r="FV39" s="149"/>
      <c r="FX39" s="149"/>
      <c r="FZ39" s="149"/>
      <c r="GB39" s="149"/>
      <c r="GD39" s="149"/>
      <c r="GF39" s="149"/>
      <c r="GH39" s="149"/>
      <c r="GJ39" s="149"/>
      <c r="GL39" s="149"/>
      <c r="GN39" s="149"/>
      <c r="GP39" s="149"/>
      <c r="GR39" s="149"/>
      <c r="GT39" s="149"/>
      <c r="GV39" s="149"/>
      <c r="GX39" s="149"/>
      <c r="GZ39" s="149"/>
      <c r="HB39" s="149"/>
      <c r="HD39" s="149"/>
      <c r="HF39" s="149"/>
      <c r="HH39" s="256"/>
      <c r="HJ39" s="256"/>
      <c r="HL39" s="256"/>
      <c r="HN39" s="254"/>
      <c r="HP39" s="254"/>
      <c r="HR39" s="254"/>
      <c r="HT39" s="254"/>
      <c r="HV39" s="254"/>
      <c r="HX39" s="254"/>
      <c r="HZ39" s="254"/>
      <c r="IB39" s="254"/>
      <c r="ID39" s="254"/>
    </row>
    <row r="40" spans="1:238" hidden="1" x14ac:dyDescent="0.35">
      <c r="C40" s="257"/>
      <c r="F40" s="149"/>
      <c r="G40" s="143"/>
      <c r="H40" s="149"/>
      <c r="I40" s="143"/>
      <c r="J40" s="149"/>
      <c r="K40" s="143"/>
      <c r="L40" s="149"/>
      <c r="M40" s="143"/>
      <c r="N40" s="149"/>
      <c r="P40" s="149"/>
      <c r="Q40" s="143"/>
      <c r="R40" s="149"/>
      <c r="T40" s="149"/>
      <c r="V40" s="149"/>
      <c r="X40" s="149"/>
      <c r="Z40" s="149"/>
      <c r="AB40" s="149"/>
      <c r="AD40" s="149"/>
      <c r="AF40" s="149"/>
      <c r="AH40" s="149"/>
      <c r="AJ40" s="149"/>
      <c r="AL40" s="149"/>
      <c r="AN40" s="149"/>
      <c r="AP40" s="149"/>
      <c r="AR40" s="149"/>
      <c r="AT40" s="149"/>
      <c r="AV40" s="149"/>
      <c r="AX40" s="149"/>
      <c r="AZ40" s="149"/>
      <c r="BB40" s="149"/>
      <c r="BD40" s="149"/>
      <c r="BF40" s="149"/>
      <c r="BH40" s="149"/>
      <c r="BJ40" s="149"/>
      <c r="BL40" s="149"/>
      <c r="BN40" s="149"/>
      <c r="BP40" s="149"/>
      <c r="BR40" s="149"/>
      <c r="BT40" s="149"/>
      <c r="BV40" s="149"/>
      <c r="BX40" s="149"/>
      <c r="BZ40" s="149"/>
      <c r="CB40" s="149"/>
      <c r="CD40" s="149"/>
      <c r="CF40" s="149"/>
      <c r="CH40" s="149"/>
      <c r="CJ40" s="149"/>
      <c r="CL40" s="149"/>
      <c r="CN40" s="149"/>
      <c r="CP40" s="149"/>
      <c r="CR40" s="149"/>
      <c r="CT40" s="149"/>
      <c r="CV40" s="149"/>
      <c r="CX40" s="149"/>
      <c r="CZ40" s="149"/>
      <c r="DB40" s="149"/>
      <c r="DD40" s="149"/>
      <c r="DF40" s="149"/>
      <c r="DH40" s="149"/>
      <c r="DJ40" s="149"/>
      <c r="DL40" s="149"/>
      <c r="DN40" s="149"/>
      <c r="DP40" s="149"/>
      <c r="DR40" s="149"/>
      <c r="DT40" s="149"/>
      <c r="DV40" s="149"/>
      <c r="DX40" s="149"/>
      <c r="DZ40" s="149"/>
      <c r="EB40" s="149"/>
      <c r="ED40" s="149"/>
      <c r="EF40" s="149"/>
      <c r="EH40" s="149"/>
      <c r="EJ40" s="149"/>
      <c r="EL40" s="149"/>
      <c r="EN40" s="149"/>
      <c r="EP40" s="149"/>
      <c r="ER40" s="149"/>
      <c r="ET40" s="149"/>
      <c r="EV40" s="149"/>
      <c r="EX40" s="149"/>
      <c r="EZ40" s="149"/>
      <c r="FB40" s="149"/>
      <c r="FD40" s="149"/>
      <c r="FF40" s="149"/>
      <c r="FH40" s="149"/>
      <c r="FJ40" s="149"/>
      <c r="FL40" s="149"/>
      <c r="FN40" s="149"/>
      <c r="FP40" s="149"/>
      <c r="FR40" s="149"/>
      <c r="FT40" s="149"/>
      <c r="FV40" s="149"/>
      <c r="FX40" s="149"/>
      <c r="FZ40" s="149"/>
      <c r="GB40" s="149"/>
      <c r="GD40" s="149"/>
      <c r="GF40" s="149"/>
      <c r="GH40" s="149"/>
      <c r="GJ40" s="149"/>
      <c r="GL40" s="149"/>
      <c r="GN40" s="149"/>
      <c r="GP40" s="149"/>
      <c r="GR40" s="149"/>
      <c r="GT40" s="149"/>
      <c r="GV40" s="149"/>
      <c r="GX40" s="149"/>
      <c r="GZ40" s="149"/>
      <c r="HB40" s="149"/>
      <c r="HD40" s="149"/>
      <c r="HF40" s="149"/>
      <c r="HH40" s="149"/>
      <c r="HJ40" s="149"/>
      <c r="HL40" s="149"/>
      <c r="HN40" s="149"/>
      <c r="HP40" s="149"/>
      <c r="HR40" s="149"/>
      <c r="HT40" s="149"/>
      <c r="HV40" s="149"/>
      <c r="HX40" s="149"/>
      <c r="HZ40" s="149"/>
      <c r="IB40" s="149"/>
      <c r="ID40" s="149"/>
    </row>
    <row r="41" spans="1:238" x14ac:dyDescent="0.35">
      <c r="C41" s="147"/>
      <c r="F41" s="143"/>
      <c r="G41" s="143"/>
      <c r="H41" s="143"/>
      <c r="I41" s="143"/>
      <c r="J41" s="143"/>
      <c r="K41" s="143"/>
      <c r="L41" s="143"/>
      <c r="M41" s="143"/>
      <c r="N41" s="143"/>
      <c r="P41" s="143"/>
      <c r="Q41" s="143"/>
      <c r="R41" s="143"/>
      <c r="T41" s="143"/>
      <c r="V41" s="143"/>
      <c r="X41" s="143"/>
      <c r="Z41" s="143"/>
      <c r="AB41" s="143"/>
      <c r="AD41" s="143"/>
      <c r="AF41" s="143"/>
      <c r="AH41" s="143"/>
      <c r="AJ41" s="143"/>
      <c r="AL41" s="143"/>
      <c r="AN41" s="143"/>
      <c r="AP41" s="143"/>
      <c r="AR41" s="143"/>
      <c r="AT41" s="143"/>
      <c r="AV41" s="143"/>
      <c r="AX41" s="143"/>
      <c r="AZ41" s="143"/>
      <c r="BB41" s="143"/>
      <c r="BD41" s="143"/>
      <c r="BF41" s="143"/>
      <c r="BH41" s="143"/>
      <c r="BJ41" s="143"/>
      <c r="BL41" s="143"/>
      <c r="BN41" s="143"/>
      <c r="BP41" s="143"/>
      <c r="BR41" s="143"/>
      <c r="BT41" s="143"/>
      <c r="BV41" s="143"/>
      <c r="BX41" s="143"/>
      <c r="BZ41" s="143"/>
      <c r="CB41" s="143"/>
      <c r="CD41" s="143"/>
      <c r="CF41" s="143"/>
      <c r="CH41" s="143"/>
      <c r="CJ41" s="143"/>
      <c r="CL41" s="143"/>
      <c r="CN41" s="143"/>
      <c r="CP41" s="143"/>
      <c r="CR41" s="143"/>
      <c r="CT41" s="143"/>
      <c r="CV41" s="143"/>
      <c r="CX41" s="143"/>
      <c r="CZ41" s="143"/>
      <c r="DB41" s="143"/>
      <c r="DD41" s="143"/>
      <c r="DF41" s="143"/>
      <c r="DH41" s="143"/>
      <c r="DJ41" s="143"/>
      <c r="DL41" s="143"/>
      <c r="DN41" s="143"/>
      <c r="DP41" s="143"/>
      <c r="DR41" s="143"/>
      <c r="DT41" s="143"/>
      <c r="DV41" s="143"/>
      <c r="DX41" s="143"/>
      <c r="DZ41" s="143"/>
      <c r="EB41" s="143"/>
      <c r="ED41" s="143"/>
      <c r="EF41" s="143"/>
      <c r="EH41" s="143"/>
      <c r="EJ41" s="143"/>
      <c r="EL41" s="143"/>
      <c r="EN41" s="143"/>
      <c r="EP41" s="143"/>
      <c r="ER41" s="143"/>
      <c r="ET41" s="143"/>
      <c r="EV41" s="143"/>
      <c r="EX41" s="143"/>
      <c r="EZ41" s="143"/>
      <c r="FB41" s="143"/>
      <c r="FD41" s="143"/>
      <c r="FF41" s="143"/>
      <c r="FH41" s="143"/>
      <c r="FJ41" s="143"/>
      <c r="FL41" s="143"/>
      <c r="FN41" s="143"/>
      <c r="FP41" s="143"/>
      <c r="FR41" s="143"/>
      <c r="FT41" s="143"/>
      <c r="FV41" s="143"/>
      <c r="FX41" s="143"/>
      <c r="FZ41" s="143"/>
      <c r="GB41" s="143"/>
      <c r="GD41" s="143"/>
      <c r="GF41" s="143"/>
      <c r="GH41" s="143"/>
      <c r="GJ41" s="143"/>
      <c r="GL41" s="143"/>
      <c r="GN41" s="143"/>
      <c r="GP41" s="143"/>
      <c r="GR41" s="143"/>
      <c r="GT41" s="143"/>
      <c r="GV41" s="143"/>
      <c r="GX41" s="143"/>
      <c r="GZ41" s="143"/>
      <c r="HB41" s="143"/>
      <c r="HD41" s="143"/>
      <c r="HF41" s="143"/>
      <c r="HH41" s="143"/>
      <c r="HJ41" s="143"/>
      <c r="HL41" s="143"/>
      <c r="HN41" s="143"/>
      <c r="HP41" s="143"/>
      <c r="HR41" s="143"/>
      <c r="HT41" s="143"/>
      <c r="HV41" s="143"/>
      <c r="HX41" s="143"/>
      <c r="HZ41" s="143"/>
      <c r="IB41" s="143"/>
      <c r="ID41" s="143"/>
    </row>
    <row r="42" spans="1:238" ht="6.85" customHeight="1" x14ac:dyDescent="0.35">
      <c r="B42" s="140"/>
      <c r="C42" s="145"/>
      <c r="F42" s="143"/>
      <c r="G42" s="143"/>
      <c r="H42" s="143"/>
      <c r="I42" s="143"/>
      <c r="J42" s="143"/>
      <c r="K42" s="143"/>
      <c r="L42" s="143"/>
      <c r="M42" s="143"/>
      <c r="N42" s="143"/>
      <c r="P42" s="143"/>
      <c r="Q42" s="143"/>
      <c r="R42" s="143"/>
      <c r="T42" s="143"/>
      <c r="V42" s="143"/>
      <c r="X42" s="143"/>
      <c r="Z42" s="143"/>
      <c r="AB42" s="143"/>
      <c r="AD42" s="143"/>
      <c r="AF42" s="143"/>
      <c r="AH42" s="143"/>
      <c r="AJ42" s="143"/>
      <c r="AL42" s="143"/>
      <c r="AN42" s="143"/>
      <c r="AP42" s="143"/>
      <c r="AR42" s="143"/>
      <c r="AT42" s="143"/>
      <c r="AV42" s="143"/>
      <c r="AX42" s="143"/>
      <c r="AZ42" s="143"/>
      <c r="BB42" s="143"/>
      <c r="BD42" s="143"/>
      <c r="BF42" s="143"/>
      <c r="BH42" s="143"/>
      <c r="BJ42" s="143"/>
      <c r="BL42" s="143"/>
      <c r="BN42" s="143"/>
      <c r="BP42" s="143"/>
      <c r="BR42" s="143"/>
      <c r="BT42" s="143"/>
      <c r="BV42" s="143"/>
      <c r="BX42" s="143"/>
      <c r="BZ42" s="143"/>
      <c r="CB42" s="143"/>
      <c r="CD42" s="143"/>
      <c r="CF42" s="143"/>
      <c r="CH42" s="143"/>
      <c r="CJ42" s="143"/>
      <c r="CL42" s="143"/>
      <c r="CN42" s="143"/>
      <c r="CP42" s="143"/>
      <c r="CR42" s="143"/>
      <c r="CT42" s="143"/>
      <c r="CV42" s="143"/>
      <c r="CX42" s="143"/>
      <c r="CZ42" s="143"/>
      <c r="DB42" s="143"/>
      <c r="DD42" s="143"/>
      <c r="DF42" s="143"/>
      <c r="DH42" s="143"/>
      <c r="DJ42" s="143"/>
      <c r="DL42" s="143"/>
      <c r="DN42" s="143"/>
      <c r="DP42" s="143"/>
      <c r="DR42" s="143"/>
      <c r="DT42" s="143"/>
      <c r="DV42" s="143"/>
      <c r="DX42" s="143"/>
      <c r="DZ42" s="143"/>
      <c r="EB42" s="143"/>
      <c r="ED42" s="143"/>
      <c r="EF42" s="143"/>
      <c r="EH42" s="143"/>
      <c r="EJ42" s="143"/>
      <c r="EL42" s="143"/>
      <c r="EN42" s="143"/>
      <c r="EP42" s="143"/>
      <c r="ER42" s="143"/>
      <c r="ET42" s="143"/>
      <c r="EV42" s="143"/>
      <c r="EX42" s="143"/>
      <c r="EZ42" s="143"/>
      <c r="FB42" s="143"/>
      <c r="FD42" s="143"/>
      <c r="FF42" s="143"/>
      <c r="FH42" s="143"/>
      <c r="FJ42" s="143"/>
      <c r="FL42" s="143"/>
      <c r="FN42" s="143"/>
      <c r="FP42" s="143"/>
      <c r="FR42" s="143"/>
      <c r="FT42" s="143"/>
      <c r="FV42" s="143"/>
      <c r="FX42" s="143"/>
      <c r="FZ42" s="143"/>
      <c r="GB42" s="143"/>
      <c r="GD42" s="143"/>
      <c r="GF42" s="143"/>
      <c r="GH42" s="143"/>
      <c r="GJ42" s="143"/>
      <c r="GL42" s="143"/>
      <c r="GN42" s="143"/>
      <c r="GP42" s="143"/>
      <c r="GR42" s="143"/>
      <c r="GT42" s="143"/>
      <c r="GV42" s="143"/>
      <c r="GX42" s="143"/>
      <c r="GZ42" s="143"/>
      <c r="HB42" s="143"/>
      <c r="HD42" s="143"/>
      <c r="HF42" s="143"/>
      <c r="HH42" s="143"/>
      <c r="HJ42" s="143"/>
      <c r="HL42" s="143"/>
      <c r="HN42" s="143"/>
      <c r="HP42" s="143"/>
      <c r="HR42" s="143"/>
      <c r="HT42" s="143"/>
      <c r="HV42" s="143"/>
      <c r="HX42" s="143"/>
      <c r="HZ42" s="143"/>
      <c r="IB42" s="143"/>
      <c r="ID42" s="143"/>
    </row>
    <row r="43" spans="1:238" hidden="1" x14ac:dyDescent="0.35">
      <c r="C43" s="257"/>
      <c r="F43" s="143"/>
      <c r="G43" s="143"/>
      <c r="H43" s="143"/>
      <c r="I43" s="143"/>
      <c r="J43" s="143"/>
      <c r="K43" s="143"/>
      <c r="L43" s="143"/>
      <c r="M43" s="143"/>
      <c r="N43" s="143"/>
      <c r="P43" s="143"/>
      <c r="Q43" s="143"/>
      <c r="R43" s="143"/>
      <c r="T43" s="143"/>
      <c r="V43" s="143"/>
      <c r="X43" s="143"/>
      <c r="Z43" s="143"/>
      <c r="AB43" s="143"/>
      <c r="AD43" s="143"/>
      <c r="AF43" s="143"/>
      <c r="AH43" s="143"/>
      <c r="AJ43" s="143"/>
      <c r="AL43" s="143"/>
      <c r="AN43" s="143"/>
      <c r="AP43" s="143"/>
      <c r="AR43" s="143"/>
      <c r="AT43" s="143"/>
      <c r="AV43" s="143"/>
      <c r="AX43" s="143"/>
      <c r="AZ43" s="143"/>
      <c r="BB43" s="143"/>
      <c r="BD43" s="143"/>
      <c r="BF43" s="143"/>
      <c r="BH43" s="143"/>
      <c r="BJ43" s="143"/>
      <c r="BL43" s="143"/>
      <c r="BN43" s="143"/>
      <c r="BP43" s="143"/>
      <c r="BR43" s="143"/>
      <c r="BT43" s="143"/>
      <c r="BV43" s="143"/>
      <c r="BX43" s="143"/>
      <c r="BZ43" s="143"/>
      <c r="CB43" s="143"/>
      <c r="CD43" s="143"/>
      <c r="CF43" s="143"/>
      <c r="CH43" s="143"/>
      <c r="CJ43" s="143"/>
      <c r="CL43" s="143"/>
      <c r="CN43" s="143"/>
      <c r="CP43" s="143"/>
      <c r="CR43" s="143"/>
      <c r="CT43" s="143"/>
      <c r="CV43" s="143"/>
      <c r="CX43" s="143"/>
      <c r="CZ43" s="143"/>
      <c r="DB43" s="143"/>
      <c r="DD43" s="143"/>
      <c r="DF43" s="143"/>
      <c r="DH43" s="143"/>
      <c r="DJ43" s="143"/>
      <c r="DL43" s="143"/>
      <c r="DN43" s="143"/>
      <c r="DP43" s="143"/>
      <c r="DR43" s="143"/>
      <c r="DT43" s="143"/>
      <c r="DV43" s="143"/>
      <c r="DX43" s="143"/>
      <c r="DZ43" s="143"/>
      <c r="EB43" s="143"/>
      <c r="ED43" s="143"/>
      <c r="EF43" s="143"/>
      <c r="EH43" s="143"/>
      <c r="EJ43" s="143"/>
      <c r="EL43" s="143"/>
      <c r="EN43" s="143"/>
      <c r="EP43" s="143"/>
      <c r="ER43" s="143"/>
      <c r="ET43" s="143"/>
      <c r="EV43" s="143"/>
      <c r="EX43" s="143"/>
      <c r="EZ43" s="143"/>
      <c r="FB43" s="143"/>
      <c r="FD43" s="143"/>
      <c r="FF43" s="143"/>
      <c r="FH43" s="143"/>
      <c r="FJ43" s="143"/>
      <c r="FL43" s="143"/>
      <c r="FN43" s="143"/>
      <c r="FP43" s="143"/>
      <c r="FR43" s="143"/>
      <c r="FT43" s="143"/>
      <c r="FV43" s="143"/>
      <c r="FX43" s="143"/>
      <c r="FZ43" s="143"/>
      <c r="GB43" s="143"/>
      <c r="GD43" s="143"/>
      <c r="GF43" s="143"/>
      <c r="GH43" s="143"/>
      <c r="GJ43" s="143"/>
      <c r="GL43" s="143"/>
      <c r="GN43" s="143"/>
      <c r="GP43" s="143"/>
      <c r="GR43" s="143"/>
      <c r="GT43" s="143"/>
      <c r="GV43" s="143"/>
      <c r="GX43" s="143"/>
      <c r="GZ43" s="143"/>
      <c r="HB43" s="143"/>
      <c r="HD43" s="143"/>
      <c r="HF43" s="143"/>
      <c r="HH43" s="143"/>
      <c r="HJ43" s="143"/>
      <c r="HL43" s="143"/>
      <c r="HN43" s="143"/>
      <c r="HP43" s="143"/>
      <c r="HR43" s="143"/>
      <c r="HT43" s="143"/>
      <c r="HV43" s="143"/>
      <c r="HX43" s="143"/>
      <c r="HZ43" s="143"/>
      <c r="IB43" s="143"/>
      <c r="ID43" s="143"/>
    </row>
    <row r="44" spans="1:238" ht="6.85" customHeight="1" x14ac:dyDescent="0.35">
      <c r="F44" s="143"/>
      <c r="G44" s="143"/>
      <c r="H44" s="143"/>
      <c r="I44" s="143"/>
      <c r="J44" s="143"/>
      <c r="K44" s="143"/>
      <c r="L44" s="143"/>
      <c r="M44" s="143"/>
      <c r="N44" s="143"/>
      <c r="Q44" s="143"/>
      <c r="R44" s="143"/>
      <c r="X44" s="143"/>
      <c r="AD44" s="143"/>
      <c r="AJ44" s="143"/>
      <c r="AP44" s="143"/>
      <c r="AV44" s="143"/>
      <c r="BB44" s="143"/>
      <c r="BH44" s="143"/>
      <c r="BN44" s="143"/>
      <c r="BT44" s="143"/>
      <c r="BZ44" s="143"/>
      <c r="CF44" s="143"/>
      <c r="CL44" s="143"/>
      <c r="CR44" s="143"/>
      <c r="CX44" s="143"/>
      <c r="DD44" s="143"/>
      <c r="DJ44" s="143"/>
      <c r="DP44" s="143"/>
      <c r="DV44" s="143"/>
      <c r="EB44" s="143"/>
      <c r="EH44" s="143"/>
      <c r="EN44" s="143"/>
      <c r="ET44" s="143"/>
      <c r="EZ44" s="143"/>
      <c r="FF44" s="143"/>
      <c r="FL44" s="143"/>
      <c r="FR44" s="143"/>
      <c r="FX44" s="143"/>
      <c r="GD44" s="143"/>
      <c r="GJ44" s="143"/>
      <c r="GP44" s="143"/>
      <c r="GV44" s="143"/>
      <c r="HB44" s="143"/>
      <c r="HH44" s="143"/>
      <c r="HN44" s="143"/>
      <c r="HT44" s="143"/>
      <c r="HZ44" s="143"/>
    </row>
    <row r="45" spans="1:238" x14ac:dyDescent="0.35">
      <c r="A45" s="189"/>
      <c r="B45" s="189"/>
      <c r="C45" s="189"/>
      <c r="F45" s="143"/>
      <c r="G45" s="143"/>
      <c r="H45" s="143"/>
      <c r="I45" s="143"/>
      <c r="J45" s="143"/>
      <c r="K45" s="143"/>
      <c r="L45" s="143"/>
      <c r="M45" s="143"/>
      <c r="N45" s="143"/>
      <c r="Q45" s="143"/>
      <c r="R45" s="143"/>
      <c r="X45" s="143"/>
      <c r="AD45" s="143"/>
      <c r="AJ45" s="143"/>
      <c r="AP45" s="143"/>
      <c r="AV45" s="143"/>
      <c r="BB45" s="143"/>
      <c r="BH45" s="143"/>
      <c r="BN45" s="143"/>
      <c r="BT45" s="143"/>
      <c r="BZ45" s="143"/>
      <c r="CF45" s="143"/>
      <c r="CL45" s="143"/>
      <c r="CR45" s="143"/>
      <c r="CX45" s="143"/>
      <c r="DD45" s="143"/>
      <c r="DJ45" s="143"/>
      <c r="DP45" s="143"/>
      <c r="DV45" s="143"/>
      <c r="EB45" s="143"/>
      <c r="EH45" s="143"/>
      <c r="EN45" s="143"/>
      <c r="ET45" s="143"/>
      <c r="EZ45" s="143"/>
      <c r="FF45" s="143"/>
      <c r="FL45" s="143"/>
      <c r="FR45" s="143"/>
      <c r="FX45" s="143"/>
      <c r="GD45" s="143"/>
      <c r="GJ45" s="143"/>
      <c r="GP45" s="143"/>
      <c r="GT45" s="147"/>
      <c r="GV45" s="143"/>
      <c r="HB45" s="143"/>
      <c r="HH45" s="143"/>
      <c r="HN45" s="143"/>
      <c r="HT45" s="143"/>
      <c r="HZ45" s="143"/>
    </row>
    <row r="46" spans="1:238" x14ac:dyDescent="0.35">
      <c r="B46" s="189"/>
      <c r="C46" s="189"/>
      <c r="F46" s="143"/>
      <c r="G46" s="143"/>
      <c r="H46" s="143"/>
      <c r="I46" s="143"/>
      <c r="J46" s="143"/>
      <c r="K46" s="143"/>
      <c r="L46" s="143"/>
      <c r="M46" s="143"/>
      <c r="N46" s="143"/>
      <c r="P46" s="143"/>
      <c r="Q46" s="143"/>
      <c r="R46" s="143"/>
      <c r="T46" s="143"/>
      <c r="V46" s="143"/>
      <c r="X46" s="143"/>
      <c r="Z46" s="143"/>
      <c r="AB46" s="143"/>
      <c r="AD46" s="143"/>
      <c r="AF46" s="143"/>
      <c r="AH46" s="223"/>
      <c r="AJ46" s="223"/>
      <c r="AL46" s="223"/>
      <c r="AN46" s="223"/>
      <c r="AP46" s="198"/>
      <c r="AR46" s="198"/>
      <c r="AT46" s="198"/>
      <c r="AV46" s="198"/>
      <c r="AX46" s="198"/>
      <c r="AZ46" s="198"/>
      <c r="BB46" s="198"/>
      <c r="BD46" s="198"/>
      <c r="BF46" s="198"/>
      <c r="BH46" s="198"/>
      <c r="BJ46" s="198"/>
      <c r="BL46" s="198"/>
      <c r="BN46" s="198"/>
      <c r="BP46" s="198"/>
      <c r="BR46" s="198"/>
      <c r="BT46" s="198"/>
      <c r="BV46" s="198"/>
      <c r="BX46" s="198"/>
      <c r="BZ46" s="198"/>
      <c r="CB46" s="198"/>
      <c r="CD46" s="198"/>
      <c r="CF46" s="198"/>
      <c r="CH46" s="198"/>
      <c r="CJ46" s="198"/>
      <c r="CL46" s="198"/>
      <c r="CN46" s="198"/>
      <c r="CP46" s="198"/>
      <c r="CR46" s="198"/>
      <c r="CT46" s="198"/>
      <c r="CV46" s="198"/>
      <c r="CX46" s="198"/>
      <c r="CZ46" s="198"/>
      <c r="DB46" s="198"/>
      <c r="DD46" s="198"/>
      <c r="DF46" s="198"/>
      <c r="DH46" s="198"/>
      <c r="DJ46" s="198"/>
      <c r="DL46" s="198"/>
      <c r="DN46" s="198"/>
      <c r="DP46" s="198"/>
      <c r="DR46" s="198"/>
      <c r="DT46" s="198"/>
      <c r="DV46" s="198"/>
      <c r="DX46" s="198"/>
      <c r="DZ46" s="198"/>
      <c r="EB46" s="198"/>
      <c r="ED46" s="198"/>
      <c r="EF46" s="198"/>
      <c r="EH46" s="198"/>
      <c r="EJ46" s="198"/>
      <c r="EL46" s="198"/>
      <c r="EN46" s="198"/>
      <c r="EP46" s="198"/>
      <c r="ER46" s="198"/>
      <c r="ET46" s="198"/>
      <c r="EV46" s="198"/>
      <c r="EX46" s="198"/>
      <c r="EZ46" s="198"/>
      <c r="FB46" s="198"/>
      <c r="FD46" s="198"/>
      <c r="FF46" s="198"/>
      <c r="FH46" s="198"/>
      <c r="FJ46" s="198"/>
      <c r="FL46" s="198"/>
      <c r="FN46" s="198"/>
      <c r="FP46" s="198"/>
      <c r="FR46" s="198"/>
      <c r="FT46" s="198"/>
      <c r="FV46" s="198"/>
      <c r="FX46" s="198"/>
      <c r="FZ46" s="198"/>
      <c r="GB46" s="198"/>
      <c r="GD46" s="198"/>
      <c r="GF46" s="198"/>
      <c r="GH46" s="198"/>
      <c r="GJ46" s="198"/>
      <c r="GL46" s="198"/>
      <c r="GN46" s="198"/>
      <c r="GP46" s="198"/>
      <c r="GR46" s="198"/>
      <c r="GT46" s="198"/>
      <c r="GV46" s="198"/>
      <c r="GX46" s="198"/>
      <c r="GZ46" s="198"/>
      <c r="HB46" s="198"/>
      <c r="HD46" s="198"/>
      <c r="HF46" s="198"/>
      <c r="HH46" s="198"/>
      <c r="HJ46" s="198"/>
      <c r="HL46" s="198"/>
      <c r="HN46" s="198"/>
      <c r="HP46" s="198"/>
      <c r="HR46" s="198"/>
      <c r="HT46" s="198"/>
      <c r="HV46" s="198"/>
      <c r="HX46" s="198"/>
      <c r="HZ46" s="198"/>
      <c r="IB46" s="198"/>
      <c r="ID46" s="198"/>
    </row>
    <row r="47" spans="1:238" x14ac:dyDescent="0.35">
      <c r="B47" s="189"/>
      <c r="C47" s="189"/>
      <c r="F47" s="143"/>
      <c r="G47" s="143"/>
      <c r="H47" s="143"/>
      <c r="I47" s="143"/>
      <c r="J47" s="143"/>
      <c r="K47" s="143"/>
      <c r="L47" s="143"/>
      <c r="M47" s="143"/>
      <c r="N47" s="143"/>
      <c r="P47" s="143"/>
      <c r="Q47" s="143"/>
      <c r="R47" s="143"/>
      <c r="T47" s="143"/>
      <c r="V47" s="143"/>
      <c r="X47" s="143"/>
      <c r="Z47" s="143"/>
      <c r="AB47" s="143"/>
      <c r="AD47" s="143"/>
      <c r="AF47" s="143"/>
      <c r="AH47" s="223"/>
      <c r="AJ47" s="223"/>
      <c r="AL47" s="223"/>
      <c r="AN47" s="223"/>
      <c r="AP47" s="198"/>
      <c r="AR47" s="198"/>
      <c r="AT47" s="198"/>
      <c r="AV47" s="198"/>
      <c r="AX47" s="198"/>
      <c r="AZ47" s="198"/>
      <c r="BB47" s="198"/>
      <c r="BD47" s="198"/>
      <c r="BF47" s="198"/>
      <c r="BH47" s="198"/>
      <c r="BJ47" s="198"/>
      <c r="BL47" s="198"/>
      <c r="BN47" s="198"/>
      <c r="BP47" s="198"/>
      <c r="BR47" s="198"/>
      <c r="BT47" s="198"/>
      <c r="BV47" s="198"/>
      <c r="BX47" s="198"/>
      <c r="BZ47" s="198"/>
      <c r="CB47" s="198"/>
      <c r="CD47" s="198"/>
      <c r="CF47" s="198"/>
      <c r="CH47" s="198"/>
      <c r="CJ47" s="198"/>
      <c r="CL47" s="198"/>
      <c r="CN47" s="198"/>
      <c r="CP47" s="198"/>
      <c r="CR47" s="198"/>
      <c r="CT47" s="198"/>
      <c r="CV47" s="198"/>
      <c r="CX47" s="198"/>
      <c r="CZ47" s="198"/>
      <c r="DB47" s="198"/>
      <c r="DD47" s="198"/>
      <c r="DF47" s="198"/>
      <c r="DH47" s="198"/>
      <c r="DJ47" s="198"/>
      <c r="DL47" s="198"/>
      <c r="DN47" s="198"/>
      <c r="DP47" s="198"/>
      <c r="DR47" s="198"/>
      <c r="DT47" s="198"/>
      <c r="DV47" s="198"/>
      <c r="DX47" s="198"/>
      <c r="DZ47" s="198"/>
      <c r="EB47" s="198"/>
      <c r="ED47" s="198"/>
      <c r="EF47" s="198"/>
      <c r="EH47" s="198"/>
      <c r="EJ47" s="198"/>
      <c r="EL47" s="198"/>
      <c r="EN47" s="198"/>
      <c r="EP47" s="198"/>
      <c r="ER47" s="198"/>
      <c r="ET47" s="198"/>
      <c r="EV47" s="198"/>
      <c r="EX47" s="198"/>
      <c r="EZ47" s="198"/>
      <c r="FB47" s="198"/>
      <c r="FD47" s="198"/>
      <c r="FF47" s="198"/>
      <c r="FH47" s="198"/>
      <c r="FJ47" s="198"/>
      <c r="FL47" s="198"/>
      <c r="FN47" s="198"/>
      <c r="FP47" s="198"/>
      <c r="FR47" s="198"/>
      <c r="FT47" s="198"/>
      <c r="FV47" s="198"/>
      <c r="FX47" s="198"/>
      <c r="FZ47" s="198"/>
      <c r="GB47" s="198"/>
      <c r="GD47" s="198"/>
      <c r="GF47" s="198"/>
      <c r="GH47" s="198"/>
      <c r="GJ47" s="198"/>
      <c r="GL47" s="198"/>
      <c r="GN47" s="198"/>
      <c r="GP47" s="198"/>
      <c r="GR47" s="198"/>
      <c r="GT47" s="198"/>
      <c r="GV47" s="198"/>
      <c r="GX47" s="198"/>
      <c r="GZ47" s="198"/>
      <c r="HB47" s="198"/>
      <c r="HD47" s="198"/>
      <c r="HF47" s="198"/>
      <c r="HH47" s="198"/>
      <c r="HJ47" s="198"/>
      <c r="HL47" s="198"/>
      <c r="HN47" s="198"/>
      <c r="HP47" s="198"/>
      <c r="HR47" s="198"/>
      <c r="HT47" s="198"/>
      <c r="HV47" s="198"/>
      <c r="HX47" s="198"/>
      <c r="HZ47" s="198"/>
      <c r="IB47" s="198"/>
      <c r="ID47" s="198"/>
    </row>
    <row r="48" spans="1:238" x14ac:dyDescent="0.35">
      <c r="C48" s="245"/>
      <c r="F48" s="143"/>
      <c r="G48" s="143"/>
      <c r="H48" s="143"/>
      <c r="I48" s="143"/>
      <c r="J48" s="143"/>
      <c r="K48" s="143"/>
      <c r="L48" s="143"/>
      <c r="M48" s="143"/>
      <c r="N48" s="143"/>
      <c r="P48" s="143"/>
      <c r="Q48" s="143"/>
      <c r="R48" s="143"/>
      <c r="T48" s="143"/>
      <c r="V48" s="143"/>
      <c r="X48" s="143"/>
      <c r="Z48" s="143"/>
      <c r="AB48" s="143"/>
      <c r="AD48" s="143"/>
      <c r="AF48" s="143"/>
      <c r="AH48" s="143"/>
      <c r="AJ48" s="143"/>
      <c r="AL48" s="143"/>
      <c r="AN48" s="143"/>
      <c r="AP48" s="143"/>
      <c r="AR48" s="143"/>
      <c r="AT48" s="143"/>
      <c r="AV48" s="143"/>
      <c r="AX48" s="143"/>
      <c r="AZ48" s="143"/>
      <c r="BB48" s="143"/>
      <c r="BD48" s="143"/>
      <c r="BF48" s="143"/>
      <c r="BH48" s="143"/>
      <c r="BJ48" s="143"/>
      <c r="BL48" s="143"/>
      <c r="BN48" s="143"/>
      <c r="BP48" s="143"/>
      <c r="BR48" s="143"/>
      <c r="BT48" s="143"/>
      <c r="BV48" s="143"/>
      <c r="BX48" s="143"/>
      <c r="BZ48" s="143"/>
      <c r="CB48" s="143"/>
      <c r="CD48" s="143"/>
      <c r="CF48" s="143"/>
      <c r="CH48" s="143"/>
      <c r="CJ48" s="143"/>
      <c r="CL48" s="143"/>
      <c r="CN48" s="143"/>
      <c r="CP48" s="143"/>
      <c r="CR48" s="143"/>
      <c r="CT48" s="143"/>
      <c r="CV48" s="143"/>
      <c r="CX48" s="143"/>
      <c r="CZ48" s="143"/>
      <c r="DB48" s="143"/>
      <c r="DD48" s="143"/>
      <c r="DF48" s="143"/>
      <c r="DH48" s="143"/>
      <c r="DJ48" s="143"/>
      <c r="DL48" s="143"/>
      <c r="DN48" s="143"/>
      <c r="DP48" s="143"/>
      <c r="DR48" s="143"/>
      <c r="DT48" s="143"/>
      <c r="DV48" s="143"/>
      <c r="DX48" s="143"/>
      <c r="DZ48" s="143"/>
      <c r="EB48" s="143"/>
      <c r="ED48" s="143"/>
      <c r="EF48" s="143"/>
      <c r="EH48" s="143"/>
      <c r="EJ48" s="143"/>
      <c r="EL48" s="143"/>
      <c r="EN48" s="143"/>
      <c r="EP48" s="143"/>
      <c r="ER48" s="143"/>
      <c r="ET48" s="143"/>
      <c r="EV48" s="143"/>
      <c r="EX48" s="143"/>
      <c r="EZ48" s="143"/>
      <c r="FB48" s="143"/>
      <c r="FD48" s="143"/>
      <c r="FF48" s="143"/>
      <c r="FH48" s="143"/>
      <c r="FJ48" s="143"/>
      <c r="FL48" s="143"/>
      <c r="FN48" s="143"/>
      <c r="FP48" s="143"/>
      <c r="FR48" s="143"/>
      <c r="FT48" s="143"/>
      <c r="FV48" s="143"/>
      <c r="FX48" s="143"/>
      <c r="FZ48" s="143"/>
      <c r="GB48" s="143"/>
      <c r="GD48" s="143"/>
      <c r="GF48" s="143"/>
      <c r="GH48" s="143"/>
      <c r="GJ48" s="143"/>
      <c r="GL48" s="143"/>
      <c r="GN48" s="143"/>
      <c r="GP48" s="143"/>
      <c r="GR48" s="143"/>
      <c r="GT48" s="143"/>
      <c r="GV48" s="143"/>
      <c r="GX48" s="143"/>
      <c r="GZ48" s="143"/>
      <c r="HB48" s="143"/>
      <c r="HD48" s="143"/>
      <c r="HF48" s="143"/>
      <c r="HH48" s="143"/>
      <c r="HJ48" s="143"/>
      <c r="HL48" s="143"/>
      <c r="HN48" s="143"/>
      <c r="HP48" s="143"/>
      <c r="HR48" s="143"/>
      <c r="HT48" s="143"/>
      <c r="HV48" s="143"/>
      <c r="HX48" s="143"/>
      <c r="HZ48" s="143"/>
      <c r="IB48" s="143"/>
      <c r="ID48" s="143"/>
    </row>
    <row r="49" spans="1:238" ht="6.85" customHeight="1" x14ac:dyDescent="0.35">
      <c r="F49" s="143"/>
      <c r="G49" s="143"/>
      <c r="H49" s="143"/>
      <c r="I49" s="143"/>
      <c r="J49" s="143"/>
      <c r="K49" s="143"/>
      <c r="L49" s="143"/>
      <c r="M49" s="143"/>
      <c r="N49" s="143"/>
      <c r="Q49" s="143"/>
      <c r="R49" s="143"/>
      <c r="X49" s="143"/>
      <c r="AD49" s="143"/>
      <c r="AJ49" s="143"/>
      <c r="AP49" s="143"/>
      <c r="AV49" s="143"/>
      <c r="BB49" s="143"/>
      <c r="BH49" s="143"/>
      <c r="BN49" s="143"/>
      <c r="BT49" s="143"/>
      <c r="BZ49" s="143"/>
      <c r="CF49" s="143"/>
      <c r="CL49" s="143"/>
      <c r="CR49" s="143"/>
      <c r="CX49" s="143"/>
      <c r="DD49" s="143"/>
      <c r="DJ49" s="143"/>
      <c r="DP49" s="143"/>
      <c r="DV49" s="143"/>
      <c r="EB49" s="143"/>
      <c r="EH49" s="143"/>
      <c r="EN49" s="143"/>
      <c r="ET49" s="143"/>
      <c r="EZ49" s="143"/>
      <c r="FF49" s="143"/>
      <c r="FL49" s="143"/>
      <c r="FR49" s="143"/>
      <c r="FX49" s="143"/>
      <c r="GD49" s="143"/>
      <c r="GJ49" s="143"/>
      <c r="GP49" s="143"/>
      <c r="GV49" s="143"/>
      <c r="HB49" s="143"/>
      <c r="HH49" s="143"/>
      <c r="HN49" s="143"/>
      <c r="HT49" s="143"/>
      <c r="HZ49" s="143"/>
    </row>
    <row r="50" spans="1:238" x14ac:dyDescent="0.35">
      <c r="A50" s="189"/>
    </row>
    <row r="51" spans="1:238" x14ac:dyDescent="0.35">
      <c r="B51" s="189"/>
      <c r="AP51" s="223"/>
      <c r="AR51" s="223"/>
      <c r="AT51" s="223"/>
      <c r="AV51" s="258"/>
      <c r="AX51" s="258"/>
      <c r="AZ51" s="258"/>
      <c r="BB51" s="258"/>
      <c r="BD51" s="258"/>
      <c r="BF51" s="258"/>
      <c r="BH51" s="258"/>
      <c r="BJ51" s="258"/>
      <c r="BL51" s="258"/>
      <c r="BN51" s="258"/>
      <c r="BP51" s="258"/>
      <c r="BR51" s="258"/>
      <c r="BT51" s="258"/>
      <c r="BV51" s="258"/>
      <c r="BX51" s="258"/>
      <c r="BZ51" s="258"/>
      <c r="CB51" s="258"/>
      <c r="CD51" s="258"/>
      <c r="CF51" s="258"/>
      <c r="CH51" s="258"/>
      <c r="CJ51" s="258"/>
      <c r="CL51" s="258"/>
      <c r="CN51" s="258"/>
      <c r="CP51" s="258"/>
      <c r="CR51" s="258"/>
      <c r="CT51" s="258"/>
      <c r="CV51" s="258"/>
      <c r="CX51" s="258"/>
      <c r="CZ51" s="258"/>
      <c r="DB51" s="258"/>
      <c r="DD51" s="258"/>
      <c r="DF51" s="258"/>
      <c r="DH51" s="258"/>
      <c r="DJ51" s="258"/>
      <c r="DL51" s="258"/>
      <c r="DN51" s="258"/>
      <c r="DP51" s="258"/>
      <c r="DR51" s="258"/>
      <c r="DT51" s="258"/>
      <c r="DV51" s="258"/>
      <c r="DX51" s="258"/>
      <c r="DZ51" s="258"/>
      <c r="EB51" s="258"/>
      <c r="ED51" s="258"/>
      <c r="EF51" s="258"/>
      <c r="EH51" s="258"/>
      <c r="EJ51" s="258"/>
      <c r="EL51" s="258"/>
      <c r="EN51" s="258"/>
      <c r="EP51" s="258"/>
      <c r="ER51" s="258"/>
      <c r="ET51" s="258"/>
      <c r="EV51" s="258"/>
      <c r="EX51" s="258"/>
      <c r="EZ51" s="258"/>
      <c r="FB51" s="258"/>
      <c r="FD51" s="258"/>
      <c r="FF51" s="258"/>
      <c r="FH51" s="258"/>
      <c r="FJ51" s="258"/>
      <c r="FL51" s="258"/>
      <c r="FN51" s="258"/>
      <c r="FP51" s="258"/>
      <c r="FR51" s="258"/>
      <c r="FT51" s="258"/>
      <c r="FV51" s="258"/>
      <c r="FX51" s="258"/>
      <c r="FZ51" s="258"/>
      <c r="GB51" s="258"/>
      <c r="GD51" s="258"/>
      <c r="GF51" s="258"/>
      <c r="GH51" s="258"/>
      <c r="GJ51" s="258"/>
      <c r="GL51" s="258"/>
      <c r="GN51" s="258"/>
      <c r="GP51" s="258"/>
      <c r="GR51" s="258"/>
      <c r="GT51" s="258"/>
      <c r="GV51" s="258"/>
      <c r="GX51" s="258"/>
      <c r="GZ51" s="258"/>
      <c r="HB51" s="258"/>
      <c r="HD51" s="258"/>
      <c r="HF51" s="258"/>
      <c r="HH51" s="259"/>
      <c r="HJ51" s="259"/>
      <c r="HL51" s="259"/>
      <c r="HN51" s="259"/>
      <c r="HP51" s="259"/>
      <c r="HR51" s="259"/>
      <c r="HT51" s="259"/>
      <c r="HV51" s="259"/>
      <c r="HX51" s="259"/>
      <c r="HZ51" s="259"/>
      <c r="IB51" s="259"/>
      <c r="ID51" s="259"/>
    </row>
    <row r="52" spans="1:238" x14ac:dyDescent="0.35">
      <c r="C52" s="147"/>
      <c r="AP52" s="143"/>
      <c r="AR52" s="143"/>
      <c r="AT52" s="143"/>
      <c r="AV52" s="143"/>
      <c r="AX52" s="143"/>
      <c r="AZ52" s="143"/>
      <c r="BB52" s="143"/>
      <c r="BD52" s="143"/>
      <c r="BF52" s="143"/>
      <c r="BH52" s="143"/>
      <c r="BJ52" s="143"/>
      <c r="BL52" s="143"/>
      <c r="BN52" s="143"/>
      <c r="BP52" s="143"/>
      <c r="BR52" s="143"/>
      <c r="BT52" s="143"/>
      <c r="BV52" s="143"/>
      <c r="BX52" s="143"/>
      <c r="BZ52" s="143"/>
      <c r="CB52" s="143"/>
      <c r="CD52" s="143"/>
      <c r="CF52" s="143"/>
      <c r="CH52" s="143"/>
      <c r="CJ52" s="143"/>
      <c r="CL52" s="143"/>
      <c r="CN52" s="143"/>
      <c r="CP52" s="143"/>
      <c r="CR52" s="143"/>
      <c r="CT52" s="143"/>
      <c r="CV52" s="143"/>
      <c r="CX52" s="143"/>
      <c r="CZ52" s="143"/>
      <c r="DB52" s="143"/>
      <c r="DD52" s="143"/>
      <c r="DF52" s="143"/>
      <c r="DH52" s="143"/>
      <c r="DJ52" s="143"/>
      <c r="DL52" s="143"/>
      <c r="DN52" s="143"/>
      <c r="DP52" s="143"/>
      <c r="DR52" s="143"/>
      <c r="DT52" s="143"/>
      <c r="DV52" s="143"/>
      <c r="DX52" s="143"/>
      <c r="DZ52" s="143"/>
      <c r="EB52" s="143"/>
      <c r="ED52" s="143"/>
      <c r="EF52" s="143"/>
      <c r="EH52" s="143"/>
      <c r="EJ52" s="143"/>
      <c r="EL52" s="143"/>
      <c r="EN52" s="143"/>
      <c r="EP52" s="143"/>
      <c r="ER52" s="143"/>
      <c r="ET52" s="143"/>
      <c r="EV52" s="143"/>
      <c r="EX52" s="143"/>
      <c r="EZ52" s="143"/>
      <c r="FB52" s="143"/>
      <c r="FD52" s="143"/>
      <c r="FF52" s="143"/>
      <c r="FH52" s="143"/>
      <c r="FJ52" s="143"/>
      <c r="FL52" s="143"/>
      <c r="FN52" s="143"/>
      <c r="FP52" s="143"/>
      <c r="FR52" s="143"/>
      <c r="FT52" s="143"/>
      <c r="FV52" s="143"/>
      <c r="FX52" s="143"/>
      <c r="FZ52" s="143"/>
      <c r="GB52" s="143"/>
      <c r="GD52" s="143"/>
      <c r="GF52" s="143"/>
      <c r="GH52" s="143"/>
      <c r="GJ52" s="143"/>
      <c r="GL52" s="143"/>
      <c r="GN52" s="143"/>
      <c r="GP52" s="143"/>
      <c r="GR52" s="143"/>
      <c r="GT52" s="143"/>
      <c r="GV52" s="143"/>
      <c r="GX52" s="143"/>
      <c r="GZ52" s="143"/>
      <c r="HB52" s="143"/>
      <c r="HD52" s="143"/>
      <c r="HF52" s="143"/>
      <c r="HH52" s="143"/>
      <c r="HJ52" s="143"/>
      <c r="HL52" s="143"/>
      <c r="HN52" s="143"/>
      <c r="HP52" s="143"/>
      <c r="HR52" s="143"/>
      <c r="HT52" s="143"/>
      <c r="HV52" s="143"/>
      <c r="HX52" s="143"/>
      <c r="HZ52" s="143"/>
      <c r="IB52" s="143"/>
      <c r="ID52" s="143"/>
    </row>
    <row r="53" spans="1:238" x14ac:dyDescent="0.35">
      <c r="C53" s="147"/>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32"/>
  <sheetViews>
    <sheetView zoomScaleNormal="100" workbookViewId="0">
      <selection activeCell="L20" sqref="L20"/>
    </sheetView>
  </sheetViews>
  <sheetFormatPr defaultColWidth="9.1328125" defaultRowHeight="12.75" x14ac:dyDescent="0.35"/>
  <cols>
    <col min="1" max="2" width="1.265625" style="10" customWidth="1"/>
    <col min="3" max="3" width="10.59765625" style="10" customWidth="1"/>
    <col min="4" max="5" width="1.265625" style="10" customWidth="1"/>
    <col min="6" max="6" width="9.59765625" style="10" customWidth="1"/>
    <col min="7" max="7" width="1.265625" style="10" customWidth="1"/>
    <col min="8" max="8" width="9.59765625" style="10" customWidth="1"/>
    <col min="9" max="9" width="1.265625" style="10" customWidth="1"/>
    <col min="10" max="10" width="9.59765625" style="10" customWidth="1"/>
    <col min="11" max="11" width="1.265625" style="10" customWidth="1"/>
    <col min="12" max="12" width="9.59765625" style="10" customWidth="1"/>
    <col min="13" max="13" width="1.265625" style="10" customWidth="1"/>
    <col min="14" max="14" width="9.59765625" style="10" customWidth="1"/>
    <col min="15" max="15" width="1.265625" style="10" customWidth="1"/>
    <col min="16" max="16" width="9.59765625" style="10" customWidth="1"/>
    <col min="17" max="17" width="1.265625" style="10" customWidth="1"/>
    <col min="18" max="18" width="9.59765625" style="10" customWidth="1"/>
    <col min="19" max="19" width="1.265625" style="10" customWidth="1"/>
    <col min="20" max="20" width="9.59765625" style="10" customWidth="1"/>
    <col min="21" max="21" width="1.265625" style="10" customWidth="1"/>
    <col min="22" max="22" width="9.59765625" style="10" customWidth="1"/>
    <col min="23" max="23" width="1.265625" style="10" customWidth="1"/>
    <col min="24" max="24" width="9.59765625" style="10" customWidth="1"/>
    <col min="25" max="25" width="1.265625" style="10" customWidth="1"/>
    <col min="26" max="26" width="9.59765625" style="10" customWidth="1"/>
    <col min="27" max="27" width="1.265625" style="10" customWidth="1"/>
    <col min="28" max="28" width="9.59765625" style="10" customWidth="1"/>
    <col min="29" max="29" width="1.265625" style="10" customWidth="1"/>
    <col min="30" max="30" width="10.59765625" style="10" customWidth="1"/>
    <col min="31" max="31" width="9.1328125" style="10"/>
    <col min="32" max="32" width="15.86328125" style="10" customWidth="1"/>
    <col min="33" max="33" width="9.59765625" style="10" customWidth="1"/>
    <col min="34" max="16384" width="9.1328125" style="10"/>
  </cols>
  <sheetData>
    <row r="1" spans="1:33" s="89" customFormat="1" x14ac:dyDescent="0.35">
      <c r="A1" s="88"/>
      <c r="F1" s="90">
        <v>39478</v>
      </c>
      <c r="G1" s="90"/>
      <c r="H1" s="90">
        <v>39506</v>
      </c>
      <c r="I1" s="90"/>
      <c r="J1" s="90">
        <v>39538</v>
      </c>
      <c r="K1" s="90"/>
      <c r="L1" s="90">
        <v>39568</v>
      </c>
      <c r="M1" s="90"/>
      <c r="N1" s="90">
        <v>39599</v>
      </c>
      <c r="O1" s="90"/>
      <c r="P1" s="90">
        <v>39629</v>
      </c>
      <c r="Q1" s="90"/>
      <c r="R1" s="90">
        <v>39660</v>
      </c>
      <c r="S1" s="90"/>
      <c r="T1" s="90">
        <v>39691</v>
      </c>
      <c r="U1" s="90"/>
      <c r="V1" s="90">
        <v>39721</v>
      </c>
      <c r="W1" s="90"/>
      <c r="X1" s="90">
        <v>39752</v>
      </c>
      <c r="Y1" s="90"/>
      <c r="Z1" s="90">
        <v>39782</v>
      </c>
      <c r="AA1" s="90"/>
      <c r="AB1" s="90">
        <v>39813</v>
      </c>
      <c r="AC1" s="90"/>
      <c r="AD1" s="120" t="s">
        <v>84</v>
      </c>
    </row>
    <row r="2" spans="1:33" x14ac:dyDescent="0.35">
      <c r="A2" s="11" t="s">
        <v>37</v>
      </c>
    </row>
    <row r="3" spans="1:33" x14ac:dyDescent="0.35">
      <c r="A3" s="11"/>
      <c r="C3" s="10">
        <v>2007</v>
      </c>
      <c r="F3" s="136">
        <v>3187</v>
      </c>
      <c r="G3" s="189"/>
      <c r="H3" s="136">
        <v>5015</v>
      </c>
      <c r="I3" s="189"/>
      <c r="J3" s="136">
        <v>1657</v>
      </c>
      <c r="K3" s="189"/>
      <c r="L3" s="136">
        <v>1472</v>
      </c>
      <c r="M3" s="189"/>
      <c r="N3" s="136">
        <v>961</v>
      </c>
      <c r="O3" s="189"/>
      <c r="P3" s="136">
        <v>784</v>
      </c>
      <c r="Q3" s="189"/>
      <c r="R3" s="136">
        <v>327</v>
      </c>
      <c r="S3" s="189"/>
      <c r="T3" s="136">
        <v>400</v>
      </c>
      <c r="U3" s="189"/>
      <c r="V3" s="136">
        <v>379</v>
      </c>
      <c r="W3" s="189"/>
      <c r="X3" s="136">
        <v>859</v>
      </c>
      <c r="Y3" s="189"/>
      <c r="Z3" s="136">
        <v>1941</v>
      </c>
      <c r="AA3" s="189"/>
      <c r="AB3" s="136">
        <v>2359</v>
      </c>
      <c r="AD3" s="92">
        <f t="shared" ref="AD3:AD8" si="0">SUM(F3:AB3)</f>
        <v>19341</v>
      </c>
    </row>
    <row r="4" spans="1:33" x14ac:dyDescent="0.35">
      <c r="C4" s="10">
        <v>2008</v>
      </c>
      <c r="F4" s="136">
        <v>6960</v>
      </c>
      <c r="G4" s="136"/>
      <c r="H4" s="136">
        <v>4115</v>
      </c>
      <c r="I4" s="136"/>
      <c r="J4" s="136">
        <v>3761</v>
      </c>
      <c r="K4" s="136"/>
      <c r="L4" s="136">
        <v>1428</v>
      </c>
      <c r="M4" s="136"/>
      <c r="N4" s="136">
        <v>1408</v>
      </c>
      <c r="O4" s="136"/>
      <c r="P4" s="136">
        <v>637</v>
      </c>
      <c r="Q4" s="136"/>
      <c r="R4" s="136">
        <v>786</v>
      </c>
      <c r="S4" s="136"/>
      <c r="T4" s="136">
        <v>683</v>
      </c>
      <c r="U4" s="136"/>
      <c r="V4" s="136">
        <v>851</v>
      </c>
      <c r="W4" s="136"/>
      <c r="X4" s="136">
        <v>1129</v>
      </c>
      <c r="Y4" s="136"/>
      <c r="Z4" s="136">
        <v>3712</v>
      </c>
      <c r="AA4" s="136"/>
      <c r="AB4" s="136">
        <v>3441</v>
      </c>
      <c r="AD4" s="92">
        <f t="shared" si="0"/>
        <v>28911</v>
      </c>
    </row>
    <row r="5" spans="1:33" x14ac:dyDescent="0.35">
      <c r="C5" s="10">
        <v>2009</v>
      </c>
      <c r="F5" s="136">
        <v>5621</v>
      </c>
      <c r="G5" s="136"/>
      <c r="H5" s="136">
        <v>4445</v>
      </c>
      <c r="I5" s="136"/>
      <c r="J5" s="136">
        <v>3436</v>
      </c>
      <c r="K5" s="136"/>
      <c r="L5" s="136">
        <v>1575</v>
      </c>
      <c r="M5" s="136"/>
      <c r="N5" s="136">
        <v>952</v>
      </c>
      <c r="O5" s="136"/>
      <c r="P5" s="136">
        <v>680</v>
      </c>
      <c r="Q5" s="136"/>
      <c r="R5" s="136">
        <v>726</v>
      </c>
      <c r="S5" s="136"/>
      <c r="T5" s="136">
        <v>669</v>
      </c>
      <c r="U5" s="136"/>
      <c r="V5" s="136">
        <v>749</v>
      </c>
      <c r="W5" s="136"/>
      <c r="X5" s="136">
        <v>1336</v>
      </c>
      <c r="Y5" s="136"/>
      <c r="Z5" s="136">
        <v>1726</v>
      </c>
      <c r="AA5" s="136"/>
      <c r="AB5" s="136">
        <v>5564</v>
      </c>
      <c r="AD5" s="92">
        <f t="shared" si="0"/>
        <v>27479</v>
      </c>
    </row>
    <row r="6" spans="1:33" x14ac:dyDescent="0.35">
      <c r="C6" s="110">
        <v>2010</v>
      </c>
      <c r="F6" s="136">
        <v>5820</v>
      </c>
      <c r="G6" s="136"/>
      <c r="H6" s="136">
        <v>6407</v>
      </c>
      <c r="I6" s="136"/>
      <c r="J6" s="136">
        <v>4116</v>
      </c>
      <c r="K6" s="136"/>
      <c r="L6" s="136">
        <v>1569</v>
      </c>
      <c r="M6" s="136"/>
      <c r="N6" s="136">
        <v>999</v>
      </c>
      <c r="O6" s="136"/>
      <c r="P6" s="136">
        <v>1082</v>
      </c>
      <c r="Q6" s="136"/>
      <c r="R6" s="136">
        <v>771</v>
      </c>
      <c r="S6" s="136"/>
      <c r="T6" s="136">
        <v>644</v>
      </c>
      <c r="U6" s="136"/>
      <c r="V6" s="136">
        <v>1097</v>
      </c>
      <c r="W6" s="136"/>
      <c r="X6" s="136">
        <v>1384</v>
      </c>
      <c r="Y6" s="136"/>
      <c r="Z6" s="136">
        <f>Z5</f>
        <v>1726</v>
      </c>
      <c r="AA6" s="136"/>
      <c r="AB6" s="136">
        <f>AB5</f>
        <v>5564</v>
      </c>
      <c r="AD6" s="92">
        <f t="shared" si="0"/>
        <v>31179</v>
      </c>
    </row>
    <row r="7" spans="1:33" x14ac:dyDescent="0.35">
      <c r="C7" s="110">
        <v>2011</v>
      </c>
      <c r="F7" s="136">
        <f>F6</f>
        <v>5820</v>
      </c>
      <c r="G7" s="136"/>
      <c r="H7" s="136">
        <f>H6</f>
        <v>6407</v>
      </c>
      <c r="I7" s="136"/>
      <c r="J7" s="174">
        <f>(3300+23969)/10</f>
        <v>2726.9</v>
      </c>
      <c r="K7" s="174"/>
      <c r="L7" s="174">
        <f>(1482+15249)/10</f>
        <v>1673.1</v>
      </c>
      <c r="M7" s="136"/>
      <c r="N7" s="136">
        <f>(848+12159)/10</f>
        <v>1300.7</v>
      </c>
      <c r="O7" s="136"/>
      <c r="P7" s="136">
        <f>(364+10924)/10</f>
        <v>1128.8</v>
      </c>
      <c r="Q7" s="136"/>
      <c r="R7" s="136">
        <f>(193+7201)/10</f>
        <v>739.4</v>
      </c>
      <c r="S7" s="136"/>
      <c r="T7" s="136">
        <f>(226+8545)/10</f>
        <v>877.1</v>
      </c>
      <c r="U7" s="136"/>
      <c r="V7" s="136">
        <f>(252+7848)/10</f>
        <v>810</v>
      </c>
      <c r="W7" s="136"/>
      <c r="X7" s="136">
        <f>(956+11577)/10</f>
        <v>1253.3</v>
      </c>
      <c r="Y7" s="136"/>
      <c r="Z7" s="136">
        <f>(2910+23112)/10</f>
        <v>2602.1999999999998</v>
      </c>
      <c r="AA7" s="136"/>
      <c r="AB7" s="136">
        <f>(4793+28560)/10</f>
        <v>3335.3</v>
      </c>
      <c r="AD7" s="92">
        <f t="shared" si="0"/>
        <v>28673.8</v>
      </c>
    </row>
    <row r="8" spans="1:33" s="110" customFormat="1" x14ac:dyDescent="0.35">
      <c r="C8" s="110">
        <v>2012</v>
      </c>
      <c r="F8" s="136">
        <f>(5885+45458)/10</f>
        <v>5134.3</v>
      </c>
      <c r="G8" s="136"/>
      <c r="H8" s="136">
        <f>(4826+31782)/10</f>
        <v>3660.8</v>
      </c>
      <c r="I8" s="136"/>
      <c r="J8" s="174">
        <f>(1568+17719)/10</f>
        <v>1928.7</v>
      </c>
      <c r="K8" s="174"/>
      <c r="L8" s="174">
        <f>(883+10883)/10</f>
        <v>1176.5999999999999</v>
      </c>
      <c r="M8" s="136"/>
      <c r="N8" s="136">
        <f>(305+12225)/10</f>
        <v>1253</v>
      </c>
      <c r="O8" s="136"/>
      <c r="P8" s="136">
        <f>(237+8564)/10</f>
        <v>880.1</v>
      </c>
      <c r="Q8" s="136"/>
      <c r="R8" s="136">
        <f>(209+10247)/10</f>
        <v>1045.5999999999999</v>
      </c>
      <c r="S8" s="136"/>
      <c r="T8" s="136">
        <f>(231+12042)/10</f>
        <v>1227.3</v>
      </c>
      <c r="U8" s="136"/>
      <c r="V8" s="136">
        <f>(240+10247)/10</f>
        <v>1048.7</v>
      </c>
      <c r="W8" s="136"/>
      <c r="X8" s="136">
        <f>(1453+16675)/10</f>
        <v>1812.8</v>
      </c>
      <c r="Y8" s="136"/>
      <c r="Z8" s="136">
        <f>(3606+33121)/10</f>
        <v>3672.7</v>
      </c>
      <c r="AA8" s="136"/>
      <c r="AB8" s="136">
        <f>(3597+2327+20930+1681)/10</f>
        <v>2853.5</v>
      </c>
      <c r="AD8" s="92">
        <f t="shared" si="0"/>
        <v>25694.100000000002</v>
      </c>
    </row>
    <row r="9" spans="1:33" s="110" customFormat="1" x14ac:dyDescent="0.35">
      <c r="C9" s="110">
        <v>2013</v>
      </c>
      <c r="F9" s="136">
        <f>(6571+3919+36932+13303)/10</f>
        <v>6072.5</v>
      </c>
      <c r="G9" s="136"/>
      <c r="H9" s="136">
        <f>43043/10</f>
        <v>4304.3</v>
      </c>
      <c r="I9" s="136"/>
      <c r="J9" s="174">
        <f>53801/10</f>
        <v>5380.1</v>
      </c>
      <c r="K9" s="174"/>
      <c r="L9" s="174">
        <f>25309/10</f>
        <v>2530.9</v>
      </c>
      <c r="M9" s="136"/>
      <c r="N9" s="136">
        <f>16030/10</f>
        <v>1603</v>
      </c>
      <c r="O9" s="136"/>
      <c r="P9" s="136">
        <f>9112/10</f>
        <v>911.2</v>
      </c>
      <c r="Q9" s="136"/>
      <c r="R9" s="136">
        <f>8098/10</f>
        <v>809.8</v>
      </c>
      <c r="S9" s="136"/>
      <c r="T9" s="136">
        <f>10472/10</f>
        <v>1047.2</v>
      </c>
      <c r="U9" s="136"/>
      <c r="V9" s="136">
        <f>10507/10</f>
        <v>1050.7</v>
      </c>
      <c r="W9" s="136"/>
      <c r="X9" s="136">
        <f>16184/10</f>
        <v>1618.4</v>
      </c>
      <c r="Y9" s="136"/>
      <c r="Z9" s="136">
        <v>2334</v>
      </c>
      <c r="AA9" s="136"/>
      <c r="AB9" s="136">
        <v>3906</v>
      </c>
      <c r="AD9" s="92">
        <f t="shared" ref="AD9:AD15" si="1">SUM(F9:AB9)</f>
        <v>31568.100000000002</v>
      </c>
    </row>
    <row r="10" spans="1:33" s="110" customFormat="1" x14ac:dyDescent="0.35">
      <c r="C10" s="110">
        <v>2014</v>
      </c>
      <c r="F10" s="136">
        <v>6465</v>
      </c>
      <c r="G10" s="136"/>
      <c r="H10" s="136">
        <v>5710</v>
      </c>
      <c r="I10" s="136"/>
      <c r="J10" s="174">
        <v>3962</v>
      </c>
      <c r="K10" s="174"/>
      <c r="L10" s="174">
        <v>2176</v>
      </c>
      <c r="M10" s="136"/>
      <c r="N10" s="136">
        <v>1037</v>
      </c>
      <c r="O10" s="136"/>
      <c r="P10" s="136">
        <v>999</v>
      </c>
      <c r="Q10" s="136"/>
      <c r="R10" s="136">
        <v>957</v>
      </c>
      <c r="S10" s="136"/>
      <c r="T10" s="136">
        <v>854</v>
      </c>
      <c r="U10" s="136"/>
      <c r="V10" s="136">
        <v>969</v>
      </c>
      <c r="W10" s="136"/>
      <c r="X10" s="136">
        <v>1749</v>
      </c>
      <c r="Y10" s="136"/>
      <c r="Z10" s="136">
        <v>3252</v>
      </c>
      <c r="AA10" s="136"/>
      <c r="AB10" s="136">
        <v>4410</v>
      </c>
      <c r="AD10" s="92">
        <f t="shared" si="1"/>
        <v>32540</v>
      </c>
    </row>
    <row r="11" spans="1:33" s="110" customFormat="1" x14ac:dyDescent="0.35">
      <c r="C11" s="110">
        <v>2015</v>
      </c>
      <c r="F11" s="136">
        <v>9046</v>
      </c>
      <c r="G11" s="136"/>
      <c r="H11" s="136">
        <v>11867</v>
      </c>
      <c r="I11" s="136"/>
      <c r="J11" s="174">
        <v>13351</v>
      </c>
      <c r="K11" s="174"/>
      <c r="L11" s="174">
        <v>9115</v>
      </c>
      <c r="M11" s="136"/>
      <c r="N11" s="136">
        <v>8724</v>
      </c>
      <c r="O11" s="136"/>
      <c r="P11" s="136">
        <v>6472</v>
      </c>
      <c r="Q11" s="136"/>
      <c r="R11" s="136">
        <v>6062</v>
      </c>
      <c r="S11" s="136"/>
      <c r="T11" s="136">
        <v>5148</v>
      </c>
      <c r="U11" s="136"/>
      <c r="V11" s="136">
        <v>5562</v>
      </c>
      <c r="W11" s="136"/>
      <c r="X11" s="136">
        <v>7939</v>
      </c>
      <c r="Y11" s="136"/>
      <c r="Z11" s="136">
        <v>8721</v>
      </c>
      <c r="AA11" s="136"/>
      <c r="AB11" s="136">
        <v>7043</v>
      </c>
      <c r="AD11" s="92">
        <f t="shared" si="1"/>
        <v>99050</v>
      </c>
    </row>
    <row r="12" spans="1:33" s="110" customFormat="1" x14ac:dyDescent="0.35">
      <c r="C12" s="110">
        <v>2016</v>
      </c>
      <c r="F12" s="136">
        <v>11015</v>
      </c>
      <c r="G12" s="136"/>
      <c r="H12" s="136">
        <v>10109</v>
      </c>
      <c r="I12" s="136"/>
      <c r="J12" s="174">
        <v>9340</v>
      </c>
      <c r="K12" s="174"/>
      <c r="L12" s="174">
        <v>7794</v>
      </c>
      <c r="M12" s="136"/>
      <c r="N12" s="136">
        <v>5474</v>
      </c>
      <c r="O12" s="136"/>
      <c r="P12" s="136">
        <v>4778</v>
      </c>
      <c r="Q12" s="136"/>
      <c r="R12" s="136">
        <v>4594</v>
      </c>
      <c r="S12" s="136"/>
      <c r="T12" s="136">
        <v>4462</v>
      </c>
      <c r="U12" s="136"/>
      <c r="V12" s="136">
        <v>5505</v>
      </c>
      <c r="W12" s="136"/>
      <c r="X12" s="136">
        <v>5465</v>
      </c>
      <c r="Y12" s="136"/>
      <c r="Z12" s="136">
        <v>7363</v>
      </c>
      <c r="AA12" s="136"/>
      <c r="AB12" s="136">
        <v>8826</v>
      </c>
      <c r="AD12" s="92">
        <f t="shared" si="1"/>
        <v>84725</v>
      </c>
    </row>
    <row r="13" spans="1:33" s="110" customFormat="1" x14ac:dyDescent="0.35">
      <c r="C13" s="110">
        <v>2017</v>
      </c>
      <c r="F13" s="136">
        <v>7634</v>
      </c>
      <c r="G13" s="136"/>
      <c r="H13" s="136">
        <v>6393</v>
      </c>
      <c r="I13" s="136"/>
      <c r="J13" s="174">
        <v>7774</v>
      </c>
      <c r="K13" s="174"/>
      <c r="L13" s="174">
        <v>6650</v>
      </c>
      <c r="M13" s="136"/>
      <c r="N13" s="136">
        <v>3981</v>
      </c>
      <c r="O13" s="136"/>
      <c r="P13" s="136">
        <v>3459</v>
      </c>
      <c r="Q13" s="136"/>
      <c r="R13" s="136">
        <v>2704</v>
      </c>
      <c r="S13" s="136"/>
      <c r="T13" s="136">
        <v>4983</v>
      </c>
      <c r="U13" s="136"/>
      <c r="V13" s="136">
        <v>6437</v>
      </c>
      <c r="W13" s="136"/>
      <c r="X13" s="136">
        <v>6306</v>
      </c>
      <c r="Y13" s="136"/>
      <c r="Z13" s="136">
        <v>10869</v>
      </c>
      <c r="AA13" s="136"/>
      <c r="AB13" s="136">
        <v>12716</v>
      </c>
      <c r="AD13" s="92">
        <f t="shared" si="1"/>
        <v>79906</v>
      </c>
    </row>
    <row r="14" spans="1:33" s="110" customFormat="1" x14ac:dyDescent="0.35">
      <c r="C14" s="110">
        <v>2018</v>
      </c>
      <c r="F14" s="112">
        <v>12306</v>
      </c>
      <c r="G14" s="112"/>
      <c r="H14" s="112">
        <v>12391</v>
      </c>
      <c r="I14" s="112"/>
      <c r="J14" s="174">
        <v>13164</v>
      </c>
      <c r="K14" s="174"/>
      <c r="L14" s="174">
        <v>10761</v>
      </c>
      <c r="M14" s="136"/>
      <c r="N14" s="136">
        <v>6961</v>
      </c>
      <c r="O14" s="112"/>
      <c r="P14" s="136">
        <v>6678</v>
      </c>
      <c r="Q14" s="136"/>
      <c r="R14" s="136">
        <v>5672</v>
      </c>
      <c r="S14" s="112"/>
      <c r="T14" s="92">
        <v>6855</v>
      </c>
      <c r="U14" s="112"/>
      <c r="V14" s="112">
        <v>6082.8</v>
      </c>
      <c r="W14" s="112"/>
      <c r="X14" s="112">
        <v>7301.3</v>
      </c>
      <c r="Y14" s="112"/>
      <c r="Z14" s="112">
        <v>13375.6</v>
      </c>
      <c r="AA14" s="112"/>
      <c r="AB14" s="112">
        <v>13910</v>
      </c>
      <c r="AD14" s="92">
        <f t="shared" si="1"/>
        <v>115457.70000000001</v>
      </c>
    </row>
    <row r="15" spans="1:33" s="110" customFormat="1" x14ac:dyDescent="0.35">
      <c r="C15" s="110">
        <v>2019</v>
      </c>
      <c r="F15" s="112">
        <v>12228</v>
      </c>
      <c r="G15" s="112"/>
      <c r="H15" s="112">
        <v>14660</v>
      </c>
      <c r="I15" s="112"/>
      <c r="J15" s="174">
        <v>12783</v>
      </c>
      <c r="K15" s="174"/>
      <c r="L15" s="174">
        <v>9302</v>
      </c>
      <c r="M15" s="136"/>
      <c r="N15" s="136">
        <v>9488</v>
      </c>
      <c r="O15" s="112"/>
      <c r="P15" s="136">
        <v>6501</v>
      </c>
      <c r="Q15" s="136"/>
      <c r="R15" s="136">
        <v>6289</v>
      </c>
      <c r="S15" s="112"/>
      <c r="T15" s="112">
        <v>6925</v>
      </c>
      <c r="U15" s="112"/>
      <c r="V15" s="112">
        <v>4629</v>
      </c>
      <c r="W15" s="112"/>
      <c r="X15" s="112">
        <v>5670</v>
      </c>
      <c r="Y15" s="112"/>
      <c r="Z15" s="112">
        <f>(8157+25419+79254+1932)/10</f>
        <v>11476.2</v>
      </c>
      <c r="AA15" s="112"/>
      <c r="AB15" s="112">
        <f>110608/10</f>
        <v>11060.8</v>
      </c>
      <c r="AD15" s="92">
        <f t="shared" si="1"/>
        <v>111012</v>
      </c>
      <c r="AF15" s="175" t="s">
        <v>128</v>
      </c>
      <c r="AG15" s="110" t="s">
        <v>121</v>
      </c>
    </row>
    <row r="16" spans="1:33" s="110" customFormat="1" x14ac:dyDescent="0.35">
      <c r="C16" s="110">
        <v>2020</v>
      </c>
      <c r="F16" s="112">
        <f>126026/10</f>
        <v>12602.6</v>
      </c>
      <c r="G16" s="112"/>
      <c r="H16" s="112">
        <f>121576/10</f>
        <v>12157.6</v>
      </c>
      <c r="I16" s="112"/>
      <c r="J16" s="91">
        <f>127017/10</f>
        <v>12701.7</v>
      </c>
      <c r="K16" s="174"/>
      <c r="L16" s="91">
        <f>103242/10</f>
        <v>10324.200000000001</v>
      </c>
      <c r="M16" s="136"/>
      <c r="N16" s="91">
        <f>75817/10</f>
        <v>7581.7</v>
      </c>
      <c r="O16" s="112"/>
      <c r="P16" s="136"/>
      <c r="Q16" s="136"/>
      <c r="R16" s="136"/>
      <c r="S16" s="112"/>
      <c r="T16" s="112"/>
      <c r="U16" s="112"/>
      <c r="V16" s="112"/>
      <c r="W16" s="112"/>
      <c r="X16" s="112"/>
      <c r="Y16" s="112"/>
      <c r="Z16" s="112"/>
      <c r="AA16" s="112"/>
      <c r="AB16" s="112"/>
      <c r="AD16" s="92"/>
      <c r="AF16" s="175"/>
    </row>
    <row r="17" spans="3:32" s="110" customFormat="1" x14ac:dyDescent="0.35">
      <c r="F17" s="112"/>
      <c r="G17" s="112"/>
      <c r="H17" s="112"/>
      <c r="I17" s="112"/>
      <c r="J17" s="174"/>
      <c r="K17" s="174"/>
      <c r="L17" s="174"/>
      <c r="M17" s="136"/>
      <c r="N17" s="136"/>
      <c r="O17" s="112"/>
      <c r="P17" s="136"/>
      <c r="Q17" s="136"/>
      <c r="R17" s="136"/>
      <c r="S17" s="112"/>
      <c r="T17" s="112"/>
      <c r="U17" s="112"/>
      <c r="V17" s="112"/>
      <c r="W17" s="112"/>
      <c r="X17" s="112"/>
      <c r="Y17" s="112"/>
      <c r="Z17" s="112"/>
      <c r="AA17" s="112"/>
      <c r="AB17" s="112"/>
      <c r="AD17" s="92"/>
      <c r="AF17" s="175"/>
    </row>
    <row r="18" spans="3:32" s="110" customFormat="1" x14ac:dyDescent="0.35">
      <c r="C18" s="206" t="s">
        <v>132</v>
      </c>
      <c r="F18" s="112"/>
      <c r="G18" s="112"/>
      <c r="H18" s="112"/>
      <c r="I18" s="112"/>
      <c r="J18" s="112">
        <f>SUM($F15:J15)+SUM(L14:$AB14)</f>
        <v>117267.70000000001</v>
      </c>
      <c r="K18" s="174"/>
      <c r="L18" s="174"/>
      <c r="M18" s="136"/>
      <c r="N18" s="136"/>
      <c r="O18" s="112"/>
      <c r="P18" s="112">
        <f>SUM($F15:P15)+SUM(R14:$AB14)</f>
        <v>118158.7</v>
      </c>
      <c r="Q18" s="136"/>
      <c r="R18" s="136"/>
      <c r="S18" s="112"/>
      <c r="T18" s="112"/>
      <c r="U18" s="112"/>
      <c r="V18" s="112">
        <f>SUM($F15:V15)+SUM(X14:$AB14)</f>
        <v>117391.9</v>
      </c>
      <c r="W18" s="112"/>
      <c r="X18" s="112"/>
      <c r="Y18" s="112"/>
      <c r="Z18" s="112"/>
      <c r="AA18" s="112"/>
      <c r="AB18" s="112">
        <f>AD15</f>
        <v>111012</v>
      </c>
      <c r="AD18" s="92"/>
      <c r="AF18" s="175"/>
    </row>
    <row r="19" spans="3:32" x14ac:dyDescent="0.35">
      <c r="F19" s="92"/>
      <c r="G19" s="92"/>
      <c r="H19" s="92"/>
      <c r="I19" s="92"/>
      <c r="J19" s="91"/>
      <c r="K19" s="91"/>
      <c r="L19" s="91"/>
      <c r="M19" s="92"/>
      <c r="N19" s="92"/>
      <c r="O19" s="92"/>
      <c r="P19" s="92"/>
      <c r="Q19" s="92"/>
      <c r="R19" s="92"/>
      <c r="S19" s="92"/>
      <c r="T19" s="92"/>
      <c r="U19" s="92"/>
      <c r="V19" s="92"/>
      <c r="W19" s="92"/>
      <c r="X19" s="92"/>
      <c r="Y19" s="92"/>
      <c r="Z19" s="92"/>
      <c r="AA19" s="92"/>
      <c r="AB19" s="92"/>
    </row>
    <row r="20" spans="3:32" x14ac:dyDescent="0.35">
      <c r="C20" s="205" t="s">
        <v>129</v>
      </c>
      <c r="F20" s="92">
        <f>AVERAGE(F12:F16)</f>
        <v>11157.119999999999</v>
      </c>
      <c r="H20" s="92">
        <f>AVERAGE(H12:H16)</f>
        <v>11142.119999999999</v>
      </c>
      <c r="J20" s="92">
        <f>AVERAGE(J12:J16)</f>
        <v>11152.539999999999</v>
      </c>
      <c r="L20" s="92">
        <f>AVERAGE(L12:L16)</f>
        <v>8966.24</v>
      </c>
      <c r="N20" s="92">
        <f>AVERAGE(N11:N15)</f>
        <v>6925.6</v>
      </c>
      <c r="P20" s="92">
        <f>AVERAGE(P11:P15)</f>
        <v>5577.6</v>
      </c>
      <c r="R20" s="92">
        <f>AVERAGE(R11:R15)</f>
        <v>5064.2</v>
      </c>
      <c r="T20" s="92">
        <f>AVERAGE(T11:T15)</f>
        <v>5674.6</v>
      </c>
      <c r="V20" s="92">
        <f>AVERAGE(V11:V15)</f>
        <v>5643.16</v>
      </c>
      <c r="X20" s="92">
        <f>AVERAGE(X11:X15)</f>
        <v>6536.26</v>
      </c>
      <c r="Z20" s="92">
        <f>AVERAGE(Z11:Z15)</f>
        <v>10360.960000000001</v>
      </c>
      <c r="AB20" s="92">
        <f>AVERAGE(AB11:AB15)</f>
        <v>10711.16</v>
      </c>
      <c r="AD20" s="92">
        <f>SUM(F20:AB20)</f>
        <v>98911.56</v>
      </c>
    </row>
    <row r="22" spans="3:32" x14ac:dyDescent="0.35">
      <c r="P22" s="119"/>
      <c r="R22" s="92"/>
      <c r="V22" s="194"/>
    </row>
    <row r="23" spans="3:32" x14ac:dyDescent="0.35">
      <c r="L23" s="92"/>
      <c r="P23" s="119"/>
      <c r="R23" s="92"/>
      <c r="T23" s="92"/>
      <c r="V23" s="92"/>
      <c r="X23" s="92"/>
      <c r="Z23" s="92"/>
      <c r="AB23" s="92"/>
      <c r="AD23" s="92"/>
    </row>
    <row r="24" spans="3:32" x14ac:dyDescent="0.35">
      <c r="F24" s="92"/>
      <c r="H24" s="92"/>
      <c r="J24" s="92"/>
      <c r="L24" s="92"/>
      <c r="N24" s="92"/>
      <c r="P24" s="92"/>
      <c r="R24" s="92"/>
      <c r="T24" s="92"/>
    </row>
    <row r="25" spans="3:32" x14ac:dyDescent="0.35">
      <c r="L25" s="92"/>
    </row>
    <row r="26" spans="3:32" x14ac:dyDescent="0.35">
      <c r="L26" s="92"/>
    </row>
    <row r="27" spans="3:32" x14ac:dyDescent="0.35">
      <c r="L27" s="92"/>
    </row>
    <row r="28" spans="3:32" x14ac:dyDescent="0.35">
      <c r="L28" s="92"/>
    </row>
    <row r="29" spans="3:32" x14ac:dyDescent="0.35">
      <c r="L29" s="92"/>
    </row>
    <row r="30" spans="3:32" x14ac:dyDescent="0.35">
      <c r="L30" s="92"/>
    </row>
    <row r="31" spans="3:32" x14ac:dyDescent="0.35">
      <c r="L31" s="92"/>
    </row>
    <row r="32" spans="3:32" x14ac:dyDescent="0.35">
      <c r="L32" s="92"/>
    </row>
  </sheetData>
  <pageMargins left="0.5" right="0.5" top="1" bottom="1" header="0.5" footer="0.5"/>
  <pageSetup scale="82" orientation="landscape" blackAndWhite="1" r:id="rId1"/>
  <headerFooter>
    <oddHeader>&amp;C&amp;"Arial,Bold"Sales History&amp;"Arial,Regular"
&amp;R&amp;"Arial,Bold"Navitas KY NG, LLC</oddHeader>
    <oddFooter>&amp;L&amp;F&amp;C&amp;A&amp;R&amp;D&amp;T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Cover page</vt:lpstr>
      <vt:lpstr>Summary (SI)</vt:lpstr>
      <vt:lpstr>EGC (SII)</vt:lpstr>
      <vt:lpstr>RA (SIII)</vt:lpstr>
      <vt:lpstr>Actual Adjustment (SIV)</vt:lpstr>
      <vt:lpstr>BA (SV)</vt:lpstr>
      <vt:lpstr>19-430 (VI)</vt:lpstr>
      <vt:lpstr>EGC application</vt:lpstr>
      <vt:lpstr>Sales</vt:lpstr>
      <vt:lpstr>Sheet1</vt:lpstr>
      <vt:lpstr>'19-430 (VI)'!Print_Area</vt:lpstr>
      <vt:lpstr>'Actual Adjustment (SIV)'!Print_Area</vt:lpstr>
      <vt:lpstr>'BA (SV)'!Print_Area</vt:lpstr>
      <vt:lpstr>'RA (SIII)'!Print_Area</vt:lpstr>
      <vt:lpstr>Sales!Print_Area</vt:lpstr>
      <vt:lpstr>'19-430 (VI)'!Print_Titles</vt:lpstr>
      <vt:lpstr>'Actual Adjustment (SIV)'!Print_Titles</vt:lpstr>
      <vt:lpstr>'BA (SV)'!Print_Titles</vt:lpstr>
      <vt:lpstr>'RA (SIII)'!Print_Titles</vt:lpstr>
    </vt:vector>
  </TitlesOfParts>
  <Company>Kentucky Public Service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McGee</dc:creator>
  <cp:lastModifiedBy>Allyson Honaker</cp:lastModifiedBy>
  <cp:lastPrinted>2020-03-24T00:48:01Z</cp:lastPrinted>
  <dcterms:created xsi:type="dcterms:W3CDTF">2006-10-26T17:11:15Z</dcterms:created>
  <dcterms:modified xsi:type="dcterms:W3CDTF">2020-06-30T20:29:18Z</dcterms:modified>
</cp:coreProperties>
</file>