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730" yWindow="2175" windowWidth="21600" windowHeight="13425" activeTab="5"/>
  </bookViews>
  <sheets>
    <sheet name="SOUTHEAST" sheetId="1" r:id="rId1"/>
    <sheet name="WEST" sheetId="2" r:id="rId2"/>
    <sheet name="PLAN TO CATEGORY" sheetId="3" r:id="rId3"/>
    <sheet name="SOUTHEAST INS BREAKDOWN" sheetId="4" r:id="rId4"/>
    <sheet name="WEST INS BREAKDOWN" sheetId="5" r:id="rId5"/>
    <sheet name="Adjustments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6"/>
  <c r="I14"/>
  <c r="I13"/>
  <c r="C10"/>
  <c r="H9"/>
  <c r="J9" s="1"/>
  <c r="D9"/>
  <c r="E9" s="1"/>
  <c r="J8"/>
  <c r="H8"/>
  <c r="D8"/>
  <c r="E8" s="1"/>
  <c r="J7"/>
  <c r="H7"/>
  <c r="H10" s="1"/>
  <c r="E7"/>
  <c r="D7"/>
  <c r="F7" s="1"/>
  <c r="J10" l="1"/>
  <c r="F9"/>
  <c r="D10"/>
  <c r="F8"/>
  <c r="G35" i="3"/>
  <c r="F10" i="6" l="1"/>
  <c r="E10"/>
  <c r="G88" i="5"/>
  <c r="G87"/>
  <c r="G86"/>
  <c r="G85"/>
  <c r="G84"/>
  <c r="I84" s="1"/>
  <c r="G83"/>
  <c r="G82"/>
  <c r="G81"/>
  <c r="G80"/>
  <c r="I80" s="1"/>
  <c r="G79"/>
  <c r="G78"/>
  <c r="G77"/>
  <c r="G76"/>
  <c r="I76" s="1"/>
  <c r="G75"/>
  <c r="G74"/>
  <c r="I74" s="1"/>
  <c r="G73"/>
  <c r="G72"/>
  <c r="I72" s="1"/>
  <c r="G71"/>
  <c r="G70"/>
  <c r="I70" s="1"/>
  <c r="G69"/>
  <c r="G68"/>
  <c r="I68" s="1"/>
  <c r="G67"/>
  <c r="G66"/>
  <c r="G65"/>
  <c r="G58"/>
  <c r="G57"/>
  <c r="G54"/>
  <c r="I54" s="1"/>
  <c r="G53"/>
  <c r="I53" s="1"/>
  <c r="F61"/>
  <c r="G60"/>
  <c r="G59"/>
  <c r="I59" s="1"/>
  <c r="G56"/>
  <c r="G55"/>
  <c r="I55" s="1"/>
  <c r="G51"/>
  <c r="I51" s="1"/>
  <c r="G50"/>
  <c r="I50" s="1"/>
  <c r="G49"/>
  <c r="I49" s="1"/>
  <c r="G48"/>
  <c r="G47"/>
  <c r="G46"/>
  <c r="G45"/>
  <c r="I45" s="1"/>
  <c r="G44"/>
  <c r="G43"/>
  <c r="I43" s="1"/>
  <c r="G42"/>
  <c r="I42" s="1"/>
  <c r="G41"/>
  <c r="G40"/>
  <c r="G39"/>
  <c r="G38"/>
  <c r="I38" s="1"/>
  <c r="G37"/>
  <c r="F19"/>
  <c r="F18"/>
  <c r="F17"/>
  <c r="F16"/>
  <c r="F15"/>
  <c r="F13"/>
  <c r="F12"/>
  <c r="F11"/>
  <c r="F10"/>
  <c r="F9"/>
  <c r="I9" s="1"/>
  <c r="G32"/>
  <c r="I32" s="1"/>
  <c r="G31"/>
  <c r="G30"/>
  <c r="G29"/>
  <c r="I29" s="1"/>
  <c r="G28"/>
  <c r="G27"/>
  <c r="G26"/>
  <c r="G25"/>
  <c r="G24"/>
  <c r="I24" s="1"/>
  <c r="G23"/>
  <c r="G22"/>
  <c r="I22" s="1"/>
  <c r="G21"/>
  <c r="I21" s="1"/>
  <c r="G20"/>
  <c r="I20" s="1"/>
  <c r="G19"/>
  <c r="G18"/>
  <c r="G17"/>
  <c r="G16"/>
  <c r="G15"/>
  <c r="I15" s="1"/>
  <c r="G14"/>
  <c r="I14" s="1"/>
  <c r="G13"/>
  <c r="I13" s="1"/>
  <c r="G12"/>
  <c r="I12" s="1"/>
  <c r="G11"/>
  <c r="I11" s="1"/>
  <c r="G10"/>
  <c r="G9"/>
  <c r="E89"/>
  <c r="E96" s="1"/>
  <c r="D89"/>
  <c r="D96" s="1"/>
  <c r="C89"/>
  <c r="C96" s="1"/>
  <c r="B89"/>
  <c r="B96" s="1"/>
  <c r="I88"/>
  <c r="I66"/>
  <c r="E61"/>
  <c r="E95" s="1"/>
  <c r="D61"/>
  <c r="D95" s="1"/>
  <c r="C61"/>
  <c r="C95" s="1"/>
  <c r="B61"/>
  <c r="B95" s="1"/>
  <c r="I47"/>
  <c r="I46"/>
  <c r="I41"/>
  <c r="F33"/>
  <c r="F94" s="1"/>
  <c r="E33"/>
  <c r="E94" s="1"/>
  <c r="D33"/>
  <c r="D94" s="1"/>
  <c r="C33"/>
  <c r="C94" s="1"/>
  <c r="B33"/>
  <c r="I31"/>
  <c r="I30"/>
  <c r="I28"/>
  <c r="I27"/>
  <c r="I26"/>
  <c r="I25"/>
  <c r="I23"/>
  <c r="I19"/>
  <c r="I18"/>
  <c r="I17"/>
  <c r="I16"/>
  <c r="C35" i="3"/>
  <c r="C34"/>
  <c r="E34" s="1"/>
  <c r="B50"/>
  <c r="G49"/>
  <c r="E49"/>
  <c r="D49"/>
  <c r="G48"/>
  <c r="E48"/>
  <c r="G47"/>
  <c r="G50" s="1"/>
  <c r="E47"/>
  <c r="C50"/>
  <c r="B36"/>
  <c r="E35"/>
  <c r="G34"/>
  <c r="G33"/>
  <c r="E33"/>
  <c r="F88" i="4"/>
  <c r="F87"/>
  <c r="G87" s="1"/>
  <c r="I87" s="1"/>
  <c r="F86"/>
  <c r="G86" s="1"/>
  <c r="I86" s="1"/>
  <c r="F85"/>
  <c r="F84"/>
  <c r="G84" s="1"/>
  <c r="I84" s="1"/>
  <c r="F83"/>
  <c r="F82"/>
  <c r="G82" s="1"/>
  <c r="I82" s="1"/>
  <c r="F81"/>
  <c r="G81" s="1"/>
  <c r="I81" s="1"/>
  <c r="F80"/>
  <c r="G80" s="1"/>
  <c r="I80" s="1"/>
  <c r="F79"/>
  <c r="G79" s="1"/>
  <c r="I79" s="1"/>
  <c r="F78"/>
  <c r="G78" s="1"/>
  <c r="I78" s="1"/>
  <c r="F77"/>
  <c r="F76"/>
  <c r="G76" s="1"/>
  <c r="F75"/>
  <c r="G75" s="1"/>
  <c r="I75" s="1"/>
  <c r="F74"/>
  <c r="G74" s="1"/>
  <c r="I74" s="1"/>
  <c r="F73"/>
  <c r="F72"/>
  <c r="G72" s="1"/>
  <c r="I72" s="1"/>
  <c r="F71"/>
  <c r="G71" s="1"/>
  <c r="I71" s="1"/>
  <c r="F70"/>
  <c r="G70" s="1"/>
  <c r="I70" s="1"/>
  <c r="F69"/>
  <c r="F68"/>
  <c r="F67"/>
  <c r="G67" s="1"/>
  <c r="I67" s="1"/>
  <c r="F66"/>
  <c r="F65"/>
  <c r="G85"/>
  <c r="I85" s="1"/>
  <c r="G83"/>
  <c r="I83" s="1"/>
  <c r="G73"/>
  <c r="I73" s="1"/>
  <c r="G68"/>
  <c r="I68" s="1"/>
  <c r="F60"/>
  <c r="F59"/>
  <c r="F58"/>
  <c r="F57"/>
  <c r="I57" s="1"/>
  <c r="F56"/>
  <c r="F55"/>
  <c r="G55" s="1"/>
  <c r="I55" s="1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I47"/>
  <c r="G60"/>
  <c r="I60" s="1"/>
  <c r="G57"/>
  <c r="G54"/>
  <c r="I54" s="1"/>
  <c r="G51"/>
  <c r="I51" s="1"/>
  <c r="G50"/>
  <c r="I50" s="1"/>
  <c r="G49"/>
  <c r="I49" s="1"/>
  <c r="G48"/>
  <c r="I48" s="1"/>
  <c r="G47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I19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F89" i="5" l="1"/>
  <c r="F96" s="1"/>
  <c r="I57"/>
  <c r="G52"/>
  <c r="I52" s="1"/>
  <c r="I58"/>
  <c r="E97"/>
  <c r="G33"/>
  <c r="G94" s="1"/>
  <c r="B94"/>
  <c r="B97" s="1"/>
  <c r="D101" s="1"/>
  <c r="I71"/>
  <c r="I40"/>
  <c r="I85"/>
  <c r="C97"/>
  <c r="D106" s="1"/>
  <c r="D97"/>
  <c r="F95"/>
  <c r="I81"/>
  <c r="I60"/>
  <c r="I69"/>
  <c r="I78"/>
  <c r="I82"/>
  <c r="I86"/>
  <c r="I75"/>
  <c r="I79"/>
  <c r="I83"/>
  <c r="I87"/>
  <c r="I10"/>
  <c r="I77"/>
  <c r="I37"/>
  <c r="I67"/>
  <c r="I39"/>
  <c r="I73"/>
  <c r="I44"/>
  <c r="I48"/>
  <c r="I56"/>
  <c r="G36" i="3"/>
  <c r="D50"/>
  <c r="E50"/>
  <c r="D48"/>
  <c r="D33"/>
  <c r="C36"/>
  <c r="D36" s="1"/>
  <c r="D35"/>
  <c r="D34"/>
  <c r="D47"/>
  <c r="G56" i="4"/>
  <c r="I56" s="1"/>
  <c r="G88"/>
  <c r="I88" s="1"/>
  <c r="G77"/>
  <c r="I77" s="1"/>
  <c r="G66"/>
  <c r="I66" s="1"/>
  <c r="G69"/>
  <c r="I69" s="1"/>
  <c r="I76"/>
  <c r="G65"/>
  <c r="G52"/>
  <c r="I52" s="1"/>
  <c r="G53"/>
  <c r="I53" s="1"/>
  <c r="G58"/>
  <c r="I58" s="1"/>
  <c r="G59"/>
  <c r="I59" s="1"/>
  <c r="G33"/>
  <c r="G94" s="1"/>
  <c r="F97" i="5" l="1"/>
  <c r="D102" s="1"/>
  <c r="D103" s="1"/>
  <c r="J15" i="6" s="1"/>
  <c r="J17" s="1"/>
  <c r="G89" i="5"/>
  <c r="G96" s="1"/>
  <c r="I96" s="1"/>
  <c r="G61"/>
  <c r="G95" s="1"/>
  <c r="I33"/>
  <c r="I94"/>
  <c r="I65"/>
  <c r="E36" i="3"/>
  <c r="I65" i="4"/>
  <c r="G89"/>
  <c r="G96" s="1"/>
  <c r="G61"/>
  <c r="G95" s="1"/>
  <c r="G97" s="1"/>
  <c r="D107" s="1"/>
  <c r="I61" i="5" l="1"/>
  <c r="I89"/>
  <c r="G97"/>
  <c r="I95"/>
  <c r="D107" l="1"/>
  <c r="D108" s="1"/>
  <c r="E108" s="1"/>
  <c r="I97"/>
  <c r="F89" i="4" l="1"/>
  <c r="E89"/>
  <c r="E96" s="1"/>
  <c r="D89"/>
  <c r="D96" s="1"/>
  <c r="C89"/>
  <c r="C96" s="1"/>
  <c r="B89"/>
  <c r="B96" s="1"/>
  <c r="F96" l="1"/>
  <c r="I96" s="1"/>
  <c r="I89"/>
  <c r="F61" l="1"/>
  <c r="E61"/>
  <c r="E95" s="1"/>
  <c r="D61"/>
  <c r="D95" s="1"/>
  <c r="C61"/>
  <c r="C95" s="1"/>
  <c r="B61"/>
  <c r="B95" s="1"/>
  <c r="F33"/>
  <c r="F94" s="1"/>
  <c r="E33"/>
  <c r="E94" s="1"/>
  <c r="E97" s="1"/>
  <c r="D33"/>
  <c r="D94" s="1"/>
  <c r="D97" s="1"/>
  <c r="C33"/>
  <c r="C94" s="1"/>
  <c r="C97" s="1"/>
  <c r="D106" s="1"/>
  <c r="D108" s="1"/>
  <c r="E108" s="1"/>
  <c r="B33"/>
  <c r="B94" l="1"/>
  <c r="I94" s="1"/>
  <c r="I33"/>
  <c r="I95"/>
  <c r="F95"/>
  <c r="F97" s="1"/>
  <c r="D102" s="1"/>
  <c r="I61"/>
  <c r="E27" i="2"/>
  <c r="D27"/>
  <c r="C27"/>
  <c r="B27"/>
  <c r="E27" i="1"/>
  <c r="D27"/>
  <c r="C27"/>
  <c r="B27"/>
  <c r="G10" i="3"/>
  <c r="G24"/>
  <c r="G23"/>
  <c r="G22"/>
  <c r="G21"/>
  <c r="G9"/>
  <c r="G8"/>
  <c r="G7"/>
  <c r="B97" i="4" l="1"/>
  <c r="I97" s="1"/>
  <c r="D101"/>
  <c r="D103" s="1"/>
  <c r="I15" i="6" s="1"/>
  <c r="I17" s="1"/>
  <c r="E24" i="3"/>
  <c r="D24"/>
  <c r="C24"/>
  <c r="B24"/>
  <c r="E10"/>
  <c r="D10"/>
  <c r="C10"/>
  <c r="B10"/>
  <c r="C23"/>
  <c r="E23" s="1"/>
  <c r="C22"/>
  <c r="E22" s="1"/>
  <c r="E21"/>
  <c r="C21"/>
  <c r="D21" s="1"/>
  <c r="E9"/>
  <c r="D9"/>
  <c r="E8"/>
  <c r="D8"/>
  <c r="C9"/>
  <c r="C8"/>
  <c r="E7"/>
  <c r="D7"/>
  <c r="C7"/>
  <c r="D23" l="1"/>
  <c r="D22"/>
  <c r="D19" i="2"/>
  <c r="C19"/>
  <c r="B19"/>
  <c r="E18"/>
  <c r="E17"/>
  <c r="E16"/>
  <c r="E15"/>
  <c r="E14"/>
  <c r="E13"/>
  <c r="E12"/>
  <c r="E11"/>
  <c r="E10"/>
  <c r="E9"/>
  <c r="E8"/>
  <c r="E7"/>
  <c r="E25" i="1"/>
  <c r="E18"/>
  <c r="E17"/>
  <c r="E16"/>
  <c r="E15"/>
  <c r="E14"/>
  <c r="E13"/>
  <c r="E12"/>
  <c r="E11"/>
  <c r="E10"/>
  <c r="E9"/>
  <c r="E8"/>
  <c r="E7"/>
  <c r="D19"/>
  <c r="C19"/>
  <c r="B19"/>
  <c r="B23" i="2" l="1"/>
  <c r="C23"/>
  <c r="D23"/>
  <c r="B23" i="1"/>
  <c r="E19" i="2"/>
  <c r="E25"/>
  <c r="D23" i="1"/>
  <c r="E19"/>
  <c r="E23" s="1"/>
  <c r="C23"/>
  <c r="E23" i="2" l="1"/>
</calcChain>
</file>

<file path=xl/sharedStrings.xml><?xml version="1.0" encoding="utf-8"?>
<sst xmlns="http://schemas.openxmlformats.org/spreadsheetml/2006/main" count="247" uniqueCount="66">
  <si>
    <t>SOUTHEAST DAVIESS COUNTY WATER DISTRICT</t>
  </si>
  <si>
    <t>HEALTH INSURANCE CALCULATION</t>
  </si>
  <si>
    <t>604-8</t>
  </si>
  <si>
    <t>ADMIN</t>
  </si>
  <si>
    <t>604-5</t>
  </si>
  <si>
    <t>MAINT</t>
  </si>
  <si>
    <t>OFFICE</t>
  </si>
  <si>
    <t>604-7</t>
  </si>
  <si>
    <t>TOTAL</t>
  </si>
  <si>
    <t>EMPLOYEE CONTRIBUTION</t>
  </si>
  <si>
    <t>NET AMT DISTRICT PAID</t>
  </si>
  <si>
    <t>MONTH</t>
  </si>
  <si>
    <t>PREMIUM</t>
  </si>
  <si>
    <t>WEST DAVIESS COUNTY WATER DISTRICT</t>
  </si>
  <si>
    <t xml:space="preserve"> </t>
  </si>
  <si>
    <t>EE CONT / TOTAL PREMIUM</t>
  </si>
  <si>
    <t>EE ONLY</t>
  </si>
  <si>
    <t>EE AND SPOUSE</t>
  </si>
  <si>
    <t>FAMILY</t>
  </si>
  <si>
    <t>MONTHLY</t>
  </si>
  <si>
    <t>EMPLOYEE</t>
  </si>
  <si>
    <t>CONTRIBUTION</t>
  </si>
  <si>
    <t>PERCENTAGE</t>
  </si>
  <si>
    <t xml:space="preserve">WATER DISTRICT </t>
  </si>
  <si>
    <t>HUMANA  JAN - DEC 2019</t>
  </si>
  <si>
    <t xml:space="preserve">ANTHEM B/C &amp; B/S (JAN 2020 - CURRENT) </t>
  </si>
  <si>
    <t>TRIAL BALANCE BREAKDOWN OF HEALTH, STD, LTD, LIFE INSURANCE, AND DENTAL INS.</t>
  </si>
  <si>
    <t>TRIAL BALANCE ACCOUNTS 604-5, 604-7, &amp; 604-8</t>
  </si>
  <si>
    <t>ACCOUNT 604-5</t>
  </si>
  <si>
    <t>HEALTH</t>
  </si>
  <si>
    <t>DENTAL</t>
  </si>
  <si>
    <t>STD,LTD, LIFE</t>
  </si>
  <si>
    <t xml:space="preserve">DEDUCTION </t>
  </si>
  <si>
    <t>MED REIM</t>
  </si>
  <si>
    <t>ACCOUNT 604-7</t>
  </si>
  <si>
    <t>ACCOUNT 604-8</t>
  </si>
  <si>
    <t>TOTAL OF 604-5, 604-7, &amp; 604-8</t>
  </si>
  <si>
    <t>TOTAL COST OF HEALTH INSURANCE (HEALTH LESS PAYROLL DEDUCTION)</t>
  </si>
  <si>
    <t>TOTAL COST OF DENTAL INSURANCE (DENTAL LESS PAYROLL DEDUCTION)</t>
  </si>
  <si>
    <t>DELTA DENTAL  JAN - DEC 2019</t>
  </si>
  <si>
    <t xml:space="preserve">DELTA DENTAL (JAN 2020 - CURRENT) </t>
  </si>
  <si>
    <t># EMPL</t>
  </si>
  <si>
    <t>BLS</t>
  </si>
  <si>
    <t>BLS Avg.</t>
  </si>
  <si>
    <t xml:space="preserve">WATER DIST </t>
  </si>
  <si>
    <t>No. in</t>
  </si>
  <si>
    <t>ANNUAL</t>
  </si>
  <si>
    <t>Employer</t>
  </si>
  <si>
    <t>CONTRIB</t>
  </si>
  <si>
    <t>CONTRIB %</t>
  </si>
  <si>
    <t>Ea. Teir</t>
  </si>
  <si>
    <t>Share</t>
  </si>
  <si>
    <t>Premium</t>
  </si>
  <si>
    <t>Southeast</t>
  </si>
  <si>
    <t>West</t>
  </si>
  <si>
    <t xml:space="preserve">Multiply Total Premium by Allocation Factor  </t>
  </si>
  <si>
    <t xml:space="preserve">Pro Forma Allocated Health Insurance Expense  </t>
  </si>
  <si>
    <t xml:space="preserve">Less Test Year Health Insurance Expense  </t>
  </si>
  <si>
    <t>PRO FORMA HEALTH INSURANCE EXPENSE AND CORRECTED ADJUSTMENTS</t>
  </si>
  <si>
    <t>Southeast and West Daviess County Water Districts</t>
  </si>
  <si>
    <t xml:space="preserve">Pro Forma Health Insurance Adjustments  </t>
  </si>
  <si>
    <t>Less Amount Paid by Employees</t>
  </si>
  <si>
    <t>Total Health Ins. Premium Paid by District</t>
  </si>
  <si>
    <t>Total Health Ins. Premium</t>
  </si>
  <si>
    <t>Total Dental Ins. Premium</t>
  </si>
  <si>
    <t>Total Dental Ins. Premium Paid by District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</si>
</sst>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8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10" fontId="0" fillId="0" borderId="0" xfId="2" applyNumberFormat="1" applyFont="1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1" xfId="0" applyNumberFormat="1" applyBorder="1" applyAlignment="1">
      <alignment horizontal="left"/>
    </xf>
    <xf numFmtId="44" fontId="0" fillId="0" borderId="0" xfId="0" applyNumberFormat="1"/>
    <xf numFmtId="0" fontId="0" fillId="0" borderId="1" xfId="0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4" fontId="0" fillId="0" borderId="0" xfId="0" applyNumberFormat="1"/>
    <xf numFmtId="43" fontId="0" fillId="0" borderId="0" xfId="3" applyFont="1"/>
    <xf numFmtId="43" fontId="0" fillId="0" borderId="1" xfId="3" applyFont="1" applyBorder="1"/>
    <xf numFmtId="43" fontId="0" fillId="0" borderId="0" xfId="0" applyNumberFormat="1"/>
    <xf numFmtId="4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10" fontId="0" fillId="0" borderId="0" xfId="2" applyNumberFormat="1" applyFont="1" applyBorder="1" applyAlignment="1">
      <alignment horizontal="center"/>
    </xf>
    <xf numFmtId="164" fontId="0" fillId="0" borderId="6" xfId="3" applyNumberFormat="1" applyFont="1" applyBorder="1"/>
    <xf numFmtId="44" fontId="0" fillId="0" borderId="0" xfId="0" applyNumberFormat="1" applyBorder="1"/>
    <xf numFmtId="0" fontId="0" fillId="0" borderId="7" xfId="0" applyBorder="1"/>
    <xf numFmtId="44" fontId="0" fillId="0" borderId="1" xfId="0" applyNumberFormat="1" applyBorder="1"/>
    <xf numFmtId="164" fontId="0" fillId="0" borderId="8" xfId="3" applyNumberFormat="1" applyFont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4" applyFont="1"/>
    <xf numFmtId="10" fontId="4" fillId="0" borderId="0" xfId="2" applyNumberFormat="1" applyFont="1" applyAlignment="1">
      <alignment horizontal="center"/>
    </xf>
    <xf numFmtId="44" fontId="4" fillId="0" borderId="0" xfId="0" applyNumberFormat="1" applyFont="1"/>
    <xf numFmtId="9" fontId="4" fillId="0" borderId="0" xfId="2" applyFont="1" applyAlignment="1">
      <alignment horizontal="center"/>
    </xf>
    <xf numFmtId="43" fontId="4" fillId="0" borderId="0" xfId="3" applyFont="1"/>
    <xf numFmtId="43" fontId="4" fillId="0" borderId="0" xfId="5" applyFont="1"/>
    <xf numFmtId="44" fontId="4" fillId="0" borderId="1" xfId="4" applyFont="1" applyBorder="1"/>
    <xf numFmtId="43" fontId="4" fillId="0" borderId="1" xfId="3" applyFont="1" applyBorder="1"/>
    <xf numFmtId="10" fontId="4" fillId="0" borderId="1" xfId="2" applyNumberFormat="1" applyFont="1" applyBorder="1" applyAlignment="1">
      <alignment horizontal="center"/>
    </xf>
    <xf numFmtId="43" fontId="7" fillId="0" borderId="0" xfId="5" applyFont="1"/>
    <xf numFmtId="164" fontId="4" fillId="0" borderId="0" xfId="5" applyNumberFormat="1" applyFont="1"/>
    <xf numFmtId="0" fontId="4" fillId="0" borderId="0" xfId="0" applyFont="1" applyAlignment="1">
      <alignment horizontal="right"/>
    </xf>
    <xf numFmtId="164" fontId="8" fillId="0" borderId="0" xfId="5" applyNumberFormat="1" applyFont="1"/>
    <xf numFmtId="43" fontId="9" fillId="0" borderId="0" xfId="3" applyFont="1" applyAlignment="1">
      <alignment horizontal="center"/>
    </xf>
    <xf numFmtId="10" fontId="4" fillId="0" borderId="0" xfId="2" applyNumberFormat="1" applyFont="1"/>
    <xf numFmtId="10" fontId="4" fillId="0" borderId="0" xfId="0" applyNumberFormat="1" applyFont="1"/>
    <xf numFmtId="168" fontId="4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68" fontId="11" fillId="0" borderId="9" xfId="0" applyNumberFormat="1" applyFont="1" applyBorder="1"/>
  </cellXfs>
  <cellStyles count="7">
    <cellStyle name="Comma" xfId="3" builtinId="3"/>
    <cellStyle name="Comma 3" xfId="5"/>
    <cellStyle name="Currency" xfId="1" builtinId="4"/>
    <cellStyle name="Currency 3" xfId="4"/>
    <cellStyle name="Normal" xfId="0" builtinId="0"/>
    <cellStyle name="Normal 2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B25" sqref="B25"/>
    </sheetView>
  </sheetViews>
  <sheetFormatPr defaultRowHeight="15"/>
  <cols>
    <col min="1" max="1" width="25.5703125" customWidth="1"/>
    <col min="2" max="5" width="17.42578125" customWidth="1"/>
  </cols>
  <sheetData>
    <row r="1" spans="1:6">
      <c r="A1" s="33" t="s">
        <v>0</v>
      </c>
      <c r="B1" s="33"/>
      <c r="C1" s="33"/>
      <c r="D1" s="33"/>
      <c r="E1" s="33"/>
    </row>
    <row r="3" spans="1:6">
      <c r="A3" s="33" t="s">
        <v>1</v>
      </c>
      <c r="B3" s="33"/>
      <c r="C3" s="33"/>
      <c r="D3" s="33"/>
      <c r="E3" s="33"/>
    </row>
    <row r="5" spans="1:6">
      <c r="A5" t="s">
        <v>12</v>
      </c>
      <c r="B5" s="5" t="s">
        <v>5</v>
      </c>
      <c r="C5" s="5" t="s">
        <v>6</v>
      </c>
      <c r="D5" s="5" t="s">
        <v>3</v>
      </c>
    </row>
    <row r="6" spans="1:6">
      <c r="A6" s="2" t="s">
        <v>11</v>
      </c>
      <c r="B6" s="6" t="s">
        <v>4</v>
      </c>
      <c r="C6" s="6" t="s">
        <v>7</v>
      </c>
      <c r="D6" s="6" t="s">
        <v>2</v>
      </c>
      <c r="E6" s="6" t="s">
        <v>8</v>
      </c>
    </row>
    <row r="7" spans="1:6">
      <c r="A7" s="7">
        <v>43466</v>
      </c>
      <c r="B7" s="3">
        <v>5601.11</v>
      </c>
      <c r="C7" s="3">
        <v>4361.43</v>
      </c>
      <c r="D7" s="3">
        <v>826.46</v>
      </c>
      <c r="E7" s="3">
        <f>SUM(B7:D7)</f>
        <v>10789</v>
      </c>
    </row>
    <row r="8" spans="1:6">
      <c r="A8" s="7">
        <v>43497</v>
      </c>
      <c r="B8" s="3">
        <v>5601.11</v>
      </c>
      <c r="C8" s="3">
        <v>4361.43</v>
      </c>
      <c r="D8" s="3">
        <v>826.46</v>
      </c>
      <c r="E8" s="3">
        <f t="shared" ref="E8:E18" si="0">SUM(B8:D8)</f>
        <v>10789</v>
      </c>
    </row>
    <row r="9" spans="1:6">
      <c r="A9" s="7">
        <v>43525</v>
      </c>
      <c r="B9" s="3">
        <v>5601.11</v>
      </c>
      <c r="C9" s="3">
        <v>4361.43</v>
      </c>
      <c r="D9" s="3">
        <v>826.46</v>
      </c>
      <c r="E9" s="3">
        <f t="shared" si="0"/>
        <v>10789</v>
      </c>
    </row>
    <row r="10" spans="1:6">
      <c r="A10" s="7">
        <v>43556</v>
      </c>
      <c r="B10" s="3">
        <v>5601.11</v>
      </c>
      <c r="C10" s="3">
        <v>4361.43</v>
      </c>
      <c r="D10" s="3">
        <v>826.46</v>
      </c>
      <c r="E10" s="3">
        <f t="shared" si="0"/>
        <v>10789</v>
      </c>
    </row>
    <row r="11" spans="1:6">
      <c r="A11" s="7">
        <v>43586</v>
      </c>
      <c r="B11" s="3">
        <v>5584.76</v>
      </c>
      <c r="C11" s="3">
        <v>4351.22</v>
      </c>
      <c r="D11" s="3">
        <v>824.42</v>
      </c>
      <c r="E11" s="3">
        <f t="shared" si="0"/>
        <v>10760.4</v>
      </c>
    </row>
    <row r="12" spans="1:6">
      <c r="A12" s="7">
        <v>43617</v>
      </c>
      <c r="B12" s="3">
        <v>7312.4</v>
      </c>
      <c r="C12" s="3">
        <v>4351.22</v>
      </c>
      <c r="D12" s="3">
        <v>824.42</v>
      </c>
      <c r="E12" s="3">
        <f t="shared" si="0"/>
        <v>12488.039999999999</v>
      </c>
    </row>
    <row r="13" spans="1:6">
      <c r="A13" s="7">
        <v>43647</v>
      </c>
      <c r="B13" s="3">
        <v>6811.66</v>
      </c>
      <c r="C13" s="3">
        <v>4667.67</v>
      </c>
      <c r="D13" s="3">
        <v>884.38</v>
      </c>
      <c r="E13" s="3">
        <f t="shared" si="0"/>
        <v>12363.71</v>
      </c>
      <c r="F13" t="s">
        <v>14</v>
      </c>
    </row>
    <row r="14" spans="1:6">
      <c r="A14" s="7">
        <v>43678</v>
      </c>
      <c r="B14" s="3">
        <v>6811.66</v>
      </c>
      <c r="C14" s="3">
        <v>4667.67</v>
      </c>
      <c r="D14" s="3">
        <v>884.38</v>
      </c>
      <c r="E14" s="3">
        <f t="shared" si="0"/>
        <v>12363.71</v>
      </c>
    </row>
    <row r="15" spans="1:6">
      <c r="A15" s="7">
        <v>43709</v>
      </c>
      <c r="B15" s="3">
        <v>6811.66</v>
      </c>
      <c r="C15" s="3">
        <v>4667.67</v>
      </c>
      <c r="D15" s="3">
        <v>884.38</v>
      </c>
      <c r="E15" s="3">
        <f t="shared" si="0"/>
        <v>12363.71</v>
      </c>
    </row>
    <row r="16" spans="1:6">
      <c r="A16" s="7">
        <v>43739</v>
      </c>
      <c r="B16" s="3">
        <v>6811.66</v>
      </c>
      <c r="C16" s="3">
        <v>4667.67</v>
      </c>
      <c r="D16" s="3">
        <v>884.38</v>
      </c>
      <c r="E16" s="3">
        <f t="shared" si="0"/>
        <v>12363.71</v>
      </c>
    </row>
    <row r="17" spans="1:5">
      <c r="A17" s="7">
        <v>43770</v>
      </c>
      <c r="B17" s="3">
        <v>7605.69</v>
      </c>
      <c r="C17" s="3">
        <v>5212.68</v>
      </c>
      <c r="D17" s="3">
        <v>987.55</v>
      </c>
      <c r="E17" s="3">
        <f t="shared" si="0"/>
        <v>13805.919999999998</v>
      </c>
    </row>
    <row r="18" spans="1:5">
      <c r="A18" s="8">
        <v>43800</v>
      </c>
      <c r="B18" s="4">
        <v>6061.26</v>
      </c>
      <c r="C18" s="4">
        <v>4157.3999999999996</v>
      </c>
      <c r="D18" s="4">
        <v>815.49</v>
      </c>
      <c r="E18" s="4">
        <f t="shared" si="0"/>
        <v>11034.15</v>
      </c>
    </row>
    <row r="19" spans="1:5">
      <c r="A19" t="s">
        <v>8</v>
      </c>
      <c r="B19" s="3">
        <f>SUM(B7:B18)</f>
        <v>76215.19</v>
      </c>
      <c r="C19" s="3">
        <f t="shared" ref="C19:E19" si="1">SUM(C7:C18)</f>
        <v>54188.92</v>
      </c>
      <c r="D19" s="3">
        <f t="shared" si="1"/>
        <v>10295.24</v>
      </c>
      <c r="E19" s="3">
        <f t="shared" si="1"/>
        <v>140699.34999999998</v>
      </c>
    </row>
    <row r="20" spans="1:5">
      <c r="B20" s="3"/>
      <c r="C20" s="3"/>
      <c r="D20" s="3"/>
      <c r="E20" s="3"/>
    </row>
    <row r="21" spans="1:5">
      <c r="B21" s="3"/>
      <c r="C21" s="3"/>
      <c r="D21" s="3"/>
      <c r="E21" s="3"/>
    </row>
    <row r="22" spans="1:5">
      <c r="B22" s="3"/>
      <c r="C22" s="3"/>
      <c r="D22" s="3"/>
      <c r="E22" s="3"/>
    </row>
    <row r="23" spans="1:5">
      <c r="A23" t="s">
        <v>10</v>
      </c>
      <c r="B23" s="3">
        <f>+B19-B25</f>
        <v>74893.09</v>
      </c>
      <c r="C23" s="3">
        <f t="shared" ref="C23:E23" si="2">+C19-C25</f>
        <v>53276.92</v>
      </c>
      <c r="D23" s="3">
        <f t="shared" si="2"/>
        <v>10067.24</v>
      </c>
      <c r="E23" s="3">
        <f t="shared" si="2"/>
        <v>138237.24999999997</v>
      </c>
    </row>
    <row r="24" spans="1:5">
      <c r="B24" s="3"/>
      <c r="C24" s="3"/>
      <c r="D24" s="3"/>
      <c r="E24" s="3"/>
    </row>
    <row r="25" spans="1:5">
      <c r="A25" t="s">
        <v>9</v>
      </c>
      <c r="B25" s="4">
        <v>1322.1</v>
      </c>
      <c r="C25" s="4">
        <v>912</v>
      </c>
      <c r="D25" s="4">
        <v>228</v>
      </c>
      <c r="E25" s="4">
        <f>SUM(B25:D25)</f>
        <v>2462.1</v>
      </c>
    </row>
    <row r="26" spans="1:5">
      <c r="B26" s="3"/>
      <c r="C26" s="3"/>
      <c r="D26" s="3"/>
      <c r="E26" s="3"/>
    </row>
    <row r="27" spans="1:5">
      <c r="A27" t="s">
        <v>15</v>
      </c>
      <c r="B27" s="1">
        <f>+B25/B23</f>
        <v>1.7653163996838694E-2</v>
      </c>
      <c r="C27" s="1">
        <f t="shared" ref="C27:E27" si="3">+C25/C23</f>
        <v>1.7118106677337954E-2</v>
      </c>
      <c r="D27" s="1">
        <f t="shared" si="3"/>
        <v>2.2647716752555815E-2</v>
      </c>
      <c r="E27" s="1">
        <f t="shared" si="3"/>
        <v>1.7810684167979329E-2</v>
      </c>
    </row>
  </sheetData>
  <mergeCells count="2">
    <mergeCell ref="A1:E1"/>
    <mergeCell ref="A3:E3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D25" sqref="D25"/>
    </sheetView>
  </sheetViews>
  <sheetFormatPr defaultRowHeight="15"/>
  <cols>
    <col min="1" max="1" width="25.5703125" customWidth="1"/>
    <col min="2" max="5" width="17.42578125" customWidth="1"/>
    <col min="7" max="7" width="10.5703125" bestFit="1" customWidth="1"/>
  </cols>
  <sheetData>
    <row r="1" spans="1:5">
      <c r="A1" s="33" t="s">
        <v>13</v>
      </c>
      <c r="B1" s="33"/>
      <c r="C1" s="33"/>
      <c r="D1" s="33"/>
      <c r="E1" s="33"/>
    </row>
    <row r="3" spans="1:5">
      <c r="A3" s="33" t="s">
        <v>1</v>
      </c>
      <c r="B3" s="33"/>
      <c r="C3" s="33"/>
      <c r="D3" s="33"/>
      <c r="E3" s="33"/>
    </row>
    <row r="5" spans="1:5">
      <c r="A5" t="s">
        <v>12</v>
      </c>
      <c r="B5" s="5" t="s">
        <v>5</v>
      </c>
      <c r="C5" s="5" t="s">
        <v>6</v>
      </c>
      <c r="D5" s="5" t="s">
        <v>3</v>
      </c>
    </row>
    <row r="6" spans="1:5">
      <c r="A6" s="2" t="s">
        <v>11</v>
      </c>
      <c r="B6" s="6" t="s">
        <v>4</v>
      </c>
      <c r="C6" s="6" t="s">
        <v>7</v>
      </c>
      <c r="D6" s="6" t="s">
        <v>2</v>
      </c>
      <c r="E6" s="6" t="s">
        <v>8</v>
      </c>
    </row>
    <row r="7" spans="1:5">
      <c r="A7" s="7">
        <v>43466</v>
      </c>
      <c r="B7" s="3">
        <v>4582.72</v>
      </c>
      <c r="C7" s="3">
        <v>3568.44</v>
      </c>
      <c r="D7" s="3">
        <v>676.2</v>
      </c>
      <c r="E7" s="3">
        <f>SUM(B7:D7)</f>
        <v>8827.36</v>
      </c>
    </row>
    <row r="8" spans="1:5">
      <c r="A8" s="7">
        <v>43497</v>
      </c>
      <c r="B8" s="3">
        <v>4582.72</v>
      </c>
      <c r="C8" s="3">
        <v>3568.44</v>
      </c>
      <c r="D8" s="3">
        <v>676.2</v>
      </c>
      <c r="E8" s="3">
        <f t="shared" ref="E8:E18" si="0">SUM(B8:D8)</f>
        <v>8827.36</v>
      </c>
    </row>
    <row r="9" spans="1:5">
      <c r="A9" s="7">
        <v>43525</v>
      </c>
      <c r="B9" s="3">
        <v>4582.72</v>
      </c>
      <c r="C9" s="3">
        <v>3568.44</v>
      </c>
      <c r="D9" s="3">
        <v>676.2</v>
      </c>
      <c r="E9" s="3">
        <f t="shared" si="0"/>
        <v>8827.36</v>
      </c>
    </row>
    <row r="10" spans="1:5">
      <c r="A10" s="7">
        <v>43556</v>
      </c>
      <c r="B10" s="3">
        <v>4582.72</v>
      </c>
      <c r="C10" s="3">
        <v>3568.44</v>
      </c>
      <c r="D10" s="3">
        <v>676.2</v>
      </c>
      <c r="E10" s="3">
        <f t="shared" si="0"/>
        <v>8827.36</v>
      </c>
    </row>
    <row r="11" spans="1:5">
      <c r="A11" s="7">
        <v>43586</v>
      </c>
      <c r="B11" s="3">
        <v>4569.33</v>
      </c>
      <c r="C11" s="3">
        <v>3560.09</v>
      </c>
      <c r="D11" s="3">
        <v>674.53</v>
      </c>
      <c r="E11" s="3">
        <f t="shared" si="0"/>
        <v>8803.9500000000007</v>
      </c>
    </row>
    <row r="12" spans="1:5">
      <c r="A12" s="7">
        <v>43617</v>
      </c>
      <c r="B12" s="3">
        <v>5982.86</v>
      </c>
      <c r="C12" s="3">
        <v>3560.09</v>
      </c>
      <c r="D12" s="3">
        <v>674.53</v>
      </c>
      <c r="E12" s="3">
        <f t="shared" si="0"/>
        <v>10217.480000000001</v>
      </c>
    </row>
    <row r="13" spans="1:5">
      <c r="A13" s="7">
        <v>43647</v>
      </c>
      <c r="B13" s="3">
        <v>4733.53</v>
      </c>
      <c r="C13" s="3">
        <v>3243.63</v>
      </c>
      <c r="D13" s="3">
        <v>614.57000000000005</v>
      </c>
      <c r="E13" s="3">
        <f t="shared" si="0"/>
        <v>8591.73</v>
      </c>
    </row>
    <row r="14" spans="1:5">
      <c r="A14" s="7">
        <v>43678</v>
      </c>
      <c r="B14" s="3">
        <v>4733.53</v>
      </c>
      <c r="C14" s="3">
        <v>3243.63</v>
      </c>
      <c r="D14" s="3">
        <v>614.57000000000005</v>
      </c>
      <c r="E14" s="3">
        <f t="shared" si="0"/>
        <v>8591.73</v>
      </c>
    </row>
    <row r="15" spans="1:5">
      <c r="A15" s="7">
        <v>43709</v>
      </c>
      <c r="B15" s="3">
        <v>4733.53</v>
      </c>
      <c r="C15" s="3">
        <v>3243.63</v>
      </c>
      <c r="D15" s="3">
        <v>614.57000000000005</v>
      </c>
      <c r="E15" s="3">
        <f t="shared" si="0"/>
        <v>8591.73</v>
      </c>
    </row>
    <row r="16" spans="1:5">
      <c r="A16" s="7">
        <v>43739</v>
      </c>
      <c r="B16" s="3">
        <v>4733.53</v>
      </c>
      <c r="C16" s="3">
        <v>3243.63</v>
      </c>
      <c r="D16" s="3">
        <v>614.57000000000005</v>
      </c>
      <c r="E16" s="3">
        <f t="shared" si="0"/>
        <v>8591.73</v>
      </c>
    </row>
    <row r="17" spans="1:10">
      <c r="A17" s="7">
        <v>43770</v>
      </c>
      <c r="B17" s="3">
        <v>5285.31</v>
      </c>
      <c r="C17" s="3">
        <v>3622.37</v>
      </c>
      <c r="D17" s="3">
        <v>686.27</v>
      </c>
      <c r="E17" s="3">
        <f t="shared" si="0"/>
        <v>9593.9500000000007</v>
      </c>
    </row>
    <row r="18" spans="1:10">
      <c r="A18" s="8">
        <v>43800</v>
      </c>
      <c r="B18" s="4">
        <v>4212.0600000000004</v>
      </c>
      <c r="C18" s="4">
        <v>2889.04</v>
      </c>
      <c r="D18" s="4">
        <v>566.70000000000005</v>
      </c>
      <c r="E18" s="4">
        <f t="shared" si="0"/>
        <v>7667.8</v>
      </c>
    </row>
    <row r="19" spans="1:10">
      <c r="A19" t="s">
        <v>8</v>
      </c>
      <c r="B19" s="3">
        <f>SUM(B7:B18)</f>
        <v>57314.55999999999</v>
      </c>
      <c r="C19" s="3">
        <f t="shared" ref="C19:E19" si="1">SUM(C7:C18)</f>
        <v>40879.870000000003</v>
      </c>
      <c r="D19" s="3">
        <f t="shared" si="1"/>
        <v>7765.1099999999979</v>
      </c>
      <c r="E19" s="3">
        <f t="shared" si="1"/>
        <v>105959.54</v>
      </c>
    </row>
    <row r="20" spans="1:10">
      <c r="B20" s="3"/>
      <c r="C20" s="3"/>
      <c r="D20" s="3"/>
      <c r="E20" s="3"/>
    </row>
    <row r="21" spans="1:10">
      <c r="B21" s="3"/>
      <c r="C21" s="3"/>
      <c r="D21" s="3"/>
      <c r="E21" s="3"/>
    </row>
    <row r="22" spans="1:10">
      <c r="B22" s="3"/>
      <c r="C22" s="3"/>
      <c r="D22" s="3"/>
      <c r="E22" s="3"/>
    </row>
    <row r="23" spans="1:10">
      <c r="A23" t="s">
        <v>10</v>
      </c>
      <c r="B23" s="3">
        <f>+B19-B25</f>
        <v>56320.099999999991</v>
      </c>
      <c r="C23" s="3">
        <f t="shared" ref="C23:E23" si="2">+C19-C25</f>
        <v>40191.870000000003</v>
      </c>
      <c r="D23" s="3">
        <f t="shared" si="2"/>
        <v>7593.1099999999979</v>
      </c>
      <c r="E23" s="3">
        <f t="shared" si="2"/>
        <v>104105.07999999999</v>
      </c>
    </row>
    <row r="24" spans="1:10">
      <c r="B24" s="3"/>
      <c r="C24" s="3"/>
      <c r="D24" s="3"/>
      <c r="E24" s="3"/>
      <c r="J24" t="s">
        <v>14</v>
      </c>
    </row>
    <row r="25" spans="1:10">
      <c r="A25" t="s">
        <v>9</v>
      </c>
      <c r="B25" s="4">
        <v>994.46</v>
      </c>
      <c r="C25" s="4">
        <v>688</v>
      </c>
      <c r="D25" s="4">
        <v>172</v>
      </c>
      <c r="E25" s="4">
        <f>SUM(B25:D25)</f>
        <v>1854.46</v>
      </c>
      <c r="G25" s="9" t="s">
        <v>14</v>
      </c>
    </row>
    <row r="26" spans="1:10">
      <c r="B26" s="3"/>
      <c r="C26" s="3"/>
      <c r="D26" s="3"/>
      <c r="E26" s="3"/>
    </row>
    <row r="27" spans="1:10">
      <c r="A27" t="s">
        <v>15</v>
      </c>
      <c r="B27" s="1">
        <f>+B25/B23</f>
        <v>1.7657283989197466E-2</v>
      </c>
      <c r="C27" s="1">
        <f t="shared" ref="C27:E27" si="3">+C25/C23</f>
        <v>1.7117889762282769E-2</v>
      </c>
      <c r="D27" s="1">
        <f t="shared" si="3"/>
        <v>2.2652114877830039E-2</v>
      </c>
      <c r="E27" s="1">
        <f t="shared" si="3"/>
        <v>1.7813347821259061E-2</v>
      </c>
    </row>
    <row r="29" spans="1:10">
      <c r="B29" t="s">
        <v>14</v>
      </c>
    </row>
  </sheetData>
  <mergeCells count="2">
    <mergeCell ref="A1:E1"/>
    <mergeCell ref="A3:E3"/>
  </mergeCells>
  <pageMargins left="0.7" right="0.13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opLeftCell="A25" workbookViewId="0">
      <selection activeCell="I40" sqref="I40"/>
    </sheetView>
  </sheetViews>
  <sheetFormatPr defaultRowHeight="15"/>
  <cols>
    <col min="1" max="1" width="14.85546875" bestFit="1" customWidth="1"/>
    <col min="2" max="2" width="12.7109375" customWidth="1"/>
    <col min="3" max="4" width="16.7109375" customWidth="1"/>
    <col min="5" max="5" width="16" bestFit="1" customWidth="1"/>
    <col min="7" max="7" width="11.5703125" bestFit="1" customWidth="1"/>
    <col min="8" max="8" width="10.5703125" bestFit="1" customWidth="1"/>
  </cols>
  <sheetData>
    <row r="1" spans="1:7">
      <c r="A1" s="32" t="s">
        <v>29</v>
      </c>
    </row>
    <row r="2" spans="1:7">
      <c r="A2" s="17" t="s">
        <v>24</v>
      </c>
      <c r="B2" s="18"/>
      <c r="C2" s="18"/>
      <c r="D2" s="18"/>
      <c r="E2" s="18"/>
      <c r="F2" s="18"/>
      <c r="G2" s="19"/>
    </row>
    <row r="3" spans="1:7">
      <c r="A3" s="20"/>
      <c r="B3" s="21"/>
      <c r="C3" s="21"/>
      <c r="D3" s="21"/>
      <c r="E3" s="21"/>
      <c r="F3" s="21"/>
      <c r="G3" s="22"/>
    </row>
    <row r="4" spans="1:7">
      <c r="A4" s="20"/>
      <c r="B4" s="21"/>
      <c r="C4" s="23" t="s">
        <v>19</v>
      </c>
      <c r="D4" s="23" t="s">
        <v>20</v>
      </c>
      <c r="E4" s="23" t="s">
        <v>23</v>
      </c>
      <c r="F4" s="21"/>
      <c r="G4" s="22"/>
    </row>
    <row r="5" spans="1:7">
      <c r="A5" s="20"/>
      <c r="B5" s="23" t="s">
        <v>19</v>
      </c>
      <c r="C5" s="23" t="s">
        <v>20</v>
      </c>
      <c r="D5" s="23" t="s">
        <v>21</v>
      </c>
      <c r="E5" s="23" t="s">
        <v>21</v>
      </c>
      <c r="F5" s="21"/>
      <c r="G5" s="22"/>
    </row>
    <row r="6" spans="1:7">
      <c r="A6" s="20"/>
      <c r="B6" s="10" t="s">
        <v>12</v>
      </c>
      <c r="C6" s="10" t="s">
        <v>21</v>
      </c>
      <c r="D6" s="10" t="s">
        <v>22</v>
      </c>
      <c r="E6" s="10" t="s">
        <v>22</v>
      </c>
      <c r="F6" s="21"/>
      <c r="G6" s="22"/>
    </row>
    <row r="7" spans="1:7">
      <c r="A7" s="20" t="s">
        <v>16</v>
      </c>
      <c r="B7" s="24">
        <v>743.01</v>
      </c>
      <c r="C7" s="24">
        <f>200/12</f>
        <v>16.666666666666668</v>
      </c>
      <c r="D7" s="25">
        <f>+C7/B7</f>
        <v>2.2431281768302808E-2</v>
      </c>
      <c r="E7" s="25">
        <f>+(B7-C7)/B7</f>
        <v>0.97756871823169722</v>
      </c>
      <c r="F7" s="21">
        <v>6</v>
      </c>
      <c r="G7" s="26">
        <f>+B7*F7*12</f>
        <v>53496.719999999994</v>
      </c>
    </row>
    <row r="8" spans="1:7">
      <c r="A8" s="20" t="s">
        <v>17</v>
      </c>
      <c r="B8" s="24">
        <v>1486.03</v>
      </c>
      <c r="C8" s="24">
        <f>400/12</f>
        <v>33.333333333333336</v>
      </c>
      <c r="D8" s="25">
        <f t="shared" ref="D8:D9" si="0">+C8/B8</f>
        <v>2.2431130820598062E-2</v>
      </c>
      <c r="E8" s="25">
        <f t="shared" ref="E8:E9" si="1">+(B8-C8)/B8</f>
        <v>0.977568869179402</v>
      </c>
      <c r="F8" s="21">
        <v>1</v>
      </c>
      <c r="G8" s="26">
        <f t="shared" ref="G8:G9" si="2">+B8*F8*12</f>
        <v>17832.36</v>
      </c>
    </row>
    <row r="9" spans="1:7">
      <c r="A9" s="20" t="s">
        <v>18</v>
      </c>
      <c r="B9" s="4">
        <v>2117.59</v>
      </c>
      <c r="C9" s="4">
        <f>400/12</f>
        <v>33.333333333333336</v>
      </c>
      <c r="D9" s="11">
        <f t="shared" si="0"/>
        <v>1.5741164877683279E-2</v>
      </c>
      <c r="E9" s="11">
        <f t="shared" si="1"/>
        <v>0.9842588351223166</v>
      </c>
      <c r="F9" s="21">
        <v>7</v>
      </c>
      <c r="G9" s="26">
        <f t="shared" si="2"/>
        <v>177877.56</v>
      </c>
    </row>
    <row r="10" spans="1:7" ht="20.25" customHeight="1">
      <c r="A10" s="20" t="s">
        <v>8</v>
      </c>
      <c r="B10" s="27">
        <f>SUM(B7:B9)</f>
        <v>4346.63</v>
      </c>
      <c r="C10" s="27">
        <f>SUM(C7:C9)</f>
        <v>83.333333333333343</v>
      </c>
      <c r="D10" s="25">
        <f t="shared" ref="D10" si="3">+C10/B10</f>
        <v>1.9171940867599345E-2</v>
      </c>
      <c r="E10" s="25">
        <f t="shared" ref="E10" si="4">+(B10-C10)/B10</f>
        <v>0.98082805913240068</v>
      </c>
      <c r="F10" s="21"/>
      <c r="G10" s="26">
        <f>SUM(G7:G9)</f>
        <v>249206.63999999998</v>
      </c>
    </row>
    <row r="11" spans="1:7" ht="20.25" customHeight="1">
      <c r="A11" s="20"/>
      <c r="B11" s="27"/>
      <c r="C11" s="27"/>
      <c r="D11" s="25"/>
      <c r="E11" s="25"/>
      <c r="F11" s="21"/>
      <c r="G11" s="22"/>
    </row>
    <row r="12" spans="1:7" ht="20.25" customHeight="1">
      <c r="A12" s="20"/>
      <c r="B12" s="27"/>
      <c r="C12" s="27"/>
      <c r="D12" s="25"/>
      <c r="E12" s="25"/>
      <c r="F12" s="21"/>
      <c r="G12" s="22"/>
    </row>
    <row r="13" spans="1:7" ht="20.25" customHeight="1">
      <c r="A13" s="20"/>
      <c r="B13" s="27"/>
      <c r="C13" s="27"/>
      <c r="D13" s="25"/>
      <c r="E13" s="25"/>
      <c r="F13" s="21"/>
      <c r="G13" s="22"/>
    </row>
    <row r="14" spans="1:7" ht="20.25" customHeight="1">
      <c r="A14" s="20"/>
      <c r="B14" s="27"/>
      <c r="C14" s="27"/>
      <c r="D14" s="25"/>
      <c r="E14" s="25"/>
      <c r="F14" s="21"/>
      <c r="G14" s="22"/>
    </row>
    <row r="15" spans="1:7">
      <c r="A15" s="20"/>
      <c r="B15" s="21"/>
      <c r="C15" s="21"/>
      <c r="D15" s="21"/>
      <c r="E15" s="21"/>
      <c r="F15" s="21"/>
      <c r="G15" s="22"/>
    </row>
    <row r="16" spans="1:7">
      <c r="A16" s="20" t="s">
        <v>25</v>
      </c>
      <c r="B16" s="21"/>
      <c r="C16" s="21"/>
      <c r="D16" s="21"/>
      <c r="E16" s="21"/>
      <c r="F16" s="21"/>
      <c r="G16" s="22"/>
    </row>
    <row r="17" spans="1:7">
      <c r="A17" s="20"/>
      <c r="B17" s="21"/>
      <c r="C17" s="21"/>
      <c r="D17" s="21"/>
      <c r="E17" s="21"/>
      <c r="F17" s="21"/>
      <c r="G17" s="22"/>
    </row>
    <row r="18" spans="1:7">
      <c r="A18" s="20"/>
      <c r="B18" s="21"/>
      <c r="C18" s="23" t="s">
        <v>19</v>
      </c>
      <c r="D18" s="23" t="s">
        <v>20</v>
      </c>
      <c r="E18" s="23" t="s">
        <v>23</v>
      </c>
      <c r="F18" s="21"/>
      <c r="G18" s="22"/>
    </row>
    <row r="19" spans="1:7">
      <c r="A19" s="20"/>
      <c r="B19" s="23" t="s">
        <v>19</v>
      </c>
      <c r="C19" s="23" t="s">
        <v>20</v>
      </c>
      <c r="D19" s="23" t="s">
        <v>21</v>
      </c>
      <c r="E19" s="23" t="s">
        <v>21</v>
      </c>
      <c r="F19" s="21"/>
      <c r="G19" s="22"/>
    </row>
    <row r="20" spans="1:7">
      <c r="A20" s="20"/>
      <c r="B20" s="10" t="s">
        <v>12</v>
      </c>
      <c r="C20" s="10" t="s">
        <v>21</v>
      </c>
      <c r="D20" s="10" t="s">
        <v>22</v>
      </c>
      <c r="E20" s="10" t="s">
        <v>22</v>
      </c>
      <c r="F20" s="21"/>
      <c r="G20" s="22"/>
    </row>
    <row r="21" spans="1:7">
      <c r="A21" s="20" t="s">
        <v>16</v>
      </c>
      <c r="B21" s="24">
        <v>659.45</v>
      </c>
      <c r="C21" s="24">
        <f>200/12</f>
        <v>16.666666666666668</v>
      </c>
      <c r="D21" s="25">
        <f>+C21/B21</f>
        <v>2.5273586574670812E-2</v>
      </c>
      <c r="E21" s="25">
        <f>+(B21-C21)/B21</f>
        <v>0.97472641342532929</v>
      </c>
      <c r="F21" s="21">
        <v>6</v>
      </c>
      <c r="G21" s="26">
        <f>+B21*F21*12</f>
        <v>47480.4</v>
      </c>
    </row>
    <row r="22" spans="1:7">
      <c r="A22" s="20" t="s">
        <v>17</v>
      </c>
      <c r="B22" s="24">
        <v>1384.85</v>
      </c>
      <c r="C22" s="24">
        <f>400/12</f>
        <v>33.333333333333336</v>
      </c>
      <c r="D22" s="25">
        <f t="shared" ref="D22:D24" si="5">+C22/B22</f>
        <v>2.4069995547050829E-2</v>
      </c>
      <c r="E22" s="25">
        <f t="shared" ref="E22:E24" si="6">+(B22-C22)/B22</f>
        <v>0.9759300044529492</v>
      </c>
      <c r="F22" s="21">
        <v>1</v>
      </c>
      <c r="G22" s="26">
        <f t="shared" ref="G22:G23" si="7">+B22*F22*12</f>
        <v>16618.199999999997</v>
      </c>
    </row>
    <row r="23" spans="1:7">
      <c r="A23" s="20" t="s">
        <v>18</v>
      </c>
      <c r="B23" s="4">
        <v>1912.41</v>
      </c>
      <c r="C23" s="4">
        <f>400/12</f>
        <v>33.333333333333336</v>
      </c>
      <c r="D23" s="11">
        <f t="shared" si="5"/>
        <v>1.7430014135741464E-2</v>
      </c>
      <c r="E23" s="11">
        <f t="shared" si="6"/>
        <v>0.98256998586425859</v>
      </c>
      <c r="F23" s="21">
        <v>7</v>
      </c>
      <c r="G23" s="26">
        <f t="shared" si="7"/>
        <v>160642.44</v>
      </c>
    </row>
    <row r="24" spans="1:7" ht="23.25" customHeight="1">
      <c r="A24" s="28" t="s">
        <v>8</v>
      </c>
      <c r="B24" s="29">
        <f>SUM(B21:B23)</f>
        <v>3956.71</v>
      </c>
      <c r="C24" s="29">
        <f>SUM(C21:C23)</f>
        <v>83.333333333333343</v>
      </c>
      <c r="D24" s="11">
        <f t="shared" si="5"/>
        <v>2.1061268916178679E-2</v>
      </c>
      <c r="E24" s="11">
        <f t="shared" si="6"/>
        <v>0.97893873108382123</v>
      </c>
      <c r="F24" s="2"/>
      <c r="G24" s="30">
        <f>SUM(G21:G23)</f>
        <v>224741.04</v>
      </c>
    </row>
    <row r="27" spans="1:7">
      <c r="A27" s="32" t="s">
        <v>30</v>
      </c>
    </row>
    <row r="28" spans="1:7">
      <c r="A28" s="17" t="s">
        <v>39</v>
      </c>
      <c r="B28" s="18"/>
      <c r="C28" s="18"/>
      <c r="D28" s="18"/>
      <c r="E28" s="18"/>
      <c r="F28" s="18"/>
      <c r="G28" s="19"/>
    </row>
    <row r="29" spans="1:7">
      <c r="A29" s="20"/>
      <c r="B29" s="21"/>
      <c r="C29" s="21"/>
      <c r="D29" s="21"/>
      <c r="E29" s="21"/>
      <c r="F29" s="21"/>
      <c r="G29" s="22"/>
    </row>
    <row r="30" spans="1:7">
      <c r="A30" s="20"/>
      <c r="B30" s="21"/>
      <c r="C30" s="23" t="s">
        <v>19</v>
      </c>
      <c r="D30" s="23" t="s">
        <v>20</v>
      </c>
      <c r="E30" s="23" t="s">
        <v>23</v>
      </c>
      <c r="F30" s="21"/>
      <c r="G30" s="22"/>
    </row>
    <row r="31" spans="1:7">
      <c r="A31" s="20"/>
      <c r="B31" s="23" t="s">
        <v>19</v>
      </c>
      <c r="C31" s="23" t="s">
        <v>20</v>
      </c>
      <c r="D31" s="23" t="s">
        <v>21</v>
      </c>
      <c r="E31" s="23" t="s">
        <v>21</v>
      </c>
      <c r="F31" s="21"/>
      <c r="G31" s="22"/>
    </row>
    <row r="32" spans="1:7">
      <c r="A32" s="20"/>
      <c r="B32" s="10" t="s">
        <v>12</v>
      </c>
      <c r="C32" s="10" t="s">
        <v>21</v>
      </c>
      <c r="D32" s="10" t="s">
        <v>22</v>
      </c>
      <c r="E32" s="10" t="s">
        <v>22</v>
      </c>
      <c r="F32" s="31" t="s">
        <v>41</v>
      </c>
      <c r="G32" s="22"/>
    </row>
    <row r="33" spans="1:8">
      <c r="A33" s="20" t="s">
        <v>16</v>
      </c>
      <c r="B33" s="24">
        <v>20.9</v>
      </c>
      <c r="C33" s="24">
        <v>0</v>
      </c>
      <c r="D33" s="25">
        <f>+C33/B33</f>
        <v>0</v>
      </c>
      <c r="E33" s="25">
        <f>+(B33-C33)/B33</f>
        <v>1</v>
      </c>
      <c r="F33" s="21">
        <v>5</v>
      </c>
      <c r="G33" s="26">
        <f>+B33*F33*12</f>
        <v>1254</v>
      </c>
    </row>
    <row r="34" spans="1:8">
      <c r="A34" s="20" t="s">
        <v>17</v>
      </c>
      <c r="B34" s="24">
        <v>40.24</v>
      </c>
      <c r="C34" s="24">
        <f>40.24-20.9</f>
        <v>19.340000000000003</v>
      </c>
      <c r="D34" s="25">
        <f t="shared" ref="D34:D36" si="8">+C34/B34</f>
        <v>0.48061630218687879</v>
      </c>
      <c r="E34" s="25">
        <f t="shared" ref="E34:E36" si="9">+(B34-C34)/B34</f>
        <v>0.51938369781312121</v>
      </c>
      <c r="F34" s="21">
        <v>3</v>
      </c>
      <c r="G34" s="26">
        <f t="shared" ref="G34" si="10">+B34*F34*12</f>
        <v>1448.6399999999999</v>
      </c>
    </row>
    <row r="35" spans="1:8">
      <c r="A35" s="20" t="s">
        <v>18</v>
      </c>
      <c r="B35" s="4">
        <v>62.92</v>
      </c>
      <c r="C35" s="4">
        <f>62.92-20.9</f>
        <v>42.02</v>
      </c>
      <c r="D35" s="11">
        <f t="shared" si="8"/>
        <v>0.66783216783216781</v>
      </c>
      <c r="E35" s="11">
        <f t="shared" si="9"/>
        <v>0.33216783216783213</v>
      </c>
      <c r="F35" s="21">
        <v>6</v>
      </c>
      <c r="G35" s="30">
        <f>+B35*F35*12</f>
        <v>4530.24</v>
      </c>
      <c r="H35" s="9"/>
    </row>
    <row r="36" spans="1:8">
      <c r="A36" s="20" t="s">
        <v>8</v>
      </c>
      <c r="B36" s="27">
        <f>SUM(B33:B35)</f>
        <v>124.06</v>
      </c>
      <c r="C36" s="27">
        <f>SUM(C33:C35)</f>
        <v>61.360000000000007</v>
      </c>
      <c r="D36" s="25">
        <f t="shared" si="8"/>
        <v>0.49459938739319687</v>
      </c>
      <c r="E36" s="25">
        <f t="shared" si="9"/>
        <v>0.50540061260680313</v>
      </c>
      <c r="F36" s="21"/>
      <c r="G36" s="26">
        <f>SUM(G33:G35)</f>
        <v>7232.8799999999992</v>
      </c>
    </row>
    <row r="37" spans="1:8">
      <c r="A37" s="20"/>
      <c r="B37" s="27"/>
      <c r="C37" s="27"/>
      <c r="D37" s="25"/>
      <c r="E37" s="25"/>
      <c r="F37" s="21"/>
      <c r="G37" s="22"/>
    </row>
    <row r="38" spans="1:8">
      <c r="A38" s="20"/>
      <c r="B38" s="27"/>
      <c r="C38" s="27"/>
      <c r="D38" s="25"/>
      <c r="E38" s="25"/>
      <c r="F38" s="21"/>
      <c r="G38" s="22"/>
    </row>
    <row r="39" spans="1:8">
      <c r="A39" s="20"/>
      <c r="B39" s="27"/>
      <c r="C39" s="27"/>
      <c r="D39" s="25"/>
      <c r="E39" s="25"/>
      <c r="F39" s="21"/>
      <c r="G39" s="22"/>
    </row>
    <row r="40" spans="1:8">
      <c r="A40" s="20"/>
      <c r="B40" s="27"/>
      <c r="C40" s="27"/>
      <c r="D40" s="25"/>
      <c r="E40" s="25"/>
      <c r="F40" s="21"/>
      <c r="G40" s="22"/>
    </row>
    <row r="41" spans="1:8">
      <c r="A41" s="20"/>
      <c r="B41" s="21"/>
      <c r="C41" s="21"/>
      <c r="D41" s="21"/>
      <c r="E41" s="21"/>
      <c r="F41" s="21"/>
      <c r="G41" s="22"/>
    </row>
    <row r="42" spans="1:8">
      <c r="A42" s="20" t="s">
        <v>40</v>
      </c>
      <c r="B42" s="21"/>
      <c r="C42" s="21"/>
      <c r="D42" s="21"/>
      <c r="E42" s="21"/>
      <c r="F42" s="21"/>
      <c r="G42" s="22"/>
    </row>
    <row r="43" spans="1:8">
      <c r="A43" s="20"/>
      <c r="B43" s="21"/>
      <c r="C43" s="21"/>
      <c r="D43" s="21"/>
      <c r="E43" s="21"/>
      <c r="F43" s="21"/>
      <c r="G43" s="22"/>
    </row>
    <row r="44" spans="1:8">
      <c r="A44" s="20"/>
      <c r="B44" s="21"/>
      <c r="C44" s="23" t="s">
        <v>19</v>
      </c>
      <c r="D44" s="23" t="s">
        <v>20</v>
      </c>
      <c r="E44" s="23" t="s">
        <v>23</v>
      </c>
      <c r="F44" s="21"/>
      <c r="G44" s="22"/>
    </row>
    <row r="45" spans="1:8">
      <c r="A45" s="20"/>
      <c r="B45" s="23" t="s">
        <v>19</v>
      </c>
      <c r="C45" s="23" t="s">
        <v>20</v>
      </c>
      <c r="D45" s="23" t="s">
        <v>21</v>
      </c>
      <c r="E45" s="23" t="s">
        <v>21</v>
      </c>
      <c r="F45" s="21"/>
      <c r="G45" s="22"/>
    </row>
    <row r="46" spans="1:8">
      <c r="A46" s="20"/>
      <c r="B46" s="10" t="s">
        <v>12</v>
      </c>
      <c r="C46" s="10" t="s">
        <v>21</v>
      </c>
      <c r="D46" s="10" t="s">
        <v>22</v>
      </c>
      <c r="E46" s="10" t="s">
        <v>22</v>
      </c>
      <c r="F46" s="31" t="s">
        <v>41</v>
      </c>
      <c r="G46" s="22"/>
    </row>
    <row r="47" spans="1:8">
      <c r="A47" s="20" t="s">
        <v>16</v>
      </c>
      <c r="B47" s="24">
        <v>20.9</v>
      </c>
      <c r="C47" s="24">
        <v>0</v>
      </c>
      <c r="D47" s="25">
        <f>+C47/B47</f>
        <v>0</v>
      </c>
      <c r="E47" s="25">
        <f>+(B47-C47)/B47</f>
        <v>1</v>
      </c>
      <c r="F47" s="21">
        <v>5</v>
      </c>
      <c r="G47" s="26">
        <f>+B47*F47*12</f>
        <v>1254</v>
      </c>
    </row>
    <row r="48" spans="1:8">
      <c r="A48" s="20" t="s">
        <v>17</v>
      </c>
      <c r="B48" s="24">
        <v>40.24</v>
      </c>
      <c r="C48" s="24">
        <v>19.34</v>
      </c>
      <c r="D48" s="25">
        <f t="shared" ref="D48:D50" si="11">+C48/B48</f>
        <v>0.48061630218687867</v>
      </c>
      <c r="E48" s="25">
        <f t="shared" ref="E48:E50" si="12">+(B48-C48)/B48</f>
        <v>0.51938369781312133</v>
      </c>
      <c r="F48" s="21">
        <v>4</v>
      </c>
      <c r="G48" s="26">
        <f t="shared" ref="G48:G49" si="13">+B48*F48*12</f>
        <v>1931.52</v>
      </c>
    </row>
    <row r="49" spans="1:7">
      <c r="A49" s="20" t="s">
        <v>18</v>
      </c>
      <c r="B49" s="4">
        <v>62.92</v>
      </c>
      <c r="C49" s="4">
        <v>42.02</v>
      </c>
      <c r="D49" s="11">
        <f t="shared" si="11"/>
        <v>0.66783216783216781</v>
      </c>
      <c r="E49" s="11">
        <f t="shared" si="12"/>
        <v>0.33216783216783213</v>
      </c>
      <c r="F49" s="21">
        <v>5</v>
      </c>
      <c r="G49" s="30">
        <f t="shared" si="13"/>
        <v>3775.2000000000003</v>
      </c>
    </row>
    <row r="50" spans="1:7">
      <c r="A50" s="28" t="s">
        <v>8</v>
      </c>
      <c r="B50" s="29">
        <f>SUM(B47:B49)</f>
        <v>124.06</v>
      </c>
      <c r="C50" s="29">
        <f>SUM(C47:C49)</f>
        <v>61.36</v>
      </c>
      <c r="D50" s="11">
        <f t="shared" si="11"/>
        <v>0.49459938739319681</v>
      </c>
      <c r="E50" s="11">
        <f t="shared" si="12"/>
        <v>0.50540061260680313</v>
      </c>
      <c r="F50" s="2"/>
      <c r="G50" s="30">
        <f>SUM(G47:G49)</f>
        <v>6960.72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topLeftCell="A81" workbookViewId="0">
      <selection activeCell="M114" sqref="M114"/>
    </sheetView>
  </sheetViews>
  <sheetFormatPr defaultRowHeight="15"/>
  <cols>
    <col min="1" max="1" width="10.7109375" bestFit="1" customWidth="1"/>
    <col min="2" max="7" width="14.140625" customWidth="1"/>
    <col min="8" max="8" width="4.42578125" customWidth="1"/>
    <col min="9" max="9" width="11.5703125" bestFit="1" customWidth="1"/>
    <col min="10" max="10" width="9.5703125" bestFit="1" customWidth="1"/>
    <col min="11" max="16" width="13.7109375" customWidth="1"/>
    <col min="19" max="19" width="11.5703125" bestFit="1" customWidth="1"/>
  </cols>
  <sheetData>
    <row r="1" spans="1:10" ht="23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3" spans="1:10">
      <c r="A3" s="33" t="s">
        <v>26</v>
      </c>
      <c r="B3" s="33"/>
      <c r="C3" s="33"/>
      <c r="D3" s="33"/>
      <c r="E3" s="33"/>
      <c r="F3" s="33"/>
      <c r="G3" s="33"/>
      <c r="H3" s="33"/>
      <c r="I3" s="33"/>
    </row>
    <row r="5" spans="1:10">
      <c r="A5" s="33" t="s">
        <v>27</v>
      </c>
      <c r="B5" s="33"/>
      <c r="C5" s="33"/>
      <c r="D5" s="33"/>
      <c r="E5" s="33"/>
      <c r="F5" s="33"/>
      <c r="G5" s="33"/>
      <c r="H5" s="33"/>
      <c r="I5" s="33"/>
    </row>
    <row r="7" spans="1:10">
      <c r="A7" t="s">
        <v>28</v>
      </c>
      <c r="F7" s="5" t="s">
        <v>29</v>
      </c>
      <c r="G7" s="5" t="s">
        <v>30</v>
      </c>
    </row>
    <row r="8" spans="1:10">
      <c r="A8" s="6" t="s">
        <v>11</v>
      </c>
      <c r="B8" s="6" t="s">
        <v>29</v>
      </c>
      <c r="C8" s="6" t="s">
        <v>30</v>
      </c>
      <c r="D8" s="6" t="s">
        <v>31</v>
      </c>
      <c r="E8" s="6" t="s">
        <v>33</v>
      </c>
      <c r="F8" s="6" t="s">
        <v>32</v>
      </c>
      <c r="G8" s="6" t="s">
        <v>32</v>
      </c>
      <c r="H8" s="6"/>
      <c r="I8" s="6" t="s">
        <v>8</v>
      </c>
    </row>
    <row r="9" spans="1:10">
      <c r="A9" s="12">
        <v>43480</v>
      </c>
      <c r="B9" s="13">
        <v>5601.11</v>
      </c>
      <c r="C9" s="13">
        <v>147.97</v>
      </c>
      <c r="D9" s="13"/>
      <c r="E9" s="13"/>
      <c r="F9" s="13">
        <v>51.17</v>
      </c>
      <c r="G9" s="13">
        <f>84.15-F9</f>
        <v>32.980000000000004</v>
      </c>
      <c r="H9" s="13"/>
      <c r="I9" s="13">
        <f>+B9+C9+D9+E9-F9-G9</f>
        <v>5664.93</v>
      </c>
      <c r="J9" s="13"/>
    </row>
    <row r="10" spans="1:10">
      <c r="A10" s="12">
        <v>43496</v>
      </c>
      <c r="B10" s="13"/>
      <c r="C10" s="13">
        <v>147.96</v>
      </c>
      <c r="D10" s="13">
        <v>297.04000000000002</v>
      </c>
      <c r="E10" s="13">
        <v>249.7</v>
      </c>
      <c r="F10" s="13">
        <v>51.18</v>
      </c>
      <c r="G10" s="13">
        <f t="shared" ref="G10:G12" si="0">84.15-F10</f>
        <v>32.970000000000006</v>
      </c>
      <c r="H10" s="13"/>
      <c r="I10" s="13">
        <f t="shared" ref="I10:I32" si="1">+B10+C10+D10+E10-F10-G10</f>
        <v>610.55000000000007</v>
      </c>
      <c r="J10" s="13"/>
    </row>
    <row r="11" spans="1:10">
      <c r="A11" s="12">
        <v>43511</v>
      </c>
      <c r="B11" s="13">
        <v>5601.11</v>
      </c>
      <c r="C11" s="13"/>
      <c r="D11" s="13"/>
      <c r="E11" s="13"/>
      <c r="F11" s="13">
        <v>51.17</v>
      </c>
      <c r="G11" s="13">
        <f t="shared" si="0"/>
        <v>32.980000000000004</v>
      </c>
      <c r="H11" s="13"/>
      <c r="I11" s="13">
        <f t="shared" si="1"/>
        <v>5516.96</v>
      </c>
      <c r="J11" s="13"/>
    </row>
    <row r="12" spans="1:10">
      <c r="A12" s="12">
        <v>43524</v>
      </c>
      <c r="B12" s="13"/>
      <c r="C12" s="13">
        <v>147.96</v>
      </c>
      <c r="D12" s="13">
        <v>297.04000000000002</v>
      </c>
      <c r="E12" s="13">
        <v>225.68</v>
      </c>
      <c r="F12" s="13">
        <v>51.18</v>
      </c>
      <c r="G12" s="13">
        <f t="shared" si="0"/>
        <v>32.970000000000006</v>
      </c>
      <c r="H12" s="13"/>
      <c r="I12" s="13">
        <f t="shared" si="1"/>
        <v>586.53000000000009</v>
      </c>
      <c r="J12" s="13"/>
    </row>
    <row r="13" spans="1:10">
      <c r="A13" s="12">
        <v>43539</v>
      </c>
      <c r="B13" s="13">
        <v>5601.11</v>
      </c>
      <c r="C13" s="13"/>
      <c r="D13" s="13"/>
      <c r="E13" s="13"/>
      <c r="F13" s="13">
        <v>51.17</v>
      </c>
      <c r="G13" s="13">
        <f>95.7-F13</f>
        <v>44.53</v>
      </c>
      <c r="H13" s="13"/>
      <c r="I13" s="13">
        <f t="shared" si="1"/>
        <v>5505.41</v>
      </c>
      <c r="J13" s="13"/>
    </row>
    <row r="14" spans="1:10">
      <c r="A14" s="12">
        <v>43555</v>
      </c>
      <c r="B14" s="13"/>
      <c r="C14" s="13">
        <v>217.17</v>
      </c>
      <c r="D14" s="13">
        <v>301.22000000000003</v>
      </c>
      <c r="E14" s="13">
        <v>63.25</v>
      </c>
      <c r="F14" s="13">
        <v>51.18</v>
      </c>
      <c r="G14" s="13">
        <f t="shared" ref="G14:G18" si="2">95.7-F14</f>
        <v>44.52</v>
      </c>
      <c r="H14" s="13"/>
      <c r="I14" s="13">
        <f t="shared" si="1"/>
        <v>485.94000000000005</v>
      </c>
      <c r="J14" s="13"/>
    </row>
    <row r="15" spans="1:10">
      <c r="A15" s="12">
        <v>43570</v>
      </c>
      <c r="B15" s="13">
        <v>5601.11</v>
      </c>
      <c r="C15" s="13"/>
      <c r="D15" s="13"/>
      <c r="E15" s="13"/>
      <c r="F15" s="13">
        <v>51.17</v>
      </c>
      <c r="G15" s="13">
        <f t="shared" si="2"/>
        <v>44.53</v>
      </c>
      <c r="H15" s="13"/>
      <c r="I15" s="13">
        <f t="shared" si="1"/>
        <v>5505.41</v>
      </c>
      <c r="J15" s="13"/>
    </row>
    <row r="16" spans="1:10">
      <c r="A16" s="12">
        <v>43585</v>
      </c>
      <c r="B16" s="13"/>
      <c r="C16" s="13">
        <v>182.57</v>
      </c>
      <c r="D16" s="13">
        <v>301.22000000000003</v>
      </c>
      <c r="E16" s="13">
        <v>84.15</v>
      </c>
      <c r="F16" s="13">
        <v>51.18</v>
      </c>
      <c r="G16" s="13">
        <f t="shared" si="2"/>
        <v>44.52</v>
      </c>
      <c r="H16" s="13"/>
      <c r="I16" s="13">
        <f t="shared" si="1"/>
        <v>472.24000000000012</v>
      </c>
      <c r="J16" s="13"/>
    </row>
    <row r="17" spans="1:10">
      <c r="A17" s="12">
        <v>43600</v>
      </c>
      <c r="B17" s="13">
        <v>5584.76</v>
      </c>
      <c r="C17" s="13"/>
      <c r="D17" s="13"/>
      <c r="E17" s="13"/>
      <c r="F17" s="13">
        <v>51.17</v>
      </c>
      <c r="G17" s="13">
        <f t="shared" si="2"/>
        <v>44.53</v>
      </c>
      <c r="H17" s="13"/>
      <c r="I17" s="13">
        <f t="shared" si="1"/>
        <v>5489.06</v>
      </c>
      <c r="J17" s="13"/>
    </row>
    <row r="18" spans="1:10">
      <c r="A18" s="12">
        <v>43616</v>
      </c>
      <c r="B18" s="13"/>
      <c r="C18" s="13">
        <v>182.57</v>
      </c>
      <c r="D18" s="13">
        <v>301.22000000000003</v>
      </c>
      <c r="E18" s="13">
        <v>728.51</v>
      </c>
      <c r="F18" s="13">
        <v>51.18</v>
      </c>
      <c r="G18" s="13">
        <f t="shared" si="2"/>
        <v>44.52</v>
      </c>
      <c r="H18" s="13"/>
      <c r="I18" s="13">
        <f t="shared" si="1"/>
        <v>1116.5999999999999</v>
      </c>
      <c r="J18" s="13"/>
    </row>
    <row r="19" spans="1:10">
      <c r="A19" s="12">
        <v>43631</v>
      </c>
      <c r="B19" s="13">
        <v>7312.4</v>
      </c>
      <c r="C19" s="13"/>
      <c r="D19" s="13"/>
      <c r="E19" s="13"/>
      <c r="F19" s="13">
        <v>51.17</v>
      </c>
      <c r="G19" s="13">
        <f>111.84-F19</f>
        <v>60.67</v>
      </c>
      <c r="H19" s="13"/>
      <c r="I19" s="13">
        <f t="shared" si="1"/>
        <v>7200.5599999999995</v>
      </c>
      <c r="J19" s="13"/>
    </row>
    <row r="20" spans="1:10">
      <c r="A20" s="12">
        <v>43646</v>
      </c>
      <c r="B20" s="13"/>
      <c r="C20" s="13">
        <v>228.79</v>
      </c>
      <c r="D20" s="13">
        <v>305.11</v>
      </c>
      <c r="E20" s="13">
        <v>96.25</v>
      </c>
      <c r="F20" s="13">
        <v>51.18</v>
      </c>
      <c r="G20" s="13">
        <f t="shared" ref="G20:G21" si="3">111.84-F20</f>
        <v>60.660000000000004</v>
      </c>
      <c r="H20" s="13"/>
      <c r="I20" s="13">
        <f t="shared" si="1"/>
        <v>518.31000000000006</v>
      </c>
      <c r="J20" s="13"/>
    </row>
    <row r="21" spans="1:10">
      <c r="A21" s="12">
        <v>43661</v>
      </c>
      <c r="B21" s="13">
        <v>6811.66</v>
      </c>
      <c r="C21" s="13"/>
      <c r="D21" s="13"/>
      <c r="E21" s="13"/>
      <c r="F21" s="13">
        <v>59</v>
      </c>
      <c r="G21" s="13">
        <f t="shared" si="3"/>
        <v>52.84</v>
      </c>
      <c r="H21" s="13"/>
      <c r="I21" s="13">
        <f t="shared" si="1"/>
        <v>6699.82</v>
      </c>
      <c r="J21" s="13"/>
    </row>
    <row r="22" spans="1:10">
      <c r="A22" s="12">
        <v>43677</v>
      </c>
      <c r="B22" s="13"/>
      <c r="C22" s="13">
        <v>220.64</v>
      </c>
      <c r="D22" s="13">
        <v>325.22000000000003</v>
      </c>
      <c r="E22" s="13">
        <v>368.29</v>
      </c>
      <c r="F22" s="13">
        <v>59</v>
      </c>
      <c r="G22" s="13">
        <f>128.1-F22</f>
        <v>69.099999999999994</v>
      </c>
      <c r="H22" s="13"/>
      <c r="I22" s="13">
        <f t="shared" si="1"/>
        <v>786.05000000000007</v>
      </c>
      <c r="J22" s="13"/>
    </row>
    <row r="23" spans="1:10">
      <c r="A23" s="12">
        <v>43692</v>
      </c>
      <c r="B23" s="13">
        <v>6811.66</v>
      </c>
      <c r="C23" s="13"/>
      <c r="D23" s="13"/>
      <c r="E23" s="13"/>
      <c r="F23" s="13">
        <v>59</v>
      </c>
      <c r="G23" s="13">
        <f>120-F23</f>
        <v>61</v>
      </c>
      <c r="H23" s="13"/>
      <c r="I23" s="13">
        <f t="shared" si="1"/>
        <v>6691.66</v>
      </c>
      <c r="J23" s="13"/>
    </row>
    <row r="24" spans="1:10">
      <c r="A24" s="12">
        <v>43708</v>
      </c>
      <c r="B24" s="13"/>
      <c r="C24" s="13">
        <v>220.64</v>
      </c>
      <c r="D24" s="13">
        <v>325.22000000000003</v>
      </c>
      <c r="E24" s="13">
        <v>100.96</v>
      </c>
      <c r="F24" s="13">
        <v>59</v>
      </c>
      <c r="G24" s="13">
        <f t="shared" ref="G24:G32" si="4">120-F24</f>
        <v>61</v>
      </c>
      <c r="H24" s="13"/>
      <c r="I24" s="13">
        <f t="shared" si="1"/>
        <v>526.82000000000005</v>
      </c>
      <c r="J24" s="13"/>
    </row>
    <row r="25" spans="1:10">
      <c r="A25" s="12">
        <v>43723</v>
      </c>
      <c r="B25" s="13">
        <v>6811.66</v>
      </c>
      <c r="C25" s="13"/>
      <c r="D25" s="13"/>
      <c r="E25" s="13"/>
      <c r="F25" s="13">
        <v>59</v>
      </c>
      <c r="G25" s="13">
        <f t="shared" si="4"/>
        <v>61</v>
      </c>
      <c r="H25" s="13"/>
      <c r="I25" s="13">
        <f t="shared" si="1"/>
        <v>6691.66</v>
      </c>
      <c r="J25" s="13"/>
    </row>
    <row r="26" spans="1:10">
      <c r="A26" s="12">
        <v>43738</v>
      </c>
      <c r="B26" s="13"/>
      <c r="C26" s="13">
        <v>220.64</v>
      </c>
      <c r="D26" s="13">
        <v>325.22000000000003</v>
      </c>
      <c r="E26" s="13"/>
      <c r="F26" s="13">
        <v>59</v>
      </c>
      <c r="G26" s="13">
        <f t="shared" si="4"/>
        <v>61</v>
      </c>
      <c r="H26" s="13"/>
      <c r="I26" s="13">
        <f t="shared" si="1"/>
        <v>425.86</v>
      </c>
      <c r="J26" s="13"/>
    </row>
    <row r="27" spans="1:10">
      <c r="A27" s="12">
        <v>43753</v>
      </c>
      <c r="B27" s="13">
        <v>6811.66</v>
      </c>
      <c r="C27" s="13"/>
      <c r="D27" s="13"/>
      <c r="E27" s="13"/>
      <c r="F27" s="13">
        <v>59</v>
      </c>
      <c r="G27" s="13">
        <f t="shared" si="4"/>
        <v>61</v>
      </c>
      <c r="H27" s="13"/>
      <c r="I27" s="13">
        <f t="shared" si="1"/>
        <v>6691.66</v>
      </c>
      <c r="J27" s="13"/>
    </row>
    <row r="28" spans="1:10">
      <c r="A28" s="12">
        <v>43769</v>
      </c>
      <c r="B28" s="13"/>
      <c r="C28" s="13">
        <v>220.64</v>
      </c>
      <c r="D28" s="13">
        <v>346.03</v>
      </c>
      <c r="E28" s="13">
        <v>1304.94</v>
      </c>
      <c r="F28" s="13">
        <v>59</v>
      </c>
      <c r="G28" s="13">
        <f t="shared" si="4"/>
        <v>61</v>
      </c>
      <c r="H28" s="13"/>
      <c r="I28" s="13">
        <f t="shared" si="1"/>
        <v>1751.6100000000001</v>
      </c>
      <c r="J28" s="13"/>
    </row>
    <row r="29" spans="1:10">
      <c r="A29" s="12">
        <v>43784</v>
      </c>
      <c r="B29" s="13"/>
      <c r="C29" s="13"/>
      <c r="D29" s="13"/>
      <c r="E29" s="13"/>
      <c r="F29" s="13">
        <v>59</v>
      </c>
      <c r="G29" s="13">
        <f t="shared" si="4"/>
        <v>61</v>
      </c>
      <c r="H29" s="13"/>
      <c r="I29" s="13">
        <f t="shared" si="1"/>
        <v>-120</v>
      </c>
      <c r="J29" s="13"/>
    </row>
    <row r="30" spans="1:10">
      <c r="A30" s="12">
        <v>43799</v>
      </c>
      <c r="B30" s="13"/>
      <c r="C30" s="13"/>
      <c r="D30" s="13">
        <v>328.69</v>
      </c>
      <c r="E30" s="13">
        <v>7.67</v>
      </c>
      <c r="F30" s="13">
        <v>59</v>
      </c>
      <c r="G30" s="13">
        <f t="shared" si="4"/>
        <v>61</v>
      </c>
      <c r="H30" s="13"/>
      <c r="I30" s="13">
        <f t="shared" si="1"/>
        <v>216.36</v>
      </c>
      <c r="J30" s="13"/>
    </row>
    <row r="31" spans="1:10">
      <c r="A31" s="12">
        <v>43814</v>
      </c>
      <c r="B31" s="13">
        <v>7605.69</v>
      </c>
      <c r="C31" s="13">
        <v>220.64</v>
      </c>
      <c r="D31" s="13"/>
      <c r="E31" s="13"/>
      <c r="F31" s="13">
        <v>59</v>
      </c>
      <c r="G31" s="13">
        <f t="shared" si="4"/>
        <v>61</v>
      </c>
      <c r="H31" s="13"/>
      <c r="I31" s="13">
        <f t="shared" si="1"/>
        <v>7706.33</v>
      </c>
      <c r="J31" s="13"/>
    </row>
    <row r="32" spans="1:10">
      <c r="A32" s="12">
        <v>43830</v>
      </c>
      <c r="B32" s="14">
        <v>6061.26</v>
      </c>
      <c r="C32" s="14"/>
      <c r="D32" s="14">
        <v>328.69</v>
      </c>
      <c r="E32" s="14">
        <v>395.14</v>
      </c>
      <c r="F32" s="14">
        <v>59</v>
      </c>
      <c r="G32" s="14">
        <f t="shared" si="4"/>
        <v>61</v>
      </c>
      <c r="H32" s="14"/>
      <c r="I32" s="14">
        <f t="shared" si="1"/>
        <v>6665.09</v>
      </c>
      <c r="J32" s="13"/>
    </row>
    <row r="33" spans="1:10">
      <c r="B33" s="13">
        <f>SUM(B9:B32)</f>
        <v>76215.19</v>
      </c>
      <c r="C33" s="13">
        <f t="shared" ref="C33:G33" si="5">SUM(C9:C32)</f>
        <v>2358.1899999999991</v>
      </c>
      <c r="D33" s="13">
        <f t="shared" si="5"/>
        <v>3781.92</v>
      </c>
      <c r="E33" s="13">
        <f t="shared" si="5"/>
        <v>3624.54</v>
      </c>
      <c r="F33" s="13">
        <f t="shared" si="5"/>
        <v>1322.1</v>
      </c>
      <c r="G33" s="13">
        <f t="shared" si="5"/>
        <v>1252.3200000000002</v>
      </c>
      <c r="H33" s="13"/>
      <c r="I33" s="13">
        <f>+B33+C33+D33+E33-F33-G33</f>
        <v>83405.419999999984</v>
      </c>
      <c r="J33" s="13"/>
    </row>
    <row r="34" spans="1:10"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t="s">
        <v>34</v>
      </c>
      <c r="F35" s="5" t="s">
        <v>29</v>
      </c>
      <c r="G35" s="5" t="s">
        <v>30</v>
      </c>
    </row>
    <row r="36" spans="1:10">
      <c r="A36" s="6" t="s">
        <v>11</v>
      </c>
      <c r="B36" s="6" t="s">
        <v>29</v>
      </c>
      <c r="C36" s="6" t="s">
        <v>30</v>
      </c>
      <c r="D36" s="6" t="s">
        <v>31</v>
      </c>
      <c r="E36" s="6" t="s">
        <v>33</v>
      </c>
      <c r="F36" s="6" t="s">
        <v>32</v>
      </c>
      <c r="G36" s="6" t="s">
        <v>32</v>
      </c>
      <c r="H36" s="6"/>
      <c r="I36" s="6" t="s">
        <v>8</v>
      </c>
    </row>
    <row r="37" spans="1:10">
      <c r="A37" s="12">
        <v>43480</v>
      </c>
      <c r="B37" s="13">
        <v>4361.43</v>
      </c>
      <c r="C37" s="13">
        <v>103.7</v>
      </c>
      <c r="D37" s="13"/>
      <c r="E37" s="13"/>
      <c r="F37" s="13">
        <f>73.33/2</f>
        <v>36.664999999999999</v>
      </c>
      <c r="G37" s="13">
        <f>59.77-F37</f>
        <v>23.105000000000004</v>
      </c>
      <c r="H37" s="13"/>
      <c r="I37" s="13">
        <f>+B37+C37+D37+E37-F37-G37</f>
        <v>4405.3600000000006</v>
      </c>
    </row>
    <row r="38" spans="1:10">
      <c r="A38" s="12">
        <v>43496</v>
      </c>
      <c r="B38" s="13"/>
      <c r="C38" s="13">
        <v>103.7</v>
      </c>
      <c r="D38" s="13">
        <v>205.08</v>
      </c>
      <c r="E38" s="13">
        <v>2998.39</v>
      </c>
      <c r="F38" s="13">
        <f t="shared" ref="F38:F48" si="6">73.33/2</f>
        <v>36.664999999999999</v>
      </c>
      <c r="G38" s="13">
        <f t="shared" ref="G38:G49" si="7">59.77-F38</f>
        <v>23.105000000000004</v>
      </c>
      <c r="H38" s="13"/>
      <c r="I38" s="13">
        <f t="shared" ref="I38:I61" si="8">+B38+C38+D38+E38-F38-G38</f>
        <v>3247.4</v>
      </c>
    </row>
    <row r="39" spans="1:10">
      <c r="A39" s="12">
        <v>43511</v>
      </c>
      <c r="B39" s="13">
        <v>4361.43</v>
      </c>
      <c r="C39" s="13"/>
      <c r="D39" s="13"/>
      <c r="E39" s="13"/>
      <c r="F39" s="13">
        <f t="shared" si="6"/>
        <v>36.664999999999999</v>
      </c>
      <c r="G39" s="13">
        <f t="shared" si="7"/>
        <v>23.105000000000004</v>
      </c>
      <c r="H39" s="13"/>
      <c r="I39" s="13">
        <f t="shared" si="8"/>
        <v>4301.6600000000008</v>
      </c>
    </row>
    <row r="40" spans="1:10">
      <c r="A40" s="12">
        <v>43524</v>
      </c>
      <c r="B40" s="13"/>
      <c r="C40" s="13">
        <v>103.7</v>
      </c>
      <c r="D40" s="13">
        <v>205.08</v>
      </c>
      <c r="E40" s="13">
        <v>525.13</v>
      </c>
      <c r="F40" s="13">
        <f t="shared" si="6"/>
        <v>36.664999999999999</v>
      </c>
      <c r="G40" s="13">
        <f t="shared" si="7"/>
        <v>23.105000000000004</v>
      </c>
      <c r="H40" s="13"/>
      <c r="I40" s="13">
        <f t="shared" si="8"/>
        <v>774.1400000000001</v>
      </c>
    </row>
    <row r="41" spans="1:10">
      <c r="A41" s="12">
        <v>43539</v>
      </c>
      <c r="B41" s="13">
        <v>4361.43</v>
      </c>
      <c r="C41" s="13"/>
      <c r="D41" s="13"/>
      <c r="E41" s="13"/>
      <c r="F41" s="13">
        <f t="shared" si="6"/>
        <v>36.664999999999999</v>
      </c>
      <c r="G41" s="13">
        <f t="shared" si="7"/>
        <v>23.105000000000004</v>
      </c>
      <c r="H41" s="13"/>
      <c r="I41" s="13">
        <f t="shared" si="8"/>
        <v>4301.6600000000008</v>
      </c>
    </row>
    <row r="42" spans="1:10">
      <c r="A42" s="12">
        <v>43555</v>
      </c>
      <c r="B42" s="13"/>
      <c r="C42" s="13">
        <v>103.7</v>
      </c>
      <c r="D42" s="13">
        <v>207.86</v>
      </c>
      <c r="E42" s="13">
        <v>1099.6400000000001</v>
      </c>
      <c r="F42" s="13">
        <f t="shared" si="6"/>
        <v>36.664999999999999</v>
      </c>
      <c r="G42" s="13">
        <f t="shared" si="7"/>
        <v>23.105000000000004</v>
      </c>
      <c r="H42" s="13"/>
      <c r="I42" s="13">
        <f t="shared" si="8"/>
        <v>1351.43</v>
      </c>
    </row>
    <row r="43" spans="1:10">
      <c r="A43" s="12">
        <v>43570</v>
      </c>
      <c r="B43" s="13">
        <v>4361.43</v>
      </c>
      <c r="C43" s="13"/>
      <c r="D43" s="13"/>
      <c r="E43" s="13"/>
      <c r="F43" s="13">
        <f t="shared" si="6"/>
        <v>36.664999999999999</v>
      </c>
      <c r="G43" s="13">
        <f t="shared" si="7"/>
        <v>23.105000000000004</v>
      </c>
      <c r="H43" s="13"/>
      <c r="I43" s="13">
        <f t="shared" si="8"/>
        <v>4301.6600000000008</v>
      </c>
    </row>
    <row r="44" spans="1:10">
      <c r="A44" s="12">
        <v>43585</v>
      </c>
      <c r="B44" s="13"/>
      <c r="C44" s="13">
        <v>103.7</v>
      </c>
      <c r="D44" s="13">
        <v>207.86</v>
      </c>
      <c r="E44" s="13">
        <v>2956.13</v>
      </c>
      <c r="F44" s="13">
        <f t="shared" si="6"/>
        <v>36.664999999999999</v>
      </c>
      <c r="G44" s="13">
        <f t="shared" si="7"/>
        <v>23.105000000000004</v>
      </c>
      <c r="H44" s="13"/>
      <c r="I44" s="13">
        <f t="shared" si="8"/>
        <v>3207.92</v>
      </c>
    </row>
    <row r="45" spans="1:10">
      <c r="A45" s="12">
        <v>43600</v>
      </c>
      <c r="B45" s="13">
        <v>4351.22</v>
      </c>
      <c r="C45" s="13"/>
      <c r="D45" s="13"/>
      <c r="E45" s="13"/>
      <c r="F45" s="13">
        <f t="shared" si="6"/>
        <v>36.664999999999999</v>
      </c>
      <c r="G45" s="13">
        <f t="shared" si="7"/>
        <v>23.105000000000004</v>
      </c>
      <c r="H45" s="13"/>
      <c r="I45" s="13">
        <f t="shared" si="8"/>
        <v>4291.4500000000007</v>
      </c>
    </row>
    <row r="46" spans="1:10">
      <c r="A46" s="12">
        <v>43616</v>
      </c>
      <c r="B46" s="13"/>
      <c r="C46" s="13">
        <v>103.7</v>
      </c>
      <c r="D46" s="13">
        <v>413.36</v>
      </c>
      <c r="E46" s="13">
        <v>582.57000000000005</v>
      </c>
      <c r="F46" s="13">
        <f t="shared" si="6"/>
        <v>36.664999999999999</v>
      </c>
      <c r="G46" s="13">
        <f t="shared" si="7"/>
        <v>23.105000000000004</v>
      </c>
      <c r="H46" s="13"/>
      <c r="I46" s="13">
        <f t="shared" si="8"/>
        <v>1039.8600000000001</v>
      </c>
    </row>
    <row r="47" spans="1:10">
      <c r="A47" s="12">
        <v>43631</v>
      </c>
      <c r="B47" s="13">
        <v>4351.22</v>
      </c>
      <c r="C47" s="13"/>
      <c r="D47" s="13"/>
      <c r="E47" s="13"/>
      <c r="F47" s="13">
        <f t="shared" si="6"/>
        <v>36.664999999999999</v>
      </c>
      <c r="G47" s="13">
        <f t="shared" si="7"/>
        <v>23.105000000000004</v>
      </c>
      <c r="H47" s="13"/>
      <c r="I47" s="13">
        <f t="shared" si="8"/>
        <v>4291.4500000000007</v>
      </c>
    </row>
    <row r="48" spans="1:10">
      <c r="A48" s="12">
        <v>43646</v>
      </c>
      <c r="B48" s="13"/>
      <c r="C48" s="13">
        <v>103.7</v>
      </c>
      <c r="D48" s="13">
        <v>176.31</v>
      </c>
      <c r="E48" s="13">
        <v>594.42999999999995</v>
      </c>
      <c r="F48" s="13">
        <f t="shared" si="6"/>
        <v>36.664999999999999</v>
      </c>
      <c r="G48" s="13">
        <f t="shared" si="7"/>
        <v>23.105000000000004</v>
      </c>
      <c r="H48" s="13"/>
      <c r="I48" s="13">
        <f t="shared" si="8"/>
        <v>814.67</v>
      </c>
    </row>
    <row r="49" spans="1:9">
      <c r="A49" s="12">
        <v>43661</v>
      </c>
      <c r="B49" s="13">
        <v>4667.67</v>
      </c>
      <c r="C49" s="13"/>
      <c r="D49" s="13"/>
      <c r="E49" s="13"/>
      <c r="F49" s="13">
        <f>78.67/2</f>
        <v>39.335000000000001</v>
      </c>
      <c r="G49" s="13">
        <f t="shared" si="7"/>
        <v>20.435000000000002</v>
      </c>
      <c r="H49" s="13"/>
      <c r="I49" s="13">
        <f t="shared" si="8"/>
        <v>4607.8999999999996</v>
      </c>
    </row>
    <row r="50" spans="1:9">
      <c r="A50" s="12">
        <v>43677</v>
      </c>
      <c r="B50" s="13"/>
      <c r="C50" s="13">
        <v>111.24</v>
      </c>
      <c r="D50" s="13">
        <v>262.67</v>
      </c>
      <c r="E50" s="13">
        <v>343.53</v>
      </c>
      <c r="F50" s="13">
        <f t="shared" ref="F50:F60" si="9">78.67/2</f>
        <v>39.335000000000001</v>
      </c>
      <c r="G50" s="13">
        <f>68.46-F50</f>
        <v>29.124999999999993</v>
      </c>
      <c r="H50" s="13"/>
      <c r="I50" s="13">
        <f t="shared" si="8"/>
        <v>648.98</v>
      </c>
    </row>
    <row r="51" spans="1:9">
      <c r="A51" s="12">
        <v>43692</v>
      </c>
      <c r="B51" s="13">
        <v>4667.67</v>
      </c>
      <c r="C51" s="13"/>
      <c r="D51" s="13"/>
      <c r="E51" s="13"/>
      <c r="F51" s="13">
        <f t="shared" si="9"/>
        <v>39.335000000000001</v>
      </c>
      <c r="G51" s="13">
        <f>64.13-F51</f>
        <v>24.794999999999995</v>
      </c>
      <c r="H51" s="13"/>
      <c r="I51" s="13">
        <f t="shared" si="8"/>
        <v>4603.54</v>
      </c>
    </row>
    <row r="52" spans="1:9">
      <c r="A52" s="12">
        <v>43708</v>
      </c>
      <c r="B52" s="13"/>
      <c r="C52" s="13">
        <v>111.24</v>
      </c>
      <c r="D52" s="13">
        <v>262.67</v>
      </c>
      <c r="E52" s="13">
        <v>316.77999999999997</v>
      </c>
      <c r="F52" s="13">
        <f t="shared" si="9"/>
        <v>39.335000000000001</v>
      </c>
      <c r="G52" s="13">
        <f t="shared" ref="G52:G60" si="10">64.13-F52</f>
        <v>24.794999999999995</v>
      </c>
      <c r="H52" s="13"/>
      <c r="I52" s="13">
        <f t="shared" si="8"/>
        <v>626.56000000000006</v>
      </c>
    </row>
    <row r="53" spans="1:9">
      <c r="A53" s="12">
        <v>43723</v>
      </c>
      <c r="B53" s="13">
        <v>4667.67</v>
      </c>
      <c r="C53" s="13"/>
      <c r="D53" s="13"/>
      <c r="E53" s="13"/>
      <c r="F53" s="13">
        <f t="shared" si="9"/>
        <v>39.335000000000001</v>
      </c>
      <c r="G53" s="13">
        <f t="shared" si="10"/>
        <v>24.794999999999995</v>
      </c>
      <c r="H53" s="13"/>
      <c r="I53" s="13">
        <f t="shared" si="8"/>
        <v>4603.54</v>
      </c>
    </row>
    <row r="54" spans="1:9">
      <c r="A54" s="12">
        <v>43738</v>
      </c>
      <c r="B54" s="13"/>
      <c r="C54" s="13">
        <v>111.24</v>
      </c>
      <c r="D54" s="13">
        <v>262.67</v>
      </c>
      <c r="E54" s="13">
        <v>391.46</v>
      </c>
      <c r="F54" s="13">
        <f t="shared" si="9"/>
        <v>39.335000000000001</v>
      </c>
      <c r="G54" s="13">
        <f t="shared" si="10"/>
        <v>24.794999999999995</v>
      </c>
      <c r="H54" s="13"/>
      <c r="I54" s="13">
        <f t="shared" si="8"/>
        <v>701.24</v>
      </c>
    </row>
    <row r="55" spans="1:9">
      <c r="A55" s="12">
        <v>43753</v>
      </c>
      <c r="B55" s="13">
        <v>4667.67</v>
      </c>
      <c r="C55" s="13"/>
      <c r="D55" s="13"/>
      <c r="E55" s="13"/>
      <c r="F55" s="13">
        <f t="shared" si="9"/>
        <v>39.335000000000001</v>
      </c>
      <c r="G55" s="13">
        <f t="shared" si="10"/>
        <v>24.794999999999995</v>
      </c>
      <c r="H55" s="13"/>
      <c r="I55" s="13">
        <f t="shared" si="8"/>
        <v>4603.54</v>
      </c>
    </row>
    <row r="56" spans="1:9">
      <c r="A56" s="12">
        <v>43769</v>
      </c>
      <c r="B56" s="13"/>
      <c r="C56" s="13">
        <v>111.24</v>
      </c>
      <c r="D56" s="13">
        <v>275.74</v>
      </c>
      <c r="E56" s="13">
        <v>627.32000000000005</v>
      </c>
      <c r="F56" s="13">
        <f t="shared" si="9"/>
        <v>39.335000000000001</v>
      </c>
      <c r="G56" s="13">
        <f t="shared" si="10"/>
        <v>24.794999999999995</v>
      </c>
      <c r="H56" s="13"/>
      <c r="I56" s="13">
        <f t="shared" si="8"/>
        <v>950.17000000000007</v>
      </c>
    </row>
    <row r="57" spans="1:9">
      <c r="A57" s="12">
        <v>43784</v>
      </c>
      <c r="B57" s="13"/>
      <c r="C57" s="13"/>
      <c r="D57" s="13"/>
      <c r="E57" s="13"/>
      <c r="F57" s="13">
        <f t="shared" si="9"/>
        <v>39.335000000000001</v>
      </c>
      <c r="G57" s="13">
        <f t="shared" si="10"/>
        <v>24.794999999999995</v>
      </c>
      <c r="H57" s="13"/>
      <c r="I57" s="13">
        <f t="shared" si="8"/>
        <v>-64.13</v>
      </c>
    </row>
    <row r="58" spans="1:9">
      <c r="A58" s="12">
        <v>43799</v>
      </c>
      <c r="B58" s="13"/>
      <c r="C58" s="13"/>
      <c r="D58" s="13">
        <v>259.2</v>
      </c>
      <c r="E58" s="13">
        <v>84.29</v>
      </c>
      <c r="F58" s="13">
        <f t="shared" si="9"/>
        <v>39.335000000000001</v>
      </c>
      <c r="G58" s="13">
        <f t="shared" si="10"/>
        <v>24.794999999999995</v>
      </c>
      <c r="H58" s="13"/>
      <c r="I58" s="13">
        <f t="shared" si="8"/>
        <v>279.36</v>
      </c>
    </row>
    <row r="59" spans="1:9">
      <c r="A59" s="12">
        <v>43814</v>
      </c>
      <c r="B59" s="13">
        <v>5212.68</v>
      </c>
      <c r="C59" s="13">
        <v>111.24</v>
      </c>
      <c r="D59" s="13"/>
      <c r="E59" s="13">
        <v>226.53</v>
      </c>
      <c r="F59" s="13">
        <f t="shared" si="9"/>
        <v>39.335000000000001</v>
      </c>
      <c r="G59" s="13">
        <f t="shared" si="10"/>
        <v>24.794999999999995</v>
      </c>
      <c r="H59" s="13"/>
      <c r="I59" s="13">
        <f t="shared" si="8"/>
        <v>5486.32</v>
      </c>
    </row>
    <row r="60" spans="1:9">
      <c r="A60" s="12">
        <v>43830</v>
      </c>
      <c r="B60" s="14">
        <v>4157.3999999999996</v>
      </c>
      <c r="C60" s="14"/>
      <c r="D60" s="14">
        <v>259.2</v>
      </c>
      <c r="E60" s="14">
        <v>146.91999999999999</v>
      </c>
      <c r="F60" s="14">
        <f t="shared" si="9"/>
        <v>39.335000000000001</v>
      </c>
      <c r="G60" s="14">
        <f t="shared" si="10"/>
        <v>24.794999999999995</v>
      </c>
      <c r="H60" s="14"/>
      <c r="I60" s="14">
        <f t="shared" si="8"/>
        <v>4499.3899999999994</v>
      </c>
    </row>
    <row r="61" spans="1:9">
      <c r="B61" s="13">
        <f>SUM(B37:B60)</f>
        <v>54188.92</v>
      </c>
      <c r="C61" s="13">
        <f t="shared" ref="C61" si="11">SUM(C37:C60)</f>
        <v>1282.1000000000001</v>
      </c>
      <c r="D61" s="13">
        <f t="shared" ref="D61" si="12">SUM(D37:D60)</f>
        <v>2997.7</v>
      </c>
      <c r="E61" s="13">
        <f t="shared" ref="E61" si="13">SUM(E37:E60)</f>
        <v>10893.12</v>
      </c>
      <c r="F61" s="13">
        <f t="shared" ref="F61:G61" si="14">SUM(F37:F60)</f>
        <v>912.00000000000045</v>
      </c>
      <c r="G61" s="13">
        <f t="shared" si="14"/>
        <v>574.7700000000001</v>
      </c>
      <c r="H61" s="13"/>
      <c r="I61" s="13">
        <f t="shared" si="8"/>
        <v>67875.069999999992</v>
      </c>
    </row>
    <row r="63" spans="1:9">
      <c r="A63" t="s">
        <v>35</v>
      </c>
      <c r="F63" s="5" t="s">
        <v>29</v>
      </c>
      <c r="G63" s="5" t="s">
        <v>30</v>
      </c>
    </row>
    <row r="64" spans="1:9">
      <c r="A64" s="6" t="s">
        <v>11</v>
      </c>
      <c r="B64" s="6" t="s">
        <v>29</v>
      </c>
      <c r="C64" s="6" t="s">
        <v>30</v>
      </c>
      <c r="D64" s="6" t="s">
        <v>31</v>
      </c>
      <c r="E64" s="6" t="s">
        <v>33</v>
      </c>
      <c r="F64" s="6" t="s">
        <v>32</v>
      </c>
      <c r="G64" s="6" t="s">
        <v>32</v>
      </c>
      <c r="H64" s="6"/>
      <c r="I64" s="6" t="s">
        <v>8</v>
      </c>
    </row>
    <row r="65" spans="1:9">
      <c r="A65" s="12">
        <v>43480</v>
      </c>
      <c r="B65" s="13">
        <v>826.46</v>
      </c>
      <c r="C65" s="13">
        <v>22.13</v>
      </c>
      <c r="D65" s="13"/>
      <c r="E65" s="13"/>
      <c r="F65" s="13">
        <f>18.33/2</f>
        <v>9.1649999999999991</v>
      </c>
      <c r="G65" s="13">
        <f>14.49-F65</f>
        <v>5.3250000000000011</v>
      </c>
      <c r="H65" s="13"/>
      <c r="I65" s="13">
        <f>+B65+C65+D65+E65-F65-G65</f>
        <v>834.1</v>
      </c>
    </row>
    <row r="66" spans="1:9">
      <c r="A66" s="12">
        <v>43496</v>
      </c>
      <c r="B66" s="13"/>
      <c r="C66" s="13">
        <v>22.13</v>
      </c>
      <c r="D66" s="13">
        <v>79.33</v>
      </c>
      <c r="E66" s="13">
        <v>337.78</v>
      </c>
      <c r="F66" s="13">
        <f t="shared" ref="F66:F76" si="15">18.33/2</f>
        <v>9.1649999999999991</v>
      </c>
      <c r="G66" s="13">
        <f t="shared" ref="G66:G77" si="16">14.49-F66</f>
        <v>5.3250000000000011</v>
      </c>
      <c r="H66" s="13"/>
      <c r="I66" s="13">
        <f t="shared" ref="I66:I89" si="17">+B66+C66+D66+E66-F66-G66</f>
        <v>424.74999999999994</v>
      </c>
    </row>
    <row r="67" spans="1:9">
      <c r="A67" s="12">
        <v>43511</v>
      </c>
      <c r="B67" s="13">
        <v>826.46</v>
      </c>
      <c r="C67" s="13"/>
      <c r="D67" s="13"/>
      <c r="E67" s="13"/>
      <c r="F67" s="13">
        <f t="shared" si="15"/>
        <v>9.1649999999999991</v>
      </c>
      <c r="G67" s="13">
        <f t="shared" si="16"/>
        <v>5.3250000000000011</v>
      </c>
      <c r="H67" s="13"/>
      <c r="I67" s="13">
        <f t="shared" si="17"/>
        <v>811.97</v>
      </c>
    </row>
    <row r="68" spans="1:9">
      <c r="A68" s="12">
        <v>43524</v>
      </c>
      <c r="B68" s="13"/>
      <c r="C68" s="13">
        <v>22.13</v>
      </c>
      <c r="D68" s="13">
        <v>79.33</v>
      </c>
      <c r="E68" s="13"/>
      <c r="F68" s="13">
        <f t="shared" si="15"/>
        <v>9.1649999999999991</v>
      </c>
      <c r="G68" s="13">
        <f t="shared" si="16"/>
        <v>5.3250000000000011</v>
      </c>
      <c r="H68" s="13"/>
      <c r="I68" s="13">
        <f t="shared" si="17"/>
        <v>86.969999999999985</v>
      </c>
    </row>
    <row r="69" spans="1:9">
      <c r="A69" s="12">
        <v>43539</v>
      </c>
      <c r="B69" s="13">
        <v>826.46</v>
      </c>
      <c r="C69" s="13"/>
      <c r="D69" s="13"/>
      <c r="E69" s="13"/>
      <c r="F69" s="13">
        <f t="shared" si="15"/>
        <v>9.1649999999999991</v>
      </c>
      <c r="G69" s="13">
        <f t="shared" si="16"/>
        <v>5.3250000000000011</v>
      </c>
      <c r="H69" s="13"/>
      <c r="I69" s="13">
        <f t="shared" si="17"/>
        <v>811.97</v>
      </c>
    </row>
    <row r="70" spans="1:9">
      <c r="A70" s="12">
        <v>43555</v>
      </c>
      <c r="B70" s="13"/>
      <c r="C70" s="13">
        <v>22.13</v>
      </c>
      <c r="D70" s="13">
        <v>80.72</v>
      </c>
      <c r="E70" s="13">
        <v>110.25</v>
      </c>
      <c r="F70" s="13">
        <f t="shared" si="15"/>
        <v>9.1649999999999991</v>
      </c>
      <c r="G70" s="13">
        <f t="shared" si="16"/>
        <v>5.3250000000000011</v>
      </c>
      <c r="H70" s="13"/>
      <c r="I70" s="13">
        <f t="shared" si="17"/>
        <v>198.61</v>
      </c>
    </row>
    <row r="71" spans="1:9">
      <c r="A71" s="12">
        <v>43570</v>
      </c>
      <c r="B71" s="13">
        <v>826.46</v>
      </c>
      <c r="C71" s="13"/>
      <c r="D71" s="13"/>
      <c r="E71" s="13"/>
      <c r="F71" s="13">
        <f t="shared" si="15"/>
        <v>9.1649999999999991</v>
      </c>
      <c r="G71" s="13">
        <f t="shared" si="16"/>
        <v>5.3250000000000011</v>
      </c>
      <c r="H71" s="13"/>
      <c r="I71" s="13">
        <f t="shared" si="17"/>
        <v>811.97</v>
      </c>
    </row>
    <row r="72" spans="1:9">
      <c r="A72" s="12">
        <v>43585</v>
      </c>
      <c r="B72" s="13"/>
      <c r="C72" s="13">
        <v>22.13</v>
      </c>
      <c r="D72" s="13">
        <v>80.72</v>
      </c>
      <c r="E72" s="13">
        <v>110.22</v>
      </c>
      <c r="F72" s="13">
        <f t="shared" si="15"/>
        <v>9.1649999999999991</v>
      </c>
      <c r="G72" s="13">
        <f t="shared" si="16"/>
        <v>5.3250000000000011</v>
      </c>
      <c r="H72" s="13"/>
      <c r="I72" s="13">
        <f t="shared" si="17"/>
        <v>198.58</v>
      </c>
    </row>
    <row r="73" spans="1:9">
      <c r="A73" s="12">
        <v>43600</v>
      </c>
      <c r="B73" s="13">
        <v>824.42</v>
      </c>
      <c r="C73" s="13"/>
      <c r="D73" s="13"/>
      <c r="E73" s="13"/>
      <c r="F73" s="13">
        <f t="shared" si="15"/>
        <v>9.1649999999999991</v>
      </c>
      <c r="G73" s="13">
        <f t="shared" si="16"/>
        <v>5.3250000000000011</v>
      </c>
      <c r="H73" s="13"/>
      <c r="I73" s="13">
        <f t="shared" si="17"/>
        <v>809.93</v>
      </c>
    </row>
    <row r="74" spans="1:9">
      <c r="A74" s="12">
        <v>43616</v>
      </c>
      <c r="B74" s="13"/>
      <c r="C74" s="13">
        <v>22.13</v>
      </c>
      <c r="D74" s="13">
        <v>80.72</v>
      </c>
      <c r="E74" s="13"/>
      <c r="F74" s="13">
        <f t="shared" si="15"/>
        <v>9.1649999999999991</v>
      </c>
      <c r="G74" s="13">
        <f t="shared" si="16"/>
        <v>5.3250000000000011</v>
      </c>
      <c r="H74" s="13"/>
      <c r="I74" s="13">
        <f t="shared" si="17"/>
        <v>88.36</v>
      </c>
    </row>
    <row r="75" spans="1:9">
      <c r="A75" s="12">
        <v>43631</v>
      </c>
      <c r="B75" s="13">
        <v>824.42</v>
      </c>
      <c r="C75" s="13"/>
      <c r="D75" s="13"/>
      <c r="E75" s="13"/>
      <c r="F75" s="13">
        <f t="shared" si="15"/>
        <v>9.1649999999999991</v>
      </c>
      <c r="G75" s="13">
        <f t="shared" si="16"/>
        <v>5.3250000000000011</v>
      </c>
      <c r="H75" s="13"/>
      <c r="I75" s="13">
        <f t="shared" si="17"/>
        <v>809.93</v>
      </c>
    </row>
    <row r="76" spans="1:9">
      <c r="A76" s="12">
        <v>43646</v>
      </c>
      <c r="B76" s="13"/>
      <c r="C76" s="13">
        <v>22.13</v>
      </c>
      <c r="D76" s="13">
        <v>80.72</v>
      </c>
      <c r="E76" s="13">
        <v>180.31</v>
      </c>
      <c r="F76" s="13">
        <f t="shared" si="15"/>
        <v>9.1649999999999991</v>
      </c>
      <c r="G76" s="13">
        <f t="shared" si="16"/>
        <v>5.3250000000000011</v>
      </c>
      <c r="H76" s="13"/>
      <c r="I76" s="13">
        <f t="shared" si="17"/>
        <v>268.66999999999996</v>
      </c>
    </row>
    <row r="77" spans="1:9">
      <c r="A77" s="12">
        <v>43661</v>
      </c>
      <c r="B77" s="13">
        <v>884.38</v>
      </c>
      <c r="C77" s="13"/>
      <c r="D77" s="13"/>
      <c r="E77" s="13"/>
      <c r="F77" s="13">
        <f>19.67/2</f>
        <v>9.8350000000000009</v>
      </c>
      <c r="G77" s="13">
        <f t="shared" si="16"/>
        <v>4.6549999999999994</v>
      </c>
      <c r="H77" s="13"/>
      <c r="I77" s="13">
        <f t="shared" si="17"/>
        <v>869.89</v>
      </c>
    </row>
    <row r="78" spans="1:9">
      <c r="A78" s="12">
        <v>43677</v>
      </c>
      <c r="B78" s="13"/>
      <c r="C78" s="13">
        <v>23.74</v>
      </c>
      <c r="D78" s="13">
        <v>86.59</v>
      </c>
      <c r="E78" s="13">
        <v>20.65</v>
      </c>
      <c r="F78" s="13">
        <f t="shared" ref="F78:F88" si="18">19.67/2</f>
        <v>9.8350000000000009</v>
      </c>
      <c r="G78" s="13">
        <f>16.59-F78</f>
        <v>6.754999999999999</v>
      </c>
      <c r="H78" s="13"/>
      <c r="I78" s="13">
        <f t="shared" si="17"/>
        <v>114.38999999999999</v>
      </c>
    </row>
    <row r="79" spans="1:9">
      <c r="A79" s="12">
        <v>43692</v>
      </c>
      <c r="B79" s="13">
        <v>884.38</v>
      </c>
      <c r="C79" s="13"/>
      <c r="D79" s="13"/>
      <c r="E79" s="13"/>
      <c r="F79" s="13">
        <f t="shared" si="18"/>
        <v>9.8350000000000009</v>
      </c>
      <c r="G79" s="13">
        <f>15.54-F79</f>
        <v>5.7049999999999983</v>
      </c>
      <c r="H79" s="13"/>
      <c r="I79" s="13">
        <f t="shared" si="17"/>
        <v>868.83999999999992</v>
      </c>
    </row>
    <row r="80" spans="1:9">
      <c r="A80" s="12">
        <v>43708</v>
      </c>
      <c r="B80" s="13"/>
      <c r="C80" s="13">
        <v>23.74</v>
      </c>
      <c r="D80" s="13">
        <v>86.59</v>
      </c>
      <c r="E80" s="13"/>
      <c r="F80" s="13">
        <f t="shared" si="18"/>
        <v>9.8350000000000009</v>
      </c>
      <c r="G80" s="13">
        <f t="shared" ref="G80:G88" si="19">15.54-F80</f>
        <v>5.7049999999999983</v>
      </c>
      <c r="H80" s="13"/>
      <c r="I80" s="13">
        <f t="shared" si="17"/>
        <v>94.79</v>
      </c>
    </row>
    <row r="81" spans="1:10">
      <c r="A81" s="12">
        <v>43723</v>
      </c>
      <c r="B81" s="13">
        <v>884.38</v>
      </c>
      <c r="C81" s="13"/>
      <c r="D81" s="13"/>
      <c r="E81" s="13"/>
      <c r="F81" s="13">
        <f t="shared" si="18"/>
        <v>9.8350000000000009</v>
      </c>
      <c r="G81" s="13">
        <f t="shared" si="19"/>
        <v>5.7049999999999983</v>
      </c>
      <c r="H81" s="13"/>
      <c r="I81" s="13">
        <f t="shared" si="17"/>
        <v>868.83999999999992</v>
      </c>
    </row>
    <row r="82" spans="1:10">
      <c r="A82" s="12">
        <v>43738</v>
      </c>
      <c r="B82" s="13"/>
      <c r="C82" s="13">
        <v>23.74</v>
      </c>
      <c r="D82" s="13">
        <v>86.59</v>
      </c>
      <c r="E82" s="13">
        <v>297.68</v>
      </c>
      <c r="F82" s="13">
        <f t="shared" si="18"/>
        <v>9.8350000000000009</v>
      </c>
      <c r="G82" s="13">
        <f t="shared" si="19"/>
        <v>5.7049999999999983</v>
      </c>
      <c r="H82" s="13"/>
      <c r="I82" s="13">
        <f t="shared" si="17"/>
        <v>392.47</v>
      </c>
    </row>
    <row r="83" spans="1:10">
      <c r="A83" s="12">
        <v>43753</v>
      </c>
      <c r="B83" s="13">
        <v>884.38</v>
      </c>
      <c r="C83" s="13"/>
      <c r="D83" s="13"/>
      <c r="E83" s="13"/>
      <c r="F83" s="13">
        <f t="shared" si="18"/>
        <v>9.8350000000000009</v>
      </c>
      <c r="G83" s="13">
        <f t="shared" si="19"/>
        <v>5.7049999999999983</v>
      </c>
      <c r="H83" s="13"/>
      <c r="I83" s="13">
        <f t="shared" si="17"/>
        <v>868.83999999999992</v>
      </c>
    </row>
    <row r="84" spans="1:10">
      <c r="A84" s="12">
        <v>43769</v>
      </c>
      <c r="B84" s="13"/>
      <c r="C84" s="13">
        <v>23.74</v>
      </c>
      <c r="D84" s="13">
        <v>86.59</v>
      </c>
      <c r="E84" s="13">
        <v>77.52</v>
      </c>
      <c r="F84" s="13">
        <f t="shared" si="18"/>
        <v>9.8350000000000009</v>
      </c>
      <c r="G84" s="13">
        <f t="shared" si="19"/>
        <v>5.7049999999999983</v>
      </c>
      <c r="H84" s="13"/>
      <c r="I84" s="13">
        <f t="shared" si="17"/>
        <v>172.31</v>
      </c>
    </row>
    <row r="85" spans="1:10">
      <c r="A85" s="12">
        <v>43784</v>
      </c>
      <c r="B85" s="13"/>
      <c r="C85" s="13"/>
      <c r="D85" s="13"/>
      <c r="E85" s="13"/>
      <c r="F85" s="13">
        <f t="shared" si="18"/>
        <v>9.8350000000000009</v>
      </c>
      <c r="G85" s="13">
        <f t="shared" si="19"/>
        <v>5.7049999999999983</v>
      </c>
      <c r="H85" s="13"/>
      <c r="I85" s="13">
        <f t="shared" si="17"/>
        <v>-15.54</v>
      </c>
    </row>
    <row r="86" spans="1:10">
      <c r="A86" s="12">
        <v>43799</v>
      </c>
      <c r="B86" s="13"/>
      <c r="C86" s="13"/>
      <c r="D86" s="13">
        <v>86.59</v>
      </c>
      <c r="E86" s="13">
        <v>52.52</v>
      </c>
      <c r="F86" s="13">
        <f t="shared" si="18"/>
        <v>9.8350000000000009</v>
      </c>
      <c r="G86" s="13">
        <f t="shared" si="19"/>
        <v>5.7049999999999983</v>
      </c>
      <c r="H86" s="13"/>
      <c r="I86" s="13">
        <f t="shared" si="17"/>
        <v>123.57000000000001</v>
      </c>
    </row>
    <row r="87" spans="1:10">
      <c r="A87" s="12">
        <v>43814</v>
      </c>
      <c r="B87" s="13">
        <v>987.55</v>
      </c>
      <c r="C87" s="13">
        <v>23.74</v>
      </c>
      <c r="D87" s="13"/>
      <c r="E87" s="13"/>
      <c r="F87" s="13">
        <f t="shared" si="18"/>
        <v>9.8350000000000009</v>
      </c>
      <c r="G87" s="13">
        <f t="shared" si="19"/>
        <v>5.7049999999999983</v>
      </c>
      <c r="H87" s="13"/>
      <c r="I87" s="13">
        <f t="shared" si="17"/>
        <v>995.74999999999989</v>
      </c>
    </row>
    <row r="88" spans="1:10">
      <c r="A88" s="12">
        <v>43830</v>
      </c>
      <c r="B88" s="14">
        <v>815.49</v>
      </c>
      <c r="C88" s="14"/>
      <c r="D88" s="14">
        <v>86.59</v>
      </c>
      <c r="E88" s="14">
        <v>361.59</v>
      </c>
      <c r="F88" s="14">
        <f t="shared" si="18"/>
        <v>9.8350000000000009</v>
      </c>
      <c r="G88" s="14">
        <f t="shared" si="19"/>
        <v>5.7049999999999983</v>
      </c>
      <c r="H88" s="14"/>
      <c r="I88" s="14">
        <f t="shared" si="17"/>
        <v>1248.1300000000001</v>
      </c>
    </row>
    <row r="89" spans="1:10">
      <c r="B89" s="13">
        <f>SUM(B65:B88)</f>
        <v>10295.24</v>
      </c>
      <c r="C89" s="13">
        <f t="shared" ref="C89" si="20">SUM(C65:C88)</f>
        <v>273.61</v>
      </c>
      <c r="D89" s="13">
        <f t="shared" ref="D89" si="21">SUM(D65:D88)</f>
        <v>1001.0800000000003</v>
      </c>
      <c r="E89" s="13">
        <f t="shared" ref="E89" si="22">SUM(E65:E88)</f>
        <v>1548.5199999999998</v>
      </c>
      <c r="F89" s="13">
        <f t="shared" ref="F89:G89" si="23">SUM(F65:F88)</f>
        <v>228.00000000000006</v>
      </c>
      <c r="G89" s="13">
        <f t="shared" si="23"/>
        <v>132.36000000000001</v>
      </c>
      <c r="H89" s="13"/>
      <c r="I89" s="13">
        <f t="shared" si="17"/>
        <v>12758.09</v>
      </c>
      <c r="J89" s="15"/>
    </row>
    <row r="92" spans="1:10">
      <c r="A92" t="s">
        <v>36</v>
      </c>
      <c r="F92" s="5" t="s">
        <v>29</v>
      </c>
      <c r="G92" s="5" t="s">
        <v>30</v>
      </c>
    </row>
    <row r="93" spans="1:10">
      <c r="B93" s="6" t="s">
        <v>29</v>
      </c>
      <c r="C93" s="6" t="s">
        <v>30</v>
      </c>
      <c r="D93" s="6" t="s">
        <v>31</v>
      </c>
      <c r="E93" s="6" t="s">
        <v>33</v>
      </c>
      <c r="F93" s="6" t="s">
        <v>32</v>
      </c>
      <c r="G93" s="6" t="s">
        <v>32</v>
      </c>
      <c r="H93" s="6"/>
      <c r="I93" s="6" t="s">
        <v>8</v>
      </c>
    </row>
    <row r="94" spans="1:10">
      <c r="A94" t="s">
        <v>4</v>
      </c>
      <c r="B94" s="15">
        <f t="shared" ref="B94:G94" si="24">+B33</f>
        <v>76215.19</v>
      </c>
      <c r="C94" s="15">
        <f t="shared" si="24"/>
        <v>2358.1899999999991</v>
      </c>
      <c r="D94" s="15">
        <f t="shared" si="24"/>
        <v>3781.92</v>
      </c>
      <c r="E94" s="15">
        <f t="shared" si="24"/>
        <v>3624.54</v>
      </c>
      <c r="F94" s="15">
        <f t="shared" si="24"/>
        <v>1322.1</v>
      </c>
      <c r="G94" s="15">
        <f t="shared" si="24"/>
        <v>1252.3200000000002</v>
      </c>
      <c r="I94" s="13">
        <f>+B94+C94+D94+E94-F94-G94</f>
        <v>83405.419999999984</v>
      </c>
    </row>
    <row r="95" spans="1:10">
      <c r="A95" t="s">
        <v>7</v>
      </c>
      <c r="B95" s="15">
        <f t="shared" ref="B95:G95" si="25">+B61</f>
        <v>54188.92</v>
      </c>
      <c r="C95" s="15">
        <f t="shared" si="25"/>
        <v>1282.1000000000001</v>
      </c>
      <c r="D95" s="15">
        <f t="shared" si="25"/>
        <v>2997.7</v>
      </c>
      <c r="E95" s="15">
        <f t="shared" si="25"/>
        <v>10893.12</v>
      </c>
      <c r="F95" s="15">
        <f t="shared" si="25"/>
        <v>912.00000000000045</v>
      </c>
      <c r="G95" s="15">
        <f t="shared" si="25"/>
        <v>574.7700000000001</v>
      </c>
      <c r="I95" s="13">
        <f t="shared" ref="I95:I97" si="26">+B95+C95+D95+E95-F95-G95</f>
        <v>67875.069999999992</v>
      </c>
    </row>
    <row r="96" spans="1:10">
      <c r="A96" t="s">
        <v>2</v>
      </c>
      <c r="B96" s="16">
        <f>+B89</f>
        <v>10295.24</v>
      </c>
      <c r="C96" s="16">
        <f t="shared" ref="C96:F96" si="27">+C89</f>
        <v>273.61</v>
      </c>
      <c r="D96" s="16">
        <f t="shared" si="27"/>
        <v>1001.0800000000003</v>
      </c>
      <c r="E96" s="16">
        <f t="shared" si="27"/>
        <v>1548.5199999999998</v>
      </c>
      <c r="F96" s="16">
        <f t="shared" si="27"/>
        <v>228.00000000000006</v>
      </c>
      <c r="G96" s="16">
        <f t="shared" ref="G96" si="28">+G89</f>
        <v>132.36000000000001</v>
      </c>
      <c r="H96" s="2"/>
      <c r="I96" s="14">
        <f t="shared" si="26"/>
        <v>12758.09</v>
      </c>
    </row>
    <row r="97" spans="1:9">
      <c r="B97" s="15">
        <f>SUM(B94:B96)</f>
        <v>140699.35</v>
      </c>
      <c r="C97" s="15">
        <f t="shared" ref="C97:G97" si="29">SUM(C94:C96)</f>
        <v>3913.8999999999992</v>
      </c>
      <c r="D97" s="15">
        <f t="shared" si="29"/>
        <v>7780.7</v>
      </c>
      <c r="E97" s="15">
        <f t="shared" si="29"/>
        <v>16066.18</v>
      </c>
      <c r="F97" s="15">
        <f t="shared" si="29"/>
        <v>2462.1000000000004</v>
      </c>
      <c r="G97" s="15">
        <f t="shared" si="29"/>
        <v>1959.4500000000003</v>
      </c>
      <c r="I97" s="13">
        <f t="shared" si="26"/>
        <v>164038.57999999999</v>
      </c>
    </row>
    <row r="100" spans="1:9">
      <c r="A100" t="s">
        <v>37</v>
      </c>
    </row>
    <row r="101" spans="1:9">
      <c r="C101" s="5" t="s">
        <v>63</v>
      </c>
      <c r="D101" s="15">
        <f>+B97</f>
        <v>140699.35</v>
      </c>
    </row>
    <row r="102" spans="1:9">
      <c r="C102" s="5" t="s">
        <v>61</v>
      </c>
      <c r="D102" s="16">
        <f>-F97</f>
        <v>-2462.1000000000004</v>
      </c>
    </row>
    <row r="103" spans="1:9">
      <c r="C103" s="5" t="s">
        <v>62</v>
      </c>
      <c r="D103" s="15">
        <f>+D101+D102</f>
        <v>138237.25</v>
      </c>
    </row>
    <row r="105" spans="1:9">
      <c r="A105" t="s">
        <v>38</v>
      </c>
    </row>
    <row r="106" spans="1:9">
      <c r="C106" s="5" t="s">
        <v>64</v>
      </c>
      <c r="D106" s="15">
        <f>+C97</f>
        <v>3913.8999999999992</v>
      </c>
    </row>
    <row r="107" spans="1:9">
      <c r="C107" s="5" t="s">
        <v>61</v>
      </c>
      <c r="D107" s="16">
        <f>-G97</f>
        <v>-1959.4500000000003</v>
      </c>
    </row>
    <row r="108" spans="1:9">
      <c r="C108" s="5" t="s">
        <v>65</v>
      </c>
      <c r="D108" s="15">
        <f>+D106+D107</f>
        <v>1954.4499999999989</v>
      </c>
      <c r="E108" s="35">
        <f>D108/D106</f>
        <v>0.499361250926186</v>
      </c>
    </row>
  </sheetData>
  <mergeCells count="3">
    <mergeCell ref="A1:I1"/>
    <mergeCell ref="A3:I3"/>
    <mergeCell ref="A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topLeftCell="A81" workbookViewId="0">
      <selection activeCell="G108" sqref="G108"/>
    </sheetView>
  </sheetViews>
  <sheetFormatPr defaultRowHeight="15"/>
  <cols>
    <col min="1" max="1" width="10.7109375" bestFit="1" customWidth="1"/>
    <col min="2" max="7" width="14.140625" customWidth="1"/>
    <col min="8" max="8" width="4.42578125" customWidth="1"/>
    <col min="9" max="9" width="11.5703125" bestFit="1" customWidth="1"/>
    <col min="10" max="10" width="9.5703125" bestFit="1" customWidth="1"/>
    <col min="11" max="16" width="13.7109375" customWidth="1"/>
    <col min="19" max="19" width="11.5703125" bestFit="1" customWidth="1"/>
  </cols>
  <sheetData>
    <row r="1" spans="1:10" ht="23.25">
      <c r="A1" s="34" t="s">
        <v>13</v>
      </c>
      <c r="B1" s="34"/>
      <c r="C1" s="34"/>
      <c r="D1" s="34"/>
      <c r="E1" s="34"/>
      <c r="F1" s="34"/>
      <c r="G1" s="34"/>
      <c r="H1" s="34"/>
      <c r="I1" s="34"/>
    </row>
    <row r="3" spans="1:10">
      <c r="A3" s="33" t="s">
        <v>26</v>
      </c>
      <c r="B3" s="33"/>
      <c r="C3" s="33"/>
      <c r="D3" s="33"/>
      <c r="E3" s="33"/>
      <c r="F3" s="33"/>
      <c r="G3" s="33"/>
      <c r="H3" s="33"/>
      <c r="I3" s="33"/>
    </row>
    <row r="5" spans="1:10">
      <c r="A5" s="33" t="s">
        <v>27</v>
      </c>
      <c r="B5" s="33"/>
      <c r="C5" s="33"/>
      <c r="D5" s="33"/>
      <c r="E5" s="33"/>
      <c r="F5" s="33"/>
      <c r="G5" s="33"/>
      <c r="H5" s="33"/>
      <c r="I5" s="33"/>
    </row>
    <row r="7" spans="1:10">
      <c r="A7" t="s">
        <v>28</v>
      </c>
      <c r="F7" s="5" t="s">
        <v>29</v>
      </c>
      <c r="G7" s="5" t="s">
        <v>30</v>
      </c>
    </row>
    <row r="8" spans="1:10">
      <c r="A8" s="6" t="s">
        <v>11</v>
      </c>
      <c r="B8" s="6" t="s">
        <v>29</v>
      </c>
      <c r="C8" s="6" t="s">
        <v>30</v>
      </c>
      <c r="D8" s="6" t="s">
        <v>31</v>
      </c>
      <c r="E8" s="6" t="s">
        <v>33</v>
      </c>
      <c r="F8" s="6" t="s">
        <v>32</v>
      </c>
      <c r="G8" s="6" t="s">
        <v>32</v>
      </c>
      <c r="H8" s="6"/>
      <c r="I8" s="6" t="s">
        <v>8</v>
      </c>
    </row>
    <row r="9" spans="1:10">
      <c r="A9" s="12">
        <v>43480</v>
      </c>
      <c r="B9" s="13">
        <v>4582.72</v>
      </c>
      <c r="C9" s="13">
        <v>121.06</v>
      </c>
      <c r="D9" s="13"/>
      <c r="E9" s="13"/>
      <c r="F9" s="13">
        <f>83.74/2</f>
        <v>41.87</v>
      </c>
      <c r="G9" s="13">
        <f>68.85-F9</f>
        <v>26.979999999999997</v>
      </c>
      <c r="H9" s="13"/>
      <c r="I9" s="13">
        <f>+B9+C9+D9+E9-F9-G9</f>
        <v>4634.9300000000012</v>
      </c>
      <c r="J9" s="13"/>
    </row>
    <row r="10" spans="1:10">
      <c r="A10" s="12">
        <v>43496</v>
      </c>
      <c r="B10" s="13"/>
      <c r="C10" s="13">
        <v>121.06</v>
      </c>
      <c r="D10" s="13">
        <v>243.03</v>
      </c>
      <c r="E10" s="13">
        <v>204.3</v>
      </c>
      <c r="F10" s="13">
        <f t="shared" ref="F10:F19" si="0">83.74/2</f>
        <v>41.87</v>
      </c>
      <c r="G10" s="13">
        <f t="shared" ref="G10:G12" si="1">68.85-F10</f>
        <v>26.979999999999997</v>
      </c>
      <c r="H10" s="13"/>
      <c r="I10" s="13">
        <f t="shared" ref="I10:I32" si="2">+B10+C10+D10+E10-F10-G10</f>
        <v>499.54000000000008</v>
      </c>
      <c r="J10" s="13"/>
    </row>
    <row r="11" spans="1:10">
      <c r="A11" s="12">
        <v>43511</v>
      </c>
      <c r="B11" s="13">
        <v>4582.72</v>
      </c>
      <c r="C11" s="13"/>
      <c r="D11" s="13"/>
      <c r="E11" s="13"/>
      <c r="F11" s="13">
        <f t="shared" si="0"/>
        <v>41.87</v>
      </c>
      <c r="G11" s="13">
        <f t="shared" si="1"/>
        <v>26.979999999999997</v>
      </c>
      <c r="H11" s="13"/>
      <c r="I11" s="13">
        <f t="shared" si="2"/>
        <v>4513.8700000000008</v>
      </c>
      <c r="J11" s="13"/>
    </row>
    <row r="12" spans="1:10">
      <c r="A12" s="12">
        <v>43524</v>
      </c>
      <c r="B12" s="13"/>
      <c r="C12" s="13">
        <v>121.06</v>
      </c>
      <c r="D12" s="13">
        <v>243.03</v>
      </c>
      <c r="E12" s="13">
        <v>184.64</v>
      </c>
      <c r="F12" s="13">
        <f t="shared" si="0"/>
        <v>41.87</v>
      </c>
      <c r="G12" s="13">
        <f t="shared" si="1"/>
        <v>26.979999999999997</v>
      </c>
      <c r="H12" s="13"/>
      <c r="I12" s="13">
        <f t="shared" si="2"/>
        <v>479.88</v>
      </c>
      <c r="J12" s="13"/>
    </row>
    <row r="13" spans="1:10">
      <c r="A13" s="12">
        <v>43539</v>
      </c>
      <c r="B13" s="13">
        <v>4582.72</v>
      </c>
      <c r="C13" s="13"/>
      <c r="D13" s="13"/>
      <c r="E13" s="13"/>
      <c r="F13" s="13">
        <f t="shared" si="0"/>
        <v>41.87</v>
      </c>
      <c r="G13" s="13">
        <f>78.3-F13</f>
        <v>36.43</v>
      </c>
      <c r="H13" s="13"/>
      <c r="I13" s="13">
        <f t="shared" si="2"/>
        <v>4504.42</v>
      </c>
      <c r="J13" s="13"/>
    </row>
    <row r="14" spans="1:10">
      <c r="A14" s="12">
        <v>43555</v>
      </c>
      <c r="B14" s="13"/>
      <c r="C14" s="13">
        <v>177.69</v>
      </c>
      <c r="D14" s="13">
        <v>246.46</v>
      </c>
      <c r="E14" s="13">
        <v>51.75</v>
      </c>
      <c r="F14" s="13">
        <v>41.88</v>
      </c>
      <c r="G14" s="13">
        <f t="shared" ref="G14:G18" si="3">78.3-F14</f>
        <v>36.419999999999995</v>
      </c>
      <c r="H14" s="13"/>
      <c r="I14" s="13">
        <f t="shared" si="2"/>
        <v>397.59999999999997</v>
      </c>
      <c r="J14" s="13"/>
    </row>
    <row r="15" spans="1:10">
      <c r="A15" s="12">
        <v>43570</v>
      </c>
      <c r="B15" s="13">
        <v>4582.72</v>
      </c>
      <c r="C15" s="13"/>
      <c r="D15" s="13"/>
      <c r="E15" s="13"/>
      <c r="F15" s="13">
        <f t="shared" si="0"/>
        <v>41.87</v>
      </c>
      <c r="G15" s="13">
        <f t="shared" si="3"/>
        <v>36.43</v>
      </c>
      <c r="H15" s="13"/>
      <c r="I15" s="13">
        <f t="shared" si="2"/>
        <v>4504.42</v>
      </c>
      <c r="J15" s="13"/>
    </row>
    <row r="16" spans="1:10">
      <c r="A16" s="12">
        <v>43585</v>
      </c>
      <c r="B16" s="13"/>
      <c r="C16" s="13">
        <v>149.37</v>
      </c>
      <c r="D16" s="13">
        <v>246.46</v>
      </c>
      <c r="E16" s="13">
        <v>68.849999999999994</v>
      </c>
      <c r="F16" s="13">
        <f t="shared" si="0"/>
        <v>41.87</v>
      </c>
      <c r="G16" s="13">
        <f t="shared" si="3"/>
        <v>36.43</v>
      </c>
      <c r="H16" s="13"/>
      <c r="I16" s="13">
        <f t="shared" si="2"/>
        <v>386.38000000000005</v>
      </c>
      <c r="J16" s="13"/>
    </row>
    <row r="17" spans="1:10">
      <c r="A17" s="12">
        <v>43600</v>
      </c>
      <c r="B17" s="13">
        <v>4569.33</v>
      </c>
      <c r="C17" s="13"/>
      <c r="D17" s="13"/>
      <c r="E17" s="13"/>
      <c r="F17" s="13">
        <f t="shared" si="0"/>
        <v>41.87</v>
      </c>
      <c r="G17" s="13">
        <f t="shared" si="3"/>
        <v>36.43</v>
      </c>
      <c r="H17" s="13"/>
      <c r="I17" s="13">
        <f t="shared" si="2"/>
        <v>4491.03</v>
      </c>
      <c r="J17" s="13"/>
    </row>
    <row r="18" spans="1:10">
      <c r="A18" s="12">
        <v>43616</v>
      </c>
      <c r="B18" s="13"/>
      <c r="C18" s="13">
        <v>149.37</v>
      </c>
      <c r="D18" s="13">
        <v>246.46</v>
      </c>
      <c r="E18" s="13">
        <v>596.05999999999995</v>
      </c>
      <c r="F18" s="13">
        <f t="shared" si="0"/>
        <v>41.87</v>
      </c>
      <c r="G18" s="13">
        <f t="shared" si="3"/>
        <v>36.43</v>
      </c>
      <c r="H18" s="13"/>
      <c r="I18" s="13">
        <f t="shared" si="2"/>
        <v>913.59</v>
      </c>
      <c r="J18" s="13"/>
    </row>
    <row r="19" spans="1:10">
      <c r="A19" s="12">
        <v>43631</v>
      </c>
      <c r="B19" s="13">
        <v>5982.86</v>
      </c>
      <c r="C19" s="13"/>
      <c r="D19" s="13"/>
      <c r="E19" s="13"/>
      <c r="F19" s="13">
        <f t="shared" si="0"/>
        <v>41.87</v>
      </c>
      <c r="G19" s="13">
        <f>91.5-F19</f>
        <v>49.63</v>
      </c>
      <c r="H19" s="13"/>
      <c r="I19" s="13">
        <f t="shared" si="2"/>
        <v>5891.36</v>
      </c>
      <c r="J19" s="13"/>
    </row>
    <row r="20" spans="1:10">
      <c r="A20" s="12">
        <v>43646</v>
      </c>
      <c r="B20" s="13"/>
      <c r="C20" s="13">
        <v>187.19</v>
      </c>
      <c r="D20" s="13">
        <v>249.63</v>
      </c>
      <c r="E20" s="13">
        <v>78.75</v>
      </c>
      <c r="F20" s="13">
        <v>41.88</v>
      </c>
      <c r="G20" s="13">
        <f t="shared" ref="G20:G21" si="4">91.5-F20</f>
        <v>49.62</v>
      </c>
      <c r="H20" s="13"/>
      <c r="I20" s="13">
        <f t="shared" si="2"/>
        <v>424.06999999999994</v>
      </c>
      <c r="J20" s="13"/>
    </row>
    <row r="21" spans="1:10">
      <c r="A21" s="12">
        <v>43661</v>
      </c>
      <c r="B21" s="13">
        <v>4733.53</v>
      </c>
      <c r="C21" s="13"/>
      <c r="D21" s="13"/>
      <c r="E21" s="13"/>
      <c r="F21" s="13">
        <v>41</v>
      </c>
      <c r="G21" s="13">
        <f t="shared" si="4"/>
        <v>50.5</v>
      </c>
      <c r="H21" s="13"/>
      <c r="I21" s="13">
        <f t="shared" si="2"/>
        <v>4642.03</v>
      </c>
      <c r="J21" s="13"/>
    </row>
    <row r="22" spans="1:10">
      <c r="A22" s="12">
        <v>43677</v>
      </c>
      <c r="B22" s="13"/>
      <c r="C22" s="13">
        <v>153.32</v>
      </c>
      <c r="D22" s="13">
        <v>225.99</v>
      </c>
      <c r="E22" s="13">
        <v>255.93</v>
      </c>
      <c r="F22" s="13">
        <v>41</v>
      </c>
      <c r="G22" s="13">
        <f>75.24-F22</f>
        <v>34.239999999999995</v>
      </c>
      <c r="H22" s="13"/>
      <c r="I22" s="13">
        <f t="shared" si="2"/>
        <v>560</v>
      </c>
      <c r="J22" s="13"/>
    </row>
    <row r="23" spans="1:10">
      <c r="A23" s="12">
        <v>43692</v>
      </c>
      <c r="B23" s="13">
        <v>4733.53</v>
      </c>
      <c r="C23" s="13"/>
      <c r="D23" s="13"/>
      <c r="E23" s="13"/>
      <c r="F23" s="13">
        <v>41</v>
      </c>
      <c r="G23" s="13">
        <f>83.4-F23</f>
        <v>42.400000000000006</v>
      </c>
      <c r="H23" s="13"/>
      <c r="I23" s="13">
        <f t="shared" si="2"/>
        <v>4650.13</v>
      </c>
      <c r="J23" s="13"/>
    </row>
    <row r="24" spans="1:10">
      <c r="A24" s="12">
        <v>43708</v>
      </c>
      <c r="B24" s="13"/>
      <c r="C24" s="13">
        <v>153.32</v>
      </c>
      <c r="D24" s="13">
        <v>225.99</v>
      </c>
      <c r="E24" s="13">
        <v>55.81</v>
      </c>
      <c r="F24" s="13">
        <v>41</v>
      </c>
      <c r="G24" s="13">
        <f t="shared" ref="G24:G32" si="5">83.4-F24</f>
        <v>42.400000000000006</v>
      </c>
      <c r="H24" s="13"/>
      <c r="I24" s="13">
        <f t="shared" si="2"/>
        <v>351.72</v>
      </c>
      <c r="J24" s="13"/>
    </row>
    <row r="25" spans="1:10">
      <c r="A25" s="12">
        <v>43723</v>
      </c>
      <c r="B25" s="13">
        <v>4733.53</v>
      </c>
      <c r="C25" s="13"/>
      <c r="D25" s="13"/>
      <c r="E25" s="13"/>
      <c r="F25" s="13">
        <v>41</v>
      </c>
      <c r="G25" s="13">
        <f t="shared" si="5"/>
        <v>42.400000000000006</v>
      </c>
      <c r="H25" s="13"/>
      <c r="I25" s="13">
        <f t="shared" si="2"/>
        <v>4650.13</v>
      </c>
      <c r="J25" s="13"/>
    </row>
    <row r="26" spans="1:10">
      <c r="A26" s="12">
        <v>43738</v>
      </c>
      <c r="B26" s="13"/>
      <c r="C26" s="13">
        <v>153.32</v>
      </c>
      <c r="D26" s="13">
        <v>225.99</v>
      </c>
      <c r="E26" s="13"/>
      <c r="F26" s="13">
        <v>41</v>
      </c>
      <c r="G26" s="13">
        <f t="shared" si="5"/>
        <v>42.400000000000006</v>
      </c>
      <c r="H26" s="13"/>
      <c r="I26" s="13">
        <f t="shared" si="2"/>
        <v>295.90999999999997</v>
      </c>
      <c r="J26" s="13"/>
    </row>
    <row r="27" spans="1:10">
      <c r="A27" s="12">
        <v>43753</v>
      </c>
      <c r="B27" s="13">
        <v>4733.53</v>
      </c>
      <c r="C27" s="13"/>
      <c r="D27" s="13"/>
      <c r="E27" s="13"/>
      <c r="F27" s="13">
        <v>41</v>
      </c>
      <c r="G27" s="13">
        <f t="shared" si="5"/>
        <v>42.400000000000006</v>
      </c>
      <c r="H27" s="13"/>
      <c r="I27" s="13">
        <f t="shared" si="2"/>
        <v>4650.13</v>
      </c>
      <c r="J27" s="13"/>
    </row>
    <row r="28" spans="1:10">
      <c r="A28" s="12">
        <v>43769</v>
      </c>
      <c r="B28" s="13"/>
      <c r="C28" s="13">
        <v>153.32</v>
      </c>
      <c r="D28" s="13">
        <v>240.46</v>
      </c>
      <c r="E28" s="13">
        <v>906.83</v>
      </c>
      <c r="F28" s="13">
        <v>41</v>
      </c>
      <c r="G28" s="13">
        <f t="shared" si="5"/>
        <v>42.400000000000006</v>
      </c>
      <c r="H28" s="13"/>
      <c r="I28" s="13">
        <f t="shared" si="2"/>
        <v>1217.21</v>
      </c>
      <c r="J28" s="13"/>
    </row>
    <row r="29" spans="1:10">
      <c r="A29" s="12">
        <v>43784</v>
      </c>
      <c r="B29" s="13"/>
      <c r="C29" s="13"/>
      <c r="D29" s="13"/>
      <c r="E29" s="13"/>
      <c r="F29" s="13">
        <v>41</v>
      </c>
      <c r="G29" s="13">
        <f t="shared" si="5"/>
        <v>42.400000000000006</v>
      </c>
      <c r="H29" s="13"/>
      <c r="I29" s="13">
        <f t="shared" si="2"/>
        <v>-83.4</v>
      </c>
      <c r="J29" s="13"/>
    </row>
    <row r="30" spans="1:10">
      <c r="A30" s="12">
        <v>43799</v>
      </c>
      <c r="B30" s="13"/>
      <c r="C30" s="13"/>
      <c r="D30" s="13">
        <v>228.4</v>
      </c>
      <c r="E30" s="13">
        <v>5.33</v>
      </c>
      <c r="F30" s="13">
        <v>41</v>
      </c>
      <c r="G30" s="13">
        <f t="shared" si="5"/>
        <v>42.400000000000006</v>
      </c>
      <c r="H30" s="13"/>
      <c r="I30" s="13">
        <f t="shared" si="2"/>
        <v>150.33000000000001</v>
      </c>
      <c r="J30" s="13"/>
    </row>
    <row r="31" spans="1:10">
      <c r="A31" s="12">
        <v>43814</v>
      </c>
      <c r="B31" s="13">
        <v>5285.31</v>
      </c>
      <c r="C31" s="13">
        <v>153.32</v>
      </c>
      <c r="D31" s="13"/>
      <c r="E31" s="13"/>
      <c r="F31" s="13">
        <v>41</v>
      </c>
      <c r="G31" s="13">
        <f t="shared" si="5"/>
        <v>42.400000000000006</v>
      </c>
      <c r="H31" s="13"/>
      <c r="I31" s="13">
        <f t="shared" si="2"/>
        <v>5355.2300000000005</v>
      </c>
      <c r="J31" s="13"/>
    </row>
    <row r="32" spans="1:10">
      <c r="A32" s="12">
        <v>43830</v>
      </c>
      <c r="B32" s="14">
        <v>4212.0600000000004</v>
      </c>
      <c r="C32" s="14"/>
      <c r="D32" s="14">
        <v>228.4</v>
      </c>
      <c r="E32" s="14">
        <v>274.58</v>
      </c>
      <c r="F32" s="14">
        <v>41</v>
      </c>
      <c r="G32" s="14">
        <f t="shared" si="5"/>
        <v>42.400000000000006</v>
      </c>
      <c r="H32" s="14"/>
      <c r="I32" s="14">
        <f t="shared" si="2"/>
        <v>4631.6400000000003</v>
      </c>
      <c r="J32" s="13"/>
    </row>
    <row r="33" spans="1:10">
      <c r="B33" s="13">
        <f>SUM(B9:B32)</f>
        <v>57314.55999999999</v>
      </c>
      <c r="C33" s="13">
        <f t="shared" ref="C33:G33" si="6">SUM(C9:C32)</f>
        <v>1793.3999999999996</v>
      </c>
      <c r="D33" s="13">
        <f t="shared" si="6"/>
        <v>2850.3</v>
      </c>
      <c r="E33" s="13">
        <f t="shared" si="6"/>
        <v>2682.83</v>
      </c>
      <c r="F33" s="13">
        <f t="shared" si="6"/>
        <v>994.46</v>
      </c>
      <c r="G33" s="13">
        <f t="shared" si="6"/>
        <v>934.47999999999979</v>
      </c>
      <c r="H33" s="13"/>
      <c r="I33" s="13">
        <f>+B33+C33+D33+E33-F33-G33</f>
        <v>62712.149999999994</v>
      </c>
      <c r="J33" s="13"/>
    </row>
    <row r="34" spans="1:10"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t="s">
        <v>34</v>
      </c>
      <c r="F35" s="5" t="s">
        <v>29</v>
      </c>
      <c r="G35" s="5" t="s">
        <v>30</v>
      </c>
    </row>
    <row r="36" spans="1:10">
      <c r="A36" s="6" t="s">
        <v>11</v>
      </c>
      <c r="B36" s="6" t="s">
        <v>29</v>
      </c>
      <c r="C36" s="6" t="s">
        <v>30</v>
      </c>
      <c r="D36" s="6" t="s">
        <v>31</v>
      </c>
      <c r="E36" s="6" t="s">
        <v>33</v>
      </c>
      <c r="F36" s="6" t="s">
        <v>32</v>
      </c>
      <c r="G36" s="6" t="s">
        <v>32</v>
      </c>
      <c r="H36" s="6"/>
      <c r="I36" s="6" t="s">
        <v>8</v>
      </c>
    </row>
    <row r="37" spans="1:10">
      <c r="A37" s="12">
        <v>43480</v>
      </c>
      <c r="B37" s="13">
        <v>3568.44</v>
      </c>
      <c r="C37" s="13">
        <v>84.84</v>
      </c>
      <c r="D37" s="13"/>
      <c r="E37" s="13"/>
      <c r="F37" s="13">
        <v>30</v>
      </c>
      <c r="G37" s="13">
        <f>48.9-F37</f>
        <v>18.899999999999999</v>
      </c>
      <c r="H37" s="13"/>
      <c r="I37" s="13">
        <f>+B37+C37+D37+E37-F37-G37</f>
        <v>3604.38</v>
      </c>
    </row>
    <row r="38" spans="1:10">
      <c r="A38" s="12">
        <v>43496</v>
      </c>
      <c r="B38" s="13"/>
      <c r="C38" s="13">
        <v>84.84</v>
      </c>
      <c r="D38" s="13">
        <v>167.8</v>
      </c>
      <c r="E38" s="13">
        <v>2453.2399999999998</v>
      </c>
      <c r="F38" s="13">
        <v>30</v>
      </c>
      <c r="G38" s="13">
        <f t="shared" ref="G38:G49" si="7">48.9-F38</f>
        <v>18.899999999999999</v>
      </c>
      <c r="H38" s="13"/>
      <c r="I38" s="13">
        <f t="shared" ref="I38:I61" si="8">+B38+C38+D38+E38-F38-G38</f>
        <v>2656.9799999999996</v>
      </c>
    </row>
    <row r="39" spans="1:10">
      <c r="A39" s="12">
        <v>43511</v>
      </c>
      <c r="B39" s="13">
        <v>3568.44</v>
      </c>
      <c r="C39" s="13"/>
      <c r="D39" s="13"/>
      <c r="E39" s="13"/>
      <c r="F39" s="13">
        <v>30</v>
      </c>
      <c r="G39" s="13">
        <f t="shared" si="7"/>
        <v>18.899999999999999</v>
      </c>
      <c r="H39" s="13"/>
      <c r="I39" s="13">
        <f t="shared" si="8"/>
        <v>3519.54</v>
      </c>
    </row>
    <row r="40" spans="1:10">
      <c r="A40" s="12">
        <v>43524</v>
      </c>
      <c r="B40" s="13"/>
      <c r="C40" s="13">
        <v>84.84</v>
      </c>
      <c r="D40" s="13">
        <v>167.8</v>
      </c>
      <c r="E40" s="13">
        <v>429.65</v>
      </c>
      <c r="F40" s="13">
        <v>30</v>
      </c>
      <c r="G40" s="13">
        <f t="shared" si="7"/>
        <v>18.899999999999999</v>
      </c>
      <c r="H40" s="13"/>
      <c r="I40" s="13">
        <f t="shared" si="8"/>
        <v>633.39</v>
      </c>
    </row>
    <row r="41" spans="1:10">
      <c r="A41" s="12">
        <v>43539</v>
      </c>
      <c r="B41" s="13">
        <v>3568.44</v>
      </c>
      <c r="C41" s="13"/>
      <c r="D41" s="13"/>
      <c r="E41" s="13"/>
      <c r="F41" s="13">
        <v>30</v>
      </c>
      <c r="G41" s="13">
        <f t="shared" si="7"/>
        <v>18.899999999999999</v>
      </c>
      <c r="H41" s="13"/>
      <c r="I41" s="13">
        <f t="shared" si="8"/>
        <v>3519.54</v>
      </c>
    </row>
    <row r="42" spans="1:10">
      <c r="A42" s="12">
        <v>43555</v>
      </c>
      <c r="B42" s="13"/>
      <c r="C42" s="13">
        <v>84.84</v>
      </c>
      <c r="D42" s="13">
        <v>170.07</v>
      </c>
      <c r="E42" s="13">
        <v>899.71</v>
      </c>
      <c r="F42" s="13">
        <v>30</v>
      </c>
      <c r="G42" s="13">
        <f t="shared" si="7"/>
        <v>18.899999999999999</v>
      </c>
      <c r="H42" s="13"/>
      <c r="I42" s="13">
        <f t="shared" si="8"/>
        <v>1105.72</v>
      </c>
    </row>
    <row r="43" spans="1:10">
      <c r="A43" s="12">
        <v>43570</v>
      </c>
      <c r="B43" s="13">
        <v>3568.44</v>
      </c>
      <c r="C43" s="13"/>
      <c r="D43" s="13"/>
      <c r="E43" s="13"/>
      <c r="F43" s="13">
        <v>30</v>
      </c>
      <c r="G43" s="13">
        <f t="shared" si="7"/>
        <v>18.899999999999999</v>
      </c>
      <c r="H43" s="13"/>
      <c r="I43" s="13">
        <f t="shared" si="8"/>
        <v>3519.54</v>
      </c>
    </row>
    <row r="44" spans="1:10">
      <c r="A44" s="12">
        <v>43585</v>
      </c>
      <c r="B44" s="13"/>
      <c r="C44" s="13">
        <v>84.84</v>
      </c>
      <c r="D44" s="13">
        <v>170.07</v>
      </c>
      <c r="E44" s="13">
        <v>2418.65</v>
      </c>
      <c r="F44" s="13">
        <v>30</v>
      </c>
      <c r="G44" s="13">
        <f t="shared" si="7"/>
        <v>18.899999999999999</v>
      </c>
      <c r="H44" s="13"/>
      <c r="I44" s="13">
        <f t="shared" si="8"/>
        <v>2624.66</v>
      </c>
    </row>
    <row r="45" spans="1:10">
      <c r="A45" s="12">
        <v>43600</v>
      </c>
      <c r="B45" s="13">
        <v>3560.09</v>
      </c>
      <c r="C45" s="13"/>
      <c r="D45" s="13"/>
      <c r="E45" s="13"/>
      <c r="F45" s="13">
        <v>30</v>
      </c>
      <c r="G45" s="13">
        <f t="shared" si="7"/>
        <v>18.899999999999999</v>
      </c>
      <c r="H45" s="13"/>
      <c r="I45" s="13">
        <f t="shared" si="8"/>
        <v>3511.19</v>
      </c>
    </row>
    <row r="46" spans="1:10">
      <c r="A46" s="12">
        <v>43616</v>
      </c>
      <c r="B46" s="13"/>
      <c r="C46" s="13">
        <v>84.84</v>
      </c>
      <c r="D46" s="13">
        <v>338.2</v>
      </c>
      <c r="E46" s="13">
        <v>476.64</v>
      </c>
      <c r="F46" s="13">
        <v>30</v>
      </c>
      <c r="G46" s="13">
        <f t="shared" si="7"/>
        <v>18.899999999999999</v>
      </c>
      <c r="H46" s="13"/>
      <c r="I46" s="13">
        <f t="shared" si="8"/>
        <v>850.78</v>
      </c>
    </row>
    <row r="47" spans="1:10">
      <c r="A47" s="12">
        <v>43631</v>
      </c>
      <c r="B47" s="13">
        <v>3560.09</v>
      </c>
      <c r="C47" s="13"/>
      <c r="D47" s="13"/>
      <c r="E47" s="13"/>
      <c r="F47" s="13">
        <v>30</v>
      </c>
      <c r="G47" s="13">
        <f t="shared" si="7"/>
        <v>18.899999999999999</v>
      </c>
      <c r="H47" s="13"/>
      <c r="I47" s="13">
        <f t="shared" si="8"/>
        <v>3511.19</v>
      </c>
    </row>
    <row r="48" spans="1:10">
      <c r="A48" s="12">
        <v>43646</v>
      </c>
      <c r="B48" s="13"/>
      <c r="C48" s="13">
        <v>84.84</v>
      </c>
      <c r="D48" s="13">
        <v>144.26</v>
      </c>
      <c r="E48" s="13">
        <v>486.35</v>
      </c>
      <c r="F48" s="13">
        <v>30</v>
      </c>
      <c r="G48" s="13">
        <f t="shared" si="7"/>
        <v>18.899999999999999</v>
      </c>
      <c r="H48" s="13"/>
      <c r="I48" s="13">
        <f t="shared" si="8"/>
        <v>666.55000000000007</v>
      </c>
    </row>
    <row r="49" spans="1:9">
      <c r="A49" s="12">
        <v>43661</v>
      </c>
      <c r="B49" s="13">
        <v>3243.63</v>
      </c>
      <c r="C49" s="13"/>
      <c r="D49" s="13"/>
      <c r="E49" s="13"/>
      <c r="F49" s="13">
        <v>27.33</v>
      </c>
      <c r="G49" s="13">
        <f t="shared" si="7"/>
        <v>21.57</v>
      </c>
      <c r="H49" s="13"/>
      <c r="I49" s="13">
        <f t="shared" si="8"/>
        <v>3194.73</v>
      </c>
    </row>
    <row r="50" spans="1:9">
      <c r="A50" s="12">
        <v>43677</v>
      </c>
      <c r="B50" s="13"/>
      <c r="C50" s="13">
        <v>77.3</v>
      </c>
      <c r="D50" s="13">
        <v>182.54</v>
      </c>
      <c r="E50" s="13">
        <v>238.71</v>
      </c>
      <c r="F50" s="13">
        <v>27.34</v>
      </c>
      <c r="G50" s="13">
        <f>40.21-F50</f>
        <v>12.870000000000001</v>
      </c>
      <c r="H50" s="13"/>
      <c r="I50" s="13">
        <f t="shared" si="8"/>
        <v>458.34</v>
      </c>
    </row>
    <row r="51" spans="1:9">
      <c r="A51" s="12">
        <v>43692</v>
      </c>
      <c r="B51" s="13">
        <v>3243.63</v>
      </c>
      <c r="C51" s="13"/>
      <c r="D51" s="13"/>
      <c r="E51" s="13"/>
      <c r="F51" s="13">
        <v>27.33</v>
      </c>
      <c r="G51" s="13">
        <f>44.57-F51</f>
        <v>17.240000000000002</v>
      </c>
      <c r="H51" s="13"/>
      <c r="I51" s="13">
        <f t="shared" si="8"/>
        <v>3199.0600000000004</v>
      </c>
    </row>
    <row r="52" spans="1:9">
      <c r="A52" s="12">
        <v>43708</v>
      </c>
      <c r="B52" s="13"/>
      <c r="C52" s="13">
        <v>77.3</v>
      </c>
      <c r="D52" s="13">
        <v>182.54</v>
      </c>
      <c r="E52" s="13">
        <v>234.48</v>
      </c>
      <c r="F52" s="13">
        <v>27.34</v>
      </c>
      <c r="G52" s="13">
        <f t="shared" ref="G52:G60" si="9">44.57-F52</f>
        <v>17.23</v>
      </c>
      <c r="H52" s="13"/>
      <c r="I52" s="13">
        <f t="shared" si="8"/>
        <v>449.74999999999994</v>
      </c>
    </row>
    <row r="53" spans="1:9">
      <c r="A53" s="12">
        <v>43723</v>
      </c>
      <c r="B53" s="13">
        <v>3243.63</v>
      </c>
      <c r="C53" s="13"/>
      <c r="D53" s="13"/>
      <c r="E53" s="13"/>
      <c r="F53" s="13">
        <v>27.33</v>
      </c>
      <c r="G53" s="13">
        <f t="shared" si="9"/>
        <v>17.240000000000002</v>
      </c>
      <c r="H53" s="13"/>
      <c r="I53" s="13">
        <f t="shared" si="8"/>
        <v>3199.0600000000004</v>
      </c>
    </row>
    <row r="54" spans="1:9">
      <c r="A54" s="12">
        <v>43738</v>
      </c>
      <c r="B54" s="13"/>
      <c r="C54" s="13">
        <v>77.3</v>
      </c>
      <c r="D54" s="13">
        <v>182.54</v>
      </c>
      <c r="E54" s="13">
        <v>272.02999999999997</v>
      </c>
      <c r="F54" s="13">
        <v>27.34</v>
      </c>
      <c r="G54" s="13">
        <f t="shared" si="9"/>
        <v>17.23</v>
      </c>
      <c r="H54" s="13"/>
      <c r="I54" s="13">
        <f t="shared" si="8"/>
        <v>487.2999999999999</v>
      </c>
    </row>
    <row r="55" spans="1:9">
      <c r="A55" s="12">
        <v>43753</v>
      </c>
      <c r="B55" s="13">
        <v>3243.63</v>
      </c>
      <c r="C55" s="13"/>
      <c r="D55" s="13"/>
      <c r="E55" s="13"/>
      <c r="F55" s="13">
        <v>27.33</v>
      </c>
      <c r="G55" s="13">
        <f t="shared" si="9"/>
        <v>17.240000000000002</v>
      </c>
      <c r="H55" s="13"/>
      <c r="I55" s="13">
        <f t="shared" si="8"/>
        <v>3199.0600000000004</v>
      </c>
    </row>
    <row r="56" spans="1:9">
      <c r="A56" s="12">
        <v>43769</v>
      </c>
      <c r="B56" s="13"/>
      <c r="C56" s="13">
        <v>77.3</v>
      </c>
      <c r="D56" s="13">
        <v>191.62</v>
      </c>
      <c r="E56" s="13">
        <v>435.94</v>
      </c>
      <c r="F56" s="13">
        <v>27.34</v>
      </c>
      <c r="G56" s="13">
        <f t="shared" si="9"/>
        <v>17.23</v>
      </c>
      <c r="H56" s="13"/>
      <c r="I56" s="13">
        <f t="shared" si="8"/>
        <v>660.29</v>
      </c>
    </row>
    <row r="57" spans="1:9">
      <c r="A57" s="12">
        <v>43784</v>
      </c>
      <c r="B57" s="13"/>
      <c r="C57" s="13"/>
      <c r="D57" s="13"/>
      <c r="E57" s="13"/>
      <c r="F57" s="13">
        <v>27.33</v>
      </c>
      <c r="G57" s="13">
        <f t="shared" si="9"/>
        <v>17.240000000000002</v>
      </c>
      <c r="H57" s="13"/>
      <c r="I57" s="13">
        <f t="shared" si="8"/>
        <v>-44.57</v>
      </c>
    </row>
    <row r="58" spans="1:9">
      <c r="A58" s="12">
        <v>43799</v>
      </c>
      <c r="B58" s="13"/>
      <c r="C58" s="13"/>
      <c r="D58" s="13">
        <v>180.13</v>
      </c>
      <c r="E58" s="13">
        <v>58.57</v>
      </c>
      <c r="F58" s="13">
        <v>27.33</v>
      </c>
      <c r="G58" s="13">
        <f t="shared" si="9"/>
        <v>17.240000000000002</v>
      </c>
      <c r="H58" s="13"/>
      <c r="I58" s="13">
        <f t="shared" si="8"/>
        <v>194.13</v>
      </c>
    </row>
    <row r="59" spans="1:9">
      <c r="A59" s="12">
        <v>43814</v>
      </c>
      <c r="B59" s="13">
        <v>3622.37</v>
      </c>
      <c r="C59" s="13">
        <v>77.3</v>
      </c>
      <c r="D59" s="13"/>
      <c r="E59" s="13">
        <v>157.41999999999999</v>
      </c>
      <c r="F59" s="13">
        <v>27.33</v>
      </c>
      <c r="G59" s="13">
        <f t="shared" si="9"/>
        <v>17.240000000000002</v>
      </c>
      <c r="H59" s="13"/>
      <c r="I59" s="13">
        <f t="shared" si="8"/>
        <v>3812.5200000000004</v>
      </c>
    </row>
    <row r="60" spans="1:9">
      <c r="A60" s="12">
        <v>43830</v>
      </c>
      <c r="B60" s="14">
        <v>2889.04</v>
      </c>
      <c r="C60" s="14"/>
      <c r="D60" s="14">
        <v>180.13</v>
      </c>
      <c r="E60" s="14">
        <v>102.09</v>
      </c>
      <c r="F60" s="14">
        <v>27.33</v>
      </c>
      <c r="G60" s="14">
        <f t="shared" si="9"/>
        <v>17.240000000000002</v>
      </c>
      <c r="H60" s="14"/>
      <c r="I60" s="14">
        <f t="shared" si="8"/>
        <v>3126.6900000000005</v>
      </c>
    </row>
    <row r="61" spans="1:9">
      <c r="B61" s="13">
        <f>SUM(B37:B60)</f>
        <v>40879.870000000003</v>
      </c>
      <c r="C61" s="13">
        <f t="shared" ref="C61:G61" si="10">SUM(C37:C60)</f>
        <v>980.37999999999988</v>
      </c>
      <c r="D61" s="13">
        <f t="shared" si="10"/>
        <v>2257.7000000000003</v>
      </c>
      <c r="E61" s="13">
        <f t="shared" si="10"/>
        <v>8663.48</v>
      </c>
      <c r="F61" s="13">
        <f t="shared" si="10"/>
        <v>688.00000000000011</v>
      </c>
      <c r="G61" s="13">
        <f t="shared" si="10"/>
        <v>433.61000000000013</v>
      </c>
      <c r="H61" s="13"/>
      <c r="I61" s="13">
        <f t="shared" si="8"/>
        <v>51659.819999999992</v>
      </c>
    </row>
    <row r="63" spans="1:9">
      <c r="A63" t="s">
        <v>35</v>
      </c>
      <c r="F63" s="5" t="s">
        <v>29</v>
      </c>
      <c r="G63" s="5" t="s">
        <v>30</v>
      </c>
    </row>
    <row r="64" spans="1:9">
      <c r="A64" s="6" t="s">
        <v>11</v>
      </c>
      <c r="B64" s="6" t="s">
        <v>29</v>
      </c>
      <c r="C64" s="6" t="s">
        <v>30</v>
      </c>
      <c r="D64" s="6" t="s">
        <v>31</v>
      </c>
      <c r="E64" s="6" t="s">
        <v>33</v>
      </c>
      <c r="F64" s="6" t="s">
        <v>32</v>
      </c>
      <c r="G64" s="6" t="s">
        <v>32</v>
      </c>
      <c r="H64" s="6"/>
      <c r="I64" s="6" t="s">
        <v>8</v>
      </c>
    </row>
    <row r="65" spans="1:9">
      <c r="A65" s="12">
        <v>43480</v>
      </c>
      <c r="B65" s="13">
        <v>676.2</v>
      </c>
      <c r="C65" s="13">
        <v>18.11</v>
      </c>
      <c r="D65" s="13"/>
      <c r="E65" s="13"/>
      <c r="F65" s="13">
        <v>7.5</v>
      </c>
      <c r="G65" s="13">
        <f>11.85-F65</f>
        <v>4.3499999999999996</v>
      </c>
      <c r="H65" s="13"/>
      <c r="I65" s="13">
        <f>+B65+C65+D65+E65-F65-G65</f>
        <v>682.46</v>
      </c>
    </row>
    <row r="66" spans="1:9">
      <c r="A66" s="12">
        <v>43496</v>
      </c>
      <c r="B66" s="13"/>
      <c r="C66" s="13">
        <v>18.11</v>
      </c>
      <c r="D66" s="13">
        <v>64.91</v>
      </c>
      <c r="E66" s="13">
        <v>276.37</v>
      </c>
      <c r="F66" s="13">
        <v>7.5</v>
      </c>
      <c r="G66" s="13">
        <f t="shared" ref="G66:G77" si="11">11.85-F66</f>
        <v>4.3499999999999996</v>
      </c>
      <c r="H66" s="13"/>
      <c r="I66" s="13">
        <f t="shared" ref="I66:I89" si="12">+B66+C66+D66+E66-F66-G66</f>
        <v>347.53999999999996</v>
      </c>
    </row>
    <row r="67" spans="1:9">
      <c r="A67" s="12">
        <v>43511</v>
      </c>
      <c r="B67" s="13">
        <v>676.2</v>
      </c>
      <c r="C67" s="13"/>
      <c r="D67" s="13"/>
      <c r="E67" s="13"/>
      <c r="F67" s="13">
        <v>7.5</v>
      </c>
      <c r="G67" s="13">
        <f t="shared" si="11"/>
        <v>4.3499999999999996</v>
      </c>
      <c r="H67" s="13"/>
      <c r="I67" s="13">
        <f t="shared" si="12"/>
        <v>664.35</v>
      </c>
    </row>
    <row r="68" spans="1:9">
      <c r="A68" s="12">
        <v>43524</v>
      </c>
      <c r="B68" s="13"/>
      <c r="C68" s="13">
        <v>18.11</v>
      </c>
      <c r="D68" s="13">
        <v>64.91</v>
      </c>
      <c r="E68" s="13"/>
      <c r="F68" s="13">
        <v>7.5</v>
      </c>
      <c r="G68" s="13">
        <f t="shared" si="11"/>
        <v>4.3499999999999996</v>
      </c>
      <c r="H68" s="13"/>
      <c r="I68" s="13">
        <f t="shared" si="12"/>
        <v>71.17</v>
      </c>
    </row>
    <row r="69" spans="1:9">
      <c r="A69" s="12">
        <v>43539</v>
      </c>
      <c r="B69" s="13">
        <v>676.2</v>
      </c>
      <c r="C69" s="13"/>
      <c r="D69" s="13"/>
      <c r="E69" s="13"/>
      <c r="F69" s="13">
        <v>7.5</v>
      </c>
      <c r="G69" s="13">
        <f t="shared" si="11"/>
        <v>4.3499999999999996</v>
      </c>
      <c r="H69" s="13"/>
      <c r="I69" s="13">
        <f t="shared" si="12"/>
        <v>664.35</v>
      </c>
    </row>
    <row r="70" spans="1:9">
      <c r="A70" s="12">
        <v>43555</v>
      </c>
      <c r="B70" s="13"/>
      <c r="C70" s="13">
        <v>18.11</v>
      </c>
      <c r="D70" s="13">
        <v>66.040000000000006</v>
      </c>
      <c r="E70" s="13">
        <v>90.21</v>
      </c>
      <c r="F70" s="13">
        <v>7.5</v>
      </c>
      <c r="G70" s="13">
        <f t="shared" si="11"/>
        <v>4.3499999999999996</v>
      </c>
      <c r="H70" s="13"/>
      <c r="I70" s="13">
        <f t="shared" si="12"/>
        <v>162.51000000000002</v>
      </c>
    </row>
    <row r="71" spans="1:9">
      <c r="A71" s="12">
        <v>43570</v>
      </c>
      <c r="B71" s="13">
        <v>676.2</v>
      </c>
      <c r="C71" s="13"/>
      <c r="D71" s="13"/>
      <c r="E71" s="13"/>
      <c r="F71" s="13">
        <v>7.5</v>
      </c>
      <c r="G71" s="13">
        <f t="shared" si="11"/>
        <v>4.3499999999999996</v>
      </c>
      <c r="H71" s="13"/>
      <c r="I71" s="13">
        <f t="shared" si="12"/>
        <v>664.35</v>
      </c>
    </row>
    <row r="72" spans="1:9">
      <c r="A72" s="12">
        <v>43585</v>
      </c>
      <c r="B72" s="13"/>
      <c r="C72" s="13">
        <v>18.11</v>
      </c>
      <c r="D72" s="13">
        <v>66.040000000000006</v>
      </c>
      <c r="E72" s="13">
        <v>90.18</v>
      </c>
      <c r="F72" s="13">
        <v>7.5</v>
      </c>
      <c r="G72" s="13">
        <f t="shared" si="11"/>
        <v>4.3499999999999996</v>
      </c>
      <c r="H72" s="13"/>
      <c r="I72" s="13">
        <f t="shared" si="12"/>
        <v>162.48000000000002</v>
      </c>
    </row>
    <row r="73" spans="1:9">
      <c r="A73" s="12">
        <v>43600</v>
      </c>
      <c r="B73" s="13">
        <v>674.53</v>
      </c>
      <c r="C73" s="13"/>
      <c r="D73" s="13"/>
      <c r="E73" s="13"/>
      <c r="F73" s="13">
        <v>7.5</v>
      </c>
      <c r="G73" s="13">
        <f t="shared" si="11"/>
        <v>4.3499999999999996</v>
      </c>
      <c r="H73" s="13"/>
      <c r="I73" s="13">
        <f t="shared" si="12"/>
        <v>662.68</v>
      </c>
    </row>
    <row r="74" spans="1:9">
      <c r="A74" s="12">
        <v>43616</v>
      </c>
      <c r="B74" s="13"/>
      <c r="C74" s="13">
        <v>18.11</v>
      </c>
      <c r="D74" s="13">
        <v>66.040000000000006</v>
      </c>
      <c r="E74" s="13"/>
      <c r="F74" s="13">
        <v>7.5</v>
      </c>
      <c r="G74" s="13">
        <f t="shared" si="11"/>
        <v>4.3499999999999996</v>
      </c>
      <c r="H74" s="13"/>
      <c r="I74" s="13">
        <f t="shared" si="12"/>
        <v>72.300000000000011</v>
      </c>
    </row>
    <row r="75" spans="1:9">
      <c r="A75" s="12">
        <v>43631</v>
      </c>
      <c r="B75" s="13">
        <v>674.53</v>
      </c>
      <c r="C75" s="13"/>
      <c r="D75" s="13"/>
      <c r="E75" s="13"/>
      <c r="F75" s="13">
        <v>7.5</v>
      </c>
      <c r="G75" s="13">
        <f t="shared" si="11"/>
        <v>4.3499999999999996</v>
      </c>
      <c r="H75" s="13"/>
      <c r="I75" s="13">
        <f t="shared" si="12"/>
        <v>662.68</v>
      </c>
    </row>
    <row r="76" spans="1:9">
      <c r="A76" s="12">
        <v>43646</v>
      </c>
      <c r="B76" s="13"/>
      <c r="C76" s="13">
        <v>18.11</v>
      </c>
      <c r="D76" s="13">
        <v>66.040000000000006</v>
      </c>
      <c r="E76" s="13">
        <v>147.53</v>
      </c>
      <c r="F76" s="13">
        <v>7.5</v>
      </c>
      <c r="G76" s="13">
        <f t="shared" si="11"/>
        <v>4.3499999999999996</v>
      </c>
      <c r="H76" s="13"/>
      <c r="I76" s="13">
        <f t="shared" si="12"/>
        <v>219.83</v>
      </c>
    </row>
    <row r="77" spans="1:9">
      <c r="A77" s="12">
        <v>43661</v>
      </c>
      <c r="B77" s="13">
        <v>614.57000000000005</v>
      </c>
      <c r="C77" s="13"/>
      <c r="D77" s="13"/>
      <c r="E77" s="13"/>
      <c r="F77" s="13">
        <v>6.83</v>
      </c>
      <c r="G77" s="13">
        <f t="shared" si="11"/>
        <v>5.0199999999999996</v>
      </c>
      <c r="H77" s="13"/>
      <c r="I77" s="13">
        <f t="shared" si="12"/>
        <v>602.72</v>
      </c>
    </row>
    <row r="78" spans="1:9">
      <c r="A78" s="12">
        <v>43677</v>
      </c>
      <c r="B78" s="13"/>
      <c r="C78" s="13">
        <v>16.5</v>
      </c>
      <c r="D78" s="13">
        <v>60.17</v>
      </c>
      <c r="E78" s="13">
        <v>14.35</v>
      </c>
      <c r="F78" s="13">
        <v>6.83</v>
      </c>
      <c r="G78" s="13">
        <f>9.75-F78</f>
        <v>2.92</v>
      </c>
      <c r="H78" s="13"/>
      <c r="I78" s="13">
        <f t="shared" si="12"/>
        <v>81.27</v>
      </c>
    </row>
    <row r="79" spans="1:9">
      <c r="A79" s="12">
        <v>43692</v>
      </c>
      <c r="B79" s="13">
        <v>614.57000000000005</v>
      </c>
      <c r="C79" s="13"/>
      <c r="D79" s="13"/>
      <c r="E79" s="13"/>
      <c r="F79" s="13">
        <v>6.84</v>
      </c>
      <c r="G79" s="13">
        <f>10.8-F79</f>
        <v>3.9600000000000009</v>
      </c>
      <c r="H79" s="13"/>
      <c r="I79" s="13">
        <f t="shared" si="12"/>
        <v>603.77</v>
      </c>
    </row>
    <row r="80" spans="1:9">
      <c r="A80" s="12">
        <v>43708</v>
      </c>
      <c r="B80" s="13"/>
      <c r="C80" s="13">
        <v>16.5</v>
      </c>
      <c r="D80" s="13">
        <v>60.17</v>
      </c>
      <c r="E80" s="13"/>
      <c r="F80" s="13">
        <v>6.83</v>
      </c>
      <c r="G80" s="13">
        <f t="shared" ref="G80:G88" si="13">10.8-F80</f>
        <v>3.9700000000000006</v>
      </c>
      <c r="H80" s="13"/>
      <c r="I80" s="13">
        <f t="shared" si="12"/>
        <v>65.87</v>
      </c>
    </row>
    <row r="81" spans="1:10">
      <c r="A81" s="12">
        <v>43723</v>
      </c>
      <c r="B81" s="13">
        <v>614.57000000000005</v>
      </c>
      <c r="C81" s="13"/>
      <c r="D81" s="13"/>
      <c r="E81" s="13"/>
      <c r="F81" s="13">
        <v>6.83</v>
      </c>
      <c r="G81" s="13">
        <f t="shared" si="13"/>
        <v>3.9700000000000006</v>
      </c>
      <c r="H81" s="13"/>
      <c r="I81" s="13">
        <f t="shared" si="12"/>
        <v>603.77</v>
      </c>
    </row>
    <row r="82" spans="1:10">
      <c r="A82" s="12">
        <v>43738</v>
      </c>
      <c r="B82" s="13"/>
      <c r="C82" s="13">
        <v>16.5</v>
      </c>
      <c r="D82" s="13">
        <v>60.17</v>
      </c>
      <c r="E82" s="13">
        <v>206.86</v>
      </c>
      <c r="F82" s="13">
        <v>6.84</v>
      </c>
      <c r="G82" s="13">
        <f t="shared" si="13"/>
        <v>3.9600000000000009</v>
      </c>
      <c r="H82" s="13"/>
      <c r="I82" s="13">
        <f t="shared" si="12"/>
        <v>272.73000000000008</v>
      </c>
    </row>
    <row r="83" spans="1:10">
      <c r="A83" s="12">
        <v>43753</v>
      </c>
      <c r="B83" s="13">
        <v>614.57000000000005</v>
      </c>
      <c r="C83" s="13"/>
      <c r="D83" s="13"/>
      <c r="E83" s="13"/>
      <c r="F83" s="13">
        <v>6.83</v>
      </c>
      <c r="G83" s="13">
        <f t="shared" si="13"/>
        <v>3.9700000000000006</v>
      </c>
      <c r="H83" s="13"/>
      <c r="I83" s="13">
        <f t="shared" si="12"/>
        <v>603.77</v>
      </c>
    </row>
    <row r="84" spans="1:10">
      <c r="A84" s="12">
        <v>43769</v>
      </c>
      <c r="B84" s="13"/>
      <c r="C84" s="13">
        <v>16.5</v>
      </c>
      <c r="D84" s="13">
        <v>60.17</v>
      </c>
      <c r="E84" s="13">
        <v>53.87</v>
      </c>
      <c r="F84" s="13">
        <v>6.83</v>
      </c>
      <c r="G84" s="13">
        <f t="shared" si="13"/>
        <v>3.9700000000000006</v>
      </c>
      <c r="H84" s="13"/>
      <c r="I84" s="13">
        <f t="shared" si="12"/>
        <v>119.74</v>
      </c>
    </row>
    <row r="85" spans="1:10">
      <c r="A85" s="12">
        <v>43784</v>
      </c>
      <c r="B85" s="13"/>
      <c r="C85" s="13"/>
      <c r="D85" s="13"/>
      <c r="E85" s="13"/>
      <c r="F85" s="13">
        <v>6.84</v>
      </c>
      <c r="G85" s="13">
        <f t="shared" si="13"/>
        <v>3.9600000000000009</v>
      </c>
      <c r="H85" s="13"/>
      <c r="I85" s="13">
        <f t="shared" si="12"/>
        <v>-10.8</v>
      </c>
    </row>
    <row r="86" spans="1:10">
      <c r="A86" s="12">
        <v>43799</v>
      </c>
      <c r="B86" s="13"/>
      <c r="C86" s="13"/>
      <c r="D86" s="13">
        <v>60.17</v>
      </c>
      <c r="E86" s="13">
        <v>36.49</v>
      </c>
      <c r="F86" s="13">
        <v>6.83</v>
      </c>
      <c r="G86" s="13">
        <f t="shared" si="13"/>
        <v>3.9700000000000006</v>
      </c>
      <c r="H86" s="13"/>
      <c r="I86" s="13">
        <f t="shared" si="12"/>
        <v>85.86</v>
      </c>
    </row>
    <row r="87" spans="1:10">
      <c r="A87" s="12">
        <v>43814</v>
      </c>
      <c r="B87" s="13">
        <v>686.27</v>
      </c>
      <c r="C87" s="13">
        <v>16.5</v>
      </c>
      <c r="D87" s="13"/>
      <c r="E87" s="13"/>
      <c r="F87" s="13">
        <v>6.83</v>
      </c>
      <c r="G87" s="13">
        <f t="shared" si="13"/>
        <v>3.9700000000000006</v>
      </c>
      <c r="H87" s="13"/>
      <c r="I87" s="13">
        <f t="shared" si="12"/>
        <v>691.96999999999991</v>
      </c>
    </row>
    <row r="88" spans="1:10">
      <c r="A88" s="12">
        <v>43830</v>
      </c>
      <c r="B88" s="14">
        <v>566.70000000000005</v>
      </c>
      <c r="C88" s="14"/>
      <c r="D88" s="14">
        <v>60.17</v>
      </c>
      <c r="E88" s="14">
        <v>251.27</v>
      </c>
      <c r="F88" s="14">
        <v>6.84</v>
      </c>
      <c r="G88" s="14">
        <f t="shared" si="13"/>
        <v>3.9600000000000009</v>
      </c>
      <c r="H88" s="14"/>
      <c r="I88" s="14">
        <f t="shared" si="12"/>
        <v>867.33999999999992</v>
      </c>
    </row>
    <row r="89" spans="1:10">
      <c r="B89" s="13">
        <f>SUM(B65:B88)</f>
        <v>7765.1099999999979</v>
      </c>
      <c r="C89" s="13">
        <f t="shared" ref="C89:G89" si="14">SUM(C65:C88)</f>
        <v>209.26999999999998</v>
      </c>
      <c r="D89" s="13">
        <f t="shared" si="14"/>
        <v>754.99999999999989</v>
      </c>
      <c r="E89" s="13">
        <f t="shared" si="14"/>
        <v>1167.1300000000001</v>
      </c>
      <c r="F89" s="13">
        <f t="shared" si="14"/>
        <v>172.00000000000006</v>
      </c>
      <c r="G89" s="13">
        <f t="shared" si="14"/>
        <v>99.80000000000004</v>
      </c>
      <c r="H89" s="13"/>
      <c r="I89" s="13">
        <f t="shared" si="12"/>
        <v>9624.7099999999991</v>
      </c>
      <c r="J89" s="15"/>
    </row>
    <row r="92" spans="1:10">
      <c r="A92" t="s">
        <v>36</v>
      </c>
      <c r="F92" s="5" t="s">
        <v>29</v>
      </c>
      <c r="G92" s="5" t="s">
        <v>30</v>
      </c>
    </row>
    <row r="93" spans="1:10">
      <c r="B93" s="6" t="s">
        <v>29</v>
      </c>
      <c r="C93" s="6" t="s">
        <v>30</v>
      </c>
      <c r="D93" s="6" t="s">
        <v>31</v>
      </c>
      <c r="E93" s="6" t="s">
        <v>33</v>
      </c>
      <c r="F93" s="6" t="s">
        <v>32</v>
      </c>
      <c r="G93" s="6" t="s">
        <v>32</v>
      </c>
      <c r="H93" s="6"/>
      <c r="I93" s="6" t="s">
        <v>8</v>
      </c>
    </row>
    <row r="94" spans="1:10">
      <c r="A94" t="s">
        <v>4</v>
      </c>
      <c r="B94" s="15">
        <f t="shared" ref="B94:G94" si="15">+B33</f>
        <v>57314.55999999999</v>
      </c>
      <c r="C94" s="15">
        <f t="shared" si="15"/>
        <v>1793.3999999999996</v>
      </c>
      <c r="D94" s="15">
        <f t="shared" si="15"/>
        <v>2850.3</v>
      </c>
      <c r="E94" s="15">
        <f t="shared" si="15"/>
        <v>2682.83</v>
      </c>
      <c r="F94" s="15">
        <f t="shared" si="15"/>
        <v>994.46</v>
      </c>
      <c r="G94" s="15">
        <f t="shared" si="15"/>
        <v>934.47999999999979</v>
      </c>
      <c r="I94" s="13">
        <f>+B94+C94+D94+E94-F94-G94</f>
        <v>62712.149999999994</v>
      </c>
    </row>
    <row r="95" spans="1:10">
      <c r="A95" t="s">
        <v>7</v>
      </c>
      <c r="B95" s="15">
        <f t="shared" ref="B95:G95" si="16">+B61</f>
        <v>40879.870000000003</v>
      </c>
      <c r="C95" s="15">
        <f t="shared" si="16"/>
        <v>980.37999999999988</v>
      </c>
      <c r="D95" s="15">
        <f t="shared" si="16"/>
        <v>2257.7000000000003</v>
      </c>
      <c r="E95" s="15">
        <f t="shared" si="16"/>
        <v>8663.48</v>
      </c>
      <c r="F95" s="15">
        <f t="shared" si="16"/>
        <v>688.00000000000011</v>
      </c>
      <c r="G95" s="15">
        <f t="shared" si="16"/>
        <v>433.61000000000013</v>
      </c>
      <c r="I95" s="13">
        <f t="shared" ref="I95:I97" si="17">+B95+C95+D95+E95-F95-G95</f>
        <v>51659.819999999992</v>
      </c>
    </row>
    <row r="96" spans="1:10">
      <c r="A96" t="s">
        <v>2</v>
      </c>
      <c r="B96" s="16">
        <f>+B89</f>
        <v>7765.1099999999979</v>
      </c>
      <c r="C96" s="16">
        <f t="shared" ref="C96:G96" si="18">+C89</f>
        <v>209.26999999999998</v>
      </c>
      <c r="D96" s="16">
        <f t="shared" si="18"/>
        <v>754.99999999999989</v>
      </c>
      <c r="E96" s="16">
        <f t="shared" si="18"/>
        <v>1167.1300000000001</v>
      </c>
      <c r="F96" s="16">
        <f t="shared" si="18"/>
        <v>172.00000000000006</v>
      </c>
      <c r="G96" s="16">
        <f t="shared" si="18"/>
        <v>99.80000000000004</v>
      </c>
      <c r="H96" s="2"/>
      <c r="I96" s="14">
        <f t="shared" si="17"/>
        <v>9624.7099999999991</v>
      </c>
    </row>
    <row r="97" spans="1:9">
      <c r="B97" s="15">
        <f>SUM(B94:B96)</f>
        <v>105959.54</v>
      </c>
      <c r="C97" s="15">
        <f t="shared" ref="C97:G97" si="19">SUM(C94:C96)</f>
        <v>2983.0499999999997</v>
      </c>
      <c r="D97" s="15">
        <f t="shared" si="19"/>
        <v>5863</v>
      </c>
      <c r="E97" s="15">
        <f t="shared" si="19"/>
        <v>12513.439999999999</v>
      </c>
      <c r="F97" s="15">
        <f t="shared" si="19"/>
        <v>1854.46</v>
      </c>
      <c r="G97" s="15">
        <f t="shared" si="19"/>
        <v>1467.8899999999999</v>
      </c>
      <c r="I97" s="13">
        <f t="shared" si="17"/>
        <v>123996.68</v>
      </c>
    </row>
    <row r="100" spans="1:9">
      <c r="A100" t="s">
        <v>37</v>
      </c>
    </row>
    <row r="101" spans="1:9">
      <c r="C101" s="5" t="s">
        <v>63</v>
      </c>
      <c r="D101" s="15">
        <f>+B97</f>
        <v>105959.54</v>
      </c>
    </row>
    <row r="102" spans="1:9">
      <c r="C102" s="5" t="s">
        <v>61</v>
      </c>
      <c r="D102" s="16">
        <f>-F97</f>
        <v>-1854.46</v>
      </c>
    </row>
    <row r="103" spans="1:9">
      <c r="C103" s="5" t="s">
        <v>62</v>
      </c>
      <c r="D103" s="15">
        <f>+D101+D102</f>
        <v>104105.07999999999</v>
      </c>
    </row>
    <row r="105" spans="1:9">
      <c r="A105" t="s">
        <v>38</v>
      </c>
    </row>
    <row r="106" spans="1:9">
      <c r="C106" s="5" t="s">
        <v>64</v>
      </c>
      <c r="D106" s="15">
        <f>+C97</f>
        <v>2983.0499999999997</v>
      </c>
    </row>
    <row r="107" spans="1:9">
      <c r="C107" s="5" t="s">
        <v>61</v>
      </c>
      <c r="D107" s="16">
        <f>-G97</f>
        <v>-1467.8899999999999</v>
      </c>
    </row>
    <row r="108" spans="1:9">
      <c r="C108" s="5" t="s">
        <v>65</v>
      </c>
      <c r="D108" s="15">
        <f>+D106+D107</f>
        <v>1515.1599999999999</v>
      </c>
      <c r="E108" s="35">
        <f>D108/D106</f>
        <v>0.50792309884178943</v>
      </c>
    </row>
  </sheetData>
  <mergeCells count="3">
    <mergeCell ref="A1:I1"/>
    <mergeCell ref="A3:I3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/>
  </sheetViews>
  <sheetFormatPr defaultRowHeight="15"/>
  <cols>
    <col min="1" max="1" width="4.28515625" customWidth="1"/>
    <col min="2" max="2" width="15.85546875" customWidth="1"/>
    <col min="3" max="3" width="12.7109375" customWidth="1"/>
    <col min="4" max="6" width="12.5703125" customWidth="1"/>
    <col min="7" max="7" width="10.28515625" customWidth="1"/>
    <col min="8" max="8" width="13.7109375" customWidth="1"/>
    <col min="9" max="9" width="13" customWidth="1"/>
    <col min="10" max="10" width="13.5703125" customWidth="1"/>
  </cols>
  <sheetData>
    <row r="1" spans="2:10" ht="15.75">
      <c r="B1" s="60" t="s">
        <v>58</v>
      </c>
      <c r="C1" s="60"/>
      <c r="D1" s="60"/>
      <c r="E1" s="60"/>
      <c r="F1" s="60"/>
      <c r="G1" s="60"/>
      <c r="H1" s="60"/>
      <c r="I1" s="60"/>
      <c r="J1" s="60"/>
    </row>
    <row r="2" spans="2:10" ht="15.75">
      <c r="B2" s="60" t="s">
        <v>59</v>
      </c>
      <c r="C2" s="60"/>
      <c r="D2" s="60"/>
      <c r="E2" s="60"/>
      <c r="F2" s="60"/>
      <c r="G2" s="60"/>
      <c r="H2" s="60"/>
      <c r="I2" s="60"/>
      <c r="J2" s="60"/>
    </row>
    <row r="3" spans="2:10">
      <c r="C3" s="36"/>
      <c r="D3" s="36"/>
      <c r="E3" s="36"/>
      <c r="F3" s="36"/>
      <c r="G3" s="37"/>
      <c r="H3" s="36"/>
      <c r="I3" s="36"/>
      <c r="J3" s="36"/>
    </row>
    <row r="4" spans="2:10">
      <c r="B4" s="36"/>
      <c r="C4" s="36"/>
      <c r="D4" s="37" t="s">
        <v>19</v>
      </c>
      <c r="E4" s="36"/>
      <c r="F4" s="36"/>
      <c r="G4" s="37"/>
      <c r="H4" s="36"/>
      <c r="I4" s="37" t="s">
        <v>42</v>
      </c>
      <c r="J4" s="37" t="s">
        <v>43</v>
      </c>
    </row>
    <row r="5" spans="2:10">
      <c r="B5" s="36"/>
      <c r="C5" s="37" t="s">
        <v>19</v>
      </c>
      <c r="D5" s="37" t="s">
        <v>20</v>
      </c>
      <c r="E5" s="37" t="s">
        <v>20</v>
      </c>
      <c r="F5" s="37" t="s">
        <v>44</v>
      </c>
      <c r="G5" s="37" t="s">
        <v>45</v>
      </c>
      <c r="H5" s="37" t="s">
        <v>46</v>
      </c>
      <c r="I5" s="37" t="s">
        <v>47</v>
      </c>
      <c r="J5" s="37" t="s">
        <v>47</v>
      </c>
    </row>
    <row r="6" spans="2:10">
      <c r="B6" s="36"/>
      <c r="C6" s="38" t="s">
        <v>12</v>
      </c>
      <c r="D6" s="38" t="s">
        <v>48</v>
      </c>
      <c r="E6" s="38" t="s">
        <v>49</v>
      </c>
      <c r="F6" s="38" t="s">
        <v>49</v>
      </c>
      <c r="G6" s="39" t="s">
        <v>50</v>
      </c>
      <c r="H6" s="40" t="s">
        <v>12</v>
      </c>
      <c r="I6" s="41" t="s">
        <v>51</v>
      </c>
      <c r="J6" s="41" t="s">
        <v>52</v>
      </c>
    </row>
    <row r="7" spans="2:10">
      <c r="B7" s="36" t="s">
        <v>16</v>
      </c>
      <c r="C7" s="42">
        <v>659.45</v>
      </c>
      <c r="D7" s="42">
        <f>200/12</f>
        <v>16.666666666666668</v>
      </c>
      <c r="E7" s="43">
        <f>+D7/C7</f>
        <v>2.5273586574670812E-2</v>
      </c>
      <c r="F7" s="43">
        <f>+(C7-D7)/C7</f>
        <v>0.97472641342532929</v>
      </c>
      <c r="G7" s="37">
        <v>6</v>
      </c>
      <c r="H7" s="44">
        <f>C7*G7*12</f>
        <v>47480.4</v>
      </c>
      <c r="I7" s="45">
        <v>0.79</v>
      </c>
      <c r="J7" s="44">
        <f>I7*H7</f>
        <v>37509.516000000003</v>
      </c>
    </row>
    <row r="8" spans="2:10">
      <c r="B8" s="36" t="s">
        <v>17</v>
      </c>
      <c r="C8" s="42">
        <v>1384.85</v>
      </c>
      <c r="D8" s="46">
        <f>400/12</f>
        <v>33.333333333333336</v>
      </c>
      <c r="E8" s="43">
        <f t="shared" ref="E8:E10" si="0">+D8/C8</f>
        <v>2.4069995547050829E-2</v>
      </c>
      <c r="F8" s="43">
        <f t="shared" ref="F8:F10" si="1">+(C8-D8)/C8</f>
        <v>0.9759300044529492</v>
      </c>
      <c r="G8" s="37">
        <v>1</v>
      </c>
      <c r="H8" s="47">
        <f>C8*G8*12</f>
        <v>16618.199999999997</v>
      </c>
      <c r="I8" s="45">
        <v>0.62</v>
      </c>
      <c r="J8" s="47">
        <f>I8*H8</f>
        <v>10303.283999999998</v>
      </c>
    </row>
    <row r="9" spans="2:10" ht="17.25">
      <c r="B9" s="36" t="s">
        <v>18</v>
      </c>
      <c r="C9" s="48">
        <v>1912.41</v>
      </c>
      <c r="D9" s="49">
        <f>400/12</f>
        <v>33.333333333333336</v>
      </c>
      <c r="E9" s="50">
        <f t="shared" si="0"/>
        <v>1.7430014135741464E-2</v>
      </c>
      <c r="F9" s="50">
        <f t="shared" si="1"/>
        <v>0.98256998586425859</v>
      </c>
      <c r="G9" s="37">
        <v>7</v>
      </c>
      <c r="H9" s="51">
        <f>C9*G9*12</f>
        <v>160642.44</v>
      </c>
      <c r="I9" s="45">
        <v>0.62</v>
      </c>
      <c r="J9" s="51">
        <f>I9*H9</f>
        <v>99598.3128</v>
      </c>
    </row>
    <row r="10" spans="2:10">
      <c r="B10" s="36" t="s">
        <v>8</v>
      </c>
      <c r="C10" s="44">
        <f>SUM(C7:C9)</f>
        <v>3956.71</v>
      </c>
      <c r="D10" s="46">
        <f>SUM(D7:D9)</f>
        <v>83.333333333333343</v>
      </c>
      <c r="E10" s="43">
        <f t="shared" si="0"/>
        <v>2.1061268916178679E-2</v>
      </c>
      <c r="F10" s="43">
        <f t="shared" si="1"/>
        <v>0.97893873108382123</v>
      </c>
      <c r="G10" s="36"/>
      <c r="H10" s="44">
        <f>SUM(H7:H9)</f>
        <v>224741.04</v>
      </c>
      <c r="I10" s="36"/>
      <c r="J10" s="44">
        <f>SUM(J7:J9)</f>
        <v>147411.1128</v>
      </c>
    </row>
    <row r="11" spans="2:10">
      <c r="B11" s="36"/>
      <c r="C11" s="44"/>
      <c r="D11" s="46"/>
      <c r="E11" s="43"/>
      <c r="F11" s="43"/>
      <c r="G11" s="36"/>
      <c r="H11" s="44"/>
      <c r="I11" s="36"/>
      <c r="J11" s="44"/>
    </row>
    <row r="12" spans="2:10" ht="17.25">
      <c r="B12" s="36"/>
      <c r="C12" s="36"/>
      <c r="D12" s="36"/>
      <c r="E12" s="36"/>
      <c r="F12" s="36"/>
      <c r="G12" s="36"/>
      <c r="H12" s="44"/>
      <c r="I12" s="55" t="s">
        <v>53</v>
      </c>
      <c r="J12" s="55" t="s">
        <v>54</v>
      </c>
    </row>
    <row r="13" spans="2:10">
      <c r="B13" s="36"/>
      <c r="C13" s="36"/>
      <c r="D13" s="36"/>
      <c r="E13" s="36"/>
      <c r="F13" s="36"/>
      <c r="G13" s="36"/>
      <c r="H13" s="53" t="s">
        <v>55</v>
      </c>
      <c r="I13" s="57">
        <f>1-J13</f>
        <v>0.58709999999999996</v>
      </c>
      <c r="J13" s="56">
        <v>0.41289999999999999</v>
      </c>
    </row>
    <row r="14" spans="2:10">
      <c r="B14" s="36"/>
      <c r="C14" s="36"/>
      <c r="D14" s="36"/>
      <c r="E14" s="36"/>
      <c r="F14" s="36"/>
      <c r="G14" s="36"/>
      <c r="H14" s="53" t="s">
        <v>56</v>
      </c>
      <c r="I14" s="58">
        <f>$J$10*I13</f>
        <v>86545.06432487999</v>
      </c>
      <c r="J14" s="58">
        <f>$J$10*J13</f>
        <v>60866.048475119998</v>
      </c>
    </row>
    <row r="15" spans="2:10" ht="17.25">
      <c r="B15" s="36"/>
      <c r="C15" s="36"/>
      <c r="D15" s="36"/>
      <c r="E15" s="36"/>
      <c r="F15" s="36"/>
      <c r="G15" s="36"/>
      <c r="H15" s="53" t="s">
        <v>57</v>
      </c>
      <c r="I15" s="59">
        <f>-'SOUTHEAST INS BREAKDOWN'!D103</f>
        <v>-138237.25</v>
      </c>
      <c r="J15" s="59">
        <f>-'WEST INS BREAKDOWN'!D103</f>
        <v>-104105.07999999999</v>
      </c>
    </row>
    <row r="16" spans="2:10">
      <c r="B16" s="36"/>
      <c r="C16" s="36"/>
      <c r="D16" s="36"/>
      <c r="E16" s="36"/>
      <c r="F16" s="36"/>
      <c r="G16" s="36"/>
      <c r="H16" s="36"/>
      <c r="I16" s="36"/>
      <c r="J16" s="44"/>
    </row>
    <row r="17" spans="2:10" ht="15.75" thickBot="1">
      <c r="B17" s="36"/>
      <c r="C17" s="36"/>
      <c r="D17" s="36"/>
      <c r="E17" s="36"/>
      <c r="F17" s="61"/>
      <c r="G17" s="61"/>
      <c r="H17" s="62" t="s">
        <v>60</v>
      </c>
      <c r="I17" s="63">
        <f>I14+I15</f>
        <v>-51692.18567512001</v>
      </c>
      <c r="J17" s="63">
        <f>J14+J15</f>
        <v>-43239.031524879989</v>
      </c>
    </row>
    <row r="18" spans="2:10" ht="15.75" thickTop="1">
      <c r="B18" s="36"/>
      <c r="C18" s="36"/>
      <c r="D18" s="36"/>
      <c r="E18" s="36"/>
      <c r="F18" s="36"/>
      <c r="G18" s="36"/>
      <c r="H18" s="36"/>
      <c r="I18" s="36"/>
      <c r="J18" s="44"/>
    </row>
    <row r="19" spans="2:10">
      <c r="B19" s="36"/>
      <c r="C19" s="36"/>
      <c r="G19" s="36"/>
      <c r="H19" s="36"/>
      <c r="I19" s="41"/>
      <c r="J19" s="41"/>
    </row>
    <row r="20" spans="2:10">
      <c r="B20" s="36"/>
      <c r="C20" s="36"/>
      <c r="G20" s="36"/>
      <c r="H20" s="53"/>
      <c r="I20" s="52"/>
      <c r="J20" s="52"/>
    </row>
    <row r="21" spans="2:10" ht="17.25">
      <c r="B21" s="36"/>
      <c r="C21" s="36"/>
      <c r="G21" s="36"/>
      <c r="H21" s="53"/>
      <c r="I21" s="54"/>
      <c r="J21" s="54"/>
    </row>
    <row r="22" spans="2:10">
      <c r="B22" s="36"/>
      <c r="C22" s="36"/>
      <c r="G22" s="36"/>
      <c r="H22" s="53"/>
      <c r="I22" s="52"/>
      <c r="J22" s="52"/>
    </row>
  </sheetData>
  <mergeCells count="2">
    <mergeCell ref="B1:J1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SOUTHEAST</vt:lpstr>
      <vt:lpstr>WEST</vt:lpstr>
      <vt:lpstr>PLAN TO CATEGORY</vt:lpstr>
      <vt:lpstr>SOUTHEAST INS BREAKDOWN</vt:lpstr>
      <vt:lpstr>WEST INS BREAKDOWN</vt:lpstr>
      <vt:lpstr>Adjustments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Krampe</dc:creator>
  <cp:lastModifiedBy>Alan Vilines</cp:lastModifiedBy>
  <cp:lastPrinted>2020-11-23T16:56:59Z</cp:lastPrinted>
  <dcterms:created xsi:type="dcterms:W3CDTF">2020-04-23T23:14:40Z</dcterms:created>
  <dcterms:modified xsi:type="dcterms:W3CDTF">2020-11-25T18:42:42Z</dcterms:modified>
</cp:coreProperties>
</file>