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i\Google Drive\Daviess County\RFI #3\"/>
    </mc:Choice>
  </mc:AlternateContent>
  <xr:revisionPtr revIDLastSave="0" documentId="13_ncr:1_{F41DB939-D5AB-45B6-B62A-9A81FDCCA973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Adj" sheetId="40" r:id="rId1"/>
  </sheets>
  <definedNames>
    <definedName name="AHV">#REF!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40" l="1"/>
  <c r="I29" i="40" l="1"/>
  <c r="G32" i="40" s="1"/>
  <c r="G34" i="40" s="1"/>
  <c r="I26" i="40"/>
  <c r="H30" i="40" l="1"/>
  <c r="V20" i="40" l="1"/>
  <c r="AA19" i="40"/>
  <c r="AC19" i="40" s="1"/>
  <c r="W19" i="40"/>
  <c r="X19" i="40" s="1"/>
  <c r="AA18" i="40"/>
  <c r="AC18" i="40" s="1"/>
  <c r="W18" i="40"/>
  <c r="Y18" i="40" s="1"/>
  <c r="AA17" i="40"/>
  <c r="AA20" i="40" s="1"/>
  <c r="W17" i="40"/>
  <c r="X17" i="40" s="1"/>
  <c r="V11" i="40"/>
  <c r="W10" i="40"/>
  <c r="Y10" i="40" s="1"/>
  <c r="W9" i="40"/>
  <c r="X9" i="40" s="1"/>
  <c r="W8" i="40"/>
  <c r="X8" i="40" s="1"/>
  <c r="AC17" i="40" l="1"/>
  <c r="AC20" i="40" s="1"/>
  <c r="AC22" i="40" s="1"/>
  <c r="AB27" i="40" s="1"/>
  <c r="AB28" i="40" s="1"/>
  <c r="W20" i="40"/>
  <c r="X20" i="40" s="1"/>
  <c r="Y8" i="40"/>
  <c r="X10" i="40"/>
  <c r="Y17" i="40"/>
  <c r="X18" i="40"/>
  <c r="W11" i="40"/>
  <c r="X11" i="40" s="1"/>
  <c r="Y9" i="40"/>
  <c r="Y19" i="40"/>
  <c r="AC23" i="40" l="1"/>
  <c r="AC27" i="40" s="1"/>
  <c r="AC28" i="40" s="1"/>
  <c r="Y20" i="40"/>
  <c r="Y11" i="40"/>
  <c r="S6" i="40"/>
  <c r="N28" i="40" l="1"/>
  <c r="N26" i="40"/>
  <c r="N25" i="40"/>
  <c r="N23" i="40"/>
  <c r="N22" i="40"/>
  <c r="N20" i="40"/>
  <c r="N19" i="40"/>
  <c r="N16" i="40"/>
  <c r="N12" i="40"/>
  <c r="N9" i="40"/>
  <c r="N6" i="40"/>
  <c r="N29" i="40" l="1"/>
  <c r="I5" i="40"/>
  <c r="I6" i="40" s="1"/>
  <c r="I7" i="40" s="1"/>
  <c r="I8" i="40" s="1"/>
  <c r="I14" i="40" s="1"/>
  <c r="I10" i="40" l="1"/>
  <c r="B18" i="40" l="1"/>
  <c r="B19" i="40" s="1"/>
  <c r="B20" i="40" s="1"/>
  <c r="B21" i="40" s="1"/>
  <c r="B22" i="40" s="1"/>
  <c r="B23" i="40" s="1"/>
  <c r="B24" i="40" l="1"/>
  <c r="B25" i="40" s="1"/>
  <c r="B26" i="40" s="1"/>
  <c r="B27" i="40" l="1"/>
  <c r="B28" i="40" s="1"/>
  <c r="C9" i="40" l="1"/>
  <c r="E8" i="40" l="1"/>
  <c r="E7" i="40"/>
  <c r="E6" i="40"/>
  <c r="E5" i="40"/>
  <c r="E9" i="40" l="1"/>
  <c r="C29" i="40"/>
  <c r="C32" i="40" s="1"/>
  <c r="I36" i="40" l="1"/>
</calcChain>
</file>

<file path=xl/sharedStrings.xml><?xml version="1.0" encoding="utf-8"?>
<sst xmlns="http://schemas.openxmlformats.org/spreadsheetml/2006/main" count="133" uniqueCount="114">
  <si>
    <t>Total</t>
  </si>
  <si>
    <t>Salaries &amp; Wages</t>
  </si>
  <si>
    <t>Materials &amp; Supplies</t>
  </si>
  <si>
    <t>Adjustment</t>
  </si>
  <si>
    <t>TOTAL</t>
  </si>
  <si>
    <t>Rate</t>
  </si>
  <si>
    <t>WATER PURCHASED</t>
  </si>
  <si>
    <t>OMU</t>
  </si>
  <si>
    <t>Projected</t>
  </si>
  <si>
    <t>Gals. Purch.</t>
  </si>
  <si>
    <t>2019</t>
  </si>
  <si>
    <t>2020</t>
  </si>
  <si>
    <t>New</t>
  </si>
  <si>
    <t>2020 rates</t>
  </si>
  <si>
    <t xml:space="preserve">  Total with 05/2020 Rates</t>
  </si>
  <si>
    <t xml:space="preserve">Sales for Resale  </t>
  </si>
  <si>
    <t>1st half '19 salaries</t>
  </si>
  <si>
    <t>full year w/o raise</t>
  </si>
  <si>
    <t>full year w/ raise</t>
  </si>
  <si>
    <t>Payroll tax adj.</t>
  </si>
  <si>
    <t>601-5</t>
  </si>
  <si>
    <t>601-7</t>
  </si>
  <si>
    <t>601-8</t>
  </si>
  <si>
    <t>604-5</t>
  </si>
  <si>
    <t>604-7</t>
  </si>
  <si>
    <t>604-8</t>
  </si>
  <si>
    <t>606-5</t>
  </si>
  <si>
    <t>606-7</t>
  </si>
  <si>
    <t>606-8</t>
  </si>
  <si>
    <t>607-5</t>
  </si>
  <si>
    <t>607-7</t>
  </si>
  <si>
    <t>607-8</t>
  </si>
  <si>
    <t>615-8</t>
  </si>
  <si>
    <t>616-8</t>
  </si>
  <si>
    <t>620-5</t>
  </si>
  <si>
    <t>620-7</t>
  </si>
  <si>
    <t>621-7</t>
  </si>
  <si>
    <t>641-5</t>
  </si>
  <si>
    <t>641-8</t>
  </si>
  <si>
    <t>650-5</t>
  </si>
  <si>
    <t>658-5</t>
  </si>
  <si>
    <t>659-5</t>
  </si>
  <si>
    <t>675-5</t>
  </si>
  <si>
    <t>677-5</t>
  </si>
  <si>
    <t>Pensions &amp; Benefits</t>
  </si>
  <si>
    <t>FICA</t>
  </si>
  <si>
    <t>Elect &amp; gas office</t>
  </si>
  <si>
    <t>Telephone</t>
  </si>
  <si>
    <t>Rent on Property - Storage</t>
  </si>
  <si>
    <t>Rent on Property - Office</t>
  </si>
  <si>
    <t>Transportation</t>
  </si>
  <si>
    <t>Ins - Gen &amp; WC</t>
  </si>
  <si>
    <t>Ins - Other</t>
  </si>
  <si>
    <t>Misc.</t>
  </si>
  <si>
    <t>657</t>
  </si>
  <si>
    <t>Wage adjustment</t>
  </si>
  <si>
    <t>Pen &amp; Benefit adj.</t>
  </si>
  <si>
    <t>7/1/19 Employee Raises - 2%</t>
  </si>
  <si>
    <t>Mid 2019 Reallocation of Shared Expense</t>
  </si>
  <si>
    <t>Contr Serv (computer &amp; tele)</t>
  </si>
  <si>
    <t>AMI Annual Fee</t>
  </si>
  <si>
    <t>2019 Fee</t>
  </si>
  <si>
    <t>Annual Incr.</t>
  </si>
  <si>
    <t>West</t>
  </si>
  <si>
    <t>HUMANA  JAN - DEC 2019</t>
  </si>
  <si>
    <t>MONTHLY</t>
  </si>
  <si>
    <t>EMPLOYEE</t>
  </si>
  <si>
    <t xml:space="preserve">WATER DIST </t>
  </si>
  <si>
    <t>PREMIUM</t>
  </si>
  <si>
    <t>PAYMENTS</t>
  </si>
  <si>
    <t>EE ONLY</t>
  </si>
  <si>
    <t>EE AND SPOUSE</t>
  </si>
  <si>
    <t>FAMILY</t>
  </si>
  <si>
    <t xml:space="preserve">ANTHEM B/C &amp; B/S (JAN 2020 - CURRENT) </t>
  </si>
  <si>
    <t>BLS</t>
  </si>
  <si>
    <t>BLS Avg.</t>
  </si>
  <si>
    <t>No. in</t>
  </si>
  <si>
    <t>ANNUAL</t>
  </si>
  <si>
    <t>Employer</t>
  </si>
  <si>
    <t>Ea. Teir</t>
  </si>
  <si>
    <t>Share</t>
  </si>
  <si>
    <t>Premium</t>
  </si>
  <si>
    <t>Southeast Allocation</t>
  </si>
  <si>
    <t>West Allocation</t>
  </si>
  <si>
    <t>Southeast</t>
  </si>
  <si>
    <t>Total 2019 District Pmts.</t>
  </si>
  <si>
    <t>2020 BLS Avg Allocation</t>
  </si>
  <si>
    <t>SAO Adjustment</t>
  </si>
  <si>
    <t>Medical Insurance Adjustment</t>
  </si>
  <si>
    <t>CONTRIB</t>
  </si>
  <si>
    <t>CONTRIB %</t>
  </si>
  <si>
    <t>DISTRICT</t>
  </si>
  <si>
    <t>2019 wages w/ new alloc.</t>
  </si>
  <si>
    <t>pension contrib. rates</t>
  </si>
  <si>
    <t>Water Loss Adjustment:</t>
  </si>
  <si>
    <t>Produced &amp; Purchased</t>
  </si>
  <si>
    <t>Sold</t>
  </si>
  <si>
    <t>Uses:</t>
  </si>
  <si>
    <t xml:space="preserve">  WTP</t>
  </si>
  <si>
    <t xml:space="preserve">  Flushing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</si>
  <si>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</si>
  <si>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</si>
  <si>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</si>
  <si>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</si>
  <si>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</si>
  <si>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</si>
  <si>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</si>
  <si>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 xml:space="preserve">  adjustment percentage</t>
  </si>
  <si>
    <t>Beech Grove</t>
  </si>
  <si>
    <t>McLean 9992</t>
  </si>
  <si>
    <t>McLean 8300</t>
  </si>
  <si>
    <t>McLean 8400</t>
  </si>
  <si>
    <t>Purch Water Adj.</t>
  </si>
  <si>
    <t>Purch Pwr. Adj.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</si>
</sst>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0.000%"/>
  </numFmts>
  <fonts count="13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65" fontId="3" fillId="0" borderId="0" xfId="0" applyNumberFormat="1" applyFont="1"/>
    <xf numFmtId="165" fontId="3" fillId="0" borderId="0" xfId="1" applyNumberFormat="1" applyFont="1"/>
    <xf numFmtId="43" fontId="3" fillId="0" borderId="0" xfId="1" applyFont="1"/>
    <xf numFmtId="0" fontId="6" fillId="0" borderId="0" xfId="0" applyFont="1"/>
    <xf numFmtId="164" fontId="3" fillId="0" borderId="0" xfId="2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37" fontId="3" fillId="0" borderId="0" xfId="0" applyNumberFormat="1" applyFont="1"/>
    <xf numFmtId="164" fontId="3" fillId="0" borderId="0" xfId="0" applyNumberFormat="1" applyFont="1"/>
    <xf numFmtId="165" fontId="7" fillId="0" borderId="0" xfId="1" applyNumberFormat="1" applyFont="1"/>
    <xf numFmtId="17" fontId="8" fillId="0" borderId="0" xfId="8" applyNumberFormat="1" applyFont="1" applyAlignment="1">
      <alignment horizontal="center"/>
    </xf>
    <xf numFmtId="0" fontId="9" fillId="0" borderId="0" xfId="8" applyFont="1" applyAlignment="1">
      <alignment horizontal="center"/>
    </xf>
    <xf numFmtId="0" fontId="9" fillId="0" borderId="1" xfId="8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4" fillId="0" borderId="0" xfId="1" applyNumberFormat="1" applyFont="1"/>
    <xf numFmtId="43" fontId="3" fillId="0" borderId="1" xfId="1" applyFont="1" applyBorder="1"/>
    <xf numFmtId="0" fontId="4" fillId="0" borderId="0" xfId="0" applyFont="1" applyAlignment="1">
      <alignment horizontal="center"/>
    </xf>
    <xf numFmtId="0" fontId="10" fillId="0" borderId="0" xfId="0" applyFont="1"/>
    <xf numFmtId="44" fontId="3" fillId="0" borderId="0" xfId="10" applyFont="1"/>
    <xf numFmtId="43" fontId="3" fillId="0" borderId="0" xfId="9" applyFont="1"/>
    <xf numFmtId="44" fontId="3" fillId="0" borderId="1" xfId="10" applyFont="1" applyBorder="1"/>
    <xf numFmtId="43" fontId="3" fillId="0" borderId="1" xfId="9" applyFont="1" applyBorder="1"/>
    <xf numFmtId="0" fontId="5" fillId="0" borderId="0" xfId="0" applyFont="1" applyAlignment="1">
      <alignment horizontal="right"/>
    </xf>
    <xf numFmtId="166" fontId="3" fillId="0" borderId="0" xfId="3" applyNumberFormat="1" applyFont="1"/>
    <xf numFmtId="0" fontId="9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2" fillId="0" borderId="0" xfId="9" applyFont="1"/>
    <xf numFmtId="0" fontId="11" fillId="0" borderId="0" xfId="0" applyFont="1" applyAlignment="1">
      <alignment horizontal="center"/>
    </xf>
    <xf numFmtId="10" fontId="3" fillId="0" borderId="0" xfId="3" applyNumberFormat="1" applyFont="1" applyAlignment="1">
      <alignment horizontal="center"/>
    </xf>
    <xf numFmtId="44" fontId="3" fillId="0" borderId="0" xfId="0" applyNumberFormat="1" applyFont="1"/>
    <xf numFmtId="10" fontId="3" fillId="0" borderId="1" xfId="3" applyNumberFormat="1" applyFont="1" applyBorder="1" applyAlignment="1">
      <alignment horizontal="center"/>
    </xf>
    <xf numFmtId="10" fontId="3" fillId="0" borderId="0" xfId="0" applyNumberFormat="1" applyFont="1"/>
    <xf numFmtId="9" fontId="3" fillId="0" borderId="0" xfId="3" applyFont="1" applyAlignment="1">
      <alignment horizontal="center"/>
    </xf>
    <xf numFmtId="165" fontId="3" fillId="0" borderId="0" xfId="9" applyNumberFormat="1" applyFont="1"/>
    <xf numFmtId="165" fontId="7" fillId="0" borderId="0" xfId="9" applyNumberFormat="1" applyFont="1"/>
    <xf numFmtId="167" fontId="3" fillId="0" borderId="0" xfId="1" applyNumberFormat="1" applyFont="1"/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6" fillId="0" borderId="0" xfId="0" applyNumberFormat="1" applyFont="1"/>
    <xf numFmtId="168" fontId="3" fillId="0" borderId="0" xfId="7" applyNumberFormat="1" applyFont="1"/>
    <xf numFmtId="3" fontId="3" fillId="0" borderId="0" xfId="0" applyNumberFormat="1" applyFont="1" applyAlignment="1">
      <alignment horizontal="right"/>
    </xf>
    <xf numFmtId="165" fontId="3" fillId="0" borderId="0" xfId="5" applyNumberFormat="1" applyFont="1" applyAlignment="1">
      <alignment vertical="center"/>
    </xf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7" fontId="3" fillId="0" borderId="0" xfId="0" applyNumberFormat="1" applyFont="1"/>
    <xf numFmtId="165" fontId="8" fillId="0" borderId="0" xfId="9" applyNumberFormat="1" applyFont="1"/>
    <xf numFmtId="165" fontId="8" fillId="0" borderId="1" xfId="9" applyNumberFormat="1" applyFont="1" applyBorder="1"/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44"/>
  <sheetViews>
    <sheetView tabSelected="1" zoomScaleNormal="100" workbookViewId="0"/>
  </sheetViews>
  <sheetFormatPr defaultColWidth="8.86328125" defaultRowHeight="14.4" x14ac:dyDescent="0.55000000000000004"/>
  <cols>
    <col min="1" max="1" width="8.453125" style="1" customWidth="1"/>
    <col min="2" max="3" width="10.76953125" style="1" customWidth="1"/>
    <col min="4" max="4" width="9.86328125" style="1" customWidth="1"/>
    <col min="5" max="5" width="8.453125" style="1" customWidth="1"/>
    <col min="6" max="6" width="6.2265625" style="1" customWidth="1"/>
    <col min="7" max="7" width="10.453125" style="1" customWidth="1"/>
    <col min="8" max="8" width="8.86328125" style="1"/>
    <col min="9" max="10" width="8.2265625" style="1" customWidth="1"/>
    <col min="11" max="11" width="7.2265625" style="1" customWidth="1"/>
    <col min="12" max="12" width="9.453125" style="1" customWidth="1"/>
    <col min="13" max="13" width="2.2265625" style="1" customWidth="1"/>
    <col min="14" max="14" width="7.6796875" style="1" customWidth="1"/>
    <col min="15" max="16" width="8.86328125" style="1"/>
    <col min="17" max="17" width="7.2265625" style="1" customWidth="1"/>
    <col min="18" max="18" width="8.86328125" style="1"/>
    <col min="19" max="19" width="9" style="1" bestFit="1" customWidth="1"/>
    <col min="20" max="20" width="6.2265625" style="1" customWidth="1"/>
    <col min="21" max="21" width="12.31640625" style="1" customWidth="1"/>
    <col min="22" max="22" width="9.86328125" style="1" customWidth="1"/>
    <col min="23" max="25" width="9.76953125" style="1" customWidth="1"/>
    <col min="26" max="26" width="8" style="1" customWidth="1"/>
    <col min="27" max="27" width="10.6796875" style="1" customWidth="1"/>
    <col min="28" max="28" width="10.08984375" style="1" customWidth="1"/>
    <col min="29" max="29" width="10.54296875" style="1" customWidth="1"/>
    <col min="30" max="16384" width="8.86328125" style="1"/>
  </cols>
  <sheetData>
    <row r="2" spans="1:29" ht="15.3" x14ac:dyDescent="0.55000000000000004">
      <c r="A2" s="20" t="s">
        <v>15</v>
      </c>
      <c r="G2" s="20" t="s">
        <v>57</v>
      </c>
      <c r="J2"/>
      <c r="K2" s="20" t="s">
        <v>58</v>
      </c>
      <c r="L2"/>
      <c r="M2"/>
      <c r="N2"/>
      <c r="O2"/>
      <c r="P2"/>
      <c r="R2" s="20" t="s">
        <v>60</v>
      </c>
      <c r="U2" s="20" t="s">
        <v>88</v>
      </c>
    </row>
    <row r="3" spans="1:29" ht="15.3" x14ac:dyDescent="0.55000000000000004">
      <c r="C3" s="16" t="s">
        <v>10</v>
      </c>
      <c r="D3" s="16" t="s">
        <v>11</v>
      </c>
      <c r="E3" s="16" t="s">
        <v>12</v>
      </c>
      <c r="G3" s="19"/>
      <c r="J3"/>
      <c r="K3" s="21"/>
      <c r="L3" s="21"/>
      <c r="P3"/>
    </row>
    <row r="4" spans="1:29" ht="15.3" x14ac:dyDescent="0.55000000000000004">
      <c r="C4" s="16" t="s">
        <v>9</v>
      </c>
      <c r="D4" s="16" t="s">
        <v>5</v>
      </c>
      <c r="E4" s="16" t="s">
        <v>0</v>
      </c>
      <c r="H4" s="9" t="s">
        <v>92</v>
      </c>
      <c r="I4" s="10">
        <v>293749</v>
      </c>
      <c r="J4"/>
      <c r="K4" s="21" t="s">
        <v>20</v>
      </c>
      <c r="L4" s="21">
        <v>7629.0436363636236</v>
      </c>
      <c r="P4"/>
      <c r="R4" s="1" t="s">
        <v>61</v>
      </c>
      <c r="S4" s="6">
        <v>10567.95</v>
      </c>
      <c r="U4" s="27" t="s">
        <v>64</v>
      </c>
      <c r="V4"/>
      <c r="W4"/>
      <c r="X4"/>
      <c r="Y4"/>
      <c r="Z4"/>
      <c r="AA4"/>
      <c r="AB4"/>
      <c r="AC4"/>
    </row>
    <row r="5" spans="1:29" ht="15.3" x14ac:dyDescent="0.55000000000000004">
      <c r="B5" s="49" t="s">
        <v>109</v>
      </c>
      <c r="C5" s="3">
        <v>23000</v>
      </c>
      <c r="D5" s="4">
        <v>3.85</v>
      </c>
      <c r="E5" s="3">
        <f>D5*C5/1000</f>
        <v>88.55</v>
      </c>
      <c r="G5" s="3"/>
      <c r="H5" s="9" t="s">
        <v>16</v>
      </c>
      <c r="I5" s="3">
        <f>I4/2.02</f>
        <v>145420.29702970298</v>
      </c>
      <c r="J5"/>
      <c r="K5" s="21" t="s">
        <v>21</v>
      </c>
      <c r="L5" s="22">
        <v>4400.4414545454438</v>
      </c>
      <c r="P5"/>
      <c r="R5" s="1" t="s">
        <v>62</v>
      </c>
      <c r="S5" s="26">
        <v>0.03</v>
      </c>
      <c r="W5" s="7" t="s">
        <v>65</v>
      </c>
      <c r="X5" s="7"/>
      <c r="Y5" s="7"/>
      <c r="AC5" s="7">
        <v>2019</v>
      </c>
    </row>
    <row r="6" spans="1:29" ht="15.3" x14ac:dyDescent="0.55000000000000004">
      <c r="B6" s="49" t="s">
        <v>110</v>
      </c>
      <c r="C6" s="3">
        <v>3992000</v>
      </c>
      <c r="D6" s="4">
        <v>3.85</v>
      </c>
      <c r="E6" s="3">
        <f t="shared" ref="E6:E8" si="0">D6*C6/1000</f>
        <v>15369.2</v>
      </c>
      <c r="G6" s="3"/>
      <c r="H6" s="9" t="s">
        <v>17</v>
      </c>
      <c r="I6" s="3">
        <f>I5*2</f>
        <v>290840.59405940596</v>
      </c>
      <c r="J6"/>
      <c r="K6" s="21" t="s">
        <v>22</v>
      </c>
      <c r="L6" s="22">
        <v>2120.2821818181765</v>
      </c>
      <c r="N6" s="11">
        <f>SUM(L4:L6)</f>
        <v>14149.767272727244</v>
      </c>
      <c r="O6" s="1" t="s">
        <v>1</v>
      </c>
      <c r="P6"/>
      <c r="R6" s="1" t="s">
        <v>3</v>
      </c>
      <c r="S6" s="6">
        <f>S4*S5</f>
        <v>317.0385</v>
      </c>
      <c r="V6" s="7" t="s">
        <v>65</v>
      </c>
      <c r="W6" s="7" t="s">
        <v>66</v>
      </c>
      <c r="X6" s="7" t="s">
        <v>66</v>
      </c>
      <c r="Y6" s="7" t="s">
        <v>67</v>
      </c>
      <c r="Z6" s="7"/>
      <c r="AA6" s="7"/>
      <c r="AB6" s="7"/>
      <c r="AC6" s="7" t="s">
        <v>91</v>
      </c>
    </row>
    <row r="7" spans="1:29" ht="15.3" x14ac:dyDescent="0.55000000000000004">
      <c r="B7" s="49" t="s">
        <v>111</v>
      </c>
      <c r="C7" s="3">
        <v>178000</v>
      </c>
      <c r="D7" s="4">
        <v>3.85</v>
      </c>
      <c r="E7" s="3">
        <f t="shared" si="0"/>
        <v>685.3</v>
      </c>
      <c r="G7" s="3"/>
      <c r="H7" s="9" t="s">
        <v>18</v>
      </c>
      <c r="I7" s="3">
        <f>I6*1.02</f>
        <v>296657.40594059409</v>
      </c>
      <c r="J7"/>
      <c r="K7" s="21" t="s">
        <v>23</v>
      </c>
      <c r="L7" s="22">
        <v>2808.683636363633</v>
      </c>
      <c r="N7" s="11"/>
      <c r="P7"/>
      <c r="V7" s="8" t="s">
        <v>68</v>
      </c>
      <c r="W7" s="8" t="s">
        <v>89</v>
      </c>
      <c r="X7" s="8" t="s">
        <v>90</v>
      </c>
      <c r="Y7" s="8" t="s">
        <v>90</v>
      </c>
      <c r="Z7" s="28"/>
      <c r="AA7" s="29"/>
      <c r="AB7" s="28"/>
      <c r="AC7" s="28" t="s">
        <v>69</v>
      </c>
    </row>
    <row r="8" spans="1:29" ht="17.100000000000001" x14ac:dyDescent="0.85">
      <c r="B8" s="49" t="s">
        <v>108</v>
      </c>
      <c r="C8" s="12">
        <v>4611000</v>
      </c>
      <c r="D8" s="4">
        <v>3.85</v>
      </c>
      <c r="E8" s="12">
        <f t="shared" si="0"/>
        <v>17752.349999999999</v>
      </c>
      <c r="G8" s="17"/>
      <c r="H8" s="25" t="s">
        <v>55</v>
      </c>
      <c r="I8" s="3">
        <f>I7-I4</f>
        <v>2908.4059405940934</v>
      </c>
      <c r="J8"/>
      <c r="K8" s="21" t="s">
        <v>24</v>
      </c>
      <c r="L8" s="22">
        <v>2460.9192727272666</v>
      </c>
      <c r="N8" s="11"/>
      <c r="P8"/>
      <c r="U8" s="1" t="s">
        <v>70</v>
      </c>
      <c r="V8" s="21">
        <v>743.01</v>
      </c>
      <c r="W8" s="21">
        <f>200/12</f>
        <v>16.666666666666668</v>
      </c>
      <c r="X8" s="32">
        <f>+W8/V8</f>
        <v>2.2431281768302808E-2</v>
      </c>
      <c r="Y8" s="32">
        <f>+(V8-W8)/V8</f>
        <v>0.97756871823169722</v>
      </c>
      <c r="Z8" s="7"/>
      <c r="AA8" s="33"/>
      <c r="AC8" s="33">
        <v>242342.32999999996</v>
      </c>
    </row>
    <row r="9" spans="1:29" ht="15.3" x14ac:dyDescent="0.55000000000000004">
      <c r="B9" s="9" t="s">
        <v>14</v>
      </c>
      <c r="C9" s="3">
        <f>SUM(C5:C8)</f>
        <v>8804000</v>
      </c>
      <c r="D9" s="3"/>
      <c r="E9" s="6">
        <f>SUM(E5:E8)</f>
        <v>33895.399999999994</v>
      </c>
      <c r="H9" s="9"/>
      <c r="I9" s="3"/>
      <c r="J9"/>
      <c r="K9" s="21" t="s">
        <v>25</v>
      </c>
      <c r="L9" s="22">
        <v>445.38109090908989</v>
      </c>
      <c r="N9" s="3">
        <f>SUM(L7:L9)+SUM(L13:L15)</f>
        <v>7628.3076363636219</v>
      </c>
      <c r="O9" s="1" t="s">
        <v>44</v>
      </c>
      <c r="P9"/>
      <c r="U9" s="1" t="s">
        <v>71</v>
      </c>
      <c r="V9" s="21">
        <v>1486.03</v>
      </c>
      <c r="W9" s="4">
        <f>400/12</f>
        <v>33.333333333333336</v>
      </c>
      <c r="X9" s="32">
        <f t="shared" ref="X9:X11" si="1">+W9/V9</f>
        <v>2.2431130820598062E-2</v>
      </c>
      <c r="Y9" s="32">
        <f t="shared" ref="Y9:Y11" si="2">+(V9-W9)/V9</f>
        <v>0.977568869179402</v>
      </c>
      <c r="Z9" s="7"/>
      <c r="AA9" s="22"/>
    </row>
    <row r="10" spans="1:29" ht="17.100000000000001" x14ac:dyDescent="0.85">
      <c r="H10" s="25" t="s">
        <v>19</v>
      </c>
      <c r="I10" s="3">
        <f>I8*0.0765</f>
        <v>222.49305445544815</v>
      </c>
      <c r="J10"/>
      <c r="K10" s="21" t="s">
        <v>26</v>
      </c>
      <c r="L10" s="22">
        <v>599.96436363636235</v>
      </c>
      <c r="N10" s="3"/>
      <c r="P10"/>
      <c r="U10" s="1" t="s">
        <v>72</v>
      </c>
      <c r="V10" s="23">
        <v>2117.59</v>
      </c>
      <c r="W10" s="18">
        <f>400/12</f>
        <v>33.333333333333336</v>
      </c>
      <c r="X10" s="34">
        <f t="shared" si="1"/>
        <v>1.5741164877683279E-2</v>
      </c>
      <c r="Y10" s="34">
        <f t="shared" si="2"/>
        <v>0.9842588351223166</v>
      </c>
      <c r="Z10" s="7"/>
      <c r="AA10" s="30"/>
    </row>
    <row r="11" spans="1:29" ht="15.3" x14ac:dyDescent="0.55000000000000004">
      <c r="G11" s="2"/>
      <c r="H11" s="9"/>
      <c r="I11" s="3"/>
      <c r="J11"/>
      <c r="K11" s="21" t="s">
        <v>27</v>
      </c>
      <c r="L11" s="22">
        <v>346.73309090909021</v>
      </c>
      <c r="N11" s="3"/>
      <c r="P11"/>
      <c r="U11" s="1" t="s">
        <v>4</v>
      </c>
      <c r="V11" s="33">
        <f>SUM(V8:V10)</f>
        <v>4346.63</v>
      </c>
      <c r="W11" s="4">
        <f>SUM(W8:W10)</f>
        <v>83.333333333333343</v>
      </c>
      <c r="X11" s="32">
        <f t="shared" si="1"/>
        <v>1.9171940867599345E-2</v>
      </c>
      <c r="Y11" s="32">
        <f t="shared" si="2"/>
        <v>0.98082805913240068</v>
      </c>
      <c r="Z11" s="7"/>
      <c r="AA11" s="33"/>
      <c r="AB11" s="35"/>
    </row>
    <row r="12" spans="1:29" ht="15.3" x14ac:dyDescent="0.55000000000000004">
      <c r="H12" s="9" t="s">
        <v>93</v>
      </c>
      <c r="I12" s="39">
        <v>0.14000000000000001</v>
      </c>
      <c r="J12"/>
      <c r="K12" s="21" t="s">
        <v>28</v>
      </c>
      <c r="L12" s="22">
        <v>167.03127272727238</v>
      </c>
      <c r="N12" s="3">
        <f>SUM(L10:L12)</f>
        <v>1113.7287272727249</v>
      </c>
      <c r="O12" s="1" t="s">
        <v>45</v>
      </c>
      <c r="P12"/>
      <c r="Z12" s="7"/>
    </row>
    <row r="13" spans="1:29" x14ac:dyDescent="0.55000000000000004">
      <c r="B13" s="20" t="s">
        <v>6</v>
      </c>
      <c r="K13" s="21" t="s">
        <v>29</v>
      </c>
      <c r="L13" s="22">
        <v>981.05018181817991</v>
      </c>
      <c r="N13" s="3"/>
      <c r="U13" s="27" t="s">
        <v>73</v>
      </c>
      <c r="Z13" s="7"/>
    </row>
    <row r="14" spans="1:29" ht="15.3" x14ac:dyDescent="0.55000000000000004">
      <c r="B14" s="5"/>
      <c r="D14"/>
      <c r="H14" s="25" t="s">
        <v>56</v>
      </c>
      <c r="I14" s="3">
        <f>I8*I12</f>
        <v>407.17683168317313</v>
      </c>
      <c r="K14" s="21" t="s">
        <v>30</v>
      </c>
      <c r="L14" s="22">
        <v>630.5847272727259</v>
      </c>
      <c r="N14" s="3"/>
      <c r="W14" s="7" t="s">
        <v>65</v>
      </c>
      <c r="Z14" s="7"/>
      <c r="AB14" s="7" t="s">
        <v>74</v>
      </c>
      <c r="AC14" s="7" t="s">
        <v>75</v>
      </c>
    </row>
    <row r="15" spans="1:29" ht="15.3" x14ac:dyDescent="0.55000000000000004">
      <c r="C15" s="14" t="s">
        <v>4</v>
      </c>
      <c r="D15"/>
      <c r="K15" s="21" t="s">
        <v>31</v>
      </c>
      <c r="L15" s="22">
        <v>301.68872727272662</v>
      </c>
      <c r="N15" s="3"/>
      <c r="V15" s="7" t="s">
        <v>65</v>
      </c>
      <c r="W15" s="7" t="s">
        <v>66</v>
      </c>
      <c r="X15" s="7" t="s">
        <v>66</v>
      </c>
      <c r="Y15" s="7" t="s">
        <v>67</v>
      </c>
      <c r="Z15" s="7" t="s">
        <v>76</v>
      </c>
      <c r="AA15" s="7" t="s">
        <v>77</v>
      </c>
      <c r="AB15" s="7" t="s">
        <v>78</v>
      </c>
      <c r="AC15" s="7" t="s">
        <v>78</v>
      </c>
    </row>
    <row r="16" spans="1:29" ht="15.3" x14ac:dyDescent="0.55000000000000004">
      <c r="C16" s="15" t="s">
        <v>7</v>
      </c>
      <c r="D16"/>
      <c r="K16" s="21" t="s">
        <v>32</v>
      </c>
      <c r="L16" s="22">
        <v>108.99927272727255</v>
      </c>
      <c r="N16" s="3">
        <f>L16</f>
        <v>108.99927272727255</v>
      </c>
      <c r="O16" s="1" t="s">
        <v>46</v>
      </c>
      <c r="T16" s="4"/>
      <c r="V16" s="8" t="s">
        <v>68</v>
      </c>
      <c r="W16" s="8" t="s">
        <v>89</v>
      </c>
      <c r="X16" s="8" t="s">
        <v>90</v>
      </c>
      <c r="Y16" s="8" t="s">
        <v>90</v>
      </c>
      <c r="Z16" s="28" t="s">
        <v>79</v>
      </c>
      <c r="AA16" s="29" t="s">
        <v>68</v>
      </c>
      <c r="AB16" s="31" t="s">
        <v>80</v>
      </c>
      <c r="AC16" s="31" t="s">
        <v>81</v>
      </c>
    </row>
    <row r="17" spans="2:29" ht="15.3" x14ac:dyDescent="0.55000000000000004">
      <c r="B17" s="13">
        <v>43472</v>
      </c>
      <c r="C17" s="51">
        <v>32806400</v>
      </c>
      <c r="D17"/>
      <c r="G17" s="20" t="s">
        <v>94</v>
      </c>
      <c r="H17" s="42"/>
      <c r="I17" s="42"/>
      <c r="K17" s="21" t="s">
        <v>33</v>
      </c>
      <c r="L17" s="22">
        <v>169.16945454545427</v>
      </c>
      <c r="N17" s="3"/>
      <c r="O17" s="1" t="s">
        <v>47</v>
      </c>
      <c r="U17" s="1" t="s">
        <v>70</v>
      </c>
      <c r="V17" s="21">
        <v>659.45</v>
      </c>
      <c r="W17" s="21">
        <f>200/12</f>
        <v>16.666666666666668</v>
      </c>
      <c r="X17" s="32">
        <f>+W17/V17</f>
        <v>2.5273586574670812E-2</v>
      </c>
      <c r="Y17" s="32">
        <f>+(V17-W17)/V17</f>
        <v>0.97472641342532929</v>
      </c>
      <c r="Z17" s="7">
        <v>6</v>
      </c>
      <c r="AA17" s="33">
        <f>V17*Z17*12</f>
        <v>47480.4</v>
      </c>
      <c r="AB17" s="36">
        <v>0.79</v>
      </c>
      <c r="AC17" s="33">
        <f>AB17*AA17</f>
        <v>37509.516000000003</v>
      </c>
    </row>
    <row r="18" spans="2:29" ht="15.3" x14ac:dyDescent="0.55000000000000004">
      <c r="B18" s="13">
        <f>+B17+25</f>
        <v>43497</v>
      </c>
      <c r="C18" s="51">
        <v>34196500</v>
      </c>
      <c r="D18"/>
      <c r="G18" s="43"/>
      <c r="H18" s="42"/>
      <c r="I18" s="42"/>
      <c r="K18" s="21" t="s">
        <v>34</v>
      </c>
      <c r="L18" s="22">
        <v>359.54981818181756</v>
      </c>
      <c r="N18" s="3"/>
      <c r="U18" s="1" t="s">
        <v>71</v>
      </c>
      <c r="V18" s="21">
        <v>1384.85</v>
      </c>
      <c r="W18" s="4">
        <f>400/12</f>
        <v>33.333333333333336</v>
      </c>
      <c r="X18" s="32">
        <f t="shared" ref="X18:X20" si="3">+W18/V18</f>
        <v>2.4069995547050829E-2</v>
      </c>
      <c r="Y18" s="32">
        <f t="shared" ref="Y18:Y20" si="4">+(V18-W18)/V18</f>
        <v>0.9759300044529492</v>
      </c>
      <c r="Z18" s="7">
        <v>1</v>
      </c>
      <c r="AA18" s="22">
        <f>V18*Z18*12</f>
        <v>16618.199999999997</v>
      </c>
      <c r="AB18" s="36">
        <v>0.62</v>
      </c>
      <c r="AC18" s="22">
        <f>AB18*AA18</f>
        <v>10303.283999999998</v>
      </c>
    </row>
    <row r="19" spans="2:29" ht="17.100000000000001" x14ac:dyDescent="0.85">
      <c r="B19" s="13">
        <f>+B18+30</f>
        <v>43527</v>
      </c>
      <c r="C19" s="51">
        <v>31773300</v>
      </c>
      <c r="D19"/>
      <c r="G19" s="42" t="s">
        <v>95</v>
      </c>
      <c r="H19" s="42"/>
      <c r="I19" s="42">
        <v>449463</v>
      </c>
      <c r="K19" s="21" t="s">
        <v>35</v>
      </c>
      <c r="L19" s="22">
        <v>380.74472727272621</v>
      </c>
      <c r="N19" s="3">
        <f>L18+L19</f>
        <v>740.29454545454382</v>
      </c>
      <c r="O19" s="1" t="s">
        <v>2</v>
      </c>
      <c r="U19" s="1" t="s">
        <v>72</v>
      </c>
      <c r="V19" s="23">
        <v>1912.41</v>
      </c>
      <c r="W19" s="18">
        <f>400/12</f>
        <v>33.333333333333336</v>
      </c>
      <c r="X19" s="34">
        <f t="shared" si="3"/>
        <v>1.7430014135741464E-2</v>
      </c>
      <c r="Y19" s="34">
        <f t="shared" si="4"/>
        <v>0.98256998586425859</v>
      </c>
      <c r="Z19" s="7">
        <v>7</v>
      </c>
      <c r="AA19" s="30">
        <f>V19*Z19*12</f>
        <v>160642.44</v>
      </c>
      <c r="AB19" s="36">
        <v>0.62</v>
      </c>
      <c r="AC19" s="30">
        <f>AB19*AA19</f>
        <v>99598.3128</v>
      </c>
    </row>
    <row r="20" spans="2:29" ht="15.3" x14ac:dyDescent="0.55000000000000004">
      <c r="B20" s="13">
        <f t="shared" ref="B20:B28" si="5">+B19+30</f>
        <v>43557</v>
      </c>
      <c r="C20" s="51">
        <v>37899100</v>
      </c>
      <c r="D20"/>
      <c r="G20" s="42" t="s">
        <v>96</v>
      </c>
      <c r="H20" s="42"/>
      <c r="I20" s="42">
        <v>358295</v>
      </c>
      <c r="K20" s="21" t="s">
        <v>36</v>
      </c>
      <c r="L20" s="22">
        <v>259.64581818181807</v>
      </c>
      <c r="N20" s="3">
        <f>L20+L17</f>
        <v>428.81527272727237</v>
      </c>
      <c r="O20" s="1" t="s">
        <v>59</v>
      </c>
      <c r="U20" s="1" t="s">
        <v>4</v>
      </c>
      <c r="V20" s="33">
        <f>SUM(V17:V19)</f>
        <v>3956.71</v>
      </c>
      <c r="W20" s="4">
        <f>SUM(W17:W19)</f>
        <v>83.333333333333343</v>
      </c>
      <c r="X20" s="32">
        <f t="shared" si="3"/>
        <v>2.1061268916178679E-2</v>
      </c>
      <c r="Y20" s="32">
        <f t="shared" si="4"/>
        <v>0.97893873108382123</v>
      </c>
      <c r="AA20" s="33">
        <f>SUM(AA17:AA19)</f>
        <v>224741.04</v>
      </c>
      <c r="AC20" s="33">
        <f>SUM(AC17:AC19)</f>
        <v>147411.1128</v>
      </c>
    </row>
    <row r="21" spans="2:29" ht="15.3" x14ac:dyDescent="0.55000000000000004">
      <c r="B21" s="13">
        <f t="shared" si="5"/>
        <v>43587</v>
      </c>
      <c r="C21" s="51">
        <v>43779600</v>
      </c>
      <c r="D21"/>
      <c r="G21" s="42" t="s">
        <v>97</v>
      </c>
      <c r="H21" s="42"/>
      <c r="I21" s="42"/>
      <c r="K21" s="21" t="s">
        <v>37</v>
      </c>
      <c r="L21" s="22">
        <v>113.37890909090902</v>
      </c>
      <c r="N21" s="3"/>
      <c r="O21" s="1" t="s">
        <v>48</v>
      </c>
      <c r="AA21" s="33"/>
    </row>
    <row r="22" spans="2:29" ht="15.3" x14ac:dyDescent="0.55000000000000004">
      <c r="B22" s="13">
        <f t="shared" si="5"/>
        <v>43617</v>
      </c>
      <c r="C22" s="51">
        <v>37114800</v>
      </c>
      <c r="D22"/>
      <c r="G22" s="41" t="s">
        <v>98</v>
      </c>
      <c r="H22" s="41">
        <v>0</v>
      </c>
      <c r="I22" s="42"/>
      <c r="K22" s="21" t="s">
        <v>38</v>
      </c>
      <c r="L22" s="22">
        <v>81.493818181818085</v>
      </c>
      <c r="N22" s="3">
        <f>L21+L22</f>
        <v>194.8727272727271</v>
      </c>
      <c r="O22" s="1" t="s">
        <v>49</v>
      </c>
      <c r="AA22" s="1" t="s">
        <v>82</v>
      </c>
      <c r="AC22" s="33">
        <f>AC20*0.59</f>
        <v>86972.556551999995</v>
      </c>
    </row>
    <row r="23" spans="2:29" ht="15.3" x14ac:dyDescent="0.55000000000000004">
      <c r="B23" s="13">
        <f t="shared" si="5"/>
        <v>43647</v>
      </c>
      <c r="C23" s="51">
        <v>47641800</v>
      </c>
      <c r="D23"/>
      <c r="G23" s="42" t="s">
        <v>99</v>
      </c>
      <c r="H23" s="42">
        <v>12245</v>
      </c>
      <c r="I23" s="42"/>
      <c r="K23" s="21" t="s">
        <v>39</v>
      </c>
      <c r="L23" s="22">
        <v>22.202181818181771</v>
      </c>
      <c r="N23" s="3">
        <f>L23</f>
        <v>22.202181818181771</v>
      </c>
      <c r="O23" s="1" t="s">
        <v>50</v>
      </c>
      <c r="AA23" s="1" t="s">
        <v>83</v>
      </c>
      <c r="AC23" s="33">
        <f>AC20*0.41</f>
        <v>60438.556248000001</v>
      </c>
    </row>
    <row r="24" spans="2:29" ht="15.3" x14ac:dyDescent="0.55000000000000004">
      <c r="B24" s="13">
        <f>+B23+32</f>
        <v>43679</v>
      </c>
      <c r="C24" s="51">
        <v>42576200</v>
      </c>
      <c r="D24"/>
      <c r="G24" s="42" t="s">
        <v>100</v>
      </c>
      <c r="H24" s="42">
        <v>88</v>
      </c>
      <c r="I24" s="42"/>
      <c r="K24" s="21" t="s">
        <v>54</v>
      </c>
      <c r="L24" s="22">
        <v>389.8799999999992</v>
      </c>
      <c r="N24" s="3"/>
      <c r="AC24" s="33"/>
    </row>
    <row r="25" spans="2:29" ht="15.3" x14ac:dyDescent="0.55000000000000004">
      <c r="B25" s="13">
        <f t="shared" si="5"/>
        <v>43709</v>
      </c>
      <c r="C25" s="51">
        <v>44230200</v>
      </c>
      <c r="D25"/>
      <c r="G25" s="42" t="s">
        <v>101</v>
      </c>
      <c r="H25" s="47">
        <v>0</v>
      </c>
      <c r="I25" s="42"/>
      <c r="K25" s="21" t="s">
        <v>40</v>
      </c>
      <c r="L25" s="22">
        <v>241.75999999999931</v>
      </c>
      <c r="N25" s="3">
        <f>L25+L24</f>
        <v>631.63999999999851</v>
      </c>
      <c r="O25" s="1" t="s">
        <v>51</v>
      </c>
      <c r="AB25" s="31" t="s">
        <v>84</v>
      </c>
      <c r="AC25" s="31" t="s">
        <v>63</v>
      </c>
    </row>
    <row r="26" spans="2:29" ht="15.3" x14ac:dyDescent="0.55000000000000004">
      <c r="B26" s="13">
        <f t="shared" si="5"/>
        <v>43739</v>
      </c>
      <c r="C26" s="51">
        <v>37017100</v>
      </c>
      <c r="D26"/>
      <c r="G26" s="42"/>
      <c r="H26" s="42"/>
      <c r="I26" s="42">
        <f>SUM(H22:H25)</f>
        <v>12333</v>
      </c>
      <c r="K26" s="21" t="s">
        <v>41</v>
      </c>
      <c r="L26" s="22">
        <v>25.754181818181735</v>
      </c>
      <c r="N26" s="3">
        <f>L26</f>
        <v>25.754181818181735</v>
      </c>
      <c r="O26" s="1" t="s">
        <v>52</v>
      </c>
      <c r="AA26" s="9" t="s">
        <v>85</v>
      </c>
      <c r="AB26" s="37">
        <v>-138237.25</v>
      </c>
      <c r="AC26" s="37">
        <v>-104105.08</v>
      </c>
    </row>
    <row r="27" spans="2:29" ht="17.100000000000001" x14ac:dyDescent="0.85">
      <c r="B27" s="13">
        <f>+B26+32</f>
        <v>43771</v>
      </c>
      <c r="C27" s="51">
        <v>27556800</v>
      </c>
      <c r="D27"/>
      <c r="G27" s="42" t="s">
        <v>102</v>
      </c>
      <c r="H27" s="42"/>
      <c r="I27" s="42"/>
      <c r="K27" s="21" t="s">
        <v>42</v>
      </c>
      <c r="L27" s="22">
        <v>4.7999999999999901</v>
      </c>
      <c r="N27" s="3"/>
      <c r="AA27" s="9" t="s">
        <v>86</v>
      </c>
      <c r="AB27" s="38">
        <f>AC22</f>
        <v>86972.556551999995</v>
      </c>
      <c r="AC27" s="38">
        <f>AC23</f>
        <v>60438.556248000001</v>
      </c>
    </row>
    <row r="28" spans="2:29" ht="17.100000000000001" x14ac:dyDescent="0.85">
      <c r="B28" s="13">
        <f t="shared" si="5"/>
        <v>43801</v>
      </c>
      <c r="C28" s="52">
        <v>32871400</v>
      </c>
      <c r="D28"/>
      <c r="G28" s="42" t="s">
        <v>103</v>
      </c>
      <c r="H28" s="47">
        <v>78835</v>
      </c>
      <c r="I28" s="42"/>
      <c r="K28" s="23" t="s">
        <v>43</v>
      </c>
      <c r="L28" s="24">
        <v>90.890181818181617</v>
      </c>
      <c r="N28" s="12">
        <f>L27+L28</f>
        <v>95.6901818181816</v>
      </c>
      <c r="O28" s="1" t="s">
        <v>53</v>
      </c>
      <c r="AA28" s="9" t="s">
        <v>87</v>
      </c>
      <c r="AB28" s="37">
        <f>AB26+AB27</f>
        <v>-51264.693448000005</v>
      </c>
      <c r="AC28" s="37">
        <f>AC26+AC27</f>
        <v>-43666.523752000001</v>
      </c>
    </row>
    <row r="29" spans="2:29" ht="15.3" x14ac:dyDescent="0.55000000000000004">
      <c r="C29" s="2">
        <f>SUM(C17:C28)</f>
        <v>449463200</v>
      </c>
      <c r="D29"/>
      <c r="G29" s="42"/>
      <c r="H29" s="42"/>
      <c r="I29" s="42">
        <f>H27+H28</f>
        <v>78835</v>
      </c>
      <c r="K29" s="21"/>
      <c r="L29" s="21">
        <v>25140.071999999949</v>
      </c>
      <c r="N29" s="11">
        <f>SUM(N6:N28)</f>
        <v>25140.071999999953</v>
      </c>
    </row>
    <row r="30" spans="2:29" x14ac:dyDescent="0.55000000000000004">
      <c r="G30" s="45" t="s">
        <v>105</v>
      </c>
      <c r="H30" s="42">
        <f>SUM(I20:I29)</f>
        <v>449463</v>
      </c>
      <c r="I30" s="41"/>
    </row>
    <row r="31" spans="2:29" x14ac:dyDescent="0.55000000000000004">
      <c r="B31" s="9" t="s">
        <v>13</v>
      </c>
      <c r="C31" s="4">
        <v>2.8</v>
      </c>
      <c r="G31" s="46"/>
      <c r="H31" s="42"/>
      <c r="I31" s="42"/>
    </row>
    <row r="32" spans="2:29" x14ac:dyDescent="0.55000000000000004">
      <c r="B32" s="1" t="s">
        <v>8</v>
      </c>
      <c r="C32" s="11">
        <f>(C29/1000)*C31</f>
        <v>1258496.96</v>
      </c>
      <c r="D32" s="11"/>
      <c r="G32" s="44">
        <f>I29/I19</f>
        <v>0.17539819740445822</v>
      </c>
      <c r="H32" s="42" t="s">
        <v>104</v>
      </c>
      <c r="I32" s="41"/>
    </row>
    <row r="33" spans="1:9" x14ac:dyDescent="0.55000000000000004">
      <c r="A33" s="48"/>
      <c r="B33" s="48"/>
      <c r="C33" s="48"/>
      <c r="D33" s="48"/>
      <c r="E33" s="48"/>
      <c r="G33" s="44">
        <v>0.15</v>
      </c>
      <c r="H33" s="42" t="s">
        <v>106</v>
      </c>
      <c r="I33" s="42"/>
    </row>
    <row r="34" spans="1:9" x14ac:dyDescent="0.55000000000000004">
      <c r="A34" s="48"/>
      <c r="D34" s="48"/>
      <c r="E34" s="48"/>
      <c r="G34" s="44">
        <f>G32-G33</f>
        <v>2.5398197404458228E-2</v>
      </c>
      <c r="H34" s="42" t="s">
        <v>107</v>
      </c>
    </row>
    <row r="35" spans="1:9" ht="15.3" x14ac:dyDescent="0.55000000000000004">
      <c r="A35" s="48"/>
      <c r="B35" s="48"/>
      <c r="C35" s="48"/>
      <c r="D35" s="48"/>
      <c r="E35" s="48"/>
      <c r="F35"/>
      <c r="G35" s="41"/>
      <c r="H35" s="40"/>
    </row>
    <row r="36" spans="1:9" ht="15.3" x14ac:dyDescent="0.55000000000000004">
      <c r="A36" s="48"/>
      <c r="B36" s="48"/>
      <c r="C36" s="48"/>
      <c r="D36" s="48"/>
      <c r="E36" s="48"/>
      <c r="F36"/>
      <c r="H36" s="25" t="s">
        <v>112</v>
      </c>
      <c r="I36" s="3">
        <f>C32*-G34</f>
        <v>-31963.55422299057</v>
      </c>
    </row>
    <row r="37" spans="1:9" ht="15.3" x14ac:dyDescent="0.55000000000000004">
      <c r="A37" s="48"/>
      <c r="B37" s="48"/>
      <c r="C37" s="48"/>
      <c r="D37" s="48"/>
      <c r="E37" s="48"/>
      <c r="F37"/>
      <c r="H37" s="25" t="s">
        <v>113</v>
      </c>
      <c r="I37" s="50">
        <f>50456*-G34</f>
        <v>-1281.4914482393444</v>
      </c>
    </row>
    <row r="38" spans="1:9" ht="15.3" x14ac:dyDescent="0.55000000000000004">
      <c r="A38" s="48"/>
      <c r="B38" s="48"/>
      <c r="C38" s="48"/>
      <c r="D38" s="48"/>
      <c r="E38" s="48"/>
      <c r="F38"/>
    </row>
    <row r="39" spans="1:9" ht="15.3" x14ac:dyDescent="0.55000000000000004">
      <c r="A39" s="48"/>
      <c r="B39" s="48"/>
      <c r="C39" s="48"/>
      <c r="D39" s="48"/>
      <c r="E39" s="48"/>
      <c r="F39"/>
    </row>
    <row r="40" spans="1:9" ht="15.3" x14ac:dyDescent="0.55000000000000004">
      <c r="A40" s="48"/>
      <c r="B40" s="48"/>
      <c r="C40" s="48"/>
      <c r="D40" s="48"/>
      <c r="E40" s="48"/>
      <c r="F40"/>
    </row>
    <row r="41" spans="1:9" ht="15.3" x14ac:dyDescent="0.55000000000000004">
      <c r="A41" s="48"/>
      <c r="B41" s="48"/>
      <c r="C41" s="48"/>
      <c r="D41" s="48"/>
      <c r="E41" s="48"/>
      <c r="F41"/>
    </row>
    <row r="42" spans="1:9" ht="15.3" x14ac:dyDescent="0.55000000000000004">
      <c r="A42" s="48"/>
      <c r="B42" s="48"/>
      <c r="C42" s="48"/>
      <c r="D42" s="48"/>
      <c r="E42" s="48"/>
      <c r="F42"/>
    </row>
    <row r="43" spans="1:9" ht="15.3" x14ac:dyDescent="0.55000000000000004">
      <c r="A43" s="48"/>
      <c r="B43" s="48"/>
      <c r="C43" s="48"/>
      <c r="D43" s="48"/>
      <c r="E43" s="48"/>
      <c r="F43"/>
    </row>
    <row r="44" spans="1:9" ht="15.3" x14ac:dyDescent="0.55000000000000004">
      <c r="A44" s="48"/>
      <c r="D44" s="48"/>
      <c r="E44" s="48"/>
      <c r="F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AlanV</cp:lastModifiedBy>
  <cp:lastPrinted>2020-06-18T16:04:17Z</cp:lastPrinted>
  <dcterms:created xsi:type="dcterms:W3CDTF">2016-05-18T14:12:06Z</dcterms:created>
  <dcterms:modified xsi:type="dcterms:W3CDTF">2020-10-06T20:16:58Z</dcterms:modified>
</cp:coreProperties>
</file>