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279416\Documents\"/>
    </mc:Choice>
  </mc:AlternateContent>
  <bookViews>
    <workbookView xWindow="0" yWindow="0" windowWidth="28800" windowHeight="12900"/>
  </bookViews>
  <sheets>
    <sheet name="Test Year Pension Expense" sheetId="1" r:id="rId1"/>
    <sheet name="Reconciliation to W21" sheetId="2" r:id="rId2"/>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calcMode="manual"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2" l="1"/>
  <c r="A13" i="2" s="1"/>
  <c r="A14" i="2" s="1"/>
  <c r="A15" i="2" s="1"/>
  <c r="A16" i="2" s="1"/>
  <c r="A17" i="2" s="1"/>
  <c r="A18" i="2" s="1"/>
  <c r="A19" i="2" s="1"/>
  <c r="A20" i="2" s="1"/>
  <c r="A21" i="2" s="1"/>
  <c r="A22" i="2" s="1"/>
  <c r="A9" i="2"/>
  <c r="A10" i="2" s="1"/>
  <c r="A11" i="2" s="1"/>
  <c r="H18" i="2"/>
  <c r="H14" i="2"/>
  <c r="H16" i="2" s="1"/>
  <c r="E14" i="2"/>
  <c r="E16" i="2" s="1"/>
  <c r="F14" i="2"/>
  <c r="F16" i="2" s="1"/>
  <c r="D14" i="2"/>
  <c r="D16" i="2" s="1"/>
  <c r="D20" i="2" s="1"/>
  <c r="D12" i="2"/>
  <c r="F12" i="2"/>
  <c r="E12" i="2"/>
  <c r="F10" i="2"/>
  <c r="E10" i="2"/>
  <c r="D10" i="2"/>
  <c r="H9" i="2"/>
  <c r="H8" i="2"/>
  <c r="H12" i="2" s="1"/>
  <c r="D13" i="1"/>
  <c r="A8" i="1"/>
  <c r="A9" i="1" s="1"/>
  <c r="A10" i="1" s="1"/>
  <c r="A11" i="1" s="1"/>
  <c r="A12" i="1" s="1"/>
  <c r="A13" i="1" s="1"/>
  <c r="A14" i="1" s="1"/>
  <c r="A15" i="1" s="1"/>
  <c r="A16" i="1" s="1"/>
  <c r="A17" i="1" s="1"/>
  <c r="A18" i="1" s="1"/>
  <c r="F13" i="1"/>
  <c r="E13" i="1"/>
  <c r="F11" i="1"/>
  <c r="E11" i="1"/>
  <c r="D11" i="1"/>
  <c r="H10" i="1"/>
  <c r="H9" i="1"/>
  <c r="H8" i="1"/>
  <c r="H7" i="1"/>
  <c r="H11" i="1" s="1"/>
  <c r="D22" i="2" l="1"/>
  <c r="F20" i="2"/>
  <c r="F22" i="2" s="1"/>
  <c r="E20" i="2"/>
  <c r="E22" i="2" s="1"/>
  <c r="H10" i="2"/>
  <c r="H13" i="1"/>
  <c r="H20" i="2" l="1"/>
  <c r="H22" i="2"/>
  <c r="H15" i="1"/>
</calcChain>
</file>

<file path=xl/sharedStrings.xml><?xml version="1.0" encoding="utf-8"?>
<sst xmlns="http://schemas.openxmlformats.org/spreadsheetml/2006/main" count="82" uniqueCount="57">
  <si>
    <t>110 -  Dist</t>
  </si>
  <si>
    <t>117 - Gen</t>
  </si>
  <si>
    <t>180  - Tran</t>
  </si>
  <si>
    <t>Total</t>
  </si>
  <si>
    <t>KPCO_R_KPSC_3_1_Attachment10_WhitneyWP1, Tab W21_PG_1_of_2</t>
  </si>
  <si>
    <t>KPCo O&amp;M%</t>
  </si>
  <si>
    <t>Application, Section V, Exhibit 2, Adjustment W21 on Page 22 of 66, Line 5</t>
  </si>
  <si>
    <t>KY Jurisdictional Factor - OML</t>
  </si>
  <si>
    <t>Application, Section V, Exhibit 2, Adjustment W21 on Page 22 of 66, Line 19</t>
  </si>
  <si>
    <t>Application, Section V, Exhibit 2, Adjustment W21 on Page 22 of 66, Line 6</t>
  </si>
  <si>
    <t>Application, Section V, Exhibit 2, Adjustment W21 on Page 22 of 66, Line 17</t>
  </si>
  <si>
    <t>Application, Section V, Exhibit 2, Adjustment W21 on Page 22 of 66, Line 18</t>
  </si>
  <si>
    <t>Line No.</t>
  </si>
  <si>
    <t>A</t>
  </si>
  <si>
    <t>B</t>
  </si>
  <si>
    <t>D</t>
  </si>
  <si>
    <t>Description</t>
  </si>
  <si>
    <t>C</t>
  </si>
  <si>
    <t>F</t>
  </si>
  <si>
    <t>((A+C) x F) + B + D = G</t>
  </si>
  <si>
    <t>A + B + C + D = E</t>
  </si>
  <si>
    <t>Reference</t>
  </si>
  <si>
    <t>Note:</t>
  </si>
  <si>
    <t>Note</t>
  </si>
  <si>
    <t>A + B = C</t>
  </si>
  <si>
    <t>(A x D) + B = E</t>
  </si>
  <si>
    <t>E + F = G</t>
  </si>
  <si>
    <t>H</t>
  </si>
  <si>
    <t>G - H = I</t>
  </si>
  <si>
    <t>J</t>
  </si>
  <si>
    <t>I x J = K</t>
  </si>
  <si>
    <t>Application, Section V, Exhibit 2, Adjustment W21 on Page 22 of 66, Line 20</t>
  </si>
  <si>
    <t>Test Year Pension Expense Tab</t>
  </si>
  <si>
    <t>2020 Expected OPEB Expense/(Benefit) (Actuarial Estimates)</t>
  </si>
  <si>
    <r>
      <t xml:space="preserve">As described in the Direct Testimony of Company Witness Whitney, the company made </t>
    </r>
    <r>
      <rPr>
        <u/>
        <sz val="11"/>
        <color theme="1"/>
        <rFont val="Calibri"/>
        <family val="2"/>
        <scheme val="minor"/>
      </rPr>
      <t>one</t>
    </r>
    <r>
      <rPr>
        <sz val="11"/>
        <color theme="1"/>
        <rFont val="Calibri"/>
        <family val="2"/>
        <scheme val="minor"/>
      </rPr>
      <t xml:space="preserve"> cost of service adjustment (Section V, Exhibit 2 W21), "for known changes from test year pension and OPEB costs related to both active and inactive Company employees. This adjustment is based on 2020 forecasts, as provided by the Company’s actuaries, Willis, Towers and Watson, less actual costs for the test year ended March 31, 2020. After applying corresponding O&amp;M and retail allocation factors, the retail jurisdictional share of the cost of service decrease for pension and OPEB expense is $(8,840)."  See "Reconciliation to W21" tab for a reconciliation that ties the test year Cash Balance Formula Pension Expense shown above into the Company's cost of service adjustment at Section V, Exhibit 2 W21, which included both pension and OPEB expense/(benefit) for the test year ended March 31, 2020.</t>
    </r>
  </si>
  <si>
    <t>Commission Staff's Post Hearing Data Requests</t>
  </si>
  <si>
    <t>Reconciliation to Section V, Exhibit 2 W21</t>
  </si>
  <si>
    <t>2020 Expected - Account 9260003 (Pension Plan - Service)</t>
  </si>
  <si>
    <t>2020 Expected - Account 9260062 (Pension Plan - Non-Service)</t>
  </si>
  <si>
    <t>2020 Expected - Account 9260037 (Supplemental Pension - Service)</t>
  </si>
  <si>
    <t>2020 Expected - Account 9260042 (SERP Pension - Non-Service)</t>
  </si>
  <si>
    <t>G x H = I</t>
  </si>
  <si>
    <t>Item No. 3b</t>
  </si>
  <si>
    <t>Attachment 2</t>
  </si>
  <si>
    <t>2020 Expected - Account 9260021  (Postretirement Benefits - OPEB)</t>
  </si>
  <si>
    <t>2020 Expected - Account 9260043 (OPEB- Non-Service)</t>
  </si>
  <si>
    <t>2020 Expected OPEB Cost/(Benefit) (Actuarial Estimates)</t>
  </si>
  <si>
    <t>2020 Expected Cash Balance Formula Pension Cost (Actuarial Estimates)</t>
  </si>
  <si>
    <t>2020 Expected Cash Balance Formula Pension Expense (Actuarial Estimates)</t>
  </si>
  <si>
    <t xml:space="preserve">Kentucky Jurisdictional Amount - Cash Balance Formula Pension Expense </t>
  </si>
  <si>
    <t>Cash Balance Formula Pension Expense 
Test Year Ended 3/31/2020</t>
  </si>
  <si>
    <t>Reconciliation - Cash Balance Formula Pension &amp; OPEB Expense/(Benefit)
Test Year Ended 3/31/2020</t>
  </si>
  <si>
    <t xml:space="preserve">2020 Expected Cash Balance Formula Pension and OPEB Expense/(Benefit) </t>
  </si>
  <si>
    <t>Test Year Per Books Cash Balance Formula Pension and OPEB Expense/(Benefit)</t>
  </si>
  <si>
    <t>Total Company Adjustment to Cash Balance Formula Pension and OPEB Expense</t>
  </si>
  <si>
    <t>Kentucky Jurisdictional Adjustment to Cash Balance Formula Pension and OPEB Expense/(Benefit)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</si>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</sst>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00"/>
  </numFmts>
  <fonts count="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0"/>
      <color rgb="FFFF0000"/>
      <name val="Calibri"/>
      <family val="2"/>
      <scheme val="minor"/>
    </font>
    <font>
      <u/>
      <sz val="11"/>
      <color theme="1"/>
      <name val="Calibri"/>
      <family val="2"/>
      <scheme val="minor"/>
    </font>
    <font>
      <b/>
      <sz val="11"/>
      <color rgb="FFFF0000"/>
      <name val="Calibri"/>
      <family val="2"/>
      <scheme val="minor"/>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5">
    <xf numFmtId="0" fontId="0" fillId="0" borderId="0" xfId="0"/>
    <xf numFmtId="43" fontId="0" fillId="0" borderId="0" xfId="0" applyNumberFormat="1"/>
    <xf numFmtId="10" fontId="0" fillId="0" borderId="0" xfId="2" applyNumberFormat="1" applyFont="1"/>
    <xf numFmtId="0" fontId="3" fillId="0" borderId="0" xfId="0" applyFont="1"/>
    <xf numFmtId="0" fontId="4" fillId="0" borderId="3" xfId="0" applyFont="1" applyBorder="1" applyAlignment="1">
      <alignment horizontal="center" wrapText="1"/>
    </xf>
    <xf numFmtId="0" fontId="2" fillId="0" borderId="3" xfId="0" applyFont="1" applyBorder="1" applyAlignment="1">
      <alignment horizontal="right"/>
    </xf>
    <xf numFmtId="0" fontId="5" fillId="0" borderId="0" xfId="0" applyFont="1" applyAlignment="1">
      <alignment horizontal="center"/>
    </xf>
    <xf numFmtId="164" fontId="0" fillId="0" borderId="0" xfId="1" applyNumberFormat="1" applyFont="1"/>
    <xf numFmtId="164" fontId="0" fillId="0" borderId="0" xfId="0" applyNumberFormat="1"/>
    <xf numFmtId="164" fontId="0" fillId="0" borderId="1" xfId="0" applyNumberFormat="1" applyBorder="1"/>
    <xf numFmtId="164" fontId="3" fillId="0" borderId="1" xfId="0" applyNumberFormat="1" applyFont="1" applyBorder="1"/>
    <xf numFmtId="164" fontId="3" fillId="0" borderId="2" xfId="0" applyNumberFormat="1" applyFont="1" applyBorder="1"/>
    <xf numFmtId="0" fontId="6" fillId="0" borderId="0" xfId="0" applyFont="1" applyAlignment="1">
      <alignment horizontal="right" indent="1"/>
    </xf>
    <xf numFmtId="0" fontId="3" fillId="0" borderId="3" xfId="0" applyFont="1" applyBorder="1" applyAlignment="1">
      <alignment horizontal="center"/>
    </xf>
    <xf numFmtId="0" fontId="3" fillId="0" borderId="3" xfId="0" applyFont="1" applyBorder="1"/>
    <xf numFmtId="0" fontId="5" fillId="0" borderId="0" xfId="0" applyFont="1" applyAlignment="1">
      <alignment horizontal="center" vertical="top"/>
    </xf>
    <xf numFmtId="0" fontId="8" fillId="0" borderId="0" xfId="0" applyFont="1"/>
    <xf numFmtId="0" fontId="8" fillId="0" borderId="0" xfId="0" applyFont="1" applyAlignment="1">
      <alignment horizontal="right" vertical="top"/>
    </xf>
    <xf numFmtId="164" fontId="0" fillId="0" borderId="2" xfId="0" applyNumberFormat="1" applyBorder="1"/>
    <xf numFmtId="164" fontId="0" fillId="0" borderId="1" xfId="0" applyNumberFormat="1" applyFont="1" applyBorder="1"/>
    <xf numFmtId="164" fontId="0" fillId="0" borderId="1" xfId="1" applyNumberFormat="1" applyFont="1" applyBorder="1"/>
    <xf numFmtId="165" fontId="0" fillId="0" borderId="0" xfId="0" applyNumberFormat="1"/>
    <xf numFmtId="0" fontId="3" fillId="0" borderId="3" xfId="0" applyFont="1" applyBorder="1" applyAlignment="1">
      <alignment horizontal="center" wrapText="1"/>
    </xf>
    <xf numFmtId="0" fontId="3" fillId="0" borderId="3" xfId="0" applyFont="1" applyBorder="1" applyAlignment="1">
      <alignment horizontal="center"/>
    </xf>
    <xf numFmtId="0" fontId="0" fillId="0" borderId="0" xfId="0"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tabSelected="1" view="pageLayout" topLeftCell="B1" zoomScaleNormal="100" workbookViewId="0">
      <selection activeCell="A4" sqref="A4"/>
    </sheetView>
  </sheetViews>
  <sheetFormatPr defaultRowHeight="15" x14ac:dyDescent="0.25"/>
  <cols>
    <col min="2" max="2" width="18.85546875" bestFit="1" customWidth="1"/>
    <col min="3" max="3" width="67.85546875" customWidth="1"/>
    <col min="4" max="6" width="14.42578125" customWidth="1"/>
    <col min="7" max="7" width="2.42578125" customWidth="1"/>
    <col min="8" max="8" width="14.42578125" customWidth="1"/>
    <col min="9" max="9" width="68.42578125" bestFit="1" customWidth="1"/>
  </cols>
  <sheetData>
    <row r="1" spans="1:9" x14ac:dyDescent="0.25">
      <c r="A1" s="3" t="s">
        <v>35</v>
      </c>
    </row>
    <row r="2" spans="1:9" x14ac:dyDescent="0.25">
      <c r="A2" s="3" t="s">
        <v>42</v>
      </c>
    </row>
    <row r="3" spans="1:9" x14ac:dyDescent="0.25">
      <c r="A3" s="3" t="s">
        <v>43</v>
      </c>
    </row>
    <row r="4" spans="1:9" x14ac:dyDescent="0.25">
      <c r="A4" s="3" t="s">
        <v>56</v>
      </c>
    </row>
    <row r="5" spans="1:9" ht="30.75" customHeight="1" x14ac:dyDescent="0.25">
      <c r="D5" s="22" t="s">
        <v>50</v>
      </c>
      <c r="E5" s="23"/>
      <c r="F5" s="23"/>
      <c r="G5" s="23"/>
      <c r="H5" s="23"/>
    </row>
    <row r="6" spans="1:9" x14ac:dyDescent="0.25">
      <c r="A6" s="4" t="s">
        <v>12</v>
      </c>
      <c r="B6" s="5"/>
      <c r="C6" s="14" t="s">
        <v>16</v>
      </c>
      <c r="D6" s="13" t="s">
        <v>0</v>
      </c>
      <c r="E6" s="13" t="s">
        <v>1</v>
      </c>
      <c r="F6" s="13" t="s">
        <v>2</v>
      </c>
      <c r="G6" s="13"/>
      <c r="H6" s="13" t="s">
        <v>3</v>
      </c>
      <c r="I6" s="14" t="s">
        <v>21</v>
      </c>
    </row>
    <row r="7" spans="1:9" x14ac:dyDescent="0.25">
      <c r="A7" s="6">
        <v>1</v>
      </c>
      <c r="B7" s="12" t="s">
        <v>13</v>
      </c>
      <c r="C7" t="s">
        <v>37</v>
      </c>
      <c r="D7" s="7">
        <v>1535362</v>
      </c>
      <c r="E7" s="7">
        <v>880508.44</v>
      </c>
      <c r="F7" s="7">
        <v>0</v>
      </c>
      <c r="G7" s="8"/>
      <c r="H7" s="8">
        <f>SUM(D7:F7)</f>
        <v>2415870.44</v>
      </c>
      <c r="I7" t="s">
        <v>4</v>
      </c>
    </row>
    <row r="8" spans="1:9" x14ac:dyDescent="0.25">
      <c r="A8" s="6">
        <f>A7+1</f>
        <v>2</v>
      </c>
      <c r="B8" s="12" t="s">
        <v>14</v>
      </c>
      <c r="C8" t="s">
        <v>38</v>
      </c>
      <c r="D8" s="7">
        <v>462944</v>
      </c>
      <c r="E8" s="7">
        <v>-633605</v>
      </c>
      <c r="F8" s="7">
        <v>96459</v>
      </c>
      <c r="G8" s="8"/>
      <c r="H8" s="8">
        <f>SUM(D8:F8)</f>
        <v>-74202</v>
      </c>
      <c r="I8" t="s">
        <v>4</v>
      </c>
    </row>
    <row r="9" spans="1:9" x14ac:dyDescent="0.25">
      <c r="A9" s="6">
        <f t="shared" ref="A9:A18" si="0">A8+1</f>
        <v>3</v>
      </c>
      <c r="B9" s="12" t="s">
        <v>17</v>
      </c>
      <c r="C9" t="s">
        <v>39</v>
      </c>
      <c r="D9" s="7">
        <v>2880</v>
      </c>
      <c r="E9" s="7">
        <v>256.48</v>
      </c>
      <c r="F9" s="7">
        <v>0</v>
      </c>
      <c r="G9" s="8"/>
      <c r="H9" s="8">
        <f>SUM(D9:F9)</f>
        <v>3136.48</v>
      </c>
      <c r="I9" t="s">
        <v>4</v>
      </c>
    </row>
    <row r="10" spans="1:9" x14ac:dyDescent="0.25">
      <c r="A10" s="6">
        <f t="shared" si="0"/>
        <v>4</v>
      </c>
      <c r="B10" s="12" t="s">
        <v>15</v>
      </c>
      <c r="C10" t="s">
        <v>40</v>
      </c>
      <c r="D10" s="7">
        <v>4093</v>
      </c>
      <c r="E10" s="7">
        <v>166</v>
      </c>
      <c r="F10" s="7">
        <v>0</v>
      </c>
      <c r="G10" s="8"/>
      <c r="H10" s="8">
        <f>SUM(D10:F10)</f>
        <v>4259</v>
      </c>
      <c r="I10" t="s">
        <v>4</v>
      </c>
    </row>
    <row r="11" spans="1:9" x14ac:dyDescent="0.25">
      <c r="A11" s="6">
        <f t="shared" si="0"/>
        <v>5</v>
      </c>
      <c r="B11" s="12" t="s">
        <v>20</v>
      </c>
      <c r="C11" t="s">
        <v>47</v>
      </c>
      <c r="D11" s="9">
        <f>SUM(D7:D10)</f>
        <v>2005279</v>
      </c>
      <c r="E11" s="9">
        <f>SUM(E7:E10)</f>
        <v>247325.91999999995</v>
      </c>
      <c r="F11" s="9">
        <f>SUM(F7:F10)</f>
        <v>96459</v>
      </c>
      <c r="G11" s="8"/>
      <c r="H11" s="9">
        <f>SUM(H7:H10)</f>
        <v>2349063.92</v>
      </c>
    </row>
    <row r="12" spans="1:9" x14ac:dyDescent="0.25">
      <c r="A12" s="6">
        <f t="shared" si="0"/>
        <v>6</v>
      </c>
      <c r="B12" s="12" t="s">
        <v>18</v>
      </c>
      <c r="C12" t="s">
        <v>5</v>
      </c>
      <c r="D12" s="2">
        <v>0.58709999999999996</v>
      </c>
      <c r="E12" s="2">
        <v>0.58709999999999996</v>
      </c>
      <c r="F12" s="2">
        <v>0.58709999999999996</v>
      </c>
      <c r="H12" s="2">
        <v>0.58709999999999996</v>
      </c>
      <c r="I12" t="s">
        <v>6</v>
      </c>
    </row>
    <row r="13" spans="1:9" x14ac:dyDescent="0.25">
      <c r="A13" s="6">
        <f t="shared" si="0"/>
        <v>7</v>
      </c>
      <c r="B13" s="12" t="s">
        <v>19</v>
      </c>
      <c r="C13" s="3" t="s">
        <v>48</v>
      </c>
      <c r="D13" s="9">
        <f>ROUND(((D7+D9)*D12)+D8+D10,0)</f>
        <v>1370139</v>
      </c>
      <c r="E13" s="9">
        <f>ROUND(((E7+E9)*E12)+E8+E10,0)</f>
        <v>-116342</v>
      </c>
      <c r="F13" s="9">
        <f>ROUND(((F7+F9)*F12)+F8+F10,0)</f>
        <v>96459</v>
      </c>
      <c r="G13" s="8"/>
      <c r="H13" s="10">
        <f>ROUND(((H7+H9)*H12)+H8+H10,0)</f>
        <v>1350256</v>
      </c>
    </row>
    <row r="14" spans="1:9" x14ac:dyDescent="0.25">
      <c r="A14" s="6">
        <f t="shared" si="0"/>
        <v>8</v>
      </c>
      <c r="B14" s="12" t="s">
        <v>27</v>
      </c>
      <c r="C14" t="s">
        <v>7</v>
      </c>
      <c r="H14" s="21">
        <v>0.99</v>
      </c>
      <c r="I14" t="s">
        <v>8</v>
      </c>
    </row>
    <row r="15" spans="1:9" ht="15.75" thickBot="1" x14ac:dyDescent="0.3">
      <c r="A15" s="6">
        <f t="shared" si="0"/>
        <v>9</v>
      </c>
      <c r="B15" s="12" t="s">
        <v>41</v>
      </c>
      <c r="C15" s="3" t="s">
        <v>49</v>
      </c>
      <c r="H15" s="11">
        <f>H13*H14</f>
        <v>1336753.44</v>
      </c>
      <c r="I15" s="16" t="s">
        <v>23</v>
      </c>
    </row>
    <row r="16" spans="1:9" ht="15.75" thickTop="1" x14ac:dyDescent="0.25">
      <c r="A16" s="6">
        <f t="shared" si="0"/>
        <v>10</v>
      </c>
    </row>
    <row r="17" spans="1:9" x14ac:dyDescent="0.25">
      <c r="A17" s="6">
        <f t="shared" si="0"/>
        <v>11</v>
      </c>
    </row>
    <row r="18" spans="1:9" ht="78" customHeight="1" x14ac:dyDescent="0.25">
      <c r="A18" s="15">
        <f t="shared" si="0"/>
        <v>12</v>
      </c>
      <c r="B18" s="17" t="s">
        <v>22</v>
      </c>
      <c r="C18" s="24" t="s">
        <v>34</v>
      </c>
      <c r="D18" s="24"/>
      <c r="E18" s="24"/>
      <c r="F18" s="24"/>
      <c r="G18" s="24"/>
      <c r="H18" s="24"/>
      <c r="I18" s="24"/>
    </row>
  </sheetData>
  <mergeCells count="2">
    <mergeCell ref="D5:H5"/>
    <mergeCell ref="C18:I18"/>
  </mergeCells>
  <pageMargins left="0.7" right="0.7" top="0.75" bottom="0.75" header="0.3" footer="0.3"/>
  <pageSetup scale="54" orientation="landscape" horizontalDpi="90" verticalDpi="90" r:id="rId1"/>
  <headerFooter>
    <oddHeader xml:space="preserve">&amp;RKPCO R KPSC PH 3 Attachment 2
Commission Staff's Post Hearing Data Requests
Item No. 3b
Attachment 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zoomScaleNormal="100" workbookViewId="0">
      <selection activeCell="F27" sqref="F27"/>
    </sheetView>
  </sheetViews>
  <sheetFormatPr defaultRowHeight="15" x14ac:dyDescent="0.25"/>
  <cols>
    <col min="2" max="2" width="12.7109375" bestFit="1" customWidth="1"/>
    <col min="3" max="3" width="86.7109375" customWidth="1"/>
    <col min="4" max="6" width="16.7109375" customWidth="1"/>
    <col min="7" max="7" width="2.7109375" customWidth="1"/>
    <col min="8" max="8" width="16.7109375" customWidth="1"/>
    <col min="9" max="9" width="68.42578125" bestFit="1" customWidth="1"/>
  </cols>
  <sheetData>
    <row r="1" spans="1:9" x14ac:dyDescent="0.25">
      <c r="A1" s="3" t="s">
        <v>35</v>
      </c>
    </row>
    <row r="2" spans="1:9" x14ac:dyDescent="0.25">
      <c r="A2" s="3" t="s">
        <v>42</v>
      </c>
    </row>
    <row r="3" spans="1:9" x14ac:dyDescent="0.25">
      <c r="A3" s="3" t="s">
        <v>43</v>
      </c>
    </row>
    <row r="4" spans="1:9" x14ac:dyDescent="0.25">
      <c r="A4" s="3" t="s">
        <v>36</v>
      </c>
    </row>
    <row r="6" spans="1:9" ht="31.5" customHeight="1" x14ac:dyDescent="0.25">
      <c r="D6" s="22" t="s">
        <v>51</v>
      </c>
      <c r="E6" s="23"/>
      <c r="F6" s="23"/>
      <c r="G6" s="23"/>
      <c r="H6" s="23"/>
    </row>
    <row r="7" spans="1:9" x14ac:dyDescent="0.25">
      <c r="A7" s="4" t="s">
        <v>12</v>
      </c>
      <c r="B7" s="5"/>
      <c r="C7" s="14" t="s">
        <v>16</v>
      </c>
      <c r="D7" s="13" t="s">
        <v>0</v>
      </c>
      <c r="E7" s="13" t="s">
        <v>1</v>
      </c>
      <c r="F7" s="13" t="s">
        <v>2</v>
      </c>
      <c r="G7" s="13"/>
      <c r="H7" s="13" t="s">
        <v>3</v>
      </c>
      <c r="I7" s="14" t="s">
        <v>21</v>
      </c>
    </row>
    <row r="8" spans="1:9" x14ac:dyDescent="0.25">
      <c r="A8" s="6">
        <v>1</v>
      </c>
      <c r="B8" s="12" t="s">
        <v>13</v>
      </c>
      <c r="C8" t="s">
        <v>44</v>
      </c>
      <c r="D8" s="7">
        <v>120885</v>
      </c>
      <c r="E8" s="7">
        <v>99059.96</v>
      </c>
      <c r="F8" s="7">
        <v>0</v>
      </c>
      <c r="G8" s="8"/>
      <c r="H8" s="8">
        <f>SUM(D8:F8)</f>
        <v>219944.96000000002</v>
      </c>
      <c r="I8" t="s">
        <v>4</v>
      </c>
    </row>
    <row r="9" spans="1:9" x14ac:dyDescent="0.25">
      <c r="A9" s="6">
        <f>A8+1</f>
        <v>2</v>
      </c>
      <c r="B9" s="12" t="s">
        <v>14</v>
      </c>
      <c r="C9" t="s">
        <v>45</v>
      </c>
      <c r="D9" s="7">
        <v>-2018769</v>
      </c>
      <c r="E9" s="7">
        <v>-1733408.96</v>
      </c>
      <c r="F9" s="7">
        <v>-233433</v>
      </c>
      <c r="G9" s="8"/>
      <c r="H9" s="8">
        <f>SUM(D9:F9)</f>
        <v>-3985610.96</v>
      </c>
      <c r="I9" t="s">
        <v>4</v>
      </c>
    </row>
    <row r="10" spans="1:9" x14ac:dyDescent="0.25">
      <c r="A10" s="6">
        <f t="shared" ref="A10:A22" si="0">A9+1</f>
        <v>3</v>
      </c>
      <c r="B10" s="12" t="s">
        <v>24</v>
      </c>
      <c r="C10" t="s">
        <v>46</v>
      </c>
      <c r="D10" s="9">
        <f>SUM(D8:D9)</f>
        <v>-1897884</v>
      </c>
      <c r="E10" s="9">
        <f>SUM(E8:E9)</f>
        <v>-1634349</v>
      </c>
      <c r="F10" s="9">
        <f>SUM(F8:F9)</f>
        <v>-233433</v>
      </c>
      <c r="G10" s="8"/>
      <c r="H10" s="9">
        <f>SUM(H8:H9)</f>
        <v>-3765666</v>
      </c>
    </row>
    <row r="11" spans="1:9" x14ac:dyDescent="0.25">
      <c r="A11" s="6">
        <f t="shared" si="0"/>
        <v>4</v>
      </c>
      <c r="B11" s="12" t="s">
        <v>15</v>
      </c>
      <c r="C11" t="s">
        <v>5</v>
      </c>
      <c r="D11" s="2">
        <v>0.58709999999999996</v>
      </c>
      <c r="E11" s="2">
        <v>0.58709999999999996</v>
      </c>
      <c r="F11" s="2">
        <v>0.58709999999999996</v>
      </c>
      <c r="H11" s="2">
        <v>0.58709999999999996</v>
      </c>
      <c r="I11" t="s">
        <v>6</v>
      </c>
    </row>
    <row r="12" spans="1:9" x14ac:dyDescent="0.25">
      <c r="A12" s="6">
        <f t="shared" si="0"/>
        <v>5</v>
      </c>
      <c r="B12" s="12" t="s">
        <v>25</v>
      </c>
      <c r="C12" s="3" t="s">
        <v>33</v>
      </c>
      <c r="D12" s="9">
        <f>ROUND((D8*D11)+D9,0)-1</f>
        <v>-1947798</v>
      </c>
      <c r="E12" s="9">
        <f>ROUND((E8*E11)+E9,0)</f>
        <v>-1675251</v>
      </c>
      <c r="F12" s="9">
        <f>ROUND((F8*F11)+F9,0)</f>
        <v>-233433</v>
      </c>
      <c r="G12" s="8"/>
      <c r="H12" s="19">
        <f>ROUND((H8*H11)+H9,0)</f>
        <v>-3856481</v>
      </c>
    </row>
    <row r="13" spans="1:9" x14ac:dyDescent="0.25">
      <c r="A13" s="6">
        <f t="shared" si="0"/>
        <v>6</v>
      </c>
      <c r="B13" s="12"/>
    </row>
    <row r="14" spans="1:9" x14ac:dyDescent="0.25">
      <c r="A14" s="6">
        <f t="shared" si="0"/>
        <v>7</v>
      </c>
      <c r="B14" s="12" t="s">
        <v>18</v>
      </c>
      <c r="C14" s="3" t="s">
        <v>48</v>
      </c>
      <c r="D14" s="20">
        <f>'Test Year Pension Expense'!D13</f>
        <v>1370139</v>
      </c>
      <c r="E14" s="20">
        <f>'Test Year Pension Expense'!E13</f>
        <v>-116342</v>
      </c>
      <c r="F14" s="20">
        <f>'Test Year Pension Expense'!F13</f>
        <v>96459</v>
      </c>
      <c r="G14" s="7"/>
      <c r="H14" s="20">
        <f>'Test Year Pension Expense'!H13</f>
        <v>1350256</v>
      </c>
      <c r="I14" t="s">
        <v>32</v>
      </c>
    </row>
    <row r="15" spans="1:9" x14ac:dyDescent="0.25">
      <c r="A15" s="6">
        <f t="shared" si="0"/>
        <v>8</v>
      </c>
      <c r="B15" s="12"/>
    </row>
    <row r="16" spans="1:9" x14ac:dyDescent="0.25">
      <c r="A16" s="6">
        <f t="shared" si="0"/>
        <v>9</v>
      </c>
      <c r="B16" s="12" t="s">
        <v>26</v>
      </c>
      <c r="C16" s="3" t="s">
        <v>52</v>
      </c>
      <c r="D16" s="9">
        <f>D12+D14</f>
        <v>-577659</v>
      </c>
      <c r="E16" s="9">
        <f>E12+E14</f>
        <v>-1791593</v>
      </c>
      <c r="F16" s="9">
        <f>F12+F14</f>
        <v>-136974</v>
      </c>
      <c r="G16" s="8"/>
      <c r="H16" s="9">
        <f>H12+H14</f>
        <v>-2506225</v>
      </c>
      <c r="I16" t="s">
        <v>9</v>
      </c>
    </row>
    <row r="17" spans="1:9" x14ac:dyDescent="0.25">
      <c r="A17" s="6">
        <f t="shared" si="0"/>
        <v>10</v>
      </c>
    </row>
    <row r="18" spans="1:9" x14ac:dyDescent="0.25">
      <c r="A18" s="6">
        <f t="shared" si="0"/>
        <v>11</v>
      </c>
      <c r="B18" s="12" t="s">
        <v>27</v>
      </c>
      <c r="C18" s="3" t="s">
        <v>53</v>
      </c>
      <c r="D18" s="20">
        <v>-1019709.725</v>
      </c>
      <c r="E18" s="20">
        <v>-1345640.5725000002</v>
      </c>
      <c r="F18" s="20">
        <v>-131945.97750000001</v>
      </c>
      <c r="G18" s="7"/>
      <c r="H18" s="20">
        <f>SUM(D18:F18)</f>
        <v>-2497296.2750000004</v>
      </c>
      <c r="I18" t="s">
        <v>10</v>
      </c>
    </row>
    <row r="19" spans="1:9" x14ac:dyDescent="0.25">
      <c r="A19" s="6">
        <f t="shared" si="0"/>
        <v>12</v>
      </c>
    </row>
    <row r="20" spans="1:9" x14ac:dyDescent="0.25">
      <c r="A20" s="6">
        <f t="shared" si="0"/>
        <v>13</v>
      </c>
      <c r="B20" s="12" t="s">
        <v>28</v>
      </c>
      <c r="C20" s="3" t="s">
        <v>54</v>
      </c>
      <c r="D20" s="9">
        <f>D16-D18</f>
        <v>442050.72499999998</v>
      </c>
      <c r="E20" s="9">
        <f>E16-E18</f>
        <v>-445952.42749999976</v>
      </c>
      <c r="F20" s="9">
        <f>F16-F18</f>
        <v>-5028.0224999999919</v>
      </c>
      <c r="G20" s="1"/>
      <c r="H20" s="9">
        <f>ROUND(D20+E20+F20,0)</f>
        <v>-8930</v>
      </c>
      <c r="I20" t="s">
        <v>11</v>
      </c>
    </row>
    <row r="21" spans="1:9" x14ac:dyDescent="0.25">
      <c r="A21" s="6">
        <f t="shared" si="0"/>
        <v>14</v>
      </c>
      <c r="B21" s="12" t="s">
        <v>29</v>
      </c>
      <c r="C21" t="s">
        <v>7</v>
      </c>
      <c r="D21" s="21">
        <v>0.99</v>
      </c>
      <c r="E21" s="21">
        <v>0.99</v>
      </c>
      <c r="F21" s="21">
        <v>0.99</v>
      </c>
      <c r="G21" s="21"/>
      <c r="H21" s="21">
        <v>0.99</v>
      </c>
      <c r="I21" t="s">
        <v>8</v>
      </c>
    </row>
    <row r="22" spans="1:9" ht="15.75" thickBot="1" x14ac:dyDescent="0.3">
      <c r="A22" s="6">
        <f t="shared" si="0"/>
        <v>15</v>
      </c>
      <c r="B22" s="12" t="s">
        <v>30</v>
      </c>
      <c r="C22" s="3" t="s">
        <v>55</v>
      </c>
      <c r="D22" s="18">
        <f>D20*D21</f>
        <v>437630.21774999995</v>
      </c>
      <c r="E22" s="18">
        <f>E20*E21</f>
        <v>-441492.90322499978</v>
      </c>
      <c r="F22" s="18">
        <f>F20*F21</f>
        <v>-4977.7422749999923</v>
      </c>
      <c r="G22" s="8"/>
      <c r="H22" s="11">
        <f>ROUND(D22+E22+F22,0)</f>
        <v>-8840</v>
      </c>
      <c r="I22" t="s">
        <v>31</v>
      </c>
    </row>
    <row r="23" spans="1:9" ht="15.75" thickTop="1" x14ac:dyDescent="0.25"/>
    <row r="27" spans="1:9" x14ac:dyDescent="0.25">
      <c r="H27" s="1"/>
    </row>
    <row r="28" spans="1:9" x14ac:dyDescent="0.25">
      <c r="H28" s="1"/>
    </row>
    <row r="29" spans="1:9" x14ac:dyDescent="0.25">
      <c r="H29" s="1"/>
    </row>
  </sheetData>
  <mergeCells count="1">
    <mergeCell ref="D6:H6"/>
  </mergeCells>
  <pageMargins left="0.7" right="0.7" top="0.75" bottom="0.75" header="0.3" footer="0.3"/>
  <pageSetup scale="49" orientation="landscape"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Test Year Pension Expense</vt:lpstr>
      <vt:lpstr>Reconciliation to W21</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s213167</dc:creator>
  <cp:lastModifiedBy>s279416</cp:lastModifiedBy>
  <cp:lastPrinted>2020-12-04T11:18:51Z</cp:lastPrinted>
  <dcterms:created xsi:type="dcterms:W3CDTF">2020-12-04T10:20:58Z</dcterms:created>
  <dcterms:modified xsi:type="dcterms:W3CDTF">2020-12-04T18:37:38Z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{3FA0B0E7-2B79-4593-8D1C-6E28D9DF6DC7}</vt:lpwstr>
  </property>
</Properties>
</file>