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ternal\01_Regulatory Services\02_Cases\2020 Cases\01 2020-00174 Base Rate Case\14_All Filed Testimony\Testimony - Rebuttal\For Filing\By Witness\Vaughan\"/>
    </mc:Choice>
  </mc:AlternateContent>
  <bookViews>
    <workbookView xWindow="480" yWindow="132" windowWidth="18192" windowHeight="11760"/>
  </bookViews>
  <sheets>
    <sheet name="Adjustment" sheetId="4" r:id="rId1"/>
    <sheet name="ADJ-Calc" sheetId="1" r:id="rId2"/>
    <sheet name="2021 Rates" sheetId="3" r:id="rId3"/>
  </sheets>
  <definedNames>
    <definedName name="_xlnm.Print_Area" localSheetId="2">'2021 Rates'!$A$1:$I$21</definedName>
    <definedName name="_xlnm.Print_Area" localSheetId="0">Adjustment!$A$1:$M$30</definedName>
  </definedNames>
  <calcPr calcId="162913" calcMode="manual"/>
</workbook>
</file>

<file path=xl/calcChain.xml><?xml version="1.0" encoding="utf-8"?>
<calcChain xmlns="http://schemas.openxmlformats.org/spreadsheetml/2006/main">
  <c r="G9" i="1" l="1"/>
  <c r="G7" i="1"/>
  <c r="C17" i="3"/>
  <c r="I17" i="3" l="1"/>
  <c r="H15" i="1" l="1"/>
  <c r="C21" i="1" l="1"/>
  <c r="C23" i="1" s="1"/>
  <c r="C25" i="1"/>
  <c r="D7" i="1" l="1"/>
  <c r="D8" i="1" l="1"/>
  <c r="G8" i="1" s="1"/>
  <c r="H16" i="1" l="1"/>
  <c r="C12" i="1"/>
  <c r="C22" i="1"/>
  <c r="C19" i="1"/>
  <c r="C19" i="3"/>
  <c r="C18" i="3"/>
  <c r="C16" i="3"/>
  <c r="C15" i="3"/>
  <c r="C14" i="3"/>
  <c r="H8" i="3"/>
  <c r="H11" i="3" s="1"/>
  <c r="H17" i="3" s="1"/>
  <c r="B8" i="3"/>
  <c r="C6" i="3" s="1"/>
  <c r="H10" i="3" s="1"/>
  <c r="D14" i="1" s="1"/>
  <c r="G14" i="1" s="1"/>
  <c r="H11" i="1" l="1"/>
  <c r="H9" i="1"/>
  <c r="H18" i="1"/>
  <c r="H17" i="1"/>
  <c r="H10" i="1"/>
  <c r="D23" i="1"/>
  <c r="C7" i="3"/>
  <c r="D25" i="1" l="1"/>
  <c r="D9" i="1" s="1"/>
  <c r="G25" i="1"/>
  <c r="D17" i="1"/>
  <c r="G17" i="1" s="1"/>
  <c r="H19" i="3"/>
  <c r="H15" i="3"/>
  <c r="H18" i="3"/>
  <c r="H16" i="3"/>
  <c r="H14" i="3"/>
  <c r="D16" i="1" l="1"/>
  <c r="G16" i="1" s="1"/>
  <c r="D10" i="1"/>
  <c r="G10" i="1" s="1"/>
  <c r="D11" i="1"/>
  <c r="G11" i="1" s="1"/>
  <c r="D15" i="1"/>
  <c r="G15" i="1" s="1"/>
  <c r="G21" i="1" s="1"/>
  <c r="D18" i="1"/>
  <c r="G18" i="1" s="1"/>
  <c r="H21" i="3"/>
  <c r="D12" i="1" l="1"/>
  <c r="D22" i="1"/>
  <c r="D21" i="1"/>
  <c r="D19" i="1"/>
  <c r="E17" i="4"/>
  <c r="I17" i="4" s="1"/>
  <c r="E15" i="4"/>
  <c r="I15" i="4" s="1"/>
  <c r="G22" i="1"/>
  <c r="E18" i="4"/>
  <c r="I18" i="4" s="1"/>
  <c r="E12" i="4"/>
  <c r="I12" i="4" s="1"/>
  <c r="E14" i="4"/>
  <c r="I14" i="4" s="1"/>
  <c r="E19" i="4"/>
  <c r="I19" i="4" s="1"/>
  <c r="E13" i="4"/>
  <c r="I13" i="4" s="1"/>
  <c r="E20" i="4" l="1"/>
  <c r="I20" i="4" s="1"/>
  <c r="E11" i="4" l="1"/>
  <c r="I11" i="4" s="1"/>
  <c r="G12" i="1"/>
  <c r="G19" i="1"/>
  <c r="E16" i="4"/>
  <c r="I16" i="4" s="1"/>
  <c r="I21" i="4" s="1"/>
  <c r="I24" i="4" s="1"/>
  <c r="G23" i="1" l="1"/>
  <c r="I22" i="4" l="1"/>
</calcChain>
</file>

<file path=xl/sharedStrings.xml><?xml version="1.0" encoding="utf-8"?>
<sst xmlns="http://schemas.openxmlformats.org/spreadsheetml/2006/main" count="105" uniqueCount="75">
  <si>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</si>
  <si>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</si>
  <si>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</si>
  <si>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</si>
  <si>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</si>
  <si>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</si>
  <si>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Test Year</t>
  </si>
  <si>
    <t>subtotal 456</t>
  </si>
  <si>
    <t>sub total 565</t>
  </si>
  <si>
    <t xml:space="preserve"> </t>
  </si>
  <si>
    <t>Total LSE OATT Expense Retail Demand</t>
  </si>
  <si>
    <t>Total LSE OATT Expense Retail Energy</t>
  </si>
  <si>
    <t>Total LSE OATT Expense</t>
  </si>
  <si>
    <t>NSPL</t>
  </si>
  <si>
    <t>MW</t>
  </si>
  <si>
    <t>AEP (Including CRES)</t>
  </si>
  <si>
    <t>Non-Affiliate</t>
  </si>
  <si>
    <t>12CP</t>
  </si>
  <si>
    <t>%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</si>
  <si>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</si>
  <si>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</si>
  <si>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</si>
  <si>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</si>
  <si>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</si>
  <si>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</si>
  <si>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</si>
  <si>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Kentucky Power Company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</si>
  <si>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</si>
  <si>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</si>
  <si>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</si>
  <si>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</si>
  <si>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</si>
  <si>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</si>
  <si>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Specific</t>
  </si>
  <si>
    <t>Reduce Other Operating Revenues</t>
  </si>
  <si>
    <t>Increase Other Operating Revenues</t>
  </si>
  <si>
    <t>Increase Transmission Expense</t>
  </si>
  <si>
    <t>Net Increase in LSE OATT Expense</t>
  </si>
  <si>
    <t>LSE OATT CHARGE ACCOUNTS</t>
  </si>
  <si>
    <t>increase 565 expense</t>
  </si>
  <si>
    <t>decrease 456 revenue</t>
  </si>
  <si>
    <t>NITS Expense</t>
  </si>
  <si>
    <t>OpCo ATRR</t>
  </si>
  <si>
    <t>Transco ATRR</t>
  </si>
  <si>
    <t>Schedule 12 Expense (RTEP)</t>
  </si>
  <si>
    <t>Total Zonal ATRR</t>
  </si>
  <si>
    <t>Allocated to AEP %</t>
  </si>
  <si>
    <t>Allocated to AEP $</t>
  </si>
  <si>
    <t>Allocated to APCo</t>
  </si>
  <si>
    <t>Allocated to OPCo</t>
  </si>
  <si>
    <t>Allocated to I&amp;M</t>
  </si>
  <si>
    <t xml:space="preserve">Allocated to KPCo </t>
  </si>
  <si>
    <t xml:space="preserve">Allocated to WPCo </t>
  </si>
  <si>
    <t xml:space="preserve">Allocated to KGPCo </t>
  </si>
  <si>
    <t>AEP Zone Allocation</t>
  </si>
  <si>
    <t>AEP LSE Allocation</t>
  </si>
  <si>
    <t>Total Check</t>
  </si>
  <si>
    <t>PJM NITS Expense - Non-Affiliated</t>
  </si>
  <si>
    <t>PJM TO Serv Expense - Affiliated</t>
  </si>
  <si>
    <t>Firm and Non-Firm Point to Point Transmision Revenues</t>
  </si>
  <si>
    <t>RTO Formation Costs</t>
  </si>
  <si>
    <t>Adjustment</t>
  </si>
  <si>
    <t>A</t>
  </si>
  <si>
    <t>Test Year Twelve Months Ended 3/31/2020</t>
  </si>
  <si>
    <t>Firm and Non-Firm Pt 2 Pt Transmision Revenues</t>
  </si>
  <si>
    <t>AEP  Zone - PJM LSE OATT Expense Allocation Calculation</t>
  </si>
  <si>
    <t>Jan 1 2021 PTRR - Less True Up</t>
  </si>
  <si>
    <t>2020 TE AEP Zone Allocation</t>
  </si>
  <si>
    <t>Filed 2021 Rates</t>
  </si>
  <si>
    <t>Originally Filed Amount of W23</t>
  </si>
  <si>
    <t>Increase Based on Filed Rates</t>
  </si>
  <si>
    <t>Exhibit AEV R1</t>
  </si>
  <si>
    <t>B</t>
  </si>
  <si>
    <t>=B-A</t>
  </si>
  <si>
    <t>Adjustment to Increase PJM LSE OATT expense to reflect October 2020 filed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</si>
</sst>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0" fontId="0" fillId="0" borderId="0" xfId="2" applyNumberFormat="1" applyFont="1"/>
    <xf numFmtId="0" fontId="0" fillId="0" borderId="0" xfId="0" applyBorder="1"/>
    <xf numFmtId="164" fontId="0" fillId="0" borderId="0" xfId="1" applyNumberFormat="1" applyFont="1" applyBorder="1"/>
    <xf numFmtId="165" fontId="0" fillId="0" borderId="0" xfId="3" applyNumberFormat="1" applyFont="1" applyBorder="1"/>
    <xf numFmtId="0" fontId="0" fillId="0" borderId="0" xfId="0" applyBorder="1" applyAlignment="1">
      <alignment horizontal="center"/>
    </xf>
    <xf numFmtId="0" fontId="0" fillId="0" borderId="0" xfId="0"/>
    <xf numFmtId="0" fontId="5" fillId="3" borderId="0" xfId="13" applyFill="1"/>
    <xf numFmtId="0" fontId="5" fillId="3" borderId="0" xfId="13" applyFill="1" applyAlignment="1"/>
    <xf numFmtId="0" fontId="0" fillId="3" borderId="0" xfId="0" applyFill="1"/>
    <xf numFmtId="0" fontId="7" fillId="3" borderId="0" xfId="13" applyFont="1" applyFill="1"/>
    <xf numFmtId="0" fontId="5" fillId="3" borderId="1" xfId="13" applyFill="1" applyBorder="1" applyAlignment="1">
      <alignment horizontal="center" vertical="center" wrapText="1"/>
    </xf>
    <xf numFmtId="0" fontId="5" fillId="3" borderId="0" xfId="13" applyFill="1" applyAlignment="1">
      <alignment horizontal="center"/>
    </xf>
    <xf numFmtId="165" fontId="5" fillId="3" borderId="0" xfId="14" applyNumberFormat="1" applyFont="1" applyFill="1" applyAlignment="1"/>
    <xf numFmtId="165" fontId="5" fillId="3" borderId="0" xfId="14" applyNumberFormat="1" applyFont="1" applyFill="1" applyAlignment="1">
      <alignment horizontal="center"/>
    </xf>
    <xf numFmtId="164" fontId="5" fillId="3" borderId="0" xfId="15" applyNumberFormat="1" applyFont="1" applyFill="1"/>
    <xf numFmtId="0" fontId="8" fillId="3" borderId="0" xfId="13" applyFont="1" applyFill="1"/>
    <xf numFmtId="43" fontId="5" fillId="3" borderId="0" xfId="3" applyFont="1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4" fontId="0" fillId="3" borderId="0" xfId="0" applyNumberFormat="1" applyFill="1"/>
    <xf numFmtId="0" fontId="9" fillId="0" borderId="0" xfId="0" applyFont="1"/>
    <xf numFmtId="164" fontId="0" fillId="4" borderId="1" xfId="1" applyNumberFormat="1" applyFont="1" applyFill="1" applyBorder="1"/>
    <xf numFmtId="0" fontId="9" fillId="0" borderId="0" xfId="0" applyFont="1" applyBorder="1"/>
    <xf numFmtId="164" fontId="0" fillId="4" borderId="0" xfId="1" applyNumberFormat="1" applyFont="1" applyFill="1" applyBorder="1"/>
    <xf numFmtId="165" fontId="0" fillId="0" borderId="0" xfId="3" applyNumberFormat="1" applyFont="1"/>
    <xf numFmtId="165" fontId="0" fillId="0" borderId="0" xfId="0" applyNumberFormat="1" applyBorder="1"/>
    <xf numFmtId="10" fontId="0" fillId="0" borderId="0" xfId="0" applyNumberFormat="1" applyBorder="1"/>
    <xf numFmtId="0" fontId="0" fillId="0" borderId="0" xfId="0" applyAlignment="1"/>
    <xf numFmtId="165" fontId="0" fillId="0" borderId="0" xfId="0" applyNumberFormat="1"/>
    <xf numFmtId="165" fontId="10" fillId="0" borderId="0" xfId="3" applyNumberFormat="1" applyFont="1" applyBorder="1"/>
    <xf numFmtId="0" fontId="0" fillId="0" borderId="0" xfId="0" quotePrefix="1"/>
    <xf numFmtId="0" fontId="0" fillId="0" borderId="0" xfId="0" applyFill="1" applyBorder="1"/>
    <xf numFmtId="0" fontId="0" fillId="3" borderId="0" xfId="0" applyFill="1" applyBorder="1"/>
    <xf numFmtId="166" fontId="0" fillId="0" borderId="0" xfId="3" applyNumberFormat="1" applyFont="1"/>
    <xf numFmtId="165" fontId="10" fillId="0" borderId="0" xfId="3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9" fontId="0" fillId="3" borderId="0" xfId="0" applyNumberFormat="1" applyFill="1"/>
    <xf numFmtId="164" fontId="0" fillId="3" borderId="0" xfId="1" quotePrefix="1" applyNumberFormat="1" applyFon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9" fontId="0" fillId="3" borderId="0" xfId="2" applyFont="1" applyFill="1"/>
    <xf numFmtId="164" fontId="0" fillId="3" borderId="1" xfId="1" applyNumberFormat="1" applyFont="1" applyFill="1" applyBorder="1"/>
    <xf numFmtId="164" fontId="0" fillId="3" borderId="1" xfId="0" applyNumberFormat="1" applyFill="1" applyBorder="1"/>
    <xf numFmtId="164" fontId="0" fillId="3" borderId="0" xfId="1" applyNumberFormat="1" applyFont="1" applyFill="1" applyBorder="1"/>
    <xf numFmtId="164" fontId="0" fillId="3" borderId="0" xfId="0" applyNumberFormat="1" applyFill="1" applyBorder="1"/>
    <xf numFmtId="0" fontId="10" fillId="3" borderId="0" xfId="0" applyFont="1" applyFill="1" applyBorder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0" fontId="9" fillId="3" borderId="0" xfId="0" applyFont="1" applyFill="1"/>
    <xf numFmtId="164" fontId="9" fillId="3" borderId="5" xfId="1" applyNumberFormat="1" applyFont="1" applyFill="1" applyBorder="1"/>
    <xf numFmtId="164" fontId="9" fillId="3" borderId="5" xfId="0" applyNumberFormat="1" applyFont="1" applyFill="1" applyBorder="1"/>
    <xf numFmtId="164" fontId="10" fillId="3" borderId="0" xfId="1" applyNumberFormat="1" applyFont="1" applyFill="1"/>
    <xf numFmtId="167" fontId="10" fillId="3" borderId="0" xfId="2" applyNumberFormat="1" applyFont="1" applyFill="1"/>
    <xf numFmtId="3" fontId="0" fillId="3" borderId="0" xfId="0" applyNumberFormat="1" applyFill="1"/>
    <xf numFmtId="164" fontId="10" fillId="3" borderId="0" xfId="0" applyNumberFormat="1" applyFont="1" applyFill="1" applyBorder="1"/>
    <xf numFmtId="3" fontId="0" fillId="3" borderId="0" xfId="0" applyNumberFormat="1" applyFill="1" applyBorder="1"/>
    <xf numFmtId="44" fontId="10" fillId="3" borderId="0" xfId="1" applyFont="1" applyFill="1" applyBorder="1"/>
    <xf numFmtId="165" fontId="0" fillId="3" borderId="0" xfId="3" applyNumberFormat="1" applyFont="1" applyFill="1" applyBorder="1"/>
    <xf numFmtId="164" fontId="10" fillId="3" borderId="0" xfId="0" applyNumberFormat="1" applyFont="1" applyFill="1"/>
    <xf numFmtId="0" fontId="0" fillId="3" borderId="0" xfId="0" applyFill="1" applyBorder="1" applyAlignment="1">
      <alignment horizontal="center"/>
    </xf>
    <xf numFmtId="44" fontId="0" fillId="3" borderId="0" xfId="0" applyNumberFormat="1" applyFill="1" applyBorder="1"/>
    <xf numFmtId="0" fontId="6" fillId="3" borderId="0" xfId="13" applyFont="1" applyFill="1" applyAlignment="1">
      <alignment horizontal="center"/>
    </xf>
    <xf numFmtId="0" fontId="7" fillId="3" borderId="0" xfId="13" applyFont="1" applyFill="1" applyAlignment="1">
      <alignment horizontal="center" wrapText="1"/>
    </xf>
    <xf numFmtId="0" fontId="5" fillId="3" borderId="1" xfId="13" applyFill="1" applyBorder="1" applyAlignment="1">
      <alignment horizontal="center" vertical="center" wrapText="1"/>
    </xf>
    <xf numFmtId="0" fontId="7" fillId="3" borderId="0" xfId="13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5" borderId="3" xfId="13" applyFill="1" applyBorder="1" applyAlignment="1">
      <alignment horizontal="center" vertical="center" wrapText="1"/>
    </xf>
    <xf numFmtId="165" fontId="5" fillId="5" borderId="4" xfId="14" applyNumberFormat="1" applyFont="1" applyFill="1" applyBorder="1" applyAlignment="1">
      <alignment horizontal="center"/>
    </xf>
    <xf numFmtId="0" fontId="5" fillId="5" borderId="4" xfId="13" applyFill="1" applyBorder="1"/>
    <xf numFmtId="164" fontId="5" fillId="5" borderId="4" xfId="15" applyNumberFormat="1" applyFont="1" applyFill="1" applyBorder="1"/>
    <xf numFmtId="164" fontId="5" fillId="5" borderId="3" xfId="15" applyNumberFormat="1" applyFont="1" applyFill="1" applyBorder="1"/>
  </cellXfs>
  <cellStyles count="16">
    <cellStyle name="Comma" xfId="3" builtinId="3"/>
    <cellStyle name="Comma 2" xfId="5"/>
    <cellStyle name="Comma 6" xfId="14"/>
    <cellStyle name="Currency" xfId="1" builtinId="4"/>
    <cellStyle name="Currency 2" xfId="6"/>
    <cellStyle name="Currency 36" xfId="15"/>
    <cellStyle name="Normal" xfId="0" builtinId="0"/>
    <cellStyle name="Normal 102" xfId="13"/>
    <cellStyle name="Normal 2" xfId="4"/>
    <cellStyle name="Percent" xfId="2" builtinId="5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workbookViewId="0">
      <selection activeCell="N4" sqref="N4"/>
    </sheetView>
  </sheetViews>
  <sheetFormatPr defaultRowHeight="14.4" x14ac:dyDescent="0.3"/>
  <cols>
    <col min="3" max="3" width="34.88671875" customWidth="1"/>
    <col min="5" max="5" width="13.5546875" customWidth="1"/>
    <col min="7" max="7" width="14.88671875" customWidth="1"/>
    <col min="8" max="8" width="13.5546875" customWidth="1"/>
    <col min="9" max="9" width="14.33203125" customWidth="1"/>
    <col min="10" max="25" width="9.109375" style="11"/>
  </cols>
  <sheetData>
    <row r="1" spans="1:25" x14ac:dyDescent="0.3">
      <c r="A1" s="9" t="s">
        <v>71</v>
      </c>
      <c r="B1" s="9"/>
      <c r="C1" s="9"/>
      <c r="D1" s="9"/>
      <c r="E1" s="10"/>
      <c r="F1" s="10"/>
      <c r="G1" s="10"/>
      <c r="H1" s="10"/>
      <c r="I1" s="10"/>
      <c r="J1" s="10"/>
    </row>
    <row r="2" spans="1:25" ht="15.6" x14ac:dyDescent="0.3">
      <c r="A2" s="9"/>
      <c r="B2" s="65" t="s">
        <v>26</v>
      </c>
      <c r="C2" s="65"/>
      <c r="D2" s="65"/>
      <c r="E2" s="65"/>
      <c r="F2" s="65"/>
      <c r="G2" s="65"/>
      <c r="H2" s="65"/>
      <c r="I2" s="10"/>
      <c r="J2" s="10"/>
    </row>
    <row r="3" spans="1:25" x14ac:dyDescent="0.3">
      <c r="A3" s="9"/>
      <c r="B3" s="66" t="s">
        <v>74</v>
      </c>
      <c r="C3" s="66"/>
      <c r="D3" s="66"/>
      <c r="E3" s="66"/>
      <c r="F3" s="66"/>
      <c r="G3" s="66"/>
      <c r="H3" s="66"/>
      <c r="I3" s="10"/>
      <c r="J3" s="10"/>
    </row>
    <row r="4" spans="1:25" x14ac:dyDescent="0.3">
      <c r="A4" s="9"/>
      <c r="B4" s="68" t="s">
        <v>63</v>
      </c>
      <c r="C4" s="68"/>
      <c r="D4" s="68"/>
      <c r="E4" s="68"/>
      <c r="F4" s="68"/>
      <c r="G4" s="68"/>
      <c r="H4" s="68"/>
      <c r="I4" s="9"/>
      <c r="J4" s="9"/>
    </row>
    <row r="5" spans="1:25" x14ac:dyDescent="0.3">
      <c r="A5" s="11"/>
      <c r="B5" s="11"/>
      <c r="C5" s="11"/>
      <c r="D5" s="11"/>
      <c r="E5" s="11"/>
      <c r="F5" s="11"/>
      <c r="G5" s="11"/>
      <c r="H5" s="11"/>
      <c r="I5" s="11"/>
    </row>
    <row r="6" spans="1:25" x14ac:dyDescent="0.3">
      <c r="A6" s="11"/>
      <c r="B6" s="11"/>
      <c r="C6" s="11"/>
      <c r="D6" s="11"/>
      <c r="E6" s="11"/>
      <c r="F6" s="11"/>
      <c r="G6" s="11"/>
      <c r="H6" s="11"/>
      <c r="I6" s="11"/>
    </row>
    <row r="7" spans="1:25" ht="81.75" customHeight="1" x14ac:dyDescent="0.3">
      <c r="A7" s="13" t="s">
        <v>27</v>
      </c>
      <c r="B7" s="67" t="s">
        <v>28</v>
      </c>
      <c r="C7" s="67"/>
      <c r="D7" s="67"/>
      <c r="E7" s="13" t="s">
        <v>29</v>
      </c>
      <c r="F7" s="13"/>
      <c r="G7" s="13" t="s">
        <v>30</v>
      </c>
      <c r="H7" s="13" t="s">
        <v>31</v>
      </c>
      <c r="I7" s="71" t="s">
        <v>32</v>
      </c>
      <c r="J7" s="9"/>
    </row>
    <row r="8" spans="1:25" x14ac:dyDescent="0.3">
      <c r="A8" s="14"/>
      <c r="B8" s="14"/>
      <c r="C8" s="14"/>
      <c r="D8" s="9"/>
      <c r="E8" s="15"/>
      <c r="F8" s="16"/>
      <c r="G8" s="16"/>
      <c r="H8" s="16"/>
      <c r="I8" s="72"/>
      <c r="J8" s="9"/>
    </row>
    <row r="9" spans="1:25" x14ac:dyDescent="0.3">
      <c r="A9" s="9"/>
      <c r="B9" s="9"/>
      <c r="C9" s="9"/>
      <c r="D9" s="9"/>
      <c r="E9" s="17"/>
      <c r="F9" s="9"/>
      <c r="G9" s="9"/>
      <c r="H9" s="9"/>
      <c r="I9" s="73"/>
      <c r="J9" s="9"/>
    </row>
    <row r="10" spans="1:25" x14ac:dyDescent="0.3">
      <c r="A10" s="9"/>
      <c r="B10" s="18" t="s">
        <v>38</v>
      </c>
      <c r="C10" s="18"/>
      <c r="D10" s="9"/>
      <c r="E10" s="11"/>
      <c r="F10" s="11"/>
      <c r="G10" s="9"/>
      <c r="H10" s="9"/>
      <c r="I10" s="74"/>
      <c r="J10" s="9"/>
    </row>
    <row r="11" spans="1:25" s="8" customFormat="1" x14ac:dyDescent="0.3">
      <c r="A11" s="14">
        <v>1</v>
      </c>
      <c r="B11" s="11">
        <v>4561005</v>
      </c>
      <c r="C11" s="11" t="s">
        <v>64</v>
      </c>
      <c r="D11" s="9"/>
      <c r="E11" s="20">
        <f>'ADJ-Calc'!G7</f>
        <v>0</v>
      </c>
      <c r="F11" s="11"/>
      <c r="G11" s="9" t="s">
        <v>33</v>
      </c>
      <c r="H11" s="19">
        <v>1</v>
      </c>
      <c r="I11" s="74">
        <f>E11</f>
        <v>0</v>
      </c>
      <c r="J11" s="12" t="s">
        <v>35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8" customFormat="1" x14ac:dyDescent="0.3">
      <c r="A12" s="14">
        <v>2</v>
      </c>
      <c r="B12" s="11">
        <v>4561002</v>
      </c>
      <c r="C12" s="11" t="s">
        <v>60</v>
      </c>
      <c r="D12" s="9"/>
      <c r="E12" s="20">
        <f>'ADJ-Calc'!G8</f>
        <v>0</v>
      </c>
      <c r="F12" s="11"/>
      <c r="G12" s="9" t="s">
        <v>33</v>
      </c>
      <c r="H12" s="19">
        <v>1</v>
      </c>
      <c r="I12" s="74">
        <f t="shared" ref="I12:I20" si="0">E12</f>
        <v>0</v>
      </c>
      <c r="J12" s="12" t="s">
        <v>34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3">
      <c r="A13" s="14">
        <v>3</v>
      </c>
      <c r="B13" s="11">
        <v>4561035</v>
      </c>
      <c r="C13" s="11" t="s">
        <v>0</v>
      </c>
      <c r="D13" s="9"/>
      <c r="E13" s="20">
        <f>'ADJ-Calc'!G9</f>
        <v>-8623975.536946401</v>
      </c>
      <c r="F13" s="11"/>
      <c r="G13" s="9" t="s">
        <v>33</v>
      </c>
      <c r="H13" s="19">
        <v>1</v>
      </c>
      <c r="I13" s="74">
        <f t="shared" si="0"/>
        <v>-8623975.536946401</v>
      </c>
      <c r="J13" s="12" t="s">
        <v>34</v>
      </c>
    </row>
    <row r="14" spans="1:25" x14ac:dyDescent="0.3">
      <c r="A14" s="14">
        <v>4</v>
      </c>
      <c r="B14" s="11">
        <v>4561036</v>
      </c>
      <c r="C14" s="11" t="s">
        <v>1</v>
      </c>
      <c r="D14" s="9"/>
      <c r="E14" s="20">
        <f>'ADJ-Calc'!G10</f>
        <v>-36257.299657841388</v>
      </c>
      <c r="F14" s="9"/>
      <c r="G14" s="9" t="s">
        <v>33</v>
      </c>
      <c r="H14" s="19">
        <v>1</v>
      </c>
      <c r="I14" s="74">
        <f t="shared" si="0"/>
        <v>-36257.299657841388</v>
      </c>
      <c r="J14" s="12" t="s">
        <v>34</v>
      </c>
    </row>
    <row r="15" spans="1:25" s="8" customFormat="1" x14ac:dyDescent="0.3">
      <c r="A15" s="14">
        <v>5</v>
      </c>
      <c r="B15" s="11">
        <v>4561060</v>
      </c>
      <c r="C15" s="11" t="s">
        <v>2</v>
      </c>
      <c r="D15" s="9"/>
      <c r="E15" s="20">
        <f>'ADJ-Calc'!G11</f>
        <v>-209713.98718367296</v>
      </c>
      <c r="F15" s="9"/>
      <c r="G15" s="9" t="s">
        <v>33</v>
      </c>
      <c r="H15" s="19">
        <v>1</v>
      </c>
      <c r="I15" s="74">
        <f t="shared" si="0"/>
        <v>-209713.98718367296</v>
      </c>
      <c r="J15" s="12" t="s">
        <v>34</v>
      </c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s="11" customFormat="1" x14ac:dyDescent="0.3">
      <c r="A16" s="14">
        <v>6</v>
      </c>
      <c r="B16" s="21">
        <v>5650012</v>
      </c>
      <c r="C16" s="11" t="s">
        <v>3</v>
      </c>
      <c r="E16" s="20">
        <f>'ADJ-Calc'!G14</f>
        <v>10012117.802653639</v>
      </c>
      <c r="G16" s="9" t="s">
        <v>33</v>
      </c>
      <c r="H16" s="19">
        <v>1</v>
      </c>
      <c r="I16" s="74">
        <f t="shared" si="0"/>
        <v>10012117.802653639</v>
      </c>
      <c r="J16" s="12" t="s">
        <v>36</v>
      </c>
    </row>
    <row r="17" spans="1:10" s="11" customFormat="1" x14ac:dyDescent="0.3">
      <c r="A17" s="14">
        <v>7</v>
      </c>
      <c r="B17" s="21">
        <v>5650016</v>
      </c>
      <c r="C17" s="11" t="s">
        <v>4</v>
      </c>
      <c r="E17" s="20">
        <f>'ADJ-Calc'!G15</f>
        <v>8176054.1079398468</v>
      </c>
      <c r="G17" s="9" t="s">
        <v>33</v>
      </c>
      <c r="H17" s="19">
        <v>1</v>
      </c>
      <c r="I17" s="74">
        <f t="shared" si="0"/>
        <v>8176054.1079398468</v>
      </c>
      <c r="J17" s="12" t="s">
        <v>36</v>
      </c>
    </row>
    <row r="18" spans="1:10" s="11" customFormat="1" x14ac:dyDescent="0.3">
      <c r="A18" s="14">
        <v>8</v>
      </c>
      <c r="B18" s="21">
        <v>5650019</v>
      </c>
      <c r="C18" s="11" t="s">
        <v>5</v>
      </c>
      <c r="E18" s="20">
        <f>'ADJ-Calc'!G16</f>
        <v>1207455.6053464655</v>
      </c>
      <c r="G18" s="9" t="s">
        <v>33</v>
      </c>
      <c r="H18" s="19">
        <v>1</v>
      </c>
      <c r="I18" s="74">
        <f t="shared" si="0"/>
        <v>1207455.6053464655</v>
      </c>
      <c r="J18" s="12" t="s">
        <v>36</v>
      </c>
    </row>
    <row r="19" spans="1:10" s="11" customFormat="1" x14ac:dyDescent="0.3">
      <c r="A19" s="14">
        <v>9</v>
      </c>
      <c r="B19" s="11">
        <v>5650021</v>
      </c>
      <c r="C19" s="11" t="s">
        <v>57</v>
      </c>
      <c r="E19" s="20">
        <f>'ADJ-Calc'!G17</f>
        <v>62627.21219892212</v>
      </c>
      <c r="F19" s="35"/>
      <c r="G19" s="9" t="s">
        <v>33</v>
      </c>
      <c r="H19" s="19">
        <v>1</v>
      </c>
      <c r="I19" s="74">
        <f t="shared" si="0"/>
        <v>62627.21219892212</v>
      </c>
      <c r="J19" s="12" t="s">
        <v>36</v>
      </c>
    </row>
    <row r="20" spans="1:10" s="11" customFormat="1" x14ac:dyDescent="0.3">
      <c r="A20" s="14">
        <v>10</v>
      </c>
      <c r="B20" s="11">
        <v>5650015</v>
      </c>
      <c r="C20" s="11" t="s">
        <v>58</v>
      </c>
      <c r="E20" s="20">
        <f>'ADJ-Calc'!G18</f>
        <v>42571.754428727087</v>
      </c>
      <c r="G20" s="9" t="s">
        <v>33</v>
      </c>
      <c r="H20" s="19">
        <v>1</v>
      </c>
      <c r="I20" s="75">
        <f t="shared" si="0"/>
        <v>42571.754428727087</v>
      </c>
      <c r="J20" s="12" t="s">
        <v>36</v>
      </c>
    </row>
    <row r="21" spans="1:10" s="11" customFormat="1" x14ac:dyDescent="0.3">
      <c r="B21" s="14"/>
      <c r="C21" s="9"/>
      <c r="I21" s="22">
        <f>SUM(I16:I20)-SUM(I11:I15)</f>
        <v>28370773.306355514</v>
      </c>
      <c r="J21" s="11" t="s">
        <v>37</v>
      </c>
    </row>
    <row r="22" spans="1:10" s="11" customFormat="1" x14ac:dyDescent="0.3">
      <c r="B22" s="14"/>
      <c r="C22" s="9"/>
      <c r="I22" s="22">
        <f>I21-'ADJ-Calc'!G23</f>
        <v>0</v>
      </c>
    </row>
    <row r="23" spans="1:10" s="11" customFormat="1" x14ac:dyDescent="0.3">
      <c r="B23" s="21"/>
      <c r="I23" s="20">
        <v>14299049</v>
      </c>
      <c r="J23" s="11" t="s">
        <v>69</v>
      </c>
    </row>
    <row r="24" spans="1:10" s="11" customFormat="1" x14ac:dyDescent="0.3">
      <c r="I24" s="22">
        <f>I21-I23</f>
        <v>14071724.306355514</v>
      </c>
      <c r="J24" s="11" t="s">
        <v>70</v>
      </c>
    </row>
    <row r="25" spans="1:10" s="11" customFormat="1" x14ac:dyDescent="0.3"/>
    <row r="26" spans="1:10" s="11" customFormat="1" x14ac:dyDescent="0.3"/>
    <row r="27" spans="1:10" s="11" customFormat="1" x14ac:dyDescent="0.3"/>
    <row r="28" spans="1:10" s="11" customFormat="1" x14ac:dyDescent="0.3"/>
    <row r="29" spans="1:10" s="11" customFormat="1" x14ac:dyDescent="0.3"/>
    <row r="30" spans="1:10" s="11" customFormat="1" x14ac:dyDescent="0.3"/>
    <row r="31" spans="1:10" s="11" customFormat="1" x14ac:dyDescent="0.3"/>
    <row r="32" spans="1:10" s="11" customFormat="1" x14ac:dyDescent="0.3"/>
    <row r="33" s="11" customFormat="1" x14ac:dyDescent="0.3"/>
    <row r="34" s="11" customFormat="1" x14ac:dyDescent="0.3"/>
    <row r="35" s="11" customFormat="1" x14ac:dyDescent="0.3"/>
    <row r="36" s="11" customFormat="1" x14ac:dyDescent="0.3"/>
    <row r="37" s="11" customFormat="1" x14ac:dyDescent="0.3"/>
    <row r="38" s="11" customFormat="1" x14ac:dyDescent="0.3"/>
    <row r="39" s="11" customFormat="1" x14ac:dyDescent="0.3"/>
    <row r="40" s="11" customFormat="1" x14ac:dyDescent="0.3"/>
    <row r="41" s="11" customFormat="1" x14ac:dyDescent="0.3"/>
    <row r="42" s="11" customFormat="1" x14ac:dyDescent="0.3"/>
    <row r="43" s="11" customFormat="1" x14ac:dyDescent="0.3"/>
    <row r="44" s="11" customFormat="1" x14ac:dyDescent="0.3"/>
    <row r="45" s="11" customFormat="1" x14ac:dyDescent="0.3"/>
    <row r="46" s="11" customFormat="1" x14ac:dyDescent="0.3"/>
    <row r="47" s="11" customFormat="1" x14ac:dyDescent="0.3"/>
  </sheetData>
  <mergeCells count="4">
    <mergeCell ref="B2:H2"/>
    <mergeCell ref="B3:H3"/>
    <mergeCell ref="B7:D7"/>
    <mergeCell ref="B4:H4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N4" sqref="N4"/>
    </sheetView>
  </sheetViews>
  <sheetFormatPr defaultColWidth="9.109375" defaultRowHeight="14.4" x14ac:dyDescent="0.3"/>
  <cols>
    <col min="1" max="1" width="9.109375" style="11"/>
    <col min="2" max="2" width="48" style="11" bestFit="1" customWidth="1"/>
    <col min="3" max="3" width="19.6640625" style="11" customWidth="1"/>
    <col min="4" max="4" width="20.109375" style="11" customWidth="1"/>
    <col min="5" max="5" width="8.5546875" style="11" customWidth="1"/>
    <col min="6" max="6" width="2.88671875" style="11" customWidth="1"/>
    <col min="7" max="7" width="15.109375" style="11" customWidth="1"/>
    <col min="8" max="8" width="0" style="11" hidden="1" customWidth="1"/>
    <col min="9" max="9" width="9.109375" style="11"/>
    <col min="10" max="10" width="7.5546875" style="11" customWidth="1"/>
    <col min="11" max="11" width="16.109375" style="11" customWidth="1"/>
    <col min="12" max="12" width="9.109375" style="11"/>
    <col min="13" max="13" width="8.33203125" style="11" customWidth="1"/>
    <col min="14" max="14" width="16.109375" style="11" customWidth="1"/>
    <col min="15" max="16384" width="9.109375" style="11"/>
  </cols>
  <sheetData>
    <row r="1" spans="1:11" x14ac:dyDescent="0.3">
      <c r="A1" s="9" t="s">
        <v>71</v>
      </c>
    </row>
    <row r="5" spans="1:11" x14ac:dyDescent="0.3">
      <c r="C5" s="38" t="s">
        <v>6</v>
      </c>
      <c r="D5" s="38" t="s">
        <v>68</v>
      </c>
      <c r="E5" s="38"/>
      <c r="F5" s="39"/>
      <c r="G5" s="38" t="s">
        <v>61</v>
      </c>
      <c r="K5" s="40"/>
    </row>
    <row r="6" spans="1:11" x14ac:dyDescent="0.3">
      <c r="C6" s="41" t="s">
        <v>62</v>
      </c>
      <c r="D6" s="42" t="s">
        <v>72</v>
      </c>
      <c r="E6" s="42"/>
      <c r="G6" s="43" t="s">
        <v>73</v>
      </c>
    </row>
    <row r="7" spans="1:11" x14ac:dyDescent="0.3">
      <c r="A7" s="11">
        <v>4561005</v>
      </c>
      <c r="B7" s="11" t="s">
        <v>59</v>
      </c>
      <c r="C7" s="20">
        <v>766099.98</v>
      </c>
      <c r="D7" s="20">
        <f>C7</f>
        <v>766099.98</v>
      </c>
      <c r="E7" s="20"/>
      <c r="F7" s="22"/>
      <c r="G7" s="22">
        <f>D7-C7</f>
        <v>0</v>
      </c>
      <c r="J7" s="44"/>
    </row>
    <row r="8" spans="1:11" x14ac:dyDescent="0.3">
      <c r="A8" s="11">
        <v>4561002</v>
      </c>
      <c r="B8" s="11" t="s">
        <v>60</v>
      </c>
      <c r="C8" s="20">
        <v>-135211.87</v>
      </c>
      <c r="D8" s="20">
        <f>C8</f>
        <v>-135211.87</v>
      </c>
      <c r="E8" s="20"/>
      <c r="F8" s="22"/>
      <c r="G8" s="22">
        <f>D8-C8</f>
        <v>0</v>
      </c>
      <c r="J8" s="44"/>
    </row>
    <row r="9" spans="1:11" x14ac:dyDescent="0.3">
      <c r="A9" s="11">
        <v>4561035</v>
      </c>
      <c r="B9" s="11" t="s">
        <v>0</v>
      </c>
      <c r="C9" s="20">
        <v>-39632057.43</v>
      </c>
      <c r="D9" s="20">
        <f>H9*-$D$25</f>
        <v>-48256032.966946401</v>
      </c>
      <c r="E9" s="20"/>
      <c r="F9" s="22"/>
      <c r="G9" s="22">
        <f>D9-C9</f>
        <v>-8623975.536946401</v>
      </c>
      <c r="H9" s="44">
        <f>-C9/$C$25</f>
        <v>0.4697498428034364</v>
      </c>
      <c r="J9" s="44"/>
    </row>
    <row r="10" spans="1:11" x14ac:dyDescent="0.3">
      <c r="A10" s="11">
        <v>4561036</v>
      </c>
      <c r="B10" s="11" t="s">
        <v>1</v>
      </c>
      <c r="C10" s="20">
        <v>-166622.85</v>
      </c>
      <c r="D10" s="20">
        <f>H10*-$D$25</f>
        <v>-202880.14965784139</v>
      </c>
      <c r="E10" s="20"/>
      <c r="F10" s="22"/>
      <c r="G10" s="22">
        <f>D10-C10</f>
        <v>-36257.299657841388</v>
      </c>
      <c r="H10" s="44">
        <f>-C10/$C$25</f>
        <v>1.974943080691851E-3</v>
      </c>
      <c r="J10" s="44"/>
    </row>
    <row r="11" spans="1:11" x14ac:dyDescent="0.3">
      <c r="A11" s="11">
        <v>4561060</v>
      </c>
      <c r="B11" s="11" t="s">
        <v>2</v>
      </c>
      <c r="C11" s="45">
        <v>-963754.68</v>
      </c>
      <c r="D11" s="45">
        <f>H11*-$D$25</f>
        <v>-1173468.667183673</v>
      </c>
      <c r="E11" s="45"/>
      <c r="F11" s="46"/>
      <c r="G11" s="46">
        <f>D11-C11</f>
        <v>-209713.98718367296</v>
      </c>
      <c r="H11" s="44">
        <f>-C11/$C$25</f>
        <v>1.1423166971099038E-2</v>
      </c>
      <c r="J11" s="44"/>
    </row>
    <row r="12" spans="1:11" x14ac:dyDescent="0.3">
      <c r="A12" s="11" t="s">
        <v>7</v>
      </c>
      <c r="C12" s="20">
        <f>SUM(C6:C11)</f>
        <v>-40131546.850000001</v>
      </c>
      <c r="D12" s="20">
        <f>SUM(D7:D11)</f>
        <v>-49001493.673787914</v>
      </c>
      <c r="E12" s="20"/>
      <c r="F12" s="22"/>
      <c r="G12" s="20">
        <f>SUM(G7:G11)</f>
        <v>-8869946.8237879165</v>
      </c>
      <c r="H12" s="11" t="s">
        <v>40</v>
      </c>
      <c r="J12" s="44"/>
    </row>
    <row r="13" spans="1:11" x14ac:dyDescent="0.3">
      <c r="C13" s="20"/>
      <c r="D13" s="20"/>
      <c r="E13" s="20"/>
      <c r="J13" s="44"/>
    </row>
    <row r="14" spans="1:11" x14ac:dyDescent="0.3">
      <c r="A14" s="11">
        <v>5650012</v>
      </c>
      <c r="B14" s="11" t="s">
        <v>3</v>
      </c>
      <c r="C14" s="20">
        <v>-1140097.7399999995</v>
      </c>
      <c r="D14" s="47">
        <f>'2021 Rates'!I17</f>
        <v>8872020.0626536384</v>
      </c>
      <c r="E14" s="20"/>
      <c r="F14" s="22"/>
      <c r="G14" s="22">
        <f>D14-C14</f>
        <v>10012117.802653639</v>
      </c>
      <c r="H14" s="44"/>
      <c r="J14" s="44"/>
    </row>
    <row r="15" spans="1:11" x14ac:dyDescent="0.3">
      <c r="A15" s="11">
        <v>5650016</v>
      </c>
      <c r="B15" s="11" t="s">
        <v>4</v>
      </c>
      <c r="C15" s="20">
        <v>37573604.490000002</v>
      </c>
      <c r="D15" s="20">
        <f>H15*$D$25</f>
        <v>45749658.597939849</v>
      </c>
      <c r="E15" s="20"/>
      <c r="F15" s="22"/>
      <c r="G15" s="22">
        <f>D15-C15</f>
        <v>8176054.1079398468</v>
      </c>
      <c r="H15" s="44">
        <f>C15/$C$25</f>
        <v>0.44535146412498511</v>
      </c>
      <c r="J15" s="44"/>
    </row>
    <row r="16" spans="1:11" x14ac:dyDescent="0.3">
      <c r="A16" s="11">
        <v>5650019</v>
      </c>
      <c r="B16" s="11" t="s">
        <v>5</v>
      </c>
      <c r="C16" s="47">
        <v>5548943.1400000006</v>
      </c>
      <c r="D16" s="20">
        <f>H16*$D$25</f>
        <v>6756398.7453464661</v>
      </c>
      <c r="E16" s="20"/>
      <c r="F16" s="48"/>
      <c r="G16" s="22">
        <f>D16-C16</f>
        <v>1207455.6053464655</v>
      </c>
      <c r="H16" s="44">
        <f>C16/$C$25</f>
        <v>6.5770372187821266E-2</v>
      </c>
      <c r="J16" s="44"/>
    </row>
    <row r="17" spans="1:15" x14ac:dyDescent="0.3">
      <c r="A17" s="11">
        <v>5650021</v>
      </c>
      <c r="B17" s="11" t="s">
        <v>57</v>
      </c>
      <c r="C17" s="47">
        <v>287807.55</v>
      </c>
      <c r="D17" s="20">
        <f>H17*$D$25</f>
        <v>350434.76219892211</v>
      </c>
      <c r="E17" s="20"/>
      <c r="F17" s="48"/>
      <c r="G17" s="22">
        <f>D17-C17</f>
        <v>62627.21219892212</v>
      </c>
      <c r="H17" s="44">
        <f>C17/$C$25</f>
        <v>3.4113180121656422E-3</v>
      </c>
      <c r="J17" s="44"/>
    </row>
    <row r="18" spans="1:15" x14ac:dyDescent="0.3">
      <c r="A18" s="11">
        <v>5650015</v>
      </c>
      <c r="B18" s="11" t="s">
        <v>58</v>
      </c>
      <c r="C18" s="45">
        <v>195641.34999999998</v>
      </c>
      <c r="D18" s="45">
        <f>H18*$D$25</f>
        <v>238213.10442872706</v>
      </c>
      <c r="E18" s="45"/>
      <c r="F18" s="46"/>
      <c r="G18" s="46">
        <f>D18-C18</f>
        <v>42571.754428727087</v>
      </c>
      <c r="H18" s="44">
        <f>C18/$C$25</f>
        <v>2.3188928198006015E-3</v>
      </c>
      <c r="J18" s="44"/>
    </row>
    <row r="19" spans="1:15" x14ac:dyDescent="0.3">
      <c r="A19" s="11" t="s">
        <v>8</v>
      </c>
      <c r="C19" s="20">
        <f>SUM(C14:C18)</f>
        <v>42465898.789999999</v>
      </c>
      <c r="D19" s="20">
        <f>SUM(D14:D18)</f>
        <v>61966725.2725676</v>
      </c>
      <c r="E19" s="20"/>
      <c r="F19" s="22"/>
      <c r="G19" s="20">
        <f>SUM(G14:G18)</f>
        <v>19500826.482567597</v>
      </c>
      <c r="H19" s="11" t="s">
        <v>39</v>
      </c>
    </row>
    <row r="20" spans="1:15" x14ac:dyDescent="0.3">
      <c r="A20" s="11" t="s">
        <v>9</v>
      </c>
      <c r="C20" s="20"/>
      <c r="D20" s="20"/>
      <c r="E20" s="20"/>
      <c r="F20" s="22"/>
      <c r="G20" s="22"/>
    </row>
    <row r="21" spans="1:15" x14ac:dyDescent="0.3">
      <c r="A21" s="11" t="s">
        <v>10</v>
      </c>
      <c r="C21" s="20">
        <f>SUM(C14:C17)-SUM(C7:C9,C11)</f>
        <v>82235181.439999998</v>
      </c>
      <c r="D21" s="20">
        <f>SUM(D14:D17)-SUM(D7:D9,D11)</f>
        <v>110527125.69226895</v>
      </c>
      <c r="E21" s="20"/>
      <c r="F21" s="20"/>
      <c r="G21" s="20">
        <f>SUM(G14:G17)-SUM(G7:G9,G11)</f>
        <v>28291944.252268948</v>
      </c>
      <c r="J21" s="49"/>
      <c r="K21" s="50"/>
      <c r="L21" s="50"/>
      <c r="M21" s="50"/>
      <c r="N21" s="50"/>
      <c r="O21" s="50"/>
    </row>
    <row r="22" spans="1:15" x14ac:dyDescent="0.3">
      <c r="A22" s="11" t="s">
        <v>11</v>
      </c>
      <c r="C22" s="45">
        <f>-C10+C18</f>
        <v>362264.19999999995</v>
      </c>
      <c r="D22" s="45">
        <f>-D10+D18</f>
        <v>441093.25408656849</v>
      </c>
      <c r="E22" s="45"/>
      <c r="F22" s="45"/>
      <c r="G22" s="45">
        <f t="shared" ref="G22" si="0">-G10+G18</f>
        <v>78829.054086568474</v>
      </c>
      <c r="J22" s="50"/>
      <c r="K22" s="51"/>
      <c r="L22" s="50"/>
      <c r="M22" s="50"/>
      <c r="N22" s="50"/>
      <c r="O22" s="50"/>
    </row>
    <row r="23" spans="1:15" x14ac:dyDescent="0.3">
      <c r="A23" s="52" t="s">
        <v>12</v>
      </c>
      <c r="C23" s="53">
        <f>C22+C21</f>
        <v>82597445.640000001</v>
      </c>
      <c r="D23" s="53">
        <f>'2021 Rates'!H17</f>
        <v>110968218.94635552</v>
      </c>
      <c r="E23" s="53"/>
      <c r="F23" s="54"/>
      <c r="G23" s="53">
        <f>G19-G12</f>
        <v>28370773.306355514</v>
      </c>
      <c r="J23" s="50"/>
      <c r="K23" s="55"/>
      <c r="L23" s="50"/>
      <c r="M23" s="50"/>
      <c r="N23" s="50"/>
      <c r="O23" s="50"/>
    </row>
    <row r="24" spans="1:15" x14ac:dyDescent="0.3">
      <c r="E24" s="22"/>
      <c r="G24" s="22"/>
      <c r="J24" s="50"/>
      <c r="K24" s="56"/>
      <c r="L24" s="50"/>
      <c r="M24" s="50"/>
      <c r="N24" s="50"/>
      <c r="O24" s="50"/>
    </row>
    <row r="25" spans="1:15" hidden="1" x14ac:dyDescent="0.3">
      <c r="C25" s="57">
        <f>SUM(C15:C18)-SUM(C9:C11)</f>
        <v>84368431.49000001</v>
      </c>
      <c r="D25" s="22">
        <f>D23-D14+D8+D7</f>
        <v>102727086.99370189</v>
      </c>
      <c r="E25" s="22"/>
      <c r="G25" s="22">
        <f>D23-C23</f>
        <v>28370773.306355521</v>
      </c>
      <c r="J25" s="50"/>
      <c r="K25" s="50"/>
      <c r="L25" s="50"/>
      <c r="M25" s="50"/>
      <c r="N25" s="50"/>
      <c r="O25" s="50"/>
    </row>
    <row r="26" spans="1:15" x14ac:dyDescent="0.3">
      <c r="D26" s="22"/>
      <c r="E26" s="22"/>
      <c r="J26" s="50"/>
      <c r="K26" s="50"/>
      <c r="L26" s="50"/>
      <c r="M26" s="50"/>
      <c r="N26" s="58"/>
      <c r="O26" s="50"/>
    </row>
    <row r="27" spans="1:15" x14ac:dyDescent="0.3">
      <c r="A27" s="35"/>
      <c r="B27" s="35"/>
      <c r="C27" s="59"/>
      <c r="D27" s="60"/>
      <c r="E27" s="60"/>
      <c r="G27" s="60"/>
      <c r="H27" s="35"/>
      <c r="J27" s="50"/>
      <c r="K27" s="50"/>
      <c r="N27" s="58"/>
      <c r="O27" s="50"/>
    </row>
    <row r="28" spans="1:15" x14ac:dyDescent="0.3">
      <c r="A28" s="35"/>
      <c r="B28" s="35"/>
      <c r="C28" s="35"/>
      <c r="D28" s="60"/>
      <c r="E28" s="60"/>
      <c r="G28" s="60"/>
      <c r="H28" s="35"/>
      <c r="J28" s="50"/>
      <c r="K28" s="50"/>
      <c r="L28" s="50"/>
      <c r="M28" s="50"/>
      <c r="N28" s="58"/>
      <c r="O28" s="50"/>
    </row>
    <row r="29" spans="1:15" x14ac:dyDescent="0.3">
      <c r="A29" s="35"/>
      <c r="B29" s="35"/>
      <c r="C29" s="61"/>
      <c r="D29" s="35"/>
      <c r="E29" s="35"/>
      <c r="F29" s="35"/>
      <c r="G29" s="48"/>
      <c r="H29" s="35"/>
      <c r="J29" s="50"/>
      <c r="K29" s="50"/>
      <c r="L29" s="50"/>
      <c r="M29" s="50"/>
      <c r="N29" s="62"/>
      <c r="O29" s="50"/>
    </row>
    <row r="30" spans="1:15" x14ac:dyDescent="0.3">
      <c r="A30" s="35"/>
      <c r="B30" s="35"/>
      <c r="C30" s="63"/>
      <c r="D30" s="63"/>
      <c r="E30" s="63"/>
      <c r="F30" s="35"/>
      <c r="G30" s="64"/>
      <c r="H30" s="35"/>
      <c r="J30" s="50"/>
      <c r="K30" s="50"/>
      <c r="L30" s="50"/>
      <c r="M30" s="50"/>
      <c r="N30" s="62"/>
      <c r="O30" s="50"/>
    </row>
    <row r="31" spans="1:15" x14ac:dyDescent="0.3">
      <c r="A31" s="35"/>
      <c r="B31" s="35"/>
      <c r="C31" s="47"/>
      <c r="D31" s="47"/>
      <c r="E31" s="47"/>
      <c r="F31" s="35"/>
      <c r="G31" s="35"/>
      <c r="H31" s="35"/>
      <c r="J31" s="50"/>
      <c r="K31" s="50"/>
      <c r="L31" s="50"/>
      <c r="M31" s="50"/>
      <c r="N31" s="50"/>
      <c r="O31" s="50"/>
    </row>
    <row r="32" spans="1:15" x14ac:dyDescent="0.3">
      <c r="A32" s="35"/>
      <c r="B32" s="35"/>
      <c r="C32" s="47"/>
      <c r="D32" s="47"/>
      <c r="E32" s="47"/>
      <c r="F32" s="35"/>
      <c r="G32" s="35"/>
      <c r="H32" s="35"/>
    </row>
    <row r="33" spans="1:8" x14ac:dyDescent="0.3">
      <c r="A33" s="35"/>
      <c r="B33" s="35"/>
      <c r="C33" s="47"/>
      <c r="D33" s="47"/>
      <c r="E33" s="47"/>
      <c r="F33" s="35"/>
      <c r="G33" s="35"/>
      <c r="H33" s="35"/>
    </row>
    <row r="34" spans="1:8" x14ac:dyDescent="0.3">
      <c r="A34" s="35"/>
      <c r="B34" s="35"/>
      <c r="C34" s="47"/>
      <c r="D34" s="47"/>
      <c r="E34" s="47"/>
      <c r="F34" s="35"/>
      <c r="G34" s="35"/>
      <c r="H34" s="35"/>
    </row>
    <row r="35" spans="1:8" x14ac:dyDescent="0.3">
      <c r="A35" s="35"/>
      <c r="B35" s="35"/>
      <c r="C35" s="47"/>
      <c r="D35" s="47"/>
      <c r="E35" s="47"/>
      <c r="F35" s="35"/>
      <c r="G35" s="35"/>
      <c r="H35" s="35"/>
    </row>
    <row r="36" spans="1:8" x14ac:dyDescent="0.3">
      <c r="A36" s="35"/>
      <c r="B36" s="35"/>
      <c r="C36" s="47"/>
      <c r="D36" s="47"/>
      <c r="E36" s="47"/>
      <c r="F36" s="35"/>
      <c r="G36" s="35"/>
      <c r="H36" s="35"/>
    </row>
    <row r="37" spans="1:8" x14ac:dyDescent="0.3">
      <c r="A37" s="35"/>
      <c r="B37" s="35"/>
      <c r="C37" s="47"/>
      <c r="D37" s="47"/>
      <c r="E37" s="47"/>
      <c r="F37" s="35"/>
      <c r="G37" s="35"/>
      <c r="H37" s="35"/>
    </row>
    <row r="38" spans="1:8" x14ac:dyDescent="0.3">
      <c r="A38" s="35"/>
      <c r="B38" s="35"/>
      <c r="C38" s="47"/>
      <c r="D38" s="47"/>
      <c r="E38" s="47"/>
      <c r="F38" s="35"/>
      <c r="G38" s="35"/>
      <c r="H38" s="35"/>
    </row>
    <row r="39" spans="1:8" x14ac:dyDescent="0.3">
      <c r="A39" s="35"/>
      <c r="B39" s="35"/>
      <c r="C39" s="47"/>
      <c r="D39" s="47"/>
      <c r="E39" s="47"/>
      <c r="F39" s="35"/>
      <c r="G39" s="35"/>
      <c r="H39" s="35"/>
    </row>
    <row r="40" spans="1:8" x14ac:dyDescent="0.3">
      <c r="A40" s="35"/>
      <c r="B40" s="35"/>
      <c r="C40" s="47"/>
      <c r="D40" s="47"/>
      <c r="E40" s="47"/>
      <c r="F40" s="35"/>
      <c r="G40" s="35"/>
      <c r="H40" s="35"/>
    </row>
    <row r="41" spans="1:8" x14ac:dyDescent="0.3">
      <c r="A41" s="35"/>
      <c r="B41" s="35"/>
      <c r="C41" s="47"/>
      <c r="D41" s="47"/>
      <c r="E41" s="47"/>
      <c r="F41" s="48"/>
      <c r="G41" s="48"/>
      <c r="H41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tabSelected="1" workbookViewId="0">
      <selection activeCell="N4" sqref="N4"/>
    </sheetView>
  </sheetViews>
  <sheetFormatPr defaultColWidth="8.6640625" defaultRowHeight="14.4" x14ac:dyDescent="0.3"/>
  <cols>
    <col min="1" max="1" width="24.33203125" style="8" customWidth="1"/>
    <col min="2" max="3" width="12" style="8" customWidth="1"/>
    <col min="4" max="6" width="3.109375" style="8" customWidth="1"/>
    <col min="7" max="7" width="26.109375" style="8" bestFit="1" customWidth="1"/>
    <col min="8" max="8" width="17.109375" style="8" bestFit="1" customWidth="1"/>
    <col min="9" max="9" width="27.44140625" style="8" customWidth="1"/>
    <col min="10" max="10" width="19.109375" style="8" bestFit="1" customWidth="1"/>
    <col min="11" max="16384" width="8.6640625" style="8"/>
  </cols>
  <sheetData>
    <row r="1" spans="1:11" x14ac:dyDescent="0.3">
      <c r="A1" s="23" t="s">
        <v>65</v>
      </c>
    </row>
    <row r="2" spans="1:11" x14ac:dyDescent="0.3">
      <c r="A2" s="9" t="s">
        <v>71</v>
      </c>
    </row>
    <row r="3" spans="1:11" x14ac:dyDescent="0.3">
      <c r="G3" s="4"/>
      <c r="H3" s="4"/>
      <c r="I3" s="4"/>
      <c r="J3" s="4"/>
      <c r="K3" s="4"/>
    </row>
    <row r="4" spans="1:11" x14ac:dyDescent="0.3">
      <c r="B4" s="69" t="s">
        <v>54</v>
      </c>
      <c r="C4" s="69"/>
      <c r="D4" s="70"/>
      <c r="E4" s="70"/>
      <c r="G4" s="25" t="s">
        <v>41</v>
      </c>
      <c r="H4" s="4"/>
      <c r="I4" s="4"/>
      <c r="J4" s="4"/>
      <c r="K4" s="4"/>
    </row>
    <row r="5" spans="1:11" x14ac:dyDescent="0.3">
      <c r="A5" s="8" t="s">
        <v>13</v>
      </c>
      <c r="B5" s="1" t="s">
        <v>14</v>
      </c>
      <c r="C5" s="1" t="s">
        <v>18</v>
      </c>
      <c r="D5" s="1"/>
      <c r="E5" s="1"/>
      <c r="G5" s="4" t="s">
        <v>42</v>
      </c>
      <c r="H5" s="26">
        <v>964119419.73066378</v>
      </c>
      <c r="I5" s="4" t="s">
        <v>66</v>
      </c>
      <c r="J5" s="4"/>
      <c r="K5" s="4"/>
    </row>
    <row r="6" spans="1:11" x14ac:dyDescent="0.3">
      <c r="A6" s="8" t="s">
        <v>15</v>
      </c>
      <c r="B6" s="27">
        <v>19100.600000000002</v>
      </c>
      <c r="C6" s="3">
        <f>B6/B8</f>
        <v>0.84899479506976205</v>
      </c>
      <c r="D6" s="27"/>
      <c r="E6" s="3"/>
      <c r="G6" s="4" t="s">
        <v>43</v>
      </c>
      <c r="H6" s="26">
        <v>1132242117.2080712</v>
      </c>
      <c r="I6" s="4" t="s">
        <v>66</v>
      </c>
      <c r="J6" s="4"/>
      <c r="K6" s="4"/>
    </row>
    <row r="7" spans="1:11" x14ac:dyDescent="0.3">
      <c r="A7" s="8" t="s">
        <v>16</v>
      </c>
      <c r="B7" s="27">
        <v>3397.3</v>
      </c>
      <c r="C7" s="3">
        <f>B7/B8</f>
        <v>0.15100520493023792</v>
      </c>
      <c r="D7" s="27"/>
      <c r="E7" s="3"/>
      <c r="G7" s="25" t="s">
        <v>44</v>
      </c>
      <c r="H7" s="24">
        <v>182170950.70779285</v>
      </c>
      <c r="I7" s="4" t="s">
        <v>67</v>
      </c>
      <c r="J7" s="4"/>
      <c r="K7" s="4"/>
    </row>
    <row r="8" spans="1:11" x14ac:dyDescent="0.3">
      <c r="B8" s="36">
        <f>SUM(B6:B7)</f>
        <v>22497.9</v>
      </c>
      <c r="C8" s="3"/>
      <c r="D8" s="27"/>
      <c r="G8" s="4" t="s">
        <v>45</v>
      </c>
      <c r="H8" s="28">
        <f>SUM(H5:H7)</f>
        <v>2278532487.6465278</v>
      </c>
      <c r="I8" s="4"/>
      <c r="J8" s="4"/>
      <c r="K8" s="4"/>
    </row>
    <row r="9" spans="1:11" x14ac:dyDescent="0.3">
      <c r="F9" s="4"/>
      <c r="G9" s="4"/>
      <c r="H9" s="7"/>
      <c r="I9" s="7"/>
      <c r="J9" s="4"/>
      <c r="K9" s="4"/>
    </row>
    <row r="10" spans="1:11" x14ac:dyDescent="0.3">
      <c r="D10" s="3"/>
      <c r="F10" s="4"/>
      <c r="G10" s="4" t="s">
        <v>46</v>
      </c>
      <c r="H10" s="29">
        <f>C6</f>
        <v>0.84899479506976205</v>
      </c>
      <c r="I10" s="29"/>
      <c r="J10" s="29"/>
      <c r="K10" s="4"/>
    </row>
    <row r="11" spans="1:11" x14ac:dyDescent="0.3">
      <c r="D11" s="3"/>
      <c r="F11" s="4"/>
      <c r="G11" s="4" t="s">
        <v>47</v>
      </c>
      <c r="H11" s="5">
        <f>H8*H10</f>
        <v>1934462222.4092591</v>
      </c>
      <c r="I11" s="28"/>
      <c r="J11" s="6"/>
      <c r="K11" s="4"/>
    </row>
    <row r="12" spans="1:11" x14ac:dyDescent="0.3">
      <c r="B12" s="69" t="s">
        <v>55</v>
      </c>
      <c r="C12" s="69"/>
      <c r="D12" s="7"/>
      <c r="E12" s="30"/>
      <c r="F12" s="4"/>
      <c r="G12" s="4"/>
      <c r="H12" s="4"/>
      <c r="I12" s="4"/>
      <c r="J12" s="4"/>
      <c r="K12" s="4"/>
    </row>
    <row r="13" spans="1:11" x14ac:dyDescent="0.3">
      <c r="A13" s="8" t="s">
        <v>17</v>
      </c>
      <c r="B13" s="1" t="s">
        <v>14</v>
      </c>
      <c r="C13" s="1" t="s">
        <v>18</v>
      </c>
      <c r="D13" s="1"/>
      <c r="E13" s="1"/>
      <c r="F13" s="4"/>
      <c r="G13" s="4"/>
      <c r="H13" s="29"/>
      <c r="I13" s="29"/>
      <c r="J13" s="29"/>
      <c r="K13" s="4"/>
    </row>
    <row r="14" spans="1:11" x14ac:dyDescent="0.3">
      <c r="A14" s="8" t="s">
        <v>19</v>
      </c>
      <c r="B14" s="27">
        <v>5081.8354166666677</v>
      </c>
      <c r="C14" s="3">
        <f t="shared" ref="C14:C18" si="0">B14/$B$20</f>
        <v>0.29568804366572921</v>
      </c>
      <c r="D14" s="31"/>
      <c r="E14" s="3"/>
      <c r="F14" s="4"/>
      <c r="G14" s="8" t="s">
        <v>48</v>
      </c>
      <c r="H14" s="5">
        <f t="shared" ref="H14:H16" si="1">$H$11*C14</f>
        <v>571997350.08945251</v>
      </c>
      <c r="I14" s="28"/>
      <c r="J14" s="32"/>
      <c r="K14" s="4"/>
    </row>
    <row r="15" spans="1:11" x14ac:dyDescent="0.3">
      <c r="A15" s="8" t="s">
        <v>20</v>
      </c>
      <c r="B15" s="27">
        <v>7324.4617500000013</v>
      </c>
      <c r="C15" s="3">
        <f t="shared" si="0"/>
        <v>0.42617589673585882</v>
      </c>
      <c r="D15" s="31"/>
      <c r="E15" s="3"/>
      <c r="F15" s="4"/>
      <c r="G15" s="4" t="s">
        <v>49</v>
      </c>
      <c r="H15" s="5">
        <f t="shared" si="1"/>
        <v>824421172.33690834</v>
      </c>
      <c r="I15" s="28"/>
      <c r="J15" s="32"/>
      <c r="K15" s="4"/>
    </row>
    <row r="16" spans="1:11" x14ac:dyDescent="0.3">
      <c r="A16" s="8" t="s">
        <v>21</v>
      </c>
      <c r="B16" s="27">
        <v>2919.9913333333334</v>
      </c>
      <c r="C16" s="3">
        <f t="shared" si="0"/>
        <v>0.16990052886060455</v>
      </c>
      <c r="D16" s="31"/>
      <c r="E16" s="3"/>
      <c r="F16" s="4"/>
      <c r="G16" s="4" t="s">
        <v>50</v>
      </c>
      <c r="H16" s="5">
        <f t="shared" si="1"/>
        <v>328666154.64819354</v>
      </c>
      <c r="I16" s="28"/>
      <c r="J16" s="32"/>
      <c r="K16" s="4"/>
    </row>
    <row r="17" spans="1:11" x14ac:dyDescent="0.3">
      <c r="A17" s="8" t="s">
        <v>22</v>
      </c>
      <c r="B17" s="27">
        <v>985.8825833333334</v>
      </c>
      <c r="C17" s="3">
        <f>B17/$B$20</f>
        <v>5.7363859402822105E-2</v>
      </c>
      <c r="D17" s="31"/>
      <c r="E17" s="3"/>
      <c r="F17" s="4"/>
      <c r="G17" s="4" t="s">
        <v>51</v>
      </c>
      <c r="H17" s="26">
        <f>$H$11*C17</f>
        <v>110968218.94635552</v>
      </c>
      <c r="I17" s="28">
        <f>H7*H10*C17</f>
        <v>8872020.0626536384</v>
      </c>
      <c r="J17" s="37"/>
      <c r="K17" s="4"/>
    </row>
    <row r="18" spans="1:11" x14ac:dyDescent="0.3">
      <c r="A18" s="8" t="s">
        <v>23</v>
      </c>
      <c r="B18" s="27">
        <v>551.38866666666661</v>
      </c>
      <c r="C18" s="3">
        <f t="shared" si="0"/>
        <v>3.2082706891964609E-2</v>
      </c>
      <c r="D18" s="31"/>
      <c r="E18" s="3"/>
      <c r="G18" s="4" t="s">
        <v>52</v>
      </c>
      <c r="H18" s="5">
        <f t="shared" ref="H18:H19" si="2">$H$11*C18</f>
        <v>62062784.475134708</v>
      </c>
      <c r="I18" s="28"/>
      <c r="J18" s="32"/>
      <c r="K18" s="4"/>
    </row>
    <row r="19" spans="1:11" x14ac:dyDescent="0.3">
      <c r="A19" s="8" t="s">
        <v>24</v>
      </c>
      <c r="B19" s="27">
        <v>322.91608333333335</v>
      </c>
      <c r="C19" s="3">
        <f>B19/$B$20</f>
        <v>1.8788964443020625E-2</v>
      </c>
      <c r="D19" s="31"/>
      <c r="E19" s="3"/>
      <c r="G19" s="4" t="s">
        <v>53</v>
      </c>
      <c r="H19" s="5">
        <f t="shared" si="2"/>
        <v>36346541.913214229</v>
      </c>
      <c r="I19" s="28"/>
      <c r="J19" s="32"/>
      <c r="K19" s="4"/>
    </row>
    <row r="20" spans="1:11" x14ac:dyDescent="0.3">
      <c r="A20" s="8" t="s">
        <v>25</v>
      </c>
      <c r="B20" s="27">
        <v>17186.475833333338</v>
      </c>
      <c r="C20" s="3">
        <v>0.99999999999999989</v>
      </c>
      <c r="D20" s="27"/>
      <c r="E20" s="3"/>
      <c r="G20" s="25"/>
      <c r="H20" s="6"/>
      <c r="I20" s="4"/>
      <c r="J20" s="4"/>
      <c r="K20" s="4"/>
    </row>
    <row r="21" spans="1:11" x14ac:dyDescent="0.3">
      <c r="G21" s="34" t="s">
        <v>56</v>
      </c>
      <c r="H21" s="28">
        <f>H11-SUM(H14:H19)</f>
        <v>0</v>
      </c>
      <c r="I21" s="4"/>
      <c r="J21" s="4"/>
      <c r="K21" s="4"/>
    </row>
    <row r="22" spans="1:11" x14ac:dyDescent="0.3">
      <c r="C22" s="2"/>
      <c r="D22" s="33"/>
    </row>
  </sheetData>
  <mergeCells count="3">
    <mergeCell ref="B4:C4"/>
    <mergeCell ref="D4:E4"/>
    <mergeCell ref="B12:C12"/>
  </mergeCells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Props1.xml><?xml version="1.0" encoding="utf-8"?>
<ds:datastoreItem xmlns:ds="http://schemas.openxmlformats.org/officeDocument/2006/customXml" ds:itemID="{F3A16331-C231-441B-BEB8-2B5DB7C9AEC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Adjustment</vt:lpstr>
      <vt:lpstr>ADJ-Calc</vt:lpstr>
      <vt:lpstr>2021 Rates</vt:lpstr>
      <vt:lpstr>'2021 Rates'!Print_Area</vt:lpstr>
      <vt:lpstr>Adjustment!Print_Area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Vaughan</dc:creator>
  <cp:keywords/>
  <cp:lastModifiedBy>s007506</cp:lastModifiedBy>
  <cp:lastPrinted>2020-11-09T20:47:47Z</cp:lastPrinted>
  <dcterms:created xsi:type="dcterms:W3CDTF">2017-01-24T12:40:00Z</dcterms:created>
  <dcterms:modified xsi:type="dcterms:W3CDTF">2020-11-09T20:51:04Z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66945d7d-1be2-4ce2-96cf-0b5e82fdcea6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</Properties>
</file>